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E610EF9D-FA18-41A6-9E8B-592AF76907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3-Phasenstrom" sheetId="25" r:id="rId7"/>
    <sheet name="Geburtstagsliste" sheetId="17" r:id="rId8"/>
    <sheet name="Einheiten umrechnen" sheetId="16" r:id="rId9"/>
    <sheet name="Flächenberechnungen" sheetId="14" r:id="rId10"/>
    <sheet name="Kinematik_1" sheetId="4" r:id="rId11"/>
    <sheet name="Kinematik_2" sheetId="9" r:id="rId12"/>
    <sheet name="Kinematik_2_Berechnungen" sheetId="11" r:id="rId13"/>
    <sheet name="Fourierreihe" sheetId="12" r:id="rId14"/>
    <sheet name="Scheinleistung" sheetId="15" r:id="rId15"/>
    <sheet name="Gemischte Schaltung" sheetId="23" r:id="rId16"/>
  </sheets>
  <definedNames>
    <definedName name="_xlnm._FilterDatabase" localSheetId="7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2" l="1"/>
  <c r="P18" i="12"/>
  <c r="Q17" i="12"/>
  <c r="P16" i="12"/>
  <c r="P15" i="12"/>
  <c r="M18" i="12"/>
  <c r="M17" i="12"/>
  <c r="M16" i="12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M20" i="25"/>
  <c r="O13" i="25"/>
  <c r="N13" i="25"/>
  <c r="M13" i="25"/>
  <c r="L13" i="25"/>
  <c r="I13" i="25"/>
  <c r="H13" i="25"/>
  <c r="F12" i="25"/>
  <c r="H12" i="25" s="1"/>
  <c r="I11" i="25"/>
  <c r="F11" i="25"/>
  <c r="H11" i="25" s="1"/>
  <c r="E12" i="25"/>
  <c r="M17" i="25"/>
  <c r="N16" i="25"/>
  <c r="N17" i="25" s="1"/>
  <c r="G13" i="25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M22" i="24"/>
  <c r="AF21" i="24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O21" i="24"/>
  <c r="P21" i="24"/>
  <c r="Q21" i="24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N21" i="24"/>
  <c r="D18" i="12"/>
  <c r="D17" i="12"/>
  <c r="D19" i="12" s="1"/>
  <c r="E17" i="12" s="1"/>
  <c r="D16" i="12"/>
  <c r="F16" i="12" s="1"/>
  <c r="I16" i="12"/>
  <c r="I15" i="12"/>
  <c r="M15" i="12"/>
  <c r="G18" i="12"/>
  <c r="G16" i="12"/>
  <c r="G15" i="12"/>
  <c r="F18" i="12"/>
  <c r="F15" i="12"/>
  <c r="M12" i="25" l="1"/>
  <c r="I12" i="25"/>
  <c r="O12" i="25" s="1"/>
  <c r="E13" i="25"/>
  <c r="N18" i="25"/>
  <c r="M18" i="25"/>
  <c r="M11" i="25"/>
  <c r="O16" i="25"/>
  <c r="M19" i="25"/>
  <c r="N19" i="25"/>
  <c r="F17" i="12"/>
  <c r="G17" i="12"/>
  <c r="G19" i="12"/>
  <c r="F19" i="12"/>
  <c r="E18" i="12"/>
  <c r="E16" i="12"/>
  <c r="E15" i="12"/>
  <c r="F8" i="24"/>
  <c r="F6" i="24"/>
  <c r="O11" i="25" l="1"/>
  <c r="O17" i="25"/>
  <c r="P16" i="25"/>
  <c r="P14" i="12"/>
  <c r="N14" i="12"/>
  <c r="E8" i="22"/>
  <c r="E11" i="22" s="1"/>
  <c r="M16" i="24"/>
  <c r="C16" i="24"/>
  <c r="G18" i="24"/>
  <c r="G17" i="24"/>
  <c r="E18" i="24"/>
  <c r="E17" i="24"/>
  <c r="F16" i="24"/>
  <c r="D16" i="24" s="1"/>
  <c r="D18" i="24" s="1"/>
  <c r="G16" i="24"/>
  <c r="G15" i="24"/>
  <c r="E16" i="24"/>
  <c r="F15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M15" i="15"/>
  <c r="F15" i="15"/>
  <c r="J15" i="15" s="1"/>
  <c r="F14" i="15"/>
  <c r="M14" i="15" s="1"/>
  <c r="M18" i="15" s="1"/>
  <c r="M13" i="15"/>
  <c r="K13" i="15"/>
  <c r="K15" i="15" s="1"/>
  <c r="N12" i="15"/>
  <c r="O12" i="15" s="1"/>
  <c r="W5" i="15"/>
  <c r="X5" i="15" s="1"/>
  <c r="I18" i="12"/>
  <c r="C18" i="12"/>
  <c r="I17" i="12"/>
  <c r="C17" i="12"/>
  <c r="C16" i="12"/>
  <c r="P13" i="12"/>
  <c r="N13" i="12"/>
  <c r="Q12" i="12"/>
  <c r="Z5" i="12"/>
  <c r="AA5" i="12" s="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F8" i="22" s="1"/>
  <c r="K14" i="15" l="1"/>
  <c r="K18" i="15" s="1"/>
  <c r="T6" i="15" s="1"/>
  <c r="W6" i="15" s="1"/>
  <c r="P12" i="15"/>
  <c r="O13" i="15"/>
  <c r="J14" i="15"/>
  <c r="N13" i="15"/>
  <c r="N15" i="12"/>
  <c r="N19" i="12" s="1"/>
  <c r="N18" i="12"/>
  <c r="N17" i="12"/>
  <c r="N16" i="12"/>
  <c r="Q11" i="25"/>
  <c r="Q12" i="25" s="1"/>
  <c r="R11" i="25" s="1"/>
  <c r="T11" i="25" s="1"/>
  <c r="U12" i="25" s="1"/>
  <c r="O18" i="25"/>
  <c r="O19" i="25"/>
  <c r="F13" i="25"/>
  <c r="D13" i="25" s="1"/>
  <c r="S12" i="25"/>
  <c r="C13" i="25"/>
  <c r="P17" i="25"/>
  <c r="Q16" i="25"/>
  <c r="C18" i="24"/>
  <c r="N24" i="24"/>
  <c r="V24" i="24"/>
  <c r="AD24" i="24"/>
  <c r="O24" i="24"/>
  <c r="W24" i="24"/>
  <c r="AE24" i="24"/>
  <c r="AM24" i="24"/>
  <c r="AU24" i="24"/>
  <c r="X24" i="24"/>
  <c r="AF24" i="24"/>
  <c r="AV24" i="24"/>
  <c r="P24" i="24"/>
  <c r="AN24" i="24"/>
  <c r="Q24" i="24"/>
  <c r="Y24" i="24"/>
  <c r="AG24" i="24"/>
  <c r="AO24" i="24"/>
  <c r="AW24" i="24"/>
  <c r="AA24" i="24"/>
  <c r="AI24" i="24"/>
  <c r="AT24" i="24"/>
  <c r="R24" i="24"/>
  <c r="Z24" i="24"/>
  <c r="AH24" i="24"/>
  <c r="AP24" i="24"/>
  <c r="M24" i="24"/>
  <c r="S24" i="24"/>
  <c r="AQ24" i="24"/>
  <c r="T24" i="24"/>
  <c r="AB24" i="24"/>
  <c r="AJ24" i="24"/>
  <c r="AR24" i="24"/>
  <c r="U24" i="24"/>
  <c r="AC24" i="24"/>
  <c r="AK24" i="24"/>
  <c r="AS24" i="24"/>
  <c r="AL24" i="24"/>
  <c r="P23" i="24"/>
  <c r="AF23" i="24"/>
  <c r="AV23" i="24"/>
  <c r="Q23" i="24"/>
  <c r="Y23" i="24"/>
  <c r="AG23" i="24"/>
  <c r="AG25" i="24" s="1"/>
  <c r="AO23" i="24"/>
  <c r="AW23" i="24"/>
  <c r="I15" i="24"/>
  <c r="I17" i="24" s="1"/>
  <c r="O17" i="24" s="1"/>
  <c r="AA23" i="24"/>
  <c r="AA25" i="24" s="1"/>
  <c r="AI23" i="24"/>
  <c r="T23" i="24"/>
  <c r="AJ23" i="24"/>
  <c r="U23" i="24"/>
  <c r="AS23" i="24"/>
  <c r="AS25" i="24" s="1"/>
  <c r="V23" i="24"/>
  <c r="O23" i="24"/>
  <c r="AE23" i="24"/>
  <c r="M23" i="24"/>
  <c r="R23" i="24"/>
  <c r="Z23" i="24"/>
  <c r="AH23" i="24"/>
  <c r="AH25" i="24" s="1"/>
  <c r="AP23" i="24"/>
  <c r="S23" i="24"/>
  <c r="S25" i="24" s="1"/>
  <c r="AQ23" i="24"/>
  <c r="AB23" i="24"/>
  <c r="AR23" i="24"/>
  <c r="AR25" i="24" s="1"/>
  <c r="AC23" i="24"/>
  <c r="AK23" i="24"/>
  <c r="AK25" i="24" s="1"/>
  <c r="N23" i="24"/>
  <c r="AD23" i="24"/>
  <c r="AL23" i="24"/>
  <c r="AL25" i="24" s="1"/>
  <c r="AT23" i="24"/>
  <c r="W23" i="24"/>
  <c r="AM23" i="24"/>
  <c r="AU23" i="24"/>
  <c r="AU25" i="24" s="1"/>
  <c r="X23" i="24"/>
  <c r="X25" i="24" s="1"/>
  <c r="AN23" i="24"/>
  <c r="P17" i="12"/>
  <c r="Q13" i="12"/>
  <c r="Q14" i="12"/>
  <c r="R12" i="12"/>
  <c r="S12" i="12"/>
  <c r="S13" i="12"/>
  <c r="O15" i="24"/>
  <c r="H15" i="24"/>
  <c r="F18" i="24"/>
  <c r="E10" i="22"/>
  <c r="F9" i="22"/>
  <c r="F10" i="22"/>
  <c r="F11" i="22"/>
  <c r="G7" i="22"/>
  <c r="G8" i="22" s="1"/>
  <c r="E9" i="22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T5" i="15" l="1"/>
  <c r="N15" i="15"/>
  <c r="N14" i="15"/>
  <c r="N18" i="15" s="1"/>
  <c r="O15" i="15"/>
  <c r="O14" i="15"/>
  <c r="O18" i="15" s="1"/>
  <c r="T7" i="15"/>
  <c r="X6" i="15"/>
  <c r="Q12" i="15"/>
  <c r="P13" i="15"/>
  <c r="P18" i="25"/>
  <c r="P19" i="25"/>
  <c r="R16" i="25"/>
  <c r="Q17" i="25"/>
  <c r="W25" i="24"/>
  <c r="AB25" i="24"/>
  <c r="AE25" i="24"/>
  <c r="AF25" i="24"/>
  <c r="V25" i="24"/>
  <c r="AW25" i="24"/>
  <c r="AD25" i="24"/>
  <c r="AP25" i="24"/>
  <c r="AO25" i="24"/>
  <c r="N25" i="24"/>
  <c r="U25" i="24"/>
  <c r="AC25" i="24"/>
  <c r="R25" i="24"/>
  <c r="AT25" i="24"/>
  <c r="AQ25" i="24"/>
  <c r="O25" i="24"/>
  <c r="P25" i="24"/>
  <c r="AN25" i="24"/>
  <c r="Z25" i="24"/>
  <c r="AJ25" i="24"/>
  <c r="Y25" i="24"/>
  <c r="T25" i="24"/>
  <c r="Q25" i="24"/>
  <c r="AM25" i="24"/>
  <c r="M25" i="24"/>
  <c r="AI25" i="24"/>
  <c r="AV25" i="24"/>
  <c r="H18" i="24"/>
  <c r="I18" i="24"/>
  <c r="Q15" i="12"/>
  <c r="Q18" i="12"/>
  <c r="Q16" i="12"/>
  <c r="T12" i="12"/>
  <c r="S14" i="12"/>
  <c r="R13" i="12"/>
  <c r="R14" i="12"/>
  <c r="K21" i="17"/>
  <c r="M15" i="24"/>
  <c r="H17" i="24"/>
  <c r="H7" i="22"/>
  <c r="H8" i="22" s="1"/>
  <c r="K30" i="17"/>
  <c r="E11" i="17"/>
  <c r="E6" i="17"/>
  <c r="E14" i="17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P14" i="15" l="1"/>
  <c r="P15" i="15"/>
  <c r="R12" i="15"/>
  <c r="Q13" i="15"/>
  <c r="S16" i="25"/>
  <c r="R17" i="25"/>
  <c r="Q18" i="25"/>
  <c r="Q19" i="25"/>
  <c r="S15" i="12"/>
  <c r="S18" i="12"/>
  <c r="S17" i="12"/>
  <c r="S16" i="12"/>
  <c r="R15" i="12"/>
  <c r="R18" i="12"/>
  <c r="R17" i="12"/>
  <c r="R16" i="12"/>
  <c r="Q19" i="12"/>
  <c r="T14" i="12"/>
  <c r="U12" i="12"/>
  <c r="T13" i="12"/>
  <c r="F17" i="24"/>
  <c r="D17" i="24" s="1"/>
  <c r="C17" i="24"/>
  <c r="M17" i="24"/>
  <c r="Q15" i="24" s="1"/>
  <c r="Q16" i="24" s="1"/>
  <c r="R15" i="24" s="1"/>
  <c r="I7" i="22"/>
  <c r="I8" i="22" s="1"/>
  <c r="G10" i="22"/>
  <c r="G9" i="22"/>
  <c r="G11" i="22"/>
  <c r="Q14" i="15" l="1"/>
  <c r="Q15" i="15"/>
  <c r="S12" i="15"/>
  <c r="R13" i="15"/>
  <c r="P18" i="15"/>
  <c r="R18" i="25"/>
  <c r="R19" i="25"/>
  <c r="T16" i="25"/>
  <c r="S17" i="25"/>
  <c r="R19" i="12"/>
  <c r="T17" i="12"/>
  <c r="T15" i="12"/>
  <c r="T18" i="12"/>
  <c r="T16" i="12"/>
  <c r="S19" i="12"/>
  <c r="U14" i="12"/>
  <c r="V12" i="12"/>
  <c r="U13" i="12"/>
  <c r="S16" i="24"/>
  <c r="T15" i="24"/>
  <c r="U16" i="24" s="1"/>
  <c r="J7" i="22"/>
  <c r="J8" i="22" s="1"/>
  <c r="H11" i="22"/>
  <c r="H10" i="22"/>
  <c r="H9" i="22"/>
  <c r="R15" i="15" l="1"/>
  <c r="R14" i="15"/>
  <c r="R18" i="15" s="1"/>
  <c r="S13" i="15"/>
  <c r="T12" i="15"/>
  <c r="Q18" i="15"/>
  <c r="U16" i="25"/>
  <c r="T17" i="25"/>
  <c r="S18" i="25"/>
  <c r="S19" i="25"/>
  <c r="U18" i="12"/>
  <c r="U15" i="12"/>
  <c r="U17" i="12"/>
  <c r="U16" i="12"/>
  <c r="T19" i="12"/>
  <c r="V14" i="12"/>
  <c r="W12" i="12"/>
  <c r="V13" i="12"/>
  <c r="K7" i="22"/>
  <c r="K8" i="22" s="1"/>
  <c r="I11" i="22"/>
  <c r="I10" i="22"/>
  <c r="I9" i="22"/>
  <c r="S15" i="15" l="1"/>
  <c r="S14" i="15"/>
  <c r="U12" i="15"/>
  <c r="T13" i="15"/>
  <c r="T18" i="25"/>
  <c r="T19" i="25"/>
  <c r="U17" i="25"/>
  <c r="V16" i="25"/>
  <c r="V18" i="12"/>
  <c r="V15" i="12"/>
  <c r="V17" i="12"/>
  <c r="V16" i="12"/>
  <c r="U19" i="12"/>
  <c r="W14" i="12"/>
  <c r="X12" i="12"/>
  <c r="W13" i="12"/>
  <c r="L7" i="22"/>
  <c r="L8" i="22" s="1"/>
  <c r="J10" i="22"/>
  <c r="J11" i="22"/>
  <c r="J9" i="22"/>
  <c r="S18" i="15" l="1"/>
  <c r="V12" i="15"/>
  <c r="U13" i="15"/>
  <c r="T15" i="15"/>
  <c r="T14" i="15"/>
  <c r="U18" i="25"/>
  <c r="U19" i="25"/>
  <c r="V17" i="25"/>
  <c r="W16" i="25"/>
  <c r="W17" i="12"/>
  <c r="W15" i="12"/>
  <c r="W18" i="12"/>
  <c r="W16" i="12"/>
  <c r="V19" i="12"/>
  <c r="X14" i="12"/>
  <c r="Y12" i="12"/>
  <c r="X13" i="12"/>
  <c r="M7" i="22"/>
  <c r="M8" i="22" s="1"/>
  <c r="K9" i="22"/>
  <c r="K11" i="22"/>
  <c r="K10" i="22"/>
  <c r="T18" i="15" l="1"/>
  <c r="U15" i="15"/>
  <c r="U14" i="15"/>
  <c r="U18" i="15" s="1"/>
  <c r="W12" i="15"/>
  <c r="V13" i="15"/>
  <c r="V18" i="25"/>
  <c r="V19" i="25"/>
  <c r="W17" i="25"/>
  <c r="X16" i="25"/>
  <c r="W19" i="12"/>
  <c r="X15" i="12"/>
  <c r="X17" i="12"/>
  <c r="X18" i="12"/>
  <c r="X16" i="12"/>
  <c r="Y14" i="12"/>
  <c r="Z12" i="12"/>
  <c r="Y13" i="12"/>
  <c r="N7" i="22"/>
  <c r="N8" i="22" s="1"/>
  <c r="L11" i="22"/>
  <c r="L10" i="22"/>
  <c r="L9" i="22"/>
  <c r="V15" i="15" l="1"/>
  <c r="V14" i="15"/>
  <c r="V18" i="15" s="1"/>
  <c r="X12" i="15"/>
  <c r="W13" i="15"/>
  <c r="W18" i="25"/>
  <c r="W19" i="25"/>
  <c r="X17" i="25"/>
  <c r="Y16" i="25"/>
  <c r="Y18" i="12"/>
  <c r="Y17" i="12"/>
  <c r="Y15" i="12"/>
  <c r="Y16" i="12"/>
  <c r="X19" i="12"/>
  <c r="Z14" i="12"/>
  <c r="Z13" i="12"/>
  <c r="AA12" i="12"/>
  <c r="M10" i="22"/>
  <c r="M9" i="22"/>
  <c r="M11" i="22"/>
  <c r="O7" i="22"/>
  <c r="O8" i="22" s="1"/>
  <c r="W15" i="15" l="1"/>
  <c r="W14" i="15"/>
  <c r="W18" i="15" s="1"/>
  <c r="Y12" i="15"/>
  <c r="X13" i="15"/>
  <c r="X18" i="25"/>
  <c r="X19" i="25"/>
  <c r="Z16" i="25"/>
  <c r="Y17" i="25"/>
  <c r="Y19" i="12"/>
  <c r="Z18" i="12"/>
  <c r="Z17" i="12"/>
  <c r="Z15" i="12"/>
  <c r="Z16" i="12"/>
  <c r="AA14" i="12"/>
  <c r="AA13" i="12"/>
  <c r="AB12" i="12"/>
  <c r="P7" i="22"/>
  <c r="P8" i="22" s="1"/>
  <c r="N9" i="22"/>
  <c r="N11" i="22"/>
  <c r="N10" i="22"/>
  <c r="Z12" i="15" l="1"/>
  <c r="Y13" i="15"/>
  <c r="X14" i="15"/>
  <c r="X15" i="15"/>
  <c r="AA16" i="25"/>
  <c r="Z17" i="25"/>
  <c r="Y18" i="25"/>
  <c r="Y19" i="25"/>
  <c r="AA15" i="12"/>
  <c r="AA17" i="12"/>
  <c r="AA18" i="12"/>
  <c r="AA16" i="12"/>
  <c r="Z19" i="12"/>
  <c r="AB14" i="12"/>
  <c r="AC12" i="12"/>
  <c r="AB13" i="12"/>
  <c r="Q7" i="22"/>
  <c r="Q8" i="22" s="1"/>
  <c r="O9" i="22"/>
  <c r="O11" i="22"/>
  <c r="O10" i="22"/>
  <c r="X18" i="15" l="1"/>
  <c r="Y14" i="15"/>
  <c r="Y18" i="15" s="1"/>
  <c r="Y15" i="15"/>
  <c r="AA12" i="15"/>
  <c r="Z13" i="15"/>
  <c r="Z18" i="25"/>
  <c r="Z19" i="25"/>
  <c r="AB16" i="25"/>
  <c r="AA17" i="25"/>
  <c r="AB18" i="12"/>
  <c r="AB15" i="12"/>
  <c r="AB17" i="12"/>
  <c r="AB16" i="12"/>
  <c r="AA19" i="12"/>
  <c r="AC14" i="12"/>
  <c r="AC13" i="12"/>
  <c r="AD12" i="12"/>
  <c r="R7" i="22"/>
  <c r="R8" i="22" s="1"/>
  <c r="P11" i="22"/>
  <c r="P9" i="22"/>
  <c r="P10" i="22"/>
  <c r="Z15" i="15" l="1"/>
  <c r="Z14" i="15"/>
  <c r="Z18" i="15" s="1"/>
  <c r="AA13" i="15"/>
  <c r="AB12" i="15"/>
  <c r="AC16" i="25"/>
  <c r="AB17" i="25"/>
  <c r="AA18" i="25"/>
  <c r="AA19" i="25"/>
  <c r="AC15" i="12"/>
  <c r="AC18" i="12"/>
  <c r="AC17" i="12"/>
  <c r="AC16" i="12"/>
  <c r="AB19" i="12"/>
  <c r="AD14" i="12"/>
  <c r="AE12" i="12"/>
  <c r="AD13" i="12"/>
  <c r="Q11" i="22"/>
  <c r="Q10" i="22"/>
  <c r="Q9" i="22"/>
  <c r="S7" i="22"/>
  <c r="S8" i="22" s="1"/>
  <c r="AC12" i="15" l="1"/>
  <c r="AB13" i="15"/>
  <c r="AA15" i="15"/>
  <c r="AA14" i="15"/>
  <c r="AB18" i="25"/>
  <c r="AB19" i="25"/>
  <c r="AC17" i="25"/>
  <c r="AD16" i="25"/>
  <c r="AC19" i="12"/>
  <c r="AD15" i="12"/>
  <c r="AD18" i="12"/>
  <c r="AD17" i="12"/>
  <c r="AD16" i="12"/>
  <c r="AE14" i="12"/>
  <c r="AF12" i="12"/>
  <c r="AE13" i="12"/>
  <c r="R10" i="22"/>
  <c r="R11" i="22"/>
  <c r="R9" i="22"/>
  <c r="T7" i="22"/>
  <c r="T8" i="22" s="1"/>
  <c r="AB15" i="15" l="1"/>
  <c r="AB14" i="15"/>
  <c r="AB18" i="15" s="1"/>
  <c r="AA18" i="15"/>
  <c r="AD12" i="15"/>
  <c r="AC13" i="15"/>
  <c r="AC18" i="25"/>
  <c r="AC19" i="25"/>
  <c r="AD17" i="25"/>
  <c r="AE16" i="25"/>
  <c r="AE17" i="12"/>
  <c r="AE15" i="12"/>
  <c r="AE18" i="12"/>
  <c r="AE16" i="12"/>
  <c r="AD19" i="12"/>
  <c r="AF14" i="12"/>
  <c r="AF13" i="12"/>
  <c r="AG12" i="12"/>
  <c r="U7" i="22"/>
  <c r="U8" i="22" s="1"/>
  <c r="S11" i="22"/>
  <c r="S9" i="22"/>
  <c r="S10" i="22"/>
  <c r="AE12" i="15" l="1"/>
  <c r="AD13" i="15"/>
  <c r="AC15" i="15"/>
  <c r="AC14" i="15"/>
  <c r="AC18" i="15" s="1"/>
  <c r="AE17" i="25"/>
  <c r="AF16" i="25"/>
  <c r="AD18" i="25"/>
  <c r="AD19" i="25"/>
  <c r="AE19" i="12"/>
  <c r="AF17" i="12"/>
  <c r="AF15" i="12"/>
  <c r="AF18" i="12"/>
  <c r="AF16" i="12"/>
  <c r="AG14" i="12"/>
  <c r="AH12" i="12"/>
  <c r="AG13" i="12"/>
  <c r="V7" i="22"/>
  <c r="V8" i="22" s="1"/>
  <c r="T11" i="22"/>
  <c r="T10" i="22"/>
  <c r="T9" i="22"/>
  <c r="AD15" i="15" l="1"/>
  <c r="AD14" i="15"/>
  <c r="AD18" i="15" s="1"/>
  <c r="AF12" i="15"/>
  <c r="AE13" i="15"/>
  <c r="AF17" i="25"/>
  <c r="AG16" i="25"/>
  <c r="AE18" i="25"/>
  <c r="AE19" i="25"/>
  <c r="AG18" i="12"/>
  <c r="AG17" i="12"/>
  <c r="AG15" i="12"/>
  <c r="AG16" i="12"/>
  <c r="AF19" i="12"/>
  <c r="AH14" i="12"/>
  <c r="AH13" i="12"/>
  <c r="AI12" i="12"/>
  <c r="U10" i="22"/>
  <c r="U9" i="22"/>
  <c r="U11" i="22"/>
  <c r="W7" i="22"/>
  <c r="W8" i="22" s="1"/>
  <c r="AE15" i="15" l="1"/>
  <c r="AE14" i="15"/>
  <c r="AE18" i="15" s="1"/>
  <c r="AG12" i="15"/>
  <c r="AF13" i="15"/>
  <c r="AH16" i="25"/>
  <c r="AG17" i="25"/>
  <c r="AF18" i="25"/>
  <c r="AF19" i="25"/>
  <c r="AH17" i="12"/>
  <c r="AH18" i="12"/>
  <c r="AH15" i="12"/>
  <c r="AH16" i="12"/>
  <c r="AG19" i="12"/>
  <c r="AI14" i="12"/>
  <c r="AI13" i="12"/>
  <c r="AJ12" i="12"/>
  <c r="X7" i="22"/>
  <c r="X8" i="22" s="1"/>
  <c r="V9" i="22"/>
  <c r="V10" i="22"/>
  <c r="V11" i="22"/>
  <c r="AH12" i="15" l="1"/>
  <c r="AG13" i="15"/>
  <c r="AF14" i="15"/>
  <c r="AF15" i="15"/>
  <c r="AG18" i="25"/>
  <c r="AG19" i="25"/>
  <c r="AI16" i="25"/>
  <c r="AH17" i="25"/>
  <c r="AI15" i="12"/>
  <c r="AI17" i="12"/>
  <c r="AI18" i="12"/>
  <c r="AI16" i="12"/>
  <c r="AH19" i="12"/>
  <c r="AJ14" i="12"/>
  <c r="AK12" i="12"/>
  <c r="AJ13" i="12"/>
  <c r="Y7" i="22"/>
  <c r="Y8" i="22" s="1"/>
  <c r="W10" i="22"/>
  <c r="W11" i="22"/>
  <c r="W9" i="22"/>
  <c r="AF18" i="15" l="1"/>
  <c r="AG14" i="15"/>
  <c r="AG15" i="15"/>
  <c r="AI12" i="15"/>
  <c r="AH13" i="15"/>
  <c r="AH18" i="25"/>
  <c r="AH19" i="25"/>
  <c r="AJ16" i="25"/>
  <c r="AI17" i="25"/>
  <c r="AI19" i="12"/>
  <c r="AJ15" i="12"/>
  <c r="AJ17" i="12"/>
  <c r="AJ18" i="12"/>
  <c r="AJ16" i="12"/>
  <c r="AK14" i="12"/>
  <c r="AK13" i="12"/>
  <c r="AL12" i="12"/>
  <c r="X11" i="22"/>
  <c r="X10" i="22"/>
  <c r="X9" i="22"/>
  <c r="Z7" i="22"/>
  <c r="Z8" i="22" s="1"/>
  <c r="AH15" i="15" l="1"/>
  <c r="AH14" i="15"/>
  <c r="AH18" i="15" s="1"/>
  <c r="AI13" i="15"/>
  <c r="AJ12" i="15"/>
  <c r="AG18" i="15"/>
  <c r="AI18" i="25"/>
  <c r="AI19" i="25"/>
  <c r="AK16" i="25"/>
  <c r="AJ17" i="25"/>
  <c r="AK18" i="12"/>
  <c r="AK15" i="12"/>
  <c r="AK17" i="12"/>
  <c r="AK16" i="12"/>
  <c r="AJ19" i="12"/>
  <c r="AL14" i="12"/>
  <c r="AM12" i="12"/>
  <c r="AL13" i="12"/>
  <c r="AA7" i="22"/>
  <c r="AA8" i="22" s="1"/>
  <c r="Y11" i="22"/>
  <c r="Y10" i="22"/>
  <c r="Y9" i="22"/>
  <c r="AI15" i="15" l="1"/>
  <c r="AI14" i="15"/>
  <c r="AI18" i="15" s="1"/>
  <c r="AK12" i="15"/>
  <c r="AJ13" i="15"/>
  <c r="AJ18" i="25"/>
  <c r="AJ19" i="25"/>
  <c r="AK17" i="25"/>
  <c r="AL16" i="25"/>
  <c r="AL18" i="12"/>
  <c r="AL15" i="12"/>
  <c r="AL17" i="12"/>
  <c r="AL16" i="12"/>
  <c r="AK19" i="12"/>
  <c r="AM14" i="12"/>
  <c r="AN12" i="12"/>
  <c r="AM13" i="12"/>
  <c r="AB7" i="22"/>
  <c r="AB8" i="22" s="1"/>
  <c r="Z10" i="22"/>
  <c r="Z11" i="22"/>
  <c r="Z9" i="22"/>
  <c r="AJ15" i="15" l="1"/>
  <c r="AJ14" i="15"/>
  <c r="AJ18" i="15" s="1"/>
  <c r="AL12" i="15"/>
  <c r="AK13" i="15"/>
  <c r="AL17" i="25"/>
  <c r="AM16" i="25"/>
  <c r="AK18" i="25"/>
  <c r="AK19" i="25"/>
  <c r="AL19" i="12"/>
  <c r="AM17" i="12"/>
  <c r="AM15" i="12"/>
  <c r="AM18" i="12"/>
  <c r="AM16" i="12"/>
  <c r="AN14" i="12"/>
  <c r="AN13" i="12"/>
  <c r="AO12" i="12"/>
  <c r="AC7" i="22"/>
  <c r="AC8" i="22" s="1"/>
  <c r="AA9" i="22"/>
  <c r="AA11" i="22"/>
  <c r="AA10" i="22"/>
  <c r="AK15" i="15" l="1"/>
  <c r="AK14" i="15"/>
  <c r="AK18" i="15" s="1"/>
  <c r="AM12" i="15"/>
  <c r="AL13" i="15"/>
  <c r="AM17" i="25"/>
  <c r="AN16" i="25"/>
  <c r="AL18" i="25"/>
  <c r="AL19" i="25"/>
  <c r="AM19" i="12"/>
  <c r="AN17" i="12"/>
  <c r="AN15" i="12"/>
  <c r="AN18" i="12"/>
  <c r="AN16" i="12"/>
  <c r="AO14" i="12"/>
  <c r="AP12" i="12"/>
  <c r="AO13" i="12"/>
  <c r="AB11" i="22"/>
  <c r="AB10" i="22"/>
  <c r="AB9" i="22"/>
  <c r="AD7" i="22"/>
  <c r="AD8" i="22" s="1"/>
  <c r="AN12" i="15" l="1"/>
  <c r="AM13" i="15"/>
  <c r="AL15" i="15"/>
  <c r="AL14" i="15"/>
  <c r="AL18" i="15" s="1"/>
  <c r="AM18" i="25"/>
  <c r="AM19" i="25"/>
  <c r="AN17" i="25"/>
  <c r="AO16" i="25"/>
  <c r="AN19" i="12"/>
  <c r="AO18" i="12"/>
  <c r="AO17" i="12"/>
  <c r="AO15" i="12"/>
  <c r="AO16" i="12"/>
  <c r="AP14" i="12"/>
  <c r="AQ12" i="12"/>
  <c r="AP13" i="12"/>
  <c r="AC10" i="22"/>
  <c r="AC11" i="22"/>
  <c r="AC9" i="22"/>
  <c r="AE7" i="22"/>
  <c r="AE8" i="22" s="1"/>
  <c r="AM15" i="15" l="1"/>
  <c r="AM14" i="15"/>
  <c r="AM18" i="15" s="1"/>
  <c r="AO12" i="15"/>
  <c r="AN13" i="15"/>
  <c r="AP16" i="25"/>
  <c r="AO17" i="25"/>
  <c r="AN18" i="25"/>
  <c r="AN19" i="25"/>
  <c r="AP18" i="12"/>
  <c r="AP17" i="12"/>
  <c r="AP15" i="12"/>
  <c r="AP16" i="12"/>
  <c r="AO19" i="12"/>
  <c r="AQ14" i="12"/>
  <c r="AR12" i="12"/>
  <c r="AQ13" i="12"/>
  <c r="AF7" i="22"/>
  <c r="AF8" i="22" s="1"/>
  <c r="AD9" i="22"/>
  <c r="AD11" i="22"/>
  <c r="AD10" i="22"/>
  <c r="AP12" i="15" l="1"/>
  <c r="AO13" i="15"/>
  <c r="AN14" i="15"/>
  <c r="AN15" i="15"/>
  <c r="AO18" i="25"/>
  <c r="AO19" i="25"/>
  <c r="AQ16" i="25"/>
  <c r="AP17" i="25"/>
  <c r="AQ15" i="12"/>
  <c r="AQ18" i="12"/>
  <c r="AQ17" i="12"/>
  <c r="AQ16" i="12"/>
  <c r="AP19" i="12"/>
  <c r="AR14" i="12"/>
  <c r="AS12" i="12"/>
  <c r="AR13" i="12"/>
  <c r="AG7" i="22"/>
  <c r="AG8" i="22" s="1"/>
  <c r="AE9" i="22"/>
  <c r="AE11" i="22"/>
  <c r="AE10" i="22"/>
  <c r="AO14" i="15" l="1"/>
  <c r="AO15" i="15"/>
  <c r="AN18" i="15"/>
  <c r="AQ12" i="15"/>
  <c r="AP13" i="15"/>
  <c r="AR16" i="25"/>
  <c r="AQ17" i="25"/>
  <c r="AP18" i="25"/>
  <c r="AP19" i="25"/>
  <c r="AR18" i="12"/>
  <c r="AR15" i="12"/>
  <c r="AR17" i="12"/>
  <c r="AR16" i="12"/>
  <c r="AQ19" i="12"/>
  <c r="AS14" i="12"/>
  <c r="AS13" i="12"/>
  <c r="AT12" i="12"/>
  <c r="AH7" i="22"/>
  <c r="AH8" i="22" s="1"/>
  <c r="AF11" i="22"/>
  <c r="AF9" i="22"/>
  <c r="AF10" i="22"/>
  <c r="AP15" i="15" l="1"/>
  <c r="AP14" i="15"/>
  <c r="AP18" i="15" s="1"/>
  <c r="AQ13" i="15"/>
  <c r="AR12" i="15"/>
  <c r="AO18" i="15"/>
  <c r="AQ18" i="25"/>
  <c r="AQ19" i="25"/>
  <c r="AS16" i="25"/>
  <c r="AR17" i="25"/>
  <c r="AR19" i="12"/>
  <c r="AS18" i="12"/>
  <c r="AS15" i="12"/>
  <c r="AS17" i="12"/>
  <c r="AS16" i="12"/>
  <c r="AT14" i="12"/>
  <c r="AU12" i="12"/>
  <c r="AT13" i="12"/>
  <c r="AG11" i="22"/>
  <c r="AG10" i="22"/>
  <c r="AG9" i="22"/>
  <c r="AI7" i="22"/>
  <c r="AI8" i="22" s="1"/>
  <c r="AS12" i="15" l="1"/>
  <c r="AR13" i="15"/>
  <c r="AQ15" i="15"/>
  <c r="AQ14" i="15"/>
  <c r="AQ18" i="15" s="1"/>
  <c r="AS17" i="25"/>
  <c r="AT16" i="25"/>
  <c r="AR18" i="25"/>
  <c r="AR19" i="25"/>
  <c r="AS19" i="12"/>
  <c r="AT18" i="12"/>
  <c r="AT15" i="12"/>
  <c r="AT17" i="12"/>
  <c r="AT16" i="12"/>
  <c r="AU14" i="12"/>
  <c r="AV12" i="12"/>
  <c r="AU13" i="12"/>
  <c r="AJ7" i="22"/>
  <c r="AJ8" i="22" s="1"/>
  <c r="AH10" i="22"/>
  <c r="AH11" i="22"/>
  <c r="AH9" i="22"/>
  <c r="AR15" i="15" l="1"/>
  <c r="AR14" i="15"/>
  <c r="AR18" i="15" s="1"/>
  <c r="AT12" i="15"/>
  <c r="AS13" i="15"/>
  <c r="AT17" i="25"/>
  <c r="AU16" i="25"/>
  <c r="AS18" i="25"/>
  <c r="AS19" i="25"/>
  <c r="AT19" i="12"/>
  <c r="AU17" i="12"/>
  <c r="AU15" i="12"/>
  <c r="AU18" i="12"/>
  <c r="AU16" i="12"/>
  <c r="AV14" i="12"/>
  <c r="AV13" i="12"/>
  <c r="AW12" i="12"/>
  <c r="AK7" i="22"/>
  <c r="AK8" i="22" s="1"/>
  <c r="AI9" i="22"/>
  <c r="AI11" i="22"/>
  <c r="AI10" i="22"/>
  <c r="AS15" i="15" l="1"/>
  <c r="AS14" i="15"/>
  <c r="AS18" i="15" s="1"/>
  <c r="AU12" i="15"/>
  <c r="AT13" i="15"/>
  <c r="AU17" i="25"/>
  <c r="AV16" i="25"/>
  <c r="AT18" i="25"/>
  <c r="AT19" i="25"/>
  <c r="AU19" i="12"/>
  <c r="AV15" i="12"/>
  <c r="AV17" i="12"/>
  <c r="AV18" i="12"/>
  <c r="AV16" i="12"/>
  <c r="AW14" i="12"/>
  <c r="AX12" i="12"/>
  <c r="AW13" i="12"/>
  <c r="AL7" i="22"/>
  <c r="AL8" i="22" s="1"/>
  <c r="AJ11" i="22"/>
  <c r="AJ10" i="22"/>
  <c r="AJ9" i="22"/>
  <c r="AT15" i="15" l="1"/>
  <c r="AT14" i="15"/>
  <c r="AT18" i="15" s="1"/>
  <c r="AV12" i="15"/>
  <c r="AU13" i="15"/>
  <c r="AV17" i="25"/>
  <c r="AW16" i="25"/>
  <c r="AW17" i="25" s="1"/>
  <c r="AU18" i="25"/>
  <c r="AU19" i="25"/>
  <c r="AW18" i="12"/>
  <c r="AW17" i="12"/>
  <c r="AW15" i="12"/>
  <c r="AW16" i="12"/>
  <c r="AV19" i="12"/>
  <c r="AX14" i="12"/>
  <c r="AY12" i="12"/>
  <c r="AX13" i="12"/>
  <c r="AK10" i="22"/>
  <c r="AK9" i="22"/>
  <c r="AK11" i="22"/>
  <c r="AM7" i="22"/>
  <c r="AM8" i="22" s="1"/>
  <c r="AU15" i="15" l="1"/>
  <c r="AU14" i="15"/>
  <c r="AU18" i="15" s="1"/>
  <c r="AW12" i="15"/>
  <c r="AV13" i="15"/>
  <c r="AW18" i="25"/>
  <c r="AW19" i="25"/>
  <c r="AV18" i="25"/>
  <c r="AV19" i="25"/>
  <c r="AW19" i="12"/>
  <c r="AX17" i="12"/>
  <c r="AX18" i="12"/>
  <c r="AX15" i="12"/>
  <c r="AX16" i="12"/>
  <c r="AY14" i="12"/>
  <c r="AZ12" i="12"/>
  <c r="AY13" i="12"/>
  <c r="AN7" i="22"/>
  <c r="AN8" i="22" s="1"/>
  <c r="AL11" i="22"/>
  <c r="AL9" i="22"/>
  <c r="AL10" i="22"/>
  <c r="AX12" i="15" l="1"/>
  <c r="AW13" i="15"/>
  <c r="AV14" i="15"/>
  <c r="AV15" i="15"/>
  <c r="AX19" i="12"/>
  <c r="AY15" i="12"/>
  <c r="AY17" i="12"/>
  <c r="AY18" i="12"/>
  <c r="AY16" i="12"/>
  <c r="AZ14" i="12"/>
  <c r="BA12" i="12"/>
  <c r="AZ13" i="12"/>
  <c r="AO7" i="22"/>
  <c r="AO8" i="22" s="1"/>
  <c r="AM9" i="22"/>
  <c r="AM10" i="22"/>
  <c r="AM11" i="22"/>
  <c r="AV18" i="15" l="1"/>
  <c r="AW14" i="15"/>
  <c r="AW15" i="15"/>
  <c r="AY12" i="15"/>
  <c r="AY13" i="15" s="1"/>
  <c r="AX13" i="15"/>
  <c r="AY19" i="12"/>
  <c r="AZ17" i="12"/>
  <c r="AZ15" i="12"/>
  <c r="AZ18" i="12"/>
  <c r="AZ16" i="12"/>
  <c r="BA14" i="12"/>
  <c r="BA13" i="12"/>
  <c r="BB12" i="12"/>
  <c r="AP7" i="22"/>
  <c r="AP8" i="22" s="1"/>
  <c r="AN11" i="22"/>
  <c r="AN10" i="22"/>
  <c r="AN9" i="22"/>
  <c r="AW18" i="15" l="1"/>
  <c r="AX15" i="15"/>
  <c r="AX14" i="15"/>
  <c r="AY15" i="15"/>
  <c r="AY14" i="15"/>
  <c r="AZ19" i="12"/>
  <c r="BA15" i="12"/>
  <c r="BA18" i="12"/>
  <c r="BA17" i="12"/>
  <c r="BA16" i="12"/>
  <c r="BB13" i="12"/>
  <c r="BB14" i="12"/>
  <c r="AQ7" i="22"/>
  <c r="AQ8" i="22" s="1"/>
  <c r="AO11" i="22"/>
  <c r="AO10" i="22"/>
  <c r="AO9" i="22"/>
  <c r="AX18" i="15" l="1"/>
  <c r="AY18" i="15"/>
  <c r="BB15" i="12"/>
  <c r="BB18" i="12"/>
  <c r="BB17" i="12"/>
  <c r="BB16" i="12"/>
  <c r="BA19" i="12"/>
  <c r="AR7" i="22"/>
  <c r="AR8" i="22" s="1"/>
  <c r="AP10" i="22"/>
  <c r="AP11" i="22"/>
  <c r="AP9" i="22"/>
  <c r="BB19" i="12" l="1"/>
  <c r="AS7" i="22"/>
  <c r="AS8" i="22" s="1"/>
  <c r="AQ9" i="22"/>
  <c r="AQ11" i="22"/>
  <c r="AQ10" i="22"/>
  <c r="AS11" i="22" l="1"/>
  <c r="AS10" i="22"/>
  <c r="AS9" i="22"/>
  <c r="AR11" i="22"/>
  <c r="AR10" i="22"/>
  <c r="AR9" i="22"/>
  <c r="W5" i="12"/>
  <c r="W6" i="12"/>
  <c r="W7" i="12" l="1"/>
  <c r="AA6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2" authorId="0" shapeId="0" xr:uid="{97F7A776-1182-419E-B3DA-6E3E2CD0FB09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<sst xmlns="http://schemas.openxmlformats.org/spreadsheetml/2006/main" count="797" uniqueCount="484">
  <si>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</si>
  <si>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</si>
  <si>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</si>
  <si>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</si>
  <si>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</si>
  <si>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</si>
  <si>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</si>
  <si>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</si>
  <si>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</si>
  <si>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</si>
  <si>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</si>
  <si>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</si>
  <si>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</si>
  <si>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</si>
  <si>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</si>
  <si>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</si>
  <si>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</si>
  <si>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</si>
  <si>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</si>
  <si>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</si>
  <si>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</si>
  <si>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</si>
  <si>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</si>
  <si>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</si>
  <si>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</si>
  <si>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</si>
  <si>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</si>
  <si>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</si>
  <si>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</si>
  <si>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</si>
  <si>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</si>
  <si>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</si>
  <si>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</si>
  <si>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</si>
  <si>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</si>
  <si>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</si>
  <si>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</si>
  <si>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</si>
  <si>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</si>
  <si>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</si>
  <si>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</si>
  <si>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</si>
  <si>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</si>
  <si>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</si>
  <si>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</si>
  <si>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</si>
  <si>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</si>
  <si>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</si>
  <si>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</si>
  <si>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</si>
  <si>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</si>
  <si>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</si>
  <si>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</si>
  <si>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</si>
  <si>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</si>
  <si>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</si>
  <si>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</si>
  <si>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</si>
  <si>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</si>
  <si>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</si>
  <si>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</si>
  <si>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</si>
  <si>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</si>
  <si>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</si>
  <si>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</si>
  <si>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</si>
  <si>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</si>
  <si>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</si>
  <si>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</si>
  <si>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</si>
  <si>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</si>
  <si>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</si>
  <si>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</si>
  <si>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</si>
  <si>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</si>
  <si>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</si>
  <si>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</si>
  <si>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</si>
  <si>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</si>
  <si>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</si>
  <si>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</si>
  <si>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</si>
  <si>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</si>
  <si>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</si>
  <si>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</si>
  <si>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</si>
  <si>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</si>
  <si>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</si>
  <si>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</si>
  <si>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</si>
  <si>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</si>
  <si>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</si>
  <si>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</si>
  <si>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</si>
  <si>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</si>
  <si>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</si>
  <si>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</si>
  <si>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</si>
  <si>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</si>
  <si>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</si>
  <si>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</si>
  <si>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</si>
  <si>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</si>
  <si>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</si>
  <si>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</si>
  <si>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</si>
  <si>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</si>
  <si>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</si>
  <si>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</si>
  <si>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</si>
  <si>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</si>
  <si>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</si>
  <si>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</si>
  <si>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</si>
  <si>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</si>
  <si>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</si>
  <si>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</si>
  <si>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</si>
  <si>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</si>
  <si>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</si>
  <si>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</si>
  <si>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</si>
  <si>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</si>
  <si>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</si>
  <si>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</si>
  <si>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</si>
  <si>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</si>
  <si>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</si>
  <si>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</si>
  <si>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</si>
  <si>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</si>
  <si>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</si>
  <si>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</si>
  <si>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</si>
  <si>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</si>
  <si>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</si>
  <si>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</si>
  <si>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</si>
  <si>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</si>
  <si>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</si>
  <si>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</si>
  <si>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</si>
  <si>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</si>
  <si>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</si>
  <si>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</si>
  <si>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</si>
  <si>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</si>
  <si>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</si>
  <si>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</si>
  <si>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</si>
  <si>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</si>
  <si>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</si>
  <si>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</si>
  <si>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</si>
  <si>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</si>
  <si>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</si>
  <si>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</si>
  <si>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</si>
  <si>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</si>
  <si>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</si>
  <si>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</si>
  <si>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</si>
  <si>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</si>
  <si>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</si>
  <si>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</si>
  <si>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</si>
  <si>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</si>
  <si>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</si>
  <si>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</si>
  <si>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</si>
  <si>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</si>
  <si>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</si>
  <si>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</si>
  <si>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</si>
  <si>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</si>
  <si>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</si>
  <si>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</si>
  <si>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</si>
  <si>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</si>
  <si>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</si>
  <si>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</si>
  <si>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</si>
  <si>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</si>
  <si>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</si>
  <si>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</si>
  <si>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</si>
  <si>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</si>
  <si>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</si>
  <si>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</si>
  <si>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</si>
  <si>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</si>
  <si>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</si>
  <si>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</si>
  <si>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</si>
  <si>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</si>
  <si>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</si>
  <si>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</si>
  <si>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</si>
  <si>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</si>
  <si>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</si>
  <si>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</si>
  <si>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</si>
  <si>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</si>
  <si>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</si>
  <si>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</si>
  <si>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</si>
  <si>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</si>
  <si>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</si>
  <si>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</si>
  <si>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</si>
  <si>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</si>
  <si>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</si>
  <si>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</si>
  <si>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</si>
  <si>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</si>
  <si>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</si>
  <si>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</si>
  <si>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</si>
  <si>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</si>
  <si>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</si>
  <si>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</si>
  <si>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</si>
  <si>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</si>
  <si>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</si>
  <si>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</si>
  <si>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</si>
  <si>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</si>
  <si>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</si>
  <si>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</si>
  <si>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</si>
  <si>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</si>
  <si>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</si>
  <si>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</si>
  <si>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</si>
  <si>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</si>
  <si>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</si>
  <si>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</si>
  <si>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</si>
  <si>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</si>
  <si>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</si>
  <si>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</si>
  <si>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</si>
  <si>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</si>
  <si>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</si>
  <si>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</si>
  <si>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</si>
  <si>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</si>
  <si>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</si>
  <si>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</si>
  <si>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</si>
  <si>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</si>
  <si>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</si>
  <si>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</si>
  <si>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</si>
  <si>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</si>
  <si>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</si>
  <si>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</si>
  <si>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</si>
  <si>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</si>
  <si>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</si>
  <si>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</si>
  <si>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</si>
  <si>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</si>
  <si>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</si>
  <si>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</si>
  <si>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</si>
  <si>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</si>
  <si>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</si>
  <si>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</si>
  <si>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</si>
  <si>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</si>
  <si>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</si>
  <si>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</si>
  <si>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</si>
  <si>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</si>
  <si>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</si>
  <si>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</si>
  <si>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</si>
  <si>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</si>
  <si>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</si>
  <si>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</si>
  <si>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</si>
  <si>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</si>
  <si>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</si>
  <si>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</si>
  <si>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</si>
  <si>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</si>
  <si>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</si>
  <si>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</si>
  <si>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</si>
  <si>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</si>
  <si>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</si>
  <si>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</si>
  <si>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</si>
  <si>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</si>
  <si>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</si>
  <si>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</si>
  <si>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</si>
  <si>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</si>
  <si>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</si>
  <si>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</si>
  <si>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</si>
  <si>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</si>
  <si>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</si>
  <si>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</si>
  <si>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</si>
  <si>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</si>
  <si>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</si>
  <si>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</si>
  <si>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</si>
  <si>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</si>
  <si>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</si>
  <si>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</si>
  <si>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</si>
  <si>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</si>
  <si>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</si>
  <si>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</si>
  <si>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</si>
  <si>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</si>
  <si>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</si>
  <si>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</si>
  <si>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</si>
  <si>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</si>
  <si>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</si>
  <si>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</si>
  <si>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</si>
  <si>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</si>
  <si>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</si>
  <si>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</si>
  <si>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</si>
  <si>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</si>
  <si>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</si>
  <si>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</si>
  <si>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</si>
  <si>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</si>
  <si>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</si>
  <si>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</si>
  <si>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</si>
  <si>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</si>
  <si>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</si>
  <si>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</si>
  <si>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</si>
  <si>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</si>
  <si>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</si>
  <si>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</si>
  <si>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</si>
  <si>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</si>
  <si>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</si>
  <si>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</si>
  <si>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</si>
  <si>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</si>
  <si>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</si>
  <si>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</si>
  <si>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</si>
  <si>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</si>
  <si>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</si>
  <si>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</si>
  <si>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</si>
  <si>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</si>
  <si>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</si>
  <si>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</si>
  <si>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</si>
  <si>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</si>
  <si>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</si>
  <si>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</si>
  <si>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</si>
  <si>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</si>
  <si>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</si>
  <si>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</si>
  <si>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</si>
  <si>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</si>
  <si>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</si>
  <si>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</si>
  <si>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</si>
  <si>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</si>
  <si>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</si>
  <si>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</si>
  <si>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</si>
  <si>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</si>
  <si>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</si>
  <si>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</si>
  <si>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</si>
  <si>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</si>
  <si>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</si>
  <si>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</si>
  <si>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</si>
  <si>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</si>
  <si>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</si>
  <si>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</si>
  <si>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</si>
  <si>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</si>
  <si>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</si>
  <si>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</si>
  <si>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</si>
  <si>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</si>
  <si>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</si>
  <si>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</si>
  <si>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</si>
  <si>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</si>
  <si>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</si>
  <si>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</si>
  <si>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</si>
  <si>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</si>
  <si>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</si>
  <si>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</si>
  <si>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</si>
  <si>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</si>
  <si>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</si>
  <si>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</si>
  <si>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</si>
  <si>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</si>
  <si>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</si>
  <si>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</si>
  <si>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</si>
  <si>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</si>
  <si>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</si>
  <si>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</si>
  <si>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</si>
  <si>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</si>
  <si>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</si>
  <si>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</si>
  <si>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</si>
  <si>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</si>
  <si>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</si>
  <si>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</si>
  <si>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</si>
  <si>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</si>
  <si>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</si>
  <si>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</si>
  <si>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</si>
  <si>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</si>
  <si>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</si>
  <si>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</si>
  <si>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</si>
  <si>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</si>
  <si>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</si>
  <si>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</si>
  <si>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</si>
  <si>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</si>
  <si>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</si>
  <si>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</si>
  <si>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</si>
  <si>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</si>
  <si>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</si>
  <si>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</si>
  <si>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</si>
  <si>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</si>
  <si>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</si>
  <si>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</si>
  <si>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</si>
  <si>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</si>
  <si>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</si>
  <si>
    <t>T
Periodendauer [s]</t>
  </si>
  <si>
    <t xml:space="preserve">x = phi [°] = </t>
  </si>
  <si>
    <t xml:space="preserve">x = phi [rad] = </t>
  </si>
  <si>
    <t>ω
(2 * π * f )</t>
  </si>
  <si>
    <t>Grundfrequenz:</t>
  </si>
  <si>
    <t>Verhältnis zur
Grundfrequenz
Oberwelle</t>
  </si>
  <si>
    <t xml:space="preserve">t = </t>
  </si>
  <si>
    <t>y(t) = a * sin(2πf​* t + φ) =  a * sin(ω​* t + φ)</t>
  </si>
  <si>
    <t>L1</t>
  </si>
  <si>
    <t>L2</t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</si>
  <si>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</si>
  <si>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3-Phasenstrom (Verkettete Spannung)</t>
  </si>
  <si>
    <t>Verkettete Spannung (3-Phasenstrom)</t>
  </si>
  <si>
    <r>
      <t>L</t>
    </r>
    <r>
      <rPr>
        <vertAlign val="subscript"/>
        <sz val="9"/>
        <color theme="1"/>
        <rFont val="Calibri"/>
        <family val="2"/>
        <scheme val="minor"/>
      </rPr>
      <t>1</t>
    </r>
  </si>
  <si>
    <r>
      <t>L</t>
    </r>
    <r>
      <rPr>
        <vertAlign val="subscript"/>
        <sz val="9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</si>
  <si>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</si>
  <si>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Eingangsspannung:</t>
  </si>
  <si>
    <t>Strom:</t>
  </si>
  <si>
    <t>Momentanleistung:</t>
  </si>
  <si>
    <t>U(t)=Û⋅sin(ωt)</t>
  </si>
  <si>
    <t>I(t)=Î⋅sin(ωt+φ)</t>
  </si>
  <si>
    <t>P(t)=U(t)⋅I(t) = Û⋅sin(ωt) * Î⋅sin(ωt+φ)</t>
  </si>
  <si>
    <t>sin(a) * sin(b) = 1/2​[cos(a−b) − cos(a+b)]</t>
  </si>
  <si>
    <t>Additionstheoremen:</t>
  </si>
  <si>
    <t>Eingesetzt:</t>
  </si>
  <si>
    <t>cos(-φ) = cos(φ)</t>
  </si>
  <si>
    <r>
      <t>U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Û/Wurzel(2)</t>
    </r>
  </si>
  <si>
    <r>
      <t>I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Î/Wurzel(2)</t>
    </r>
  </si>
  <si>
    <r>
      <t xml:space="preserve">Die </t>
    </r>
    <r>
      <rPr>
        <b/>
        <sz val="11"/>
        <color theme="1"/>
        <rFont val="Calibri"/>
        <family val="2"/>
        <scheme val="minor"/>
      </rPr>
      <t>mittlere Leistung über eine Periode T</t>
    </r>
    <r>
      <rPr>
        <sz val="11"/>
        <color theme="1"/>
        <rFont val="Calibri"/>
        <family val="2"/>
        <scheme val="minor"/>
      </rPr>
      <t xml:space="preserve"> ergibt sich durch Mittelung von p(t):</t>
    </r>
  </si>
  <si>
    <r>
      <t>P(t) =U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I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[cos(φ) - cos(2ωt+φ)]</t>
    </r>
  </si>
  <si>
    <r>
      <t xml:space="preserve">Die zweite Komponente </t>
    </r>
    <r>
      <rPr>
        <b/>
        <sz val="11"/>
        <color theme="1"/>
        <rFont val="Calibri"/>
        <family val="2"/>
        <scheme val="minor"/>
      </rPr>
      <t xml:space="preserve">cos(2ωt+φ) </t>
    </r>
    <r>
      <rPr>
        <sz val="11"/>
        <color theme="1"/>
        <rFont val="Calibri"/>
        <family val="2"/>
        <scheme val="minor"/>
      </rPr>
      <t xml:space="preserve">hat über eine volle Periode den Mittelwert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</si>
  <si>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P(t) = 1/2 *  Û* Î * [cos(ωt-ωt-φ) - cos(ωt+ωt+φ)] = 1/2 *  Û* Î * [cos(-φ) - cos(2ωt+φ)] = </t>
    </r>
    <r>
      <rPr>
        <sz val="14"/>
        <color theme="1"/>
        <rFont val="Calibri"/>
        <family val="2"/>
        <scheme val="minor"/>
      </rPr>
      <t>1/2 *  Û* Î * [cos(φ) - cos(2ωt+φ)]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</si>
</sst>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  <numFmt numFmtId="169" formatCode="0.0000"/>
    <numFmt numFmtId="170" formatCode="0.00000"/>
  </numFmts>
  <fonts count="7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  <font>
      <sz val="11"/>
      <color theme="0" tint="-0.149967955565050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0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40" fillId="0" borderId="0" xfId="0" applyFont="1"/>
    <xf numFmtId="0" fontId="40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right"/>
    </xf>
    <xf numFmtId="0" fontId="47" fillId="0" borderId="16" xfId="0" applyFont="1" applyBorder="1" applyAlignment="1">
      <alignment horizontal="right"/>
    </xf>
    <xf numFmtId="0" fontId="40" fillId="0" borderId="2" xfId="0" quotePrefix="1" applyFont="1" applyBorder="1" applyAlignment="1">
      <alignment horizontal="center"/>
    </xf>
    <xf numFmtId="0" fontId="55" fillId="0" borderId="2" xfId="0" applyFont="1" applyBorder="1" applyAlignment="1">
      <alignment horizontal="right"/>
    </xf>
    <xf numFmtId="0" fontId="57" fillId="0" borderId="2" xfId="0" applyFont="1" applyBorder="1" applyAlignment="1">
      <alignment horizontal="right"/>
    </xf>
    <xf numFmtId="0" fontId="55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0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5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7" fillId="3" borderId="2" xfId="0" applyFont="1" applyFill="1" applyBorder="1" applyAlignment="1">
      <alignment horizontal="right"/>
    </xf>
    <xf numFmtId="0" fontId="47" fillId="3" borderId="2" xfId="0" applyFont="1" applyFill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4" fillId="0" borderId="2" xfId="0" applyFont="1" applyBorder="1" applyAlignment="1">
      <alignment horizontal="right"/>
    </xf>
    <xf numFmtId="0" fontId="44" fillId="3" borderId="2" xfId="0" applyFont="1" applyFill="1" applyBorder="1" applyAlignment="1">
      <alignment horizontal="right"/>
    </xf>
    <xf numFmtId="0" fontId="44" fillId="3" borderId="2" xfId="0" applyFont="1" applyFill="1" applyBorder="1"/>
    <xf numFmtId="0" fontId="49" fillId="0" borderId="2" xfId="0" applyFont="1" applyBorder="1" applyAlignment="1">
      <alignment horizontal="right"/>
    </xf>
    <xf numFmtId="0" fontId="44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62" fillId="0" borderId="0" xfId="0" applyFont="1" applyAlignment="1">
      <alignment horizontal="right"/>
    </xf>
    <xf numFmtId="0" fontId="62" fillId="0" borderId="0" xfId="0" applyFont="1" applyAlignment="1">
      <alignment horizontal="center"/>
    </xf>
    <xf numFmtId="0" fontId="49" fillId="3" borderId="2" xfId="0" applyFont="1" applyFill="1" applyBorder="1" applyAlignment="1">
      <alignment horizontal="right"/>
    </xf>
    <xf numFmtId="0" fontId="49" fillId="3" borderId="2" xfId="0" applyFont="1" applyFill="1" applyBorder="1"/>
    <xf numFmtId="0" fontId="47" fillId="0" borderId="0" xfId="0" applyFont="1" applyAlignment="1">
      <alignment horizontal="left"/>
    </xf>
    <xf numFmtId="0" fontId="1" fillId="0" borderId="0" xfId="0" applyFont="1"/>
    <xf numFmtId="0" fontId="62" fillId="0" borderId="0" xfId="0" applyFont="1"/>
    <xf numFmtId="0" fontId="63" fillId="3" borderId="2" xfId="0" applyFont="1" applyFill="1" applyBorder="1" applyAlignment="1">
      <alignment horizontal="right"/>
    </xf>
    <xf numFmtId="0" fontId="65" fillId="3" borderId="2" xfId="0" quotePrefix="1" applyFont="1" applyFill="1" applyBorder="1" applyAlignment="1">
      <alignment horizontal="center"/>
    </xf>
    <xf numFmtId="0" fontId="65" fillId="3" borderId="2" xfId="0" applyFont="1" applyFill="1" applyBorder="1"/>
    <xf numFmtId="0" fontId="62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0" fillId="0" borderId="2" xfId="0" applyFont="1" applyBorder="1" applyAlignment="1">
      <alignment horizontal="left"/>
    </xf>
    <xf numFmtId="0" fontId="65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7" fillId="0" borderId="2" xfId="0" applyFont="1" applyBorder="1" applyAlignment="1">
      <alignment horizontal="left"/>
    </xf>
    <xf numFmtId="0" fontId="47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left"/>
    </xf>
    <xf numFmtId="0" fontId="44" fillId="0" borderId="0" xfId="0" applyFont="1" applyAlignment="1">
      <alignment horizontal="right"/>
    </xf>
    <xf numFmtId="0" fontId="44" fillId="0" borderId="0" xfId="0" applyFont="1"/>
    <xf numFmtId="0" fontId="62" fillId="3" borderId="2" xfId="0" applyFont="1" applyFill="1" applyBorder="1"/>
    <xf numFmtId="0" fontId="54" fillId="0" borderId="2" xfId="0" applyFont="1" applyBorder="1"/>
    <xf numFmtId="0" fontId="49" fillId="0" borderId="2" xfId="0" applyFont="1" applyBorder="1"/>
    <xf numFmtId="0" fontId="4" fillId="0" borderId="2" xfId="0" applyFont="1" applyBorder="1"/>
    <xf numFmtId="0" fontId="44" fillId="0" borderId="2" xfId="0" applyFont="1" applyBorder="1"/>
    <xf numFmtId="0" fontId="51" fillId="0" borderId="2" xfId="0" applyFont="1" applyBorder="1"/>
    <xf numFmtId="0" fontId="62" fillId="3" borderId="2" xfId="0" applyFont="1" applyFill="1" applyBorder="1" applyAlignment="1">
      <alignment horizontal="center" vertical="center"/>
    </xf>
    <xf numFmtId="0" fontId="40" fillId="0" borderId="2" xfId="0" quotePrefix="1" applyFont="1" applyBorder="1" applyAlignment="1">
      <alignment horizontal="center" vertical="center"/>
    </xf>
    <xf numFmtId="0" fontId="40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0" fillId="0" borderId="0" xfId="0" quotePrefix="1" applyFont="1" applyAlignment="1">
      <alignment horizontal="center" vertical="center"/>
    </xf>
    <xf numFmtId="0" fontId="59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6" fillId="17" borderId="2" xfId="0" applyFont="1" applyFill="1" applyBorder="1"/>
    <xf numFmtId="0" fontId="66" fillId="13" borderId="2" xfId="0" applyFont="1" applyFill="1" applyBorder="1" applyAlignment="1">
      <alignment horizontal="right"/>
    </xf>
    <xf numFmtId="0" fontId="66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0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2" borderId="37" xfId="0" applyNumberFormat="1" applyFill="1" applyBorder="1" applyAlignment="1">
      <alignment horizontal="center"/>
    </xf>
    <xf numFmtId="0" fontId="0" fillId="0" borderId="1" xfId="0" applyBorder="1"/>
    <xf numFmtId="2" fontId="0" fillId="0" borderId="41" xfId="0" applyNumberFormat="1" applyBorder="1"/>
    <xf numFmtId="0" fontId="0" fillId="0" borderId="41" xfId="0" applyBorder="1"/>
    <xf numFmtId="0" fontId="0" fillId="0" borderId="43" xfId="0" applyBorder="1"/>
    <xf numFmtId="170" fontId="38" fillId="10" borderId="15" xfId="0" applyNumberFormat="1" applyFont="1" applyFill="1" applyBorder="1" applyAlignment="1">
      <alignment vertical="center"/>
    </xf>
    <xf numFmtId="170" fontId="38" fillId="10" borderId="15" xfId="0" applyNumberFormat="1" applyFont="1" applyFill="1" applyBorder="1" applyAlignment="1">
      <alignment horizontal="center" vertical="center"/>
    </xf>
    <xf numFmtId="169" fontId="0" fillId="16" borderId="2" xfId="0" applyNumberFormat="1" applyFill="1" applyBorder="1" applyAlignment="1">
      <alignment horizontal="center"/>
    </xf>
    <xf numFmtId="169" fontId="0" fillId="16" borderId="37" xfId="0" applyNumberFormat="1" applyFill="1" applyBorder="1" applyAlignment="1">
      <alignment horizontal="center"/>
    </xf>
    <xf numFmtId="169" fontId="0" fillId="16" borderId="42" xfId="0" applyNumberFormat="1" applyFill="1" applyBorder="1" applyAlignment="1">
      <alignment horizontal="center"/>
    </xf>
    <xf numFmtId="2" fontId="0" fillId="16" borderId="2" xfId="0" applyNumberFormat="1" applyFill="1" applyBorder="1" applyAlignment="1">
      <alignment horizontal="center"/>
    </xf>
    <xf numFmtId="2" fontId="0" fillId="16" borderId="37" xfId="0" applyNumberFormat="1" applyFill="1" applyBorder="1" applyAlignment="1">
      <alignment horizontal="center"/>
    </xf>
    <xf numFmtId="169" fontId="0" fillId="9" borderId="15" xfId="0" applyNumberFormat="1" applyFill="1" applyBorder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7" borderId="15" xfId="0" applyNumberFormat="1" applyFill="1" applyBorder="1" applyAlignment="1">
      <alignment horizontal="center" vertical="center"/>
    </xf>
    <xf numFmtId="169" fontId="0" fillId="6" borderId="15" xfId="0" applyNumberForma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9" fontId="0" fillId="0" borderId="2" xfId="0" applyNumberFormat="1" applyBorder="1"/>
    <xf numFmtId="0" fontId="36" fillId="0" borderId="0" xfId="0" applyFont="1"/>
    <xf numFmtId="0" fontId="55" fillId="0" borderId="0" xfId="0" applyFont="1"/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Fourierreihe!$M$15</c:f>
              <c:strCache>
                <c:ptCount val="1"/>
                <c:pt idx="0">
                  <c:v>y0 =  sin(2*pi * 50Hz * t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Fourierreihe!$P$15:$BB$15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0.93969262078590843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0.93969262078590832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0.64278760968653914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-0.34202014332566905</c:v>
                </c:pt>
                <c:pt idx="21">
                  <c:v>-0.50000000000000011</c:v>
                </c:pt>
                <c:pt idx="22">
                  <c:v>-0.64278760968653958</c:v>
                </c:pt>
                <c:pt idx="23">
                  <c:v>-0.76604444311897846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-0.49999999999999967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0.17364817766693078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Fourierreihe!$M$16</c:f>
              <c:strCache>
                <c:ptCount val="1"/>
                <c:pt idx="0">
                  <c:v>y1 = 0.33 * sin(2*pi * 150Hz * t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Fourierreihe!$P$16:$BB$16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1.8886801844697487E-16</c:v>
                </c:pt>
                <c:pt idx="7">
                  <c:v>-0.16666666666666669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-3.7773603689394974E-16</c:v>
                </c:pt>
                <c:pt idx="13">
                  <c:v>0.16666666666666666</c:v>
                </c:pt>
                <c:pt idx="14">
                  <c:v>0.28867513459481292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-0.16666666666666638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-7.5547207378789949E-16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0.28867513459481275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-0.16666666666666669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Fourierreihe!$M$17</c:f>
              <c:strCache>
                <c:ptCount val="1"/>
                <c:pt idx="0">
                  <c:v>y2 = 0.2 * sin(2*pi * 250Hz * t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Fourierreihe!$P$17:$BB$17</c:f>
              <c:numCache>
                <c:formatCode>0.00</c:formatCode>
                <c:ptCount val="39"/>
                <c:pt idx="0">
                  <c:v>0</c:v>
                </c:pt>
                <c:pt idx="1">
                  <c:v>0.15320888862379559</c:v>
                </c:pt>
                <c:pt idx="2">
                  <c:v>0.19696155060244164</c:v>
                </c:pt>
                <c:pt idx="3">
                  <c:v>0.10000000000000007</c:v>
                </c:pt>
                <c:pt idx="4">
                  <c:v>-6.8404028665133648E-2</c:v>
                </c:pt>
                <c:pt idx="5">
                  <c:v>-0.18793852415718165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0.12855752193730771</c:v>
                </c:pt>
                <c:pt idx="9">
                  <c:v>0.2</c:v>
                </c:pt>
                <c:pt idx="10">
                  <c:v>0.12855752193730807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-0.18793852415718174</c:v>
                </c:pt>
                <c:pt idx="14">
                  <c:v>-6.8404028665133773E-2</c:v>
                </c:pt>
                <c:pt idx="15">
                  <c:v>9.9999999999999811E-2</c:v>
                </c:pt>
                <c:pt idx="16">
                  <c:v>0.19696155060244155</c:v>
                </c:pt>
                <c:pt idx="17">
                  <c:v>0.15320888862379578</c:v>
                </c:pt>
                <c:pt idx="18">
                  <c:v>1.22514845490862E-16</c:v>
                </c:pt>
                <c:pt idx="19">
                  <c:v>-0.15320888862379542</c:v>
                </c:pt>
                <c:pt idx="20">
                  <c:v>-0.19696155060244172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-0.1285575219373076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0.17320508075688754</c:v>
                </c:pt>
                <c:pt idx="31">
                  <c:v>0.18793852415718193</c:v>
                </c:pt>
                <c:pt idx="32">
                  <c:v>6.840402866513455E-2</c:v>
                </c:pt>
                <c:pt idx="33">
                  <c:v>-9.99999999999997E-2</c:v>
                </c:pt>
                <c:pt idx="34">
                  <c:v>-0.19696155060244153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0.15320888862379489</c:v>
                </c:pt>
                <c:pt idx="38">
                  <c:v>0.19696155060244172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Fourierreihe!$M$18</c:f>
              <c:strCache>
                <c:ptCount val="1"/>
                <c:pt idx="0">
                  <c:v>y3 = 0.14 * sin(2*pi * 350Hz * t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Fourierreihe!$P$18:$BB$18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-7.1428571428571341E-2</c:v>
                </c:pt>
                <c:pt idx="4">
                  <c:v>-0.14068682185888687</c:v>
                </c:pt>
                <c:pt idx="5">
                  <c:v>-2.4806882523847322E-2</c:v>
                </c:pt>
                <c:pt idx="6">
                  <c:v>0.12371791482634827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-4.8860020475095779E-2</c:v>
                </c:pt>
                <c:pt idx="11">
                  <c:v>0.10943492044556814</c:v>
                </c:pt>
                <c:pt idx="12">
                  <c:v>0.12371791482634859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-7.1428571428571883E-2</c:v>
                </c:pt>
                <c:pt idx="16">
                  <c:v>9.1826801383791151E-2</c:v>
                </c:pt>
                <c:pt idx="17">
                  <c:v>0.13424180296941562</c:v>
                </c:pt>
                <c:pt idx="18">
                  <c:v>1.22514845490862E-16</c:v>
                </c:pt>
                <c:pt idx="19">
                  <c:v>-0.13424180296941537</c:v>
                </c:pt>
                <c:pt idx="20">
                  <c:v>-9.1826801383791734E-2</c:v>
                </c:pt>
                <c:pt idx="21">
                  <c:v>7.142857142857123E-2</c:v>
                </c:pt>
                <c:pt idx="22">
                  <c:v>0.14068682185888692</c:v>
                </c:pt>
                <c:pt idx="23">
                  <c:v>2.4806882523847319E-2</c:v>
                </c:pt>
                <c:pt idx="24">
                  <c:v>-0.12371791482634795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-0.1237179148263489</c:v>
                </c:pt>
                <c:pt idx="31">
                  <c:v>2.4806882523846455E-2</c:v>
                </c:pt>
                <c:pt idx="32">
                  <c:v>0.14068682185888678</c:v>
                </c:pt>
                <c:pt idx="33">
                  <c:v>7.1428571428572424E-2</c:v>
                </c:pt>
                <c:pt idx="34">
                  <c:v>-9.1826801383790679E-2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Fourierreihe!$M$19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Fourierreihe!$P$19:$BB$19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0.81653823785389934</c:v>
                </c:pt>
                <c:pt idx="7">
                  <c:v>0.847731239031424</c:v>
                </c:pt>
                <c:pt idx="8">
                  <c:v>0.77583011987960759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</c:v>
                </c:pt>
                <c:pt idx="12">
                  <c:v>0.81653823785389945</c:v>
                </c:pt>
                <c:pt idx="13">
                  <c:v>0.71996570310461583</c:v>
                </c:pt>
                <c:pt idx="14">
                  <c:v>0.72237189375733157</c:v>
                </c:pt>
                <c:pt idx="15">
                  <c:v>0.86190476190476129</c:v>
                </c:pt>
                <c:pt idx="16">
                  <c:v>0.91948362990671473</c:v>
                </c:pt>
                <c:pt idx="17">
                  <c:v>0.62776553592680817</c:v>
                </c:pt>
                <c:pt idx="18">
                  <c:v>4.90059381963448E-16</c:v>
                </c:pt>
                <c:pt idx="19">
                  <c:v>-0.62776553592680762</c:v>
                </c:pt>
                <c:pt idx="20">
                  <c:v>-0.91948362990671539</c:v>
                </c:pt>
                <c:pt idx="21">
                  <c:v>-0.8619047619047624</c:v>
                </c:pt>
                <c:pt idx="22">
                  <c:v>-0.72237189375733191</c:v>
                </c:pt>
                <c:pt idx="23">
                  <c:v>-0.71996570310461616</c:v>
                </c:pt>
                <c:pt idx="24">
                  <c:v>-0.81653823785389912</c:v>
                </c:pt>
                <c:pt idx="25">
                  <c:v>-0.84773123903142378</c:v>
                </c:pt>
                <c:pt idx="26">
                  <c:v>-0.77583011987960748</c:v>
                </c:pt>
                <c:pt idx="27">
                  <c:v>-0.7238095238095239</c:v>
                </c:pt>
                <c:pt idx="28">
                  <c:v>-0.77583011987960693</c:v>
                </c:pt>
                <c:pt idx="29">
                  <c:v>-0.847731239031424</c:v>
                </c:pt>
                <c:pt idx="30">
                  <c:v>-0.81653823785389967</c:v>
                </c:pt>
                <c:pt idx="31">
                  <c:v>-0.71996570310461605</c:v>
                </c:pt>
                <c:pt idx="32">
                  <c:v>-0.7223718937573308</c:v>
                </c:pt>
                <c:pt idx="33">
                  <c:v>-0.86190476190476029</c:v>
                </c:pt>
                <c:pt idx="34">
                  <c:v>-0.91948362990671351</c:v>
                </c:pt>
                <c:pt idx="35">
                  <c:v>-0.62776553592680884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Fourierreihe!$V$4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Fourierreihe!$Z$5:$AA$5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Fourierreihe!$Z$6:$AA$6</c:f>
              <c:numCache>
                <c:formatCode>General</c:formatCode>
                <c:ptCount val="2"/>
                <c:pt idx="0">
                  <c:v>0</c:v>
                </c:pt>
                <c:pt idx="1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+ 1.05)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17.320508075688771</c:v>
                </c:pt>
                <c:pt idx="1">
                  <c:v>20</c:v>
                </c:pt>
                <c:pt idx="2">
                  <c:v>17.320508075688807</c:v>
                </c:pt>
                <c:pt idx="3">
                  <c:v>10.000000000000018</c:v>
                </c:pt>
                <c:pt idx="4">
                  <c:v>1.127093210429031E-13</c:v>
                </c:pt>
                <c:pt idx="5">
                  <c:v>-10.000000000000069</c:v>
                </c:pt>
                <c:pt idx="6">
                  <c:v>-17.320508075688835</c:v>
                </c:pt>
                <c:pt idx="7">
                  <c:v>-20</c:v>
                </c:pt>
                <c:pt idx="8">
                  <c:v>-17.320508075688803</c:v>
                </c:pt>
                <c:pt idx="9">
                  <c:v>-10.000000000000009</c:v>
                </c:pt>
                <c:pt idx="10">
                  <c:v>3.9196076939695956E-14</c:v>
                </c:pt>
                <c:pt idx="11">
                  <c:v>10.000000000000075</c:v>
                </c:pt>
                <c:pt idx="12">
                  <c:v>17.320508075688842</c:v>
                </c:pt>
                <c:pt idx="13">
                  <c:v>20</c:v>
                </c:pt>
                <c:pt idx="14">
                  <c:v>17.320508075688654</c:v>
                </c:pt>
                <c:pt idx="15">
                  <c:v>10.000000000000247</c:v>
                </c:pt>
                <c:pt idx="16">
                  <c:v>2.352241665337651E-13</c:v>
                </c:pt>
                <c:pt idx="17">
                  <c:v>-10.00000000000033</c:v>
                </c:pt>
                <c:pt idx="18">
                  <c:v>-17.320508075688707</c:v>
                </c:pt>
                <c:pt idx="19">
                  <c:v>-20</c:v>
                </c:pt>
                <c:pt idx="20">
                  <c:v>-17.320508075689077</c:v>
                </c:pt>
                <c:pt idx="21">
                  <c:v>-10.000000000000977</c:v>
                </c:pt>
                <c:pt idx="22">
                  <c:v>-5.0964441000722616E-13</c:v>
                </c:pt>
                <c:pt idx="23">
                  <c:v>10.000000000000092</c:v>
                </c:pt>
                <c:pt idx="24">
                  <c:v>17.320508075688569</c:v>
                </c:pt>
                <c:pt idx="25">
                  <c:v>20</c:v>
                </c:pt>
                <c:pt idx="26">
                  <c:v>17.320508075689499</c:v>
                </c:pt>
                <c:pt idx="27">
                  <c:v>10.000000000001705</c:v>
                </c:pt>
                <c:pt idx="28">
                  <c:v>2.1563046487260706E-13</c:v>
                </c:pt>
                <c:pt idx="29">
                  <c:v>-9.9999999999993641</c:v>
                </c:pt>
                <c:pt idx="30">
                  <c:v>-17.320508075688146</c:v>
                </c:pt>
                <c:pt idx="31">
                  <c:v>-20</c:v>
                </c:pt>
                <c:pt idx="32">
                  <c:v>-17.32050807568935</c:v>
                </c:pt>
                <c:pt idx="33">
                  <c:v>-9.9999999999994831</c:v>
                </c:pt>
                <c:pt idx="34">
                  <c:v>7.8383480262012029E-14</c:v>
                </c:pt>
                <c:pt idx="35">
                  <c:v>9.9999999999996181</c:v>
                </c:pt>
                <c:pt idx="36">
                  <c:v>17.320508075688291</c:v>
                </c:pt>
                <c:pt idx="37">
                  <c:v>20</c:v>
                </c:pt>
                <c:pt idx="38">
                  <c:v>17.320508075688636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10 *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4.9999999999999902</c:v>
                </c:pt>
                <c:pt idx="2">
                  <c:v>8.6602540378443766</c:v>
                </c:pt>
                <c:pt idx="3">
                  <c:v>10</c:v>
                </c:pt>
                <c:pt idx="4">
                  <c:v>8.6602540378444086</c:v>
                </c:pt>
                <c:pt idx="5">
                  <c:v>5.0000000000000169</c:v>
                </c:pt>
                <c:pt idx="6">
                  <c:v>-4.898425415289509E-15</c:v>
                </c:pt>
                <c:pt idx="7">
                  <c:v>-5.0000000000000258</c:v>
                </c:pt>
                <c:pt idx="8">
                  <c:v>-8.6602540378443429</c:v>
                </c:pt>
                <c:pt idx="9">
                  <c:v>-10</c:v>
                </c:pt>
                <c:pt idx="10">
                  <c:v>-8.6602540378444068</c:v>
                </c:pt>
                <c:pt idx="11">
                  <c:v>-5.0000000000000124</c:v>
                </c:pt>
                <c:pt idx="12">
                  <c:v>9.7968508305790181E-15</c:v>
                </c:pt>
                <c:pt idx="13">
                  <c:v>4.9999999999997833</c:v>
                </c:pt>
                <c:pt idx="14">
                  <c:v>8.6602540378444157</c:v>
                </c:pt>
                <c:pt idx="15">
                  <c:v>10</c:v>
                </c:pt>
                <c:pt idx="16">
                  <c:v>8.6602540378444743</c:v>
                </c:pt>
                <c:pt idx="17">
                  <c:v>4.9999999999998854</c:v>
                </c:pt>
                <c:pt idx="18">
                  <c:v>1.2741327090615151E-13</c:v>
                </c:pt>
                <c:pt idx="19">
                  <c:v>-5.0000000000001563</c:v>
                </c:pt>
                <c:pt idx="20">
                  <c:v>-8.6602540378443464</c:v>
                </c:pt>
                <c:pt idx="21">
                  <c:v>-10</c:v>
                </c:pt>
                <c:pt idx="22">
                  <c:v>-8.6602540378444015</c:v>
                </c:pt>
                <c:pt idx="23">
                  <c:v>-4.9999999999997584</c:v>
                </c:pt>
                <c:pt idx="24">
                  <c:v>1.9593701661158036E-14</c:v>
                </c:pt>
                <c:pt idx="25">
                  <c:v>4.9999999999997922</c:v>
                </c:pt>
                <c:pt idx="26">
                  <c:v>8.6602540378441368</c:v>
                </c:pt>
                <c:pt idx="27">
                  <c:v>10</c:v>
                </c:pt>
                <c:pt idx="28">
                  <c:v>8.6602540378443269</c:v>
                </c:pt>
                <c:pt idx="29">
                  <c:v>5.0000000000001235</c:v>
                </c:pt>
                <c:pt idx="30">
                  <c:v>4.0183351437961257E-13</c:v>
                </c:pt>
                <c:pt idx="31">
                  <c:v>-4.9999999999999192</c:v>
                </c:pt>
                <c:pt idx="32">
                  <c:v>-8.6602540378442114</c:v>
                </c:pt>
                <c:pt idx="33">
                  <c:v>-10</c:v>
                </c:pt>
                <c:pt idx="34">
                  <c:v>-8.6602540378442541</c:v>
                </c:pt>
                <c:pt idx="35">
                  <c:v>-4.9999999999999956</c:v>
                </c:pt>
                <c:pt idx="36">
                  <c:v>-2.5482654181230302E-13</c:v>
                </c:pt>
                <c:pt idx="37">
                  <c:v>5.0000000000005382</c:v>
                </c:pt>
                <c:pt idx="38">
                  <c:v>8.6602540378445685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99.999999999999801</c:v>
                </c:pt>
                <c:pt idx="2">
                  <c:v>150.00000000000011</c:v>
                </c:pt>
                <c:pt idx="3">
                  <c:v>100.00000000000017</c:v>
                </c:pt>
                <c:pt idx="4">
                  <c:v>9.7609135266450335E-13</c:v>
                </c:pt>
                <c:pt idx="5">
                  <c:v>-50.000000000000512</c:v>
                </c:pt>
                <c:pt idx="6">
                  <c:v>8.4843216963681377E-14</c:v>
                </c:pt>
                <c:pt idx="7">
                  <c:v>100.00000000000051</c:v>
                </c:pt>
                <c:pt idx="8">
                  <c:v>149.99999999999952</c:v>
                </c:pt>
                <c:pt idx="9">
                  <c:v>100.00000000000009</c:v>
                </c:pt>
                <c:pt idx="10">
                  <c:v>-3.3944798358466192E-13</c:v>
                </c:pt>
                <c:pt idx="11">
                  <c:v>-50.000000000000497</c:v>
                </c:pt>
                <c:pt idx="12">
                  <c:v>1.6968643392736283E-13</c:v>
                </c:pt>
                <c:pt idx="13">
                  <c:v>99.999999999995666</c:v>
                </c:pt>
                <c:pt idx="14">
                  <c:v>149.99999999999949</c:v>
                </c:pt>
                <c:pt idx="15">
                  <c:v>100.00000000000247</c:v>
                </c:pt>
                <c:pt idx="16">
                  <c:v>2.0371010380226401E-12</c:v>
                </c:pt>
                <c:pt idx="17">
                  <c:v>-50.000000000000504</c:v>
                </c:pt>
                <c:pt idx="18">
                  <c:v>-2.2068625876799102E-12</c:v>
                </c:pt>
                <c:pt idx="19">
                  <c:v>100.00000000000313</c:v>
                </c:pt>
                <c:pt idx="20">
                  <c:v>150.00000000000193</c:v>
                </c:pt>
                <c:pt idx="21">
                  <c:v>100.00000000000978</c:v>
                </c:pt>
                <c:pt idx="22">
                  <c:v>4.4136500596299078E-12</c:v>
                </c:pt>
                <c:pt idx="23">
                  <c:v>-49.999999999998046</c:v>
                </c:pt>
                <c:pt idx="24">
                  <c:v>3.3937286785472031E-13</c:v>
                </c:pt>
                <c:pt idx="25">
                  <c:v>99.99999999999585</c:v>
                </c:pt>
                <c:pt idx="26">
                  <c:v>150.00000000000196</c:v>
                </c:pt>
                <c:pt idx="27">
                  <c:v>100.00000000001705</c:v>
                </c:pt>
                <c:pt idx="28">
                  <c:v>1.8674146040952446E-12</c:v>
                </c:pt>
                <c:pt idx="29">
                  <c:v>-49.999999999998053</c:v>
                </c:pt>
                <c:pt idx="30">
                  <c:v>-6.9599606308942282E-12</c:v>
                </c:pt>
                <c:pt idx="31">
                  <c:v>99.99999999999838</c:v>
                </c:pt>
                <c:pt idx="32">
                  <c:v>150.00000000000196</c:v>
                </c:pt>
                <c:pt idx="33">
                  <c:v>99.999999999994827</c:v>
                </c:pt>
                <c:pt idx="34">
                  <c:v>-6.7882085143937506E-13</c:v>
                </c:pt>
                <c:pt idx="35">
                  <c:v>-49.999999999998046</c:v>
                </c:pt>
                <c:pt idx="36">
                  <c:v>-4.4137251753597146E-12</c:v>
                </c:pt>
                <c:pt idx="37">
                  <c:v>100.00000000001077</c:v>
                </c:pt>
                <c:pt idx="38">
                  <c:v>150.00000000000196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9.7968508305790181E-15</c:v>
                </c:pt>
                <c:pt idx="1">
                  <c:v>17.320508075688842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Vektor!$L$23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Vektor!$M$23:$AW$23</c:f>
              <c:numCache>
                <c:formatCode>General</c:formatCode>
                <c:ptCount val="37"/>
                <c:pt idx="0">
                  <c:v>1.22514845490862E-15</c:v>
                </c:pt>
                <c:pt idx="1">
                  <c:v>-1.7364817766693004</c:v>
                </c:pt>
                <c:pt idx="2">
                  <c:v>-3.4202014332566866</c:v>
                </c:pt>
                <c:pt idx="3">
                  <c:v>-4.9999999999999973</c:v>
                </c:pt>
                <c:pt idx="4">
                  <c:v>-6.4278760968653925</c:v>
                </c:pt>
                <c:pt idx="5">
                  <c:v>-7.660444431189779</c:v>
                </c:pt>
                <c:pt idx="6">
                  <c:v>-8.6602540378443837</c:v>
                </c:pt>
                <c:pt idx="7">
                  <c:v>-9.3969262078590852</c:v>
                </c:pt>
                <c:pt idx="8">
                  <c:v>-9.8480775301220795</c:v>
                </c:pt>
                <c:pt idx="9">
                  <c:v>-10</c:v>
                </c:pt>
                <c:pt idx="10">
                  <c:v>-9.8480775301220813</c:v>
                </c:pt>
                <c:pt idx="11">
                  <c:v>-9.3969262078590852</c:v>
                </c:pt>
                <c:pt idx="12">
                  <c:v>-8.6602540378443909</c:v>
                </c:pt>
                <c:pt idx="13">
                  <c:v>-7.6604444311897808</c:v>
                </c:pt>
                <c:pt idx="14">
                  <c:v>-6.4278760968653961</c:v>
                </c:pt>
                <c:pt idx="15">
                  <c:v>-4.9999999999999964</c:v>
                </c:pt>
                <c:pt idx="16">
                  <c:v>-3.4202014332566861</c:v>
                </c:pt>
                <c:pt idx="17">
                  <c:v>-1.7364817766693039</c:v>
                </c:pt>
                <c:pt idx="18">
                  <c:v>-2.45029690981724E-15</c:v>
                </c:pt>
                <c:pt idx="19">
                  <c:v>1.736481776669299</c:v>
                </c:pt>
                <c:pt idx="20">
                  <c:v>3.4202014332566808</c:v>
                </c:pt>
                <c:pt idx="21">
                  <c:v>5</c:v>
                </c:pt>
                <c:pt idx="22">
                  <c:v>6.4278760968653916</c:v>
                </c:pt>
                <c:pt idx="23">
                  <c:v>7.6604444311897781</c:v>
                </c:pt>
                <c:pt idx="24">
                  <c:v>8.6602540378443837</c:v>
                </c:pt>
                <c:pt idx="25">
                  <c:v>9.3969262078590816</c:v>
                </c:pt>
                <c:pt idx="26">
                  <c:v>9.8480775301220795</c:v>
                </c:pt>
                <c:pt idx="27">
                  <c:v>10</c:v>
                </c:pt>
                <c:pt idx="28">
                  <c:v>9.8480775301220813</c:v>
                </c:pt>
                <c:pt idx="29">
                  <c:v>9.3969262078590869</c:v>
                </c:pt>
                <c:pt idx="30">
                  <c:v>8.660254037844382</c:v>
                </c:pt>
                <c:pt idx="31">
                  <c:v>7.6604444311897755</c:v>
                </c:pt>
                <c:pt idx="32">
                  <c:v>6.4278760968653899</c:v>
                </c:pt>
                <c:pt idx="33">
                  <c:v>4.9999999999999982</c:v>
                </c:pt>
                <c:pt idx="34">
                  <c:v>3.420201433256687</c:v>
                </c:pt>
                <c:pt idx="35">
                  <c:v>1.736481776669305</c:v>
                </c:pt>
                <c:pt idx="36">
                  <c:v>3.67544536472586E-15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5-4A5F-8259-FAA7631A2C0C}"/>
            </c:ext>
          </c:extLst>
        </c:ser>
        <c:ser>
          <c:idx val="1"/>
          <c:order val="1"/>
          <c:tx>
            <c:strRef>
              <c:f>Vektor!$L$24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Vektor!$M$24:$AW$24</c:f>
              <c:numCache>
                <c:formatCode>General</c:formatCode>
                <c:ptCount val="37"/>
                <c:pt idx="0">
                  <c:v>5.0000000000000009</c:v>
                </c:pt>
                <c:pt idx="1">
                  <c:v>4.2294460543933212</c:v>
                </c:pt>
                <c:pt idx="2">
                  <c:v>3.330382530626868</c:v>
                </c:pt>
                <c:pt idx="3">
                  <c:v>2.3301270189221959</c:v>
                </c:pt>
                <c:pt idx="4">
                  <c:v>1.2590717768487343</c:v>
                </c:pt>
                <c:pt idx="5">
                  <c:v>0.14976027595678734</c:v>
                </c:pt>
                <c:pt idx="6">
                  <c:v>-0.9641016151377505</c:v>
                </c:pt>
                <c:pt idx="7">
                  <c:v>-2.0486697665152875</c:v>
                </c:pt>
                <c:pt idx="8">
                  <c:v>-3.0709901237141795</c:v>
                </c:pt>
                <c:pt idx="9">
                  <c:v>-3.9999999999999978</c:v>
                </c:pt>
                <c:pt idx="10">
                  <c:v>-4.807471900383482</c:v>
                </c:pt>
                <c:pt idx="11">
                  <c:v>-5.4688711997719741</c:v>
                </c:pt>
                <c:pt idx="12">
                  <c:v>-5.9641016151377517</c:v>
                </c:pt>
                <c:pt idx="13">
                  <c:v>-6.2781158209086083</c:v>
                </c:pt>
                <c:pt idx="14">
                  <c:v>-6.4013726543410474</c:v>
                </c:pt>
                <c:pt idx="15">
                  <c:v>-6.3301270189221928</c:v>
                </c:pt>
                <c:pt idx="16">
                  <c:v>-6.0665436772322172</c:v>
                </c:pt>
                <c:pt idx="17">
                  <c:v>-5.6186314757287628</c:v>
                </c:pt>
                <c:pt idx="18">
                  <c:v>-5.0000000000000018</c:v>
                </c:pt>
                <c:pt idx="19">
                  <c:v>-4.2294460543933221</c:v>
                </c:pt>
                <c:pt idx="20">
                  <c:v>-3.3303825306268715</c:v>
                </c:pt>
                <c:pt idx="21">
                  <c:v>-2.3301270189221941</c:v>
                </c:pt>
                <c:pt idx="22">
                  <c:v>-1.2590717768487352</c:v>
                </c:pt>
                <c:pt idx="23">
                  <c:v>-0.14976027595678815</c:v>
                </c:pt>
                <c:pt idx="24">
                  <c:v>0.96410161513774961</c:v>
                </c:pt>
                <c:pt idx="25">
                  <c:v>2.048669766515284</c:v>
                </c:pt>
                <c:pt idx="26">
                  <c:v>3.070990123714179</c:v>
                </c:pt>
                <c:pt idx="27">
                  <c:v>3.9999999999999973</c:v>
                </c:pt>
                <c:pt idx="28">
                  <c:v>4.8074719003834812</c:v>
                </c:pt>
                <c:pt idx="29">
                  <c:v>5.4688711997719741</c:v>
                </c:pt>
                <c:pt idx="30">
                  <c:v>5.9641016151377544</c:v>
                </c:pt>
                <c:pt idx="31">
                  <c:v>6.2781158209086083</c:v>
                </c:pt>
                <c:pt idx="32">
                  <c:v>6.4013726543410474</c:v>
                </c:pt>
                <c:pt idx="33">
                  <c:v>6.3301270189221928</c:v>
                </c:pt>
                <c:pt idx="34">
                  <c:v>6.0665436772322172</c:v>
                </c:pt>
                <c:pt idx="35">
                  <c:v>5.6186314757287628</c:v>
                </c:pt>
                <c:pt idx="36">
                  <c:v>5.0000000000000027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5-4A5F-8259-FAA7631A2C0C}"/>
            </c:ext>
          </c:extLst>
        </c:ser>
        <c:ser>
          <c:idx val="2"/>
          <c:order val="2"/>
          <c:tx>
            <c:strRef>
              <c:f>Vektor!$L$25</c:f>
              <c:strCache>
                <c:ptCount val="1"/>
                <c:pt idx="0">
                  <c:v>V1 + V2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Vektor!$M$25:$AW$25</c:f>
              <c:numCache>
                <c:formatCode>General</c:formatCode>
                <c:ptCount val="37"/>
                <c:pt idx="0">
                  <c:v>5.0000000000000018</c:v>
                </c:pt>
                <c:pt idx="1">
                  <c:v>2.4929642777240208</c:v>
                </c:pt>
                <c:pt idx="2">
                  <c:v>-8.981890262981862E-2</c:v>
                </c:pt>
                <c:pt idx="3">
                  <c:v>-2.6698729810778015</c:v>
                </c:pt>
                <c:pt idx="4">
                  <c:v>-5.1688043200166582</c:v>
                </c:pt>
                <c:pt idx="5">
                  <c:v>-7.5106841552329913</c:v>
                </c:pt>
                <c:pt idx="6">
                  <c:v>-9.6243556529821337</c:v>
                </c:pt>
                <c:pt idx="7">
                  <c:v>-11.445595974374372</c:v>
                </c:pt>
                <c:pt idx="8">
                  <c:v>-12.919067653836258</c:v>
                </c:pt>
                <c:pt idx="9">
                  <c:v>-13.999999999999998</c:v>
                </c:pt>
                <c:pt idx="10">
                  <c:v>-14.655549430505562</c:v>
                </c:pt>
                <c:pt idx="11">
                  <c:v>-14.86579740763106</c:v>
                </c:pt>
                <c:pt idx="12">
                  <c:v>-14.624355652982143</c:v>
                </c:pt>
                <c:pt idx="13">
                  <c:v>-13.938560252098389</c:v>
                </c:pt>
                <c:pt idx="14">
                  <c:v>-12.829248751206443</c:v>
                </c:pt>
                <c:pt idx="15">
                  <c:v>-11.330127018922189</c:v>
                </c:pt>
                <c:pt idx="16">
                  <c:v>-9.4867451104889042</c:v>
                </c:pt>
                <c:pt idx="17">
                  <c:v>-7.3551132523980662</c:v>
                </c:pt>
                <c:pt idx="18">
                  <c:v>-5.0000000000000044</c:v>
                </c:pt>
                <c:pt idx="19">
                  <c:v>-2.4929642777240231</c:v>
                </c:pt>
                <c:pt idx="20">
                  <c:v>8.9818902629809294E-2</c:v>
                </c:pt>
                <c:pt idx="21">
                  <c:v>2.6698729810778059</c:v>
                </c:pt>
                <c:pt idx="22">
                  <c:v>5.1688043200166565</c:v>
                </c:pt>
                <c:pt idx="23">
                  <c:v>7.5106841552329904</c:v>
                </c:pt>
                <c:pt idx="24">
                  <c:v>9.6243556529821337</c:v>
                </c:pt>
                <c:pt idx="25">
                  <c:v>11.445595974374365</c:v>
                </c:pt>
                <c:pt idx="26">
                  <c:v>12.919067653836258</c:v>
                </c:pt>
                <c:pt idx="27">
                  <c:v>13.999999999999996</c:v>
                </c:pt>
                <c:pt idx="28">
                  <c:v>14.655549430505562</c:v>
                </c:pt>
                <c:pt idx="29">
                  <c:v>14.86579740763106</c:v>
                </c:pt>
                <c:pt idx="30">
                  <c:v>14.624355652982135</c:v>
                </c:pt>
                <c:pt idx="31">
                  <c:v>13.938560252098384</c:v>
                </c:pt>
                <c:pt idx="32">
                  <c:v>12.829248751206437</c:v>
                </c:pt>
                <c:pt idx="33">
                  <c:v>11.330127018922191</c:v>
                </c:pt>
                <c:pt idx="34">
                  <c:v>9.4867451104889042</c:v>
                </c:pt>
                <c:pt idx="35">
                  <c:v>7.355113252398068</c:v>
                </c:pt>
                <c:pt idx="36">
                  <c:v>5.0000000000000062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5-4A5F-8259-FAA7631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'3-Phasenstrom'!$Q$9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'3-Phasenstrom'!$R$11:$U$11</c:f>
              <c:numCache>
                <c:formatCode>#,##0.00</c:formatCode>
                <c:ptCount val="4"/>
                <c:pt idx="0">
                  <c:v>253.00000000000003</c:v>
                </c:pt>
                <c:pt idx="1">
                  <c:v>0</c:v>
                </c:pt>
                <c:pt idx="2">
                  <c:v>-253.00000000000003</c:v>
                </c:pt>
                <c:pt idx="3">
                  <c:v>0</c:v>
                </c:pt>
              </c:numCache>
            </c:numRef>
          </c:xVal>
          <c:yVal>
            <c:numRef>
              <c:f>'3-Phasenstrom'!$R$12:$U$12</c:f>
              <c:numCache>
                <c:formatCode>#,##0.00</c:formatCode>
                <c:ptCount val="4"/>
                <c:pt idx="0">
                  <c:v>0</c:v>
                </c:pt>
                <c:pt idx="1">
                  <c:v>253.00000000000003</c:v>
                </c:pt>
                <c:pt idx="2">
                  <c:v>0</c:v>
                </c:pt>
                <c:pt idx="3">
                  <c:v>-253.00000000000003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7-4F94-8E75-33D0B3E188C6}"/>
            </c:ext>
          </c:extLst>
        </c:ser>
        <c:ser>
          <c:idx val="1"/>
          <c:order val="1"/>
          <c:tx>
            <c:strRef>
              <c:f>'3-Phasenstrom'!$B$11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'3-Phasenstrom'!$L$11:$M$11</c:f>
              <c:numCache>
                <c:formatCode>#,##0.00</c:formatCode>
                <c:ptCount val="2"/>
                <c:pt idx="0">
                  <c:v>0</c:v>
                </c:pt>
                <c:pt idx="1">
                  <c:v>230</c:v>
                </c:pt>
              </c:numCache>
            </c:numRef>
          </c:xVal>
          <c:yVal>
            <c:numRef>
              <c:f>'3-Phasenstrom'!$N$11:$O$11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7-4F94-8E75-33D0B3E188C6}"/>
            </c:ext>
          </c:extLst>
        </c:ser>
        <c:ser>
          <c:idx val="2"/>
          <c:order val="2"/>
          <c:tx>
            <c:strRef>
              <c:f>'3-Phasenstrom'!$B$12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'3-Phasenstrom'!$L$12:$M$12</c:f>
              <c:numCache>
                <c:formatCode>#,##0.00</c:formatCode>
                <c:ptCount val="2"/>
                <c:pt idx="0">
                  <c:v>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'3-Phasenstrom'!$N$12:$O$12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7-4F94-8E75-33D0B3E188C6}"/>
            </c:ext>
          </c:extLst>
        </c:ser>
        <c:ser>
          <c:idx val="3"/>
          <c:order val="3"/>
          <c:tx>
            <c:strRef>
              <c:f>'3-Phasenstrom'!$B$13</c:f>
              <c:strCache>
                <c:ptCount val="1"/>
                <c:pt idx="0">
                  <c:v>L1 - L2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'3-Phasenstrom'!$L$13:$M$13</c:f>
              <c:numCache>
                <c:formatCode>#,##0.00</c:formatCode>
                <c:ptCount val="2"/>
                <c:pt idx="0">
                  <c:v>230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'3-Phasenstrom'!$N$13:$O$13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7-4F94-8E75-33D0B3E1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'3-Phasenstrom'!$L$18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'3-Phasenstrom'!$M$16:$AW$16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'3-Phasenstrom'!$M$18:$AW$18</c:f>
              <c:numCache>
                <c:formatCode>General</c:formatCode>
                <c:ptCount val="37"/>
                <c:pt idx="0">
                  <c:v>0</c:v>
                </c:pt>
                <c:pt idx="1">
                  <c:v>39.939080863393976</c:v>
                </c:pt>
                <c:pt idx="2">
                  <c:v>78.664632964903802</c:v>
                </c:pt>
                <c:pt idx="3">
                  <c:v>114.99999999999999</c:v>
                </c:pt>
                <c:pt idx="4">
                  <c:v>147.84115022790402</c:v>
                </c:pt>
                <c:pt idx="5">
                  <c:v>176.19022191736494</c:v>
                </c:pt>
                <c:pt idx="6">
                  <c:v>199.18584287042088</c:v>
                </c:pt>
                <c:pt idx="7">
                  <c:v>216.12930278075891</c:v>
                </c:pt>
                <c:pt idx="8">
                  <c:v>226.50578319280785</c:v>
                </c:pt>
                <c:pt idx="9">
                  <c:v>230</c:v>
                </c:pt>
                <c:pt idx="10">
                  <c:v>226.50578319280785</c:v>
                </c:pt>
                <c:pt idx="11">
                  <c:v>216.12930278075893</c:v>
                </c:pt>
                <c:pt idx="12">
                  <c:v>199.18584287042091</c:v>
                </c:pt>
                <c:pt idx="13">
                  <c:v>176.19022191736494</c:v>
                </c:pt>
                <c:pt idx="14">
                  <c:v>147.84115022790408</c:v>
                </c:pt>
                <c:pt idx="15">
                  <c:v>114.99999999999999</c:v>
                </c:pt>
                <c:pt idx="16">
                  <c:v>78.664632964903845</c:v>
                </c:pt>
                <c:pt idx="17">
                  <c:v>39.939080863393961</c:v>
                </c:pt>
                <c:pt idx="18">
                  <c:v>2.817841446289826E-14</c:v>
                </c:pt>
                <c:pt idx="19">
                  <c:v>-39.939080863394011</c:v>
                </c:pt>
                <c:pt idx="20">
                  <c:v>-78.664632964903788</c:v>
                </c:pt>
                <c:pt idx="21">
                  <c:v>-115.00000000000003</c:v>
                </c:pt>
                <c:pt idx="22">
                  <c:v>-147.84115022790402</c:v>
                </c:pt>
                <c:pt idx="23">
                  <c:v>-176.19022191736491</c:v>
                </c:pt>
                <c:pt idx="24">
                  <c:v>-199.18584287042083</c:v>
                </c:pt>
                <c:pt idx="25">
                  <c:v>-216.12930278075888</c:v>
                </c:pt>
                <c:pt idx="26">
                  <c:v>-226.50578319280785</c:v>
                </c:pt>
                <c:pt idx="27">
                  <c:v>-230</c:v>
                </c:pt>
                <c:pt idx="28">
                  <c:v>-226.50578319280788</c:v>
                </c:pt>
                <c:pt idx="29">
                  <c:v>-216.12930278075896</c:v>
                </c:pt>
                <c:pt idx="30">
                  <c:v>-199.18584287042088</c:v>
                </c:pt>
                <c:pt idx="31">
                  <c:v>-176.19022191736497</c:v>
                </c:pt>
                <c:pt idx="32">
                  <c:v>-147.84115022790411</c:v>
                </c:pt>
                <c:pt idx="33">
                  <c:v>-115.0000000000001</c:v>
                </c:pt>
                <c:pt idx="34">
                  <c:v>-78.664632964903774</c:v>
                </c:pt>
                <c:pt idx="35">
                  <c:v>-39.939080863394196</c:v>
                </c:pt>
                <c:pt idx="36">
                  <c:v>-5.635682892579652E-14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0-4BE0-900A-AB7A282E3B42}"/>
            </c:ext>
          </c:extLst>
        </c:ser>
        <c:ser>
          <c:idx val="1"/>
          <c:order val="1"/>
          <c:tx>
            <c:strRef>
              <c:f>'3-Phasenstrom'!$L$19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'3-Phasenstrom'!$M$16:$AW$16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'3-Phasenstrom'!$M$19:$AW$19</c:f>
              <c:numCache>
                <c:formatCode>General</c:formatCode>
                <c:ptCount val="37"/>
                <c:pt idx="0">
                  <c:v>199.18584287042091</c:v>
                </c:pt>
                <c:pt idx="1">
                  <c:v>176.19022191736502</c:v>
                </c:pt>
                <c:pt idx="2">
                  <c:v>147.84115022790408</c:v>
                </c:pt>
                <c:pt idx="3">
                  <c:v>115.00000000000007</c:v>
                </c:pt>
                <c:pt idx="4">
                  <c:v>78.664632964903845</c:v>
                </c:pt>
                <c:pt idx="5">
                  <c:v>39.939080863394061</c:v>
                </c:pt>
                <c:pt idx="6">
                  <c:v>2.817841446289826E-14</c:v>
                </c:pt>
                <c:pt idx="7">
                  <c:v>-39.939080863393905</c:v>
                </c:pt>
                <c:pt idx="8">
                  <c:v>-78.664632964903689</c:v>
                </c:pt>
                <c:pt idx="9">
                  <c:v>-114.99999999999994</c:v>
                </c:pt>
                <c:pt idx="10">
                  <c:v>-147.84115022790402</c:v>
                </c:pt>
                <c:pt idx="11">
                  <c:v>-176.19022191736491</c:v>
                </c:pt>
                <c:pt idx="12">
                  <c:v>-199.18584287042083</c:v>
                </c:pt>
                <c:pt idx="13">
                  <c:v>-216.12930278075893</c:v>
                </c:pt>
                <c:pt idx="14">
                  <c:v>-226.50578319280785</c:v>
                </c:pt>
                <c:pt idx="15">
                  <c:v>-230</c:v>
                </c:pt>
                <c:pt idx="16">
                  <c:v>-226.50578319280788</c:v>
                </c:pt>
                <c:pt idx="17">
                  <c:v>-216.12930278075896</c:v>
                </c:pt>
                <c:pt idx="18">
                  <c:v>-199.18584287042097</c:v>
                </c:pt>
                <c:pt idx="19">
                  <c:v>-176.19022191736497</c:v>
                </c:pt>
                <c:pt idx="20">
                  <c:v>-147.84115022790411</c:v>
                </c:pt>
                <c:pt idx="21">
                  <c:v>-114.99999999999993</c:v>
                </c:pt>
                <c:pt idx="22">
                  <c:v>-78.664632964903774</c:v>
                </c:pt>
                <c:pt idx="23">
                  <c:v>-39.93908086339399</c:v>
                </c:pt>
                <c:pt idx="24">
                  <c:v>-5.635682892579652E-14</c:v>
                </c:pt>
                <c:pt idx="25">
                  <c:v>39.939080863393883</c:v>
                </c:pt>
                <c:pt idx="26">
                  <c:v>78.66463296490366</c:v>
                </c:pt>
                <c:pt idx="27">
                  <c:v>114.99999999999983</c:v>
                </c:pt>
                <c:pt idx="28">
                  <c:v>147.84115022790385</c:v>
                </c:pt>
                <c:pt idx="29">
                  <c:v>176.19022191736477</c:v>
                </c:pt>
                <c:pt idx="30">
                  <c:v>199.18584287042094</c:v>
                </c:pt>
                <c:pt idx="31">
                  <c:v>216.12930278075893</c:v>
                </c:pt>
                <c:pt idx="32">
                  <c:v>226.50578319280785</c:v>
                </c:pt>
                <c:pt idx="33">
                  <c:v>230</c:v>
                </c:pt>
                <c:pt idx="34">
                  <c:v>226.50578319280788</c:v>
                </c:pt>
                <c:pt idx="35">
                  <c:v>216.12930278075899</c:v>
                </c:pt>
                <c:pt idx="36">
                  <c:v>199.185842870421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BE0-900A-AB7A282E3B42}"/>
            </c:ext>
          </c:extLst>
        </c:ser>
        <c:ser>
          <c:idx val="2"/>
          <c:order val="2"/>
          <c:tx>
            <c:strRef>
              <c:f>'3-Phasenstrom'!$L$20</c:f>
              <c:strCache>
                <c:ptCount val="1"/>
                <c:pt idx="0">
                  <c:v>L1 - L2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'3-Phasenstrom'!$M$16:$AW$16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'3-Phasenstrom'!$M$20:$AW$20</c:f>
              <c:numCache>
                <c:formatCode>General</c:formatCode>
                <c:ptCount val="37"/>
                <c:pt idx="0">
                  <c:v>-199.18584287042091</c:v>
                </c:pt>
                <c:pt idx="1">
                  <c:v>-136.25114105397105</c:v>
                </c:pt>
                <c:pt idx="2">
                  <c:v>-69.176517263000278</c:v>
                </c:pt>
                <c:pt idx="3">
                  <c:v>0</c:v>
                </c:pt>
                <c:pt idx="4">
                  <c:v>69.176517263000179</c:v>
                </c:pt>
                <c:pt idx="5">
                  <c:v>136.25114105397088</c:v>
                </c:pt>
                <c:pt idx="6">
                  <c:v>199.18584287042086</c:v>
                </c:pt>
                <c:pt idx="7">
                  <c:v>256.06838364415279</c:v>
                </c:pt>
                <c:pt idx="8">
                  <c:v>305.17041615771154</c:v>
                </c:pt>
                <c:pt idx="9">
                  <c:v>344.99999999999994</c:v>
                </c:pt>
                <c:pt idx="10">
                  <c:v>374.34693342071188</c:v>
                </c:pt>
                <c:pt idx="11">
                  <c:v>392.31952469812381</c:v>
                </c:pt>
                <c:pt idx="12">
                  <c:v>398.37168574084171</c:v>
                </c:pt>
                <c:pt idx="13">
                  <c:v>392.31952469812387</c:v>
                </c:pt>
                <c:pt idx="14">
                  <c:v>374.34693342071193</c:v>
                </c:pt>
                <c:pt idx="15">
                  <c:v>345</c:v>
                </c:pt>
                <c:pt idx="16">
                  <c:v>305.17041615771171</c:v>
                </c:pt>
                <c:pt idx="17">
                  <c:v>256.0683836441529</c:v>
                </c:pt>
                <c:pt idx="18">
                  <c:v>199.185842870421</c:v>
                </c:pt>
                <c:pt idx="19">
                  <c:v>136.25114105397097</c:v>
                </c:pt>
                <c:pt idx="20">
                  <c:v>69.176517263000321</c:v>
                </c:pt>
                <c:pt idx="21">
                  <c:v>0</c:v>
                </c:pt>
                <c:pt idx="22">
                  <c:v>-69.17651726300025</c:v>
                </c:pt>
                <c:pt idx="23">
                  <c:v>-136.25114105397091</c:v>
                </c:pt>
                <c:pt idx="24">
                  <c:v>-199.18584287042077</c:v>
                </c:pt>
                <c:pt idx="25">
                  <c:v>-256.06838364415273</c:v>
                </c:pt>
                <c:pt idx="26">
                  <c:v>-305.17041615771154</c:v>
                </c:pt>
                <c:pt idx="27">
                  <c:v>-344.99999999999983</c:v>
                </c:pt>
                <c:pt idx="28">
                  <c:v>-374.34693342071171</c:v>
                </c:pt>
                <c:pt idx="29">
                  <c:v>-392.3195246981237</c:v>
                </c:pt>
                <c:pt idx="30">
                  <c:v>-398.37168574084183</c:v>
                </c:pt>
                <c:pt idx="31">
                  <c:v>-392.31952469812393</c:v>
                </c:pt>
                <c:pt idx="32">
                  <c:v>-374.34693342071193</c:v>
                </c:pt>
                <c:pt idx="33">
                  <c:v>-345.00000000000011</c:v>
                </c:pt>
                <c:pt idx="34">
                  <c:v>-305.17041615771166</c:v>
                </c:pt>
                <c:pt idx="35">
                  <c:v>-256.06838364415319</c:v>
                </c:pt>
                <c:pt idx="36">
                  <c:v>-199.18584287042106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0-4BE0-900A-AB7A282E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3.xml"/><Relationship Id="rId1" Type="http://schemas.openxmlformats.org/officeDocument/2006/relationships/hyperlink" Target="#TOC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34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711929</xdr:colOff>
      <xdr:row>23</xdr:row>
      <xdr:rowOff>156578</xdr:rowOff>
    </xdr:from>
    <xdr:to>
      <xdr:col>53</xdr:col>
      <xdr:colOff>403677</xdr:colOff>
      <xdr:row>69</xdr:row>
      <xdr:rowOff>131535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63</xdr:row>
      <xdr:rowOff>149412</xdr:rowOff>
    </xdr:from>
    <xdr:to>
      <xdr:col>4</xdr:col>
      <xdr:colOff>625644</xdr:colOff>
      <xdr:row>68</xdr:row>
      <xdr:rowOff>82484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2529E24-4EA3-8CE1-3F02-2922B6B6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059" y="12595412"/>
          <a:ext cx="2553056" cy="866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4</xdr:col>
      <xdr:colOff>101696</xdr:colOff>
      <xdr:row>74</xdr:row>
      <xdr:rowOff>15047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363711C-B497-54D6-6FA9-23EB02FB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059" y="13850471"/>
          <a:ext cx="2029108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283882</xdr:colOff>
      <xdr:row>69</xdr:row>
      <xdr:rowOff>186764</xdr:rowOff>
    </xdr:from>
    <xdr:to>
      <xdr:col>9</xdr:col>
      <xdr:colOff>899322</xdr:colOff>
      <xdr:row>74</xdr:row>
      <xdr:rowOff>7469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47D7197-D01B-7223-5D6E-A77C00022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20353" y="13895293"/>
          <a:ext cx="3237616" cy="7545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19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193674</xdr:colOff>
      <xdr:row>19</xdr:row>
      <xdr:rowOff>73024</xdr:rowOff>
    </xdr:from>
    <xdr:to>
      <xdr:col>20</xdr:col>
      <xdr:colOff>298450</xdr:colOff>
      <xdr:row>41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65B8F-72B4-4C1A-3372-3A9BFDCB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B0008-BA79-49D0-8318-F995486845EA}"/>
            </a:ext>
          </a:extLst>
        </xdr:cNvPr>
        <xdr:cNvSpPr/>
      </xdr:nvSpPr>
      <xdr:spPr>
        <a:xfrm rot="10800000">
          <a:off x="217783" y="84713"/>
          <a:ext cx="494393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14</xdr:row>
      <xdr:rowOff>52755</xdr:rowOff>
    </xdr:from>
    <xdr:to>
      <xdr:col>8</xdr:col>
      <xdr:colOff>527051</xdr:colOff>
      <xdr:row>36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5D90BB-E955-493B-BF6D-80DDB5B3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600074</xdr:colOff>
      <xdr:row>14</xdr:row>
      <xdr:rowOff>47624</xdr:rowOff>
    </xdr:from>
    <xdr:to>
      <xdr:col>24</xdr:col>
      <xdr:colOff>127000</xdr:colOff>
      <xdr:row>36</xdr:row>
      <xdr:rowOff>107950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C1B8F-7006-4D2B-9BCE-6B906BC2A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8"/>
  <sheetViews>
    <sheetView tabSelected="1" workbookViewId="0">
      <selection activeCell="B11" sqref="B11"/>
    </sheetView>
  </sheetViews>
  <sheetFormatPr baseColWidth="10" defaultRowHeight="14.5" x14ac:dyDescent="0.35"/>
  <cols>
    <col min="2" max="2" width="12.6328125" customWidth="1"/>
    <col min="3" max="3" width="34" customWidth="1"/>
  </cols>
  <sheetData>
    <row r="2" spans="2:4" ht="21" x14ac:dyDescent="0.5">
      <c r="B2" s="84" t="s">
        <v>106</v>
      </c>
    </row>
    <row r="5" spans="2:4" x14ac:dyDescent="0.35">
      <c r="B5" s="85">
        <v>45695</v>
      </c>
      <c r="C5" s="86" t="s">
        <v>107</v>
      </c>
    </row>
    <row r="6" spans="2:4" x14ac:dyDescent="0.35">
      <c r="B6" s="85">
        <v>45701</v>
      </c>
      <c r="C6" s="86" t="s">
        <v>108</v>
      </c>
    </row>
    <row r="7" spans="2:4" x14ac:dyDescent="0.35">
      <c r="B7" s="85">
        <v>45701</v>
      </c>
      <c r="C7" s="86" t="s">
        <v>109</v>
      </c>
    </row>
    <row r="8" spans="2:4" x14ac:dyDescent="0.35">
      <c r="B8" s="85">
        <v>45870</v>
      </c>
      <c r="C8" s="86" t="s">
        <v>110</v>
      </c>
    </row>
    <row r="9" spans="2:4" x14ac:dyDescent="0.35">
      <c r="B9" s="85">
        <v>45730</v>
      </c>
      <c r="C9" s="86" t="s">
        <v>111</v>
      </c>
      <c r="D9" s="85"/>
    </row>
    <row r="10" spans="2:4" x14ac:dyDescent="0.35">
      <c r="B10" s="85">
        <v>45870</v>
      </c>
      <c r="C10" s="86" t="s">
        <v>128</v>
      </c>
      <c r="D10" s="85"/>
    </row>
    <row r="11" spans="2:4" x14ac:dyDescent="0.35">
      <c r="B11" s="85">
        <v>45750</v>
      </c>
      <c r="C11" s="105" t="s">
        <v>137</v>
      </c>
    </row>
    <row r="12" spans="2:4" x14ac:dyDescent="0.35">
      <c r="B12" s="85">
        <v>45758</v>
      </c>
      <c r="C12" s="86" t="s">
        <v>197</v>
      </c>
    </row>
    <row r="13" spans="2:4" x14ac:dyDescent="0.35">
      <c r="B13" s="85">
        <v>45772</v>
      </c>
      <c r="C13" s="86" t="s">
        <v>349</v>
      </c>
    </row>
    <row r="14" spans="2:4" x14ac:dyDescent="0.35">
      <c r="B14" s="85">
        <v>45870</v>
      </c>
      <c r="C14" s="86" t="s">
        <v>347</v>
      </c>
    </row>
    <row r="15" spans="2:4" x14ac:dyDescent="0.35">
      <c r="B15" s="85">
        <v>45786</v>
      </c>
      <c r="C15" s="86" t="s">
        <v>251</v>
      </c>
    </row>
    <row r="16" spans="2:4" x14ac:dyDescent="0.35">
      <c r="B16" s="85">
        <v>45788</v>
      </c>
      <c r="C16" s="86" t="s">
        <v>328</v>
      </c>
    </row>
    <row r="17" spans="2:3" x14ac:dyDescent="0.35">
      <c r="B17" s="85">
        <v>45799</v>
      </c>
      <c r="C17" s="86" t="s">
        <v>339</v>
      </c>
    </row>
    <row r="18" spans="2:3" x14ac:dyDescent="0.35">
      <c r="B18" s="85">
        <v>45870</v>
      </c>
      <c r="C18" s="86" t="s">
        <v>464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  <hyperlink ref="C18" location="'3-Phasenstrom'!A1" display="Verkettete Spannung (3-Phasenstrom)" xr:uid="{F0D6490D-D7FD-40F5-9193-AEF7266C201A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87" t="s">
        <v>112</v>
      </c>
      <c r="C5" s="87"/>
      <c r="G5" s="87" t="s">
        <v>113</v>
      </c>
      <c r="H5" s="87"/>
      <c r="I5" s="87"/>
    </row>
    <row r="6" spans="2:11" ht="16.5" x14ac:dyDescent="0.35">
      <c r="B6" s="88" t="s">
        <v>114</v>
      </c>
      <c r="C6" s="88" t="s">
        <v>115</v>
      </c>
      <c r="D6" s="88" t="s">
        <v>116</v>
      </c>
      <c r="E6" s="88" t="s">
        <v>117</v>
      </c>
      <c r="G6" s="88" t="s">
        <v>118</v>
      </c>
      <c r="H6" s="88" t="s">
        <v>119</v>
      </c>
      <c r="I6" s="88" t="s">
        <v>115</v>
      </c>
      <c r="J6" s="88" t="s">
        <v>116</v>
      </c>
      <c r="K6" s="88" t="s">
        <v>117</v>
      </c>
    </row>
    <row r="7" spans="2:11" x14ac:dyDescent="0.35">
      <c r="B7" s="90">
        <v>10</v>
      </c>
      <c r="C7" s="100">
        <f>SQRT(2) * B7</f>
        <v>14.142135623730951</v>
      </c>
      <c r="D7" s="89">
        <f>B7^2</f>
        <v>100</v>
      </c>
      <c r="E7" s="89">
        <f>4*B7</f>
        <v>40</v>
      </c>
      <c r="G7" s="90">
        <v>2</v>
      </c>
      <c r="H7" s="90">
        <v>3</v>
      </c>
      <c r="I7" s="91">
        <f>SQRT(G7^2 + H7^2)</f>
        <v>3.6055512754639891</v>
      </c>
      <c r="J7" s="89">
        <f>G7*H7</f>
        <v>6</v>
      </c>
      <c r="K7" s="89">
        <f>2*(G7+H7)</f>
        <v>10</v>
      </c>
    </row>
    <row r="8" spans="2:11" x14ac:dyDescent="0.35">
      <c r="B8" s="89">
        <f>C8/SQRT(2)</f>
        <v>10.000000000190246</v>
      </c>
      <c r="C8" s="90">
        <v>14.142135624</v>
      </c>
      <c r="D8" s="89">
        <f>C8^2 / 2</f>
        <v>100.00000000380493</v>
      </c>
      <c r="E8" s="89">
        <f>4*B8</f>
        <v>40.000000000760984</v>
      </c>
      <c r="G8" s="90">
        <v>2</v>
      </c>
      <c r="H8" s="89">
        <f>SQRT(I8^2-G8^2)</f>
        <v>3.0000000054516063</v>
      </c>
      <c r="I8" s="90">
        <v>3.6055512799999998</v>
      </c>
      <c r="J8" s="89">
        <f>G8*H8</f>
        <v>6.0000000109032126</v>
      </c>
      <c r="K8" s="89">
        <f>2*(G8+H8)</f>
        <v>10.000000010903213</v>
      </c>
    </row>
    <row r="9" spans="2:11" x14ac:dyDescent="0.35">
      <c r="B9" s="89">
        <f>SQRT(D9)</f>
        <v>10</v>
      </c>
      <c r="C9" s="89">
        <f>SQRT(2) * B9</f>
        <v>14.142135623730951</v>
      </c>
      <c r="D9" s="90">
        <v>100</v>
      </c>
      <c r="E9" s="89">
        <f>4*B9</f>
        <v>40</v>
      </c>
      <c r="G9" s="90">
        <v>2</v>
      </c>
      <c r="H9" s="89">
        <f>J9/G9</f>
        <v>3</v>
      </c>
      <c r="I9" s="89">
        <f>SQRT(G9^2 + H9^2)</f>
        <v>3.6055512754639891</v>
      </c>
      <c r="J9" s="90">
        <v>6</v>
      </c>
      <c r="K9" s="89">
        <f>2*(G9+H9)</f>
        <v>10</v>
      </c>
    </row>
    <row r="10" spans="2:11" x14ac:dyDescent="0.35">
      <c r="B10" s="89">
        <f>E10/4</f>
        <v>10</v>
      </c>
      <c r="C10" s="89">
        <f>SQRT(2) * B10</f>
        <v>14.142135623730951</v>
      </c>
      <c r="D10" s="89">
        <f>B10^2</f>
        <v>100</v>
      </c>
      <c r="E10" s="90">
        <v>40</v>
      </c>
      <c r="G10" s="90">
        <v>2</v>
      </c>
      <c r="H10" s="89">
        <f>(K10/2)-G10</f>
        <v>3</v>
      </c>
      <c r="I10" s="89">
        <f>SQRT(G10^2 + H10^2)</f>
        <v>3.6055512754639891</v>
      </c>
      <c r="J10" s="89">
        <f>G10*H10</f>
        <v>6</v>
      </c>
      <c r="K10" s="90">
        <v>10</v>
      </c>
    </row>
    <row r="11" spans="2:11" x14ac:dyDescent="0.35">
      <c r="G11" s="89">
        <f>SQRT((I11^2 - SQRT(I11^4 - 4*J11^2))/2)</f>
        <v>1.9936428724026451</v>
      </c>
      <c r="H11" s="89">
        <f>J11/G11</f>
        <v>3.0095660978483476</v>
      </c>
      <c r="I11" s="90">
        <v>3.61</v>
      </c>
      <c r="J11" s="90">
        <v>6</v>
      </c>
      <c r="K11" s="89">
        <f>2*(G11+H11)</f>
        <v>10.006417940501986</v>
      </c>
    </row>
    <row r="12" spans="2:11" x14ac:dyDescent="0.35">
      <c r="G12" s="89">
        <f>SQRT(I12^2 - H12^2)</f>
        <v>1.9841996510276481</v>
      </c>
      <c r="H12" s="89">
        <f>(K12+SQRT(8*I12^2 - K12^2))/4</f>
        <v>3.0158003489723519</v>
      </c>
      <c r="I12" s="90">
        <v>3.61</v>
      </c>
      <c r="J12" s="89">
        <f>G12*H12</f>
        <v>5.9839500000000001</v>
      </c>
      <c r="K12" s="90">
        <v>10</v>
      </c>
    </row>
    <row r="16" spans="2:11" ht="18.5" x14ac:dyDescent="0.45">
      <c r="B16" s="87" t="s">
        <v>120</v>
      </c>
    </row>
    <row r="17" spans="2:8" ht="16.5" x14ac:dyDescent="0.45">
      <c r="B17" s="88" t="s">
        <v>121</v>
      </c>
      <c r="C17" s="88" t="s">
        <v>122</v>
      </c>
      <c r="D17" s="88" t="s">
        <v>123</v>
      </c>
      <c r="E17" s="88" t="s">
        <v>125</v>
      </c>
      <c r="F17" s="88" t="s">
        <v>126</v>
      </c>
      <c r="G17" s="88" t="s">
        <v>127</v>
      </c>
      <c r="H17" s="88" t="s">
        <v>124</v>
      </c>
    </row>
    <row r="18" spans="2:8" x14ac:dyDescent="0.35">
      <c r="B18" s="90">
        <v>10</v>
      </c>
      <c r="C18" s="90">
        <v>180</v>
      </c>
      <c r="D18" s="89">
        <f>2*B18</f>
        <v>20</v>
      </c>
      <c r="E18" s="92">
        <f>B18^2*PI()</f>
        <v>314.15926535897933</v>
      </c>
      <c r="F18" s="92">
        <f>2*B18*PI()</f>
        <v>62.831853071795862</v>
      </c>
      <c r="G18" s="92">
        <f t="shared" ref="G18:G23" si="0">E18*C18/360</f>
        <v>157.07963267948966</v>
      </c>
      <c r="H18" s="92">
        <f>F18*C18/360</f>
        <v>31.415926535897931</v>
      </c>
    </row>
    <row r="19" spans="2:8" x14ac:dyDescent="0.35">
      <c r="B19" s="89">
        <f>D19/2</f>
        <v>10</v>
      </c>
      <c r="C19" s="90">
        <v>180</v>
      </c>
      <c r="D19" s="90">
        <v>20</v>
      </c>
      <c r="E19" s="89">
        <f>B19^2*PI()</f>
        <v>314.15926535897933</v>
      </c>
      <c r="F19" s="89">
        <f>2*B19*PI()</f>
        <v>62.831853071795862</v>
      </c>
      <c r="G19" s="89">
        <f t="shared" si="0"/>
        <v>157.07963267948966</v>
      </c>
      <c r="H19" s="89">
        <f>F19*C19/360</f>
        <v>31.415926535897931</v>
      </c>
    </row>
    <row r="20" spans="2:8" x14ac:dyDescent="0.35">
      <c r="B20" s="89">
        <f>SQRT(E20/PI())</f>
        <v>10.000000000652864</v>
      </c>
      <c r="C20" s="90">
        <v>180</v>
      </c>
      <c r="D20" s="89">
        <f>2*B20</f>
        <v>20.000000001305729</v>
      </c>
      <c r="E20" s="90">
        <v>314.15926539999998</v>
      </c>
      <c r="F20" s="89">
        <f>2*B20*PI()</f>
        <v>62.831853075897932</v>
      </c>
      <c r="G20" s="89">
        <f t="shared" si="0"/>
        <v>157.07963269999999</v>
      </c>
      <c r="H20" s="89">
        <f>F20*C20/360</f>
        <v>31.415926537948966</v>
      </c>
    </row>
    <row r="21" spans="2:8" x14ac:dyDescent="0.35">
      <c r="B21" s="89">
        <f>D21/2</f>
        <v>9.9999999997141806</v>
      </c>
      <c r="C21" s="90">
        <v>180</v>
      </c>
      <c r="D21" s="89">
        <f>F21/PI()</f>
        <v>19.999999999428361</v>
      </c>
      <c r="E21" s="89">
        <f>B21^2*PI()</f>
        <v>314.15926534102073</v>
      </c>
      <c r="F21" s="90">
        <v>62.831853070000001</v>
      </c>
      <c r="G21" s="89">
        <f t="shared" si="0"/>
        <v>157.07963267051036</v>
      </c>
      <c r="H21" s="89">
        <f>F21*C21/360</f>
        <v>31.415926535000001</v>
      </c>
    </row>
    <row r="22" spans="2:8" x14ac:dyDescent="0.35">
      <c r="B22" s="90">
        <v>10</v>
      </c>
      <c r="C22" s="89">
        <f>360/(F22/H22)</f>
        <v>179.99999999485524</v>
      </c>
      <c r="D22" s="89">
        <f>2*B22</f>
        <v>20</v>
      </c>
      <c r="E22" s="89">
        <f>B22^2*PI()</f>
        <v>314.15926535897933</v>
      </c>
      <c r="F22" s="89">
        <f>2*B22*PI()</f>
        <v>62.831853071795862</v>
      </c>
      <c r="G22" s="89">
        <f t="shared" si="0"/>
        <v>157.07963267500003</v>
      </c>
      <c r="H22" s="90">
        <v>31.415926535000001</v>
      </c>
    </row>
    <row r="23" spans="2:8" x14ac:dyDescent="0.35">
      <c r="B23" s="89">
        <f>D23/2</f>
        <v>10</v>
      </c>
      <c r="C23" s="89">
        <f>360/(F23/H23)</f>
        <v>179.99999999485524</v>
      </c>
      <c r="D23" s="90">
        <v>20</v>
      </c>
      <c r="E23" s="89">
        <f>B23^2*PI()</f>
        <v>314.15926535897933</v>
      </c>
      <c r="F23" s="89">
        <f>2*B23*PI()</f>
        <v>62.831853071795862</v>
      </c>
      <c r="G23" s="89">
        <f t="shared" si="0"/>
        <v>157.07963267500003</v>
      </c>
      <c r="H23" s="90">
        <v>31.415926535000001</v>
      </c>
    </row>
    <row r="24" spans="2:8" x14ac:dyDescent="0.35">
      <c r="B24" s="90">
        <v>10</v>
      </c>
      <c r="C24" s="89">
        <f>360/(E24/G24)</f>
        <v>179.99999999485527</v>
      </c>
      <c r="D24" s="89">
        <f>2*B24</f>
        <v>20</v>
      </c>
      <c r="E24" s="89">
        <f>B24^2*PI()</f>
        <v>314.15926535897933</v>
      </c>
      <c r="F24" s="89">
        <f>2*B24*PI()</f>
        <v>62.831853071795862</v>
      </c>
      <c r="G24" s="90">
        <v>157.07963267500003</v>
      </c>
      <c r="H24" s="89">
        <f>F24*C24/360</f>
        <v>31.415926535000008</v>
      </c>
    </row>
    <row r="25" spans="2:8" x14ac:dyDescent="0.35">
      <c r="B25" s="89">
        <f>D25/2</f>
        <v>10</v>
      </c>
      <c r="C25" s="89">
        <f>360/(E25/G25)</f>
        <v>179.99999999485527</v>
      </c>
      <c r="D25" s="90">
        <v>20</v>
      </c>
      <c r="E25" s="89">
        <f>B25^2*PI()</f>
        <v>314.15926535897933</v>
      </c>
      <c r="F25" s="89">
        <f>2*B25*PI()</f>
        <v>62.831853071795862</v>
      </c>
      <c r="G25" s="90">
        <v>157.07963267500003</v>
      </c>
      <c r="H25" s="89">
        <f>F25*C25/360</f>
        <v>31.415926535000008</v>
      </c>
    </row>
    <row r="29" spans="2:8" ht="18.5" x14ac:dyDescent="0.45">
      <c r="B29" s="87" t="s">
        <v>130</v>
      </c>
    </row>
    <row r="30" spans="2:8" x14ac:dyDescent="0.35">
      <c r="B30" s="88" t="s">
        <v>135</v>
      </c>
      <c r="C30" s="88" t="s">
        <v>134</v>
      </c>
      <c r="D30" s="88" t="s">
        <v>131</v>
      </c>
      <c r="E30" s="101" t="s">
        <v>132</v>
      </c>
      <c r="F30" s="102" t="s">
        <v>133</v>
      </c>
      <c r="G30" s="101" t="s">
        <v>136</v>
      </c>
    </row>
    <row r="31" spans="2:8" x14ac:dyDescent="0.35">
      <c r="B31" s="90"/>
      <c r="C31" s="90"/>
      <c r="D31" s="103"/>
      <c r="E31" s="103"/>
      <c r="F31" s="103"/>
      <c r="G31" s="103"/>
    </row>
    <row r="32" spans="2:8" x14ac:dyDescent="0.35">
      <c r="B32" s="90"/>
      <c r="C32" s="89"/>
      <c r="D32" s="90"/>
      <c r="E32" s="89"/>
      <c r="F32" s="89"/>
      <c r="G32" s="89"/>
    </row>
    <row r="33" spans="2:7" x14ac:dyDescent="0.35">
      <c r="B33" s="90"/>
      <c r="C33" s="89"/>
      <c r="D33" s="89"/>
      <c r="E33" s="90"/>
      <c r="F33" s="89"/>
      <c r="G33" s="89"/>
    </row>
    <row r="34" spans="2:7" x14ac:dyDescent="0.35">
      <c r="B34" s="90"/>
      <c r="C34" s="89"/>
      <c r="D34" s="89"/>
      <c r="E34" s="89"/>
      <c r="F34" s="90"/>
      <c r="G34" s="89"/>
    </row>
    <row r="35" spans="2:7" x14ac:dyDescent="0.35">
      <c r="B35" s="90"/>
      <c r="C35" s="89"/>
      <c r="D35" s="89"/>
      <c r="E35" s="89"/>
      <c r="F35" s="89"/>
      <c r="G35" s="90"/>
    </row>
    <row r="36" spans="2:7" x14ac:dyDescent="0.35">
      <c r="B36" s="89"/>
      <c r="C36" s="90"/>
      <c r="D36" s="90"/>
      <c r="E36" s="89"/>
      <c r="F36" s="89"/>
      <c r="G36" s="89"/>
    </row>
    <row r="37" spans="2:7" x14ac:dyDescent="0.35">
      <c r="B37" s="89"/>
      <c r="C37" s="90"/>
      <c r="D37" s="89"/>
      <c r="E37" s="90"/>
      <c r="F37" s="89"/>
      <c r="G37" s="89"/>
    </row>
    <row r="38" spans="2:7" x14ac:dyDescent="0.35">
      <c r="B38" s="89"/>
      <c r="C38" s="90"/>
      <c r="D38" s="89"/>
      <c r="E38" s="89"/>
      <c r="F38" s="90"/>
      <c r="G38" s="89"/>
    </row>
    <row r="39" spans="2:7" x14ac:dyDescent="0.35">
      <c r="B39" s="89"/>
      <c r="C39" s="90"/>
      <c r="D39" s="89"/>
      <c r="E39" s="89"/>
      <c r="F39" s="89"/>
      <c r="G39" s="90"/>
    </row>
    <row r="40" spans="2:7" x14ac:dyDescent="0.35">
      <c r="B40" s="89"/>
      <c r="C40" s="89"/>
      <c r="D40" s="90"/>
      <c r="E40" s="90"/>
      <c r="F40" s="89"/>
      <c r="G40" s="89"/>
    </row>
    <row r="41" spans="2:7" x14ac:dyDescent="0.35">
      <c r="B41" s="89"/>
      <c r="C41" s="89"/>
      <c r="D41" s="90"/>
      <c r="E41" s="89"/>
      <c r="F41" s="90"/>
      <c r="G41" s="89"/>
    </row>
    <row r="42" spans="2:7" x14ac:dyDescent="0.35">
      <c r="B42" s="89"/>
      <c r="C42" s="89"/>
      <c r="D42" s="90"/>
      <c r="E42" s="89"/>
      <c r="F42" s="89"/>
      <c r="G42" s="90"/>
    </row>
    <row r="43" spans="2:7" x14ac:dyDescent="0.35">
      <c r="B43" s="104"/>
      <c r="C43" s="104"/>
      <c r="D43" s="104"/>
      <c r="E43" s="90"/>
      <c r="F43" s="90"/>
      <c r="G43" s="104"/>
    </row>
    <row r="44" spans="2:7" x14ac:dyDescent="0.35">
      <c r="B44" s="89"/>
      <c r="C44" s="89"/>
      <c r="D44" s="89"/>
      <c r="E44" s="90"/>
      <c r="F44" s="89"/>
      <c r="G44" s="90"/>
    </row>
    <row r="45" spans="2:7" x14ac:dyDescent="0.35">
      <c r="B45" s="89"/>
      <c r="C45" s="89"/>
      <c r="D45" s="89"/>
      <c r="E45" s="89"/>
      <c r="F45" s="90"/>
      <c r="G45" s="90"/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1" t="s">
        <v>26</v>
      </c>
      <c r="D4" s="252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3" t="s">
        <v>27</v>
      </c>
      <c r="D5" s="254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49" t="s">
        <v>1</v>
      </c>
      <c r="D8" s="250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47" t="s">
        <v>24</v>
      </c>
      <c r="D9" s="247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48" t="s">
        <v>29</v>
      </c>
      <c r="D10" s="248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48" t="s">
        <v>56</v>
      </c>
      <c r="D11" s="248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1" t="s">
        <v>105</v>
      </c>
    </row>
    <row r="5" spans="1:19" ht="15" thickBot="1" x14ac:dyDescent="0.4"/>
    <row r="6" spans="1:19" ht="29" customHeight="1" thickBot="1" x14ac:dyDescent="0.4">
      <c r="C6" s="263" t="str">
        <f>$O$8</f>
        <v>Anfangs-Geschwindigkeit</v>
      </c>
      <c r="D6" s="264"/>
      <c r="E6" s="267" t="str">
        <f>$O$9</f>
        <v>Geschwindigkeit</v>
      </c>
      <c r="F6" s="264"/>
      <c r="G6" s="267" t="str">
        <f>$O$10</f>
        <v>Strecke</v>
      </c>
      <c r="H6" s="264"/>
      <c r="I6" s="267" t="str">
        <f>$O$11</f>
        <v>Zeit</v>
      </c>
      <c r="J6" s="264"/>
      <c r="K6" s="267" t="str">
        <f>$O$12</f>
        <v>Beschleunigung</v>
      </c>
      <c r="L6" s="268"/>
    </row>
    <row r="7" spans="1:19" ht="15" thickBot="1" x14ac:dyDescent="0.4">
      <c r="B7" s="28" t="s">
        <v>43</v>
      </c>
      <c r="C7" s="265" t="str">
        <f>$P$8</f>
        <v>v0 [m/s]</v>
      </c>
      <c r="D7" s="266"/>
      <c r="E7" s="269" t="str">
        <f>$P$9</f>
        <v>v [m/s]</v>
      </c>
      <c r="F7" s="266"/>
      <c r="G7" s="269" t="str">
        <f>$P$10</f>
        <v>s [m]</v>
      </c>
      <c r="H7" s="266"/>
      <c r="I7" s="269" t="str">
        <f>$P$11</f>
        <v>t [s]</v>
      </c>
      <c r="J7" s="266"/>
      <c r="K7" s="269" t="str">
        <f>$P$12</f>
        <v>a [m/s2]</v>
      </c>
      <c r="L7" s="270"/>
      <c r="O7" s="76"/>
      <c r="S7" s="60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71">
        <v>119</v>
      </c>
      <c r="H8" s="276"/>
      <c r="I8" s="271">
        <v>7</v>
      </c>
      <c r="J8" s="276"/>
      <c r="K8" s="271">
        <v>2</v>
      </c>
      <c r="L8" s="272"/>
      <c r="N8" s="82" t="s">
        <v>104</v>
      </c>
      <c r="O8" s="76" t="s">
        <v>94</v>
      </c>
      <c r="P8" s="76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2" t="s">
        <v>57</v>
      </c>
      <c r="D9" s="31">
        <f>E9-K9*I9</f>
        <v>10</v>
      </c>
      <c r="E9" s="273">
        <v>24</v>
      </c>
      <c r="F9" s="277"/>
      <c r="G9" s="31" t="s">
        <v>83</v>
      </c>
      <c r="H9" s="31">
        <f>E9*I9 - K9*I9^2/2</f>
        <v>119</v>
      </c>
      <c r="I9" s="273">
        <v>7</v>
      </c>
      <c r="J9" s="277"/>
      <c r="K9" s="273">
        <v>2</v>
      </c>
      <c r="L9" s="274"/>
      <c r="N9" s="82" t="s">
        <v>104</v>
      </c>
      <c r="O9" s="76" t="s">
        <v>37</v>
      </c>
      <c r="P9" s="76" t="s">
        <v>41</v>
      </c>
      <c r="Q9" s="52">
        <f>IF(N9=$Q$3,2,0)</f>
        <v>2</v>
      </c>
      <c r="R9" s="52"/>
      <c r="S9" s="70"/>
    </row>
    <row r="10" spans="1:19" ht="38" customHeight="1" x14ac:dyDescent="0.35">
      <c r="A10">
        <v>22</v>
      </c>
      <c r="B10" s="30" t="s">
        <v>46</v>
      </c>
      <c r="C10" s="73" t="s">
        <v>86</v>
      </c>
      <c r="D10" s="31">
        <f>SQRT(E10^2 - 2*K10*G10)</f>
        <v>10</v>
      </c>
      <c r="E10" s="273">
        <v>24</v>
      </c>
      <c r="F10" s="277"/>
      <c r="G10" s="273">
        <v>119</v>
      </c>
      <c r="H10" s="277"/>
      <c r="I10" s="31" t="s">
        <v>84</v>
      </c>
      <c r="J10" s="31">
        <f>(E10 - SQRT(E10^2 - 2*K10*G10))/K10</f>
        <v>7</v>
      </c>
      <c r="K10" s="273">
        <v>2</v>
      </c>
      <c r="L10" s="274"/>
      <c r="N10" s="82" t="s">
        <v>104</v>
      </c>
      <c r="O10" s="76" t="s">
        <v>38</v>
      </c>
      <c r="P10" s="76" t="s">
        <v>42</v>
      </c>
      <c r="Q10" s="52">
        <f>IF(N10=$Q$3,4,0)</f>
        <v>4</v>
      </c>
      <c r="R10" s="70"/>
      <c r="S10" s="70"/>
    </row>
    <row r="11" spans="1:19" ht="38" customHeight="1" x14ac:dyDescent="0.35">
      <c r="A11">
        <v>14</v>
      </c>
      <c r="B11" s="30" t="s">
        <v>47</v>
      </c>
      <c r="C11" s="73" t="s">
        <v>87</v>
      </c>
      <c r="D11" s="31">
        <f>2*G11/I11 - E11</f>
        <v>10</v>
      </c>
      <c r="E11" s="273">
        <v>24</v>
      </c>
      <c r="F11" s="277"/>
      <c r="G11" s="273">
        <v>119</v>
      </c>
      <c r="H11" s="277"/>
      <c r="I11" s="273">
        <v>7</v>
      </c>
      <c r="J11" s="277"/>
      <c r="K11" s="31" t="s">
        <v>85</v>
      </c>
      <c r="L11" s="45">
        <f xml:space="preserve"> 2/I11 * (E11 - G11/I11)</f>
        <v>2</v>
      </c>
      <c r="N11" s="82" t="s">
        <v>105</v>
      </c>
      <c r="O11" s="76" t="s">
        <v>39</v>
      </c>
      <c r="P11" s="76" t="s">
        <v>24</v>
      </c>
      <c r="Q11" s="52">
        <f>IF(N11=$Q$3,8,0)</f>
        <v>0</v>
      </c>
      <c r="R11" s="70"/>
      <c r="S11" s="70"/>
    </row>
    <row r="12" spans="1:19" s="34" customFormat="1" ht="38" customHeight="1" x14ac:dyDescent="0.35">
      <c r="A12" s="34">
        <v>25</v>
      </c>
      <c r="B12" s="30" t="s">
        <v>48</v>
      </c>
      <c r="C12" s="279">
        <v>10</v>
      </c>
      <c r="D12" s="277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73">
        <v>7</v>
      </c>
      <c r="J12" s="277"/>
      <c r="K12" s="273">
        <v>2</v>
      </c>
      <c r="L12" s="274"/>
      <c r="N12" s="82" t="s">
        <v>105</v>
      </c>
      <c r="O12" s="76" t="s">
        <v>40</v>
      </c>
      <c r="P12" s="76" t="s">
        <v>65</v>
      </c>
      <c r="Q12" s="52">
        <f>IF(N12=$Q$3,16,0)</f>
        <v>0</v>
      </c>
      <c r="R12" s="70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79">
        <v>10</v>
      </c>
      <c r="D13" s="277"/>
      <c r="E13" s="31" t="s">
        <v>88</v>
      </c>
      <c r="F13" s="31">
        <f>SQRT(C13^2 + 2*K13*G13)</f>
        <v>24</v>
      </c>
      <c r="G13" s="273">
        <v>119</v>
      </c>
      <c r="H13" s="277"/>
      <c r="I13" s="37" t="s">
        <v>62</v>
      </c>
      <c r="J13" s="31">
        <f xml:space="preserve"> (-C13 + SQRT(C13^2 + 2*K13*G13))/K13</f>
        <v>7</v>
      </c>
      <c r="K13" s="275">
        <v>2</v>
      </c>
      <c r="L13" s="274"/>
      <c r="O13" s="76" t="s">
        <v>97</v>
      </c>
      <c r="P13" s="77" t="s">
        <v>103</v>
      </c>
    </row>
    <row r="14" spans="1:19" ht="38" customHeight="1" x14ac:dyDescent="0.35">
      <c r="A14">
        <v>13</v>
      </c>
      <c r="B14" s="30" t="s">
        <v>49</v>
      </c>
      <c r="C14" s="279">
        <v>10</v>
      </c>
      <c r="D14" s="277"/>
      <c r="E14" s="31" t="s">
        <v>89</v>
      </c>
      <c r="F14" s="31">
        <f>2*G14/I14 - C14</f>
        <v>24</v>
      </c>
      <c r="G14" s="273">
        <v>119</v>
      </c>
      <c r="H14" s="277"/>
      <c r="I14" s="273">
        <v>7</v>
      </c>
      <c r="J14" s="278"/>
      <c r="K14" s="83" t="s">
        <v>61</v>
      </c>
      <c r="L14" s="45">
        <f>2*((G14-C14*I14)/I14^2)</f>
        <v>2</v>
      </c>
      <c r="O14" s="76" t="s">
        <v>98</v>
      </c>
      <c r="P14" s="77" t="s">
        <v>102</v>
      </c>
    </row>
    <row r="15" spans="1:19" ht="38" customHeight="1" x14ac:dyDescent="0.35">
      <c r="A15">
        <v>19</v>
      </c>
      <c r="B15" s="30" t="s">
        <v>51</v>
      </c>
      <c r="C15" s="279">
        <v>10</v>
      </c>
      <c r="D15" s="277"/>
      <c r="E15" s="273">
        <v>24</v>
      </c>
      <c r="F15" s="277"/>
      <c r="G15" s="31" t="s">
        <v>90</v>
      </c>
      <c r="H15" s="31">
        <f>(E15^2 - C15^2)/(2*K15)</f>
        <v>119</v>
      </c>
      <c r="I15" s="74" t="s">
        <v>59</v>
      </c>
      <c r="J15" s="31">
        <f>(E15-C15)/K15</f>
        <v>7</v>
      </c>
      <c r="K15" s="273">
        <v>2</v>
      </c>
      <c r="L15" s="274"/>
      <c r="O15" s="76" t="s">
        <v>99</v>
      </c>
      <c r="P15" s="77" t="s">
        <v>100</v>
      </c>
    </row>
    <row r="16" spans="1:19" ht="38" customHeight="1" x14ac:dyDescent="0.35">
      <c r="A16">
        <v>11</v>
      </c>
      <c r="B16" s="30" t="s">
        <v>52</v>
      </c>
      <c r="C16" s="279">
        <v>10</v>
      </c>
      <c r="D16" s="277"/>
      <c r="E16" s="273">
        <v>24</v>
      </c>
      <c r="F16" s="277"/>
      <c r="G16" s="31" t="s">
        <v>91</v>
      </c>
      <c r="H16" s="31">
        <f>(C16+E16)*I16/2</f>
        <v>119</v>
      </c>
      <c r="I16" s="273">
        <v>7</v>
      </c>
      <c r="J16" s="277"/>
      <c r="K16" s="74" t="s">
        <v>58</v>
      </c>
      <c r="L16" s="45">
        <f>(E16-C16)/I16</f>
        <v>2</v>
      </c>
      <c r="O16" s="76" t="s">
        <v>39</v>
      </c>
      <c r="P16" s="77" t="s">
        <v>24</v>
      </c>
    </row>
    <row r="17" spans="1:16" ht="38" customHeight="1" thickBot="1" x14ac:dyDescent="0.4">
      <c r="A17">
        <v>7</v>
      </c>
      <c r="B17" s="75" t="s">
        <v>53</v>
      </c>
      <c r="C17" s="281">
        <v>10</v>
      </c>
      <c r="D17" s="280"/>
      <c r="E17" s="275">
        <v>24</v>
      </c>
      <c r="F17" s="280"/>
      <c r="G17" s="275">
        <v>119</v>
      </c>
      <c r="H17" s="280"/>
      <c r="I17" s="79" t="s">
        <v>92</v>
      </c>
      <c r="J17" s="79">
        <f>2*G17/(C17+E17)</f>
        <v>7</v>
      </c>
      <c r="K17" s="79" t="s">
        <v>93</v>
      </c>
      <c r="L17" s="80">
        <f>(E17^2 - C17^2)/(2*G17)</f>
        <v>2</v>
      </c>
      <c r="O17" s="76" t="s">
        <v>96</v>
      </c>
      <c r="P17" s="77" t="s">
        <v>101</v>
      </c>
    </row>
    <row r="18" spans="1:16" ht="15" thickBot="1" x14ac:dyDescent="0.4">
      <c r="B18" s="78" t="s">
        <v>43</v>
      </c>
      <c r="C18" s="259" t="str">
        <f>P13</f>
        <v>ω0 [rad/s]</v>
      </c>
      <c r="D18" s="260"/>
      <c r="E18" s="261" t="str">
        <f>P14</f>
        <v>ω [rad/s]</v>
      </c>
      <c r="F18" s="260"/>
      <c r="G18" s="261" t="str">
        <f>P15</f>
        <v>φ [rad]</v>
      </c>
      <c r="H18" s="260"/>
      <c r="I18" s="261" t="str">
        <f>P16</f>
        <v>t [s]</v>
      </c>
      <c r="J18" s="260"/>
      <c r="K18" s="261" t="str">
        <f>P17</f>
        <v>α [rad/s2]</v>
      </c>
      <c r="L18" s="262"/>
    </row>
    <row r="19" spans="1:16" ht="29" customHeight="1" thickBot="1" x14ac:dyDescent="0.4">
      <c r="C19" s="255" t="str">
        <f>O13</f>
        <v>Anfangs-Winkelgeschwindigkeit</v>
      </c>
      <c r="D19" s="256"/>
      <c r="E19" s="257" t="str">
        <f>O14</f>
        <v>Winkelgeschwindigkeit</v>
      </c>
      <c r="F19" s="256"/>
      <c r="G19" s="257" t="str">
        <f>O15</f>
        <v>Winkel</v>
      </c>
      <c r="H19" s="256"/>
      <c r="I19" s="257" t="str">
        <f>O16</f>
        <v>Zeit</v>
      </c>
      <c r="J19" s="256"/>
      <c r="K19" s="257" t="str">
        <f>O17</f>
        <v>Winkelbeschleunigung</v>
      </c>
      <c r="L19" s="258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BB20"/>
  <sheetViews>
    <sheetView showGridLines="0" zoomScale="70" zoomScaleNormal="70" workbookViewId="0">
      <selection activeCell="N13" sqref="N13"/>
    </sheetView>
  </sheetViews>
  <sheetFormatPr baseColWidth="10" defaultColWidth="10.81640625" defaultRowHeight="14.5" x14ac:dyDescent="0.35"/>
  <cols>
    <col min="3" max="9" width="13.81640625" customWidth="1"/>
    <col min="10" max="12" width="3.26953125" customWidth="1"/>
    <col min="13" max="13" width="31" customWidth="1"/>
    <col min="14" max="14" width="19.90625" customWidth="1"/>
    <col min="15" max="15" width="9.7265625" customWidth="1"/>
    <col min="16" max="16" width="6.36328125" customWidth="1"/>
    <col min="17" max="18" width="10" customWidth="1"/>
    <col min="19" max="54" width="6.36328125" customWidth="1"/>
  </cols>
  <sheetData>
    <row r="1" spans="3:54" ht="21.75" customHeight="1" x14ac:dyDescent="0.35"/>
    <row r="2" spans="3:54" ht="26" x14ac:dyDescent="0.6">
      <c r="C2" s="44" t="s">
        <v>68</v>
      </c>
    </row>
    <row r="4" spans="3:54" x14ac:dyDescent="0.35">
      <c r="U4" s="5"/>
      <c r="V4" s="5" t="s">
        <v>76</v>
      </c>
      <c r="W4" s="5"/>
      <c r="X4" s="5"/>
      <c r="Y4" s="5"/>
      <c r="Z4" s="5"/>
      <c r="AA4" s="5"/>
    </row>
    <row r="5" spans="3:54" x14ac:dyDescent="0.35">
      <c r="U5" s="5"/>
      <c r="V5" s="19" t="s">
        <v>80</v>
      </c>
      <c r="W5" s="304">
        <f>MAX(N15:N19)</f>
        <v>0.76604444311897812</v>
      </c>
      <c r="X5" s="5"/>
      <c r="Y5" s="5"/>
      <c r="Z5" s="5">
        <f>N12</f>
        <v>50</v>
      </c>
      <c r="AA5" s="5">
        <f>Z5</f>
        <v>50</v>
      </c>
    </row>
    <row r="6" spans="3:54" x14ac:dyDescent="0.35">
      <c r="U6" s="5"/>
      <c r="V6" s="19" t="s">
        <v>79</v>
      </c>
      <c r="W6" s="304">
        <f>MIN(N15:N19)</f>
        <v>-0.18793852415718165</v>
      </c>
      <c r="X6" s="5"/>
      <c r="Y6" s="5"/>
      <c r="Z6" s="5">
        <v>0</v>
      </c>
      <c r="AA6" s="5">
        <f>W7</f>
        <v>0.76604444311897812</v>
      </c>
    </row>
    <row r="7" spans="3:54" x14ac:dyDescent="0.35">
      <c r="M7" t="s">
        <v>320</v>
      </c>
      <c r="N7" t="s">
        <v>322</v>
      </c>
      <c r="U7" s="248" t="s">
        <v>81</v>
      </c>
      <c r="V7" s="248"/>
      <c r="W7" s="304">
        <f>IF(ABS(W5)&gt;ABS(W6),W5,W6)</f>
        <v>0.76604444311897812</v>
      </c>
      <c r="X7" s="5"/>
      <c r="Y7" s="5"/>
      <c r="Z7" s="5"/>
      <c r="AA7" s="5"/>
      <c r="AL7" s="5" t="s">
        <v>72</v>
      </c>
    </row>
    <row r="8" spans="3:54" ht="16" customHeight="1" x14ac:dyDescent="0.35">
      <c r="M8" s="134" t="s">
        <v>320</v>
      </c>
      <c r="N8" t="s">
        <v>321</v>
      </c>
      <c r="U8" s="1"/>
      <c r="V8" s="39"/>
      <c r="AL8" s="5" t="s">
        <v>73</v>
      </c>
    </row>
    <row r="9" spans="3:54" x14ac:dyDescent="0.35">
      <c r="M9" s="134" t="s">
        <v>324</v>
      </c>
      <c r="N9" t="s">
        <v>323</v>
      </c>
    </row>
    <row r="11" spans="3:54" ht="21" x14ac:dyDescent="0.35">
      <c r="C11" s="282"/>
      <c r="D11" s="282"/>
      <c r="E11" s="282"/>
      <c r="F11" s="282"/>
      <c r="G11" s="282"/>
      <c r="H11" s="282"/>
      <c r="I11" s="282"/>
      <c r="J11" s="47"/>
      <c r="K11" s="47"/>
      <c r="O11" s="43" t="s">
        <v>8</v>
      </c>
      <c r="P11" s="46">
        <v>10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3:54" s="34" customFormat="1" ht="21" x14ac:dyDescent="0.35">
      <c r="C12" s="283" t="s">
        <v>459</v>
      </c>
      <c r="D12" s="283"/>
      <c r="E12" s="283"/>
      <c r="F12" s="283"/>
      <c r="G12" s="283"/>
      <c r="H12" s="283"/>
      <c r="I12" s="283"/>
      <c r="J12" s="47"/>
      <c r="K12" s="47"/>
      <c r="M12" s="57" t="s">
        <v>453</v>
      </c>
      <c r="N12" s="38">
        <v>50</v>
      </c>
      <c r="O12" s="284" t="s">
        <v>71</v>
      </c>
      <c r="P12" s="38">
        <v>0</v>
      </c>
      <c r="Q12" s="71">
        <f>P12+$P$11</f>
        <v>10</v>
      </c>
      <c r="R12" s="71">
        <f t="shared" ref="R12:BB12" si="0">Q12+$P$11</f>
        <v>20</v>
      </c>
      <c r="S12" s="71">
        <f t="shared" si="0"/>
        <v>30</v>
      </c>
      <c r="T12" s="71">
        <f t="shared" si="0"/>
        <v>40</v>
      </c>
      <c r="U12" s="71">
        <f t="shared" si="0"/>
        <v>50</v>
      </c>
      <c r="V12" s="71">
        <f t="shared" si="0"/>
        <v>60</v>
      </c>
      <c r="W12" s="71">
        <f t="shared" si="0"/>
        <v>70</v>
      </c>
      <c r="X12" s="71">
        <f t="shared" si="0"/>
        <v>80</v>
      </c>
      <c r="Y12" s="71">
        <f t="shared" si="0"/>
        <v>90</v>
      </c>
      <c r="Z12" s="71">
        <f t="shared" si="0"/>
        <v>100</v>
      </c>
      <c r="AA12" s="71">
        <f t="shared" si="0"/>
        <v>110</v>
      </c>
      <c r="AB12" s="71">
        <f t="shared" si="0"/>
        <v>120</v>
      </c>
      <c r="AC12" s="71">
        <f t="shared" si="0"/>
        <v>130</v>
      </c>
      <c r="AD12" s="71">
        <f t="shared" si="0"/>
        <v>140</v>
      </c>
      <c r="AE12" s="71">
        <f t="shared" si="0"/>
        <v>150</v>
      </c>
      <c r="AF12" s="71">
        <f t="shared" si="0"/>
        <v>160</v>
      </c>
      <c r="AG12" s="71">
        <f t="shared" si="0"/>
        <v>170</v>
      </c>
      <c r="AH12" s="71">
        <f t="shared" si="0"/>
        <v>180</v>
      </c>
      <c r="AI12" s="71">
        <f t="shared" si="0"/>
        <v>190</v>
      </c>
      <c r="AJ12" s="71">
        <f t="shared" si="0"/>
        <v>200</v>
      </c>
      <c r="AK12" s="71">
        <f t="shared" si="0"/>
        <v>210</v>
      </c>
      <c r="AL12" s="71">
        <f t="shared" si="0"/>
        <v>220</v>
      </c>
      <c r="AM12" s="71">
        <f t="shared" si="0"/>
        <v>230</v>
      </c>
      <c r="AN12" s="71">
        <f t="shared" si="0"/>
        <v>240</v>
      </c>
      <c r="AO12" s="71">
        <f t="shared" si="0"/>
        <v>250</v>
      </c>
      <c r="AP12" s="71">
        <f t="shared" si="0"/>
        <v>260</v>
      </c>
      <c r="AQ12" s="71">
        <f t="shared" si="0"/>
        <v>270</v>
      </c>
      <c r="AR12" s="71">
        <f t="shared" si="0"/>
        <v>280</v>
      </c>
      <c r="AS12" s="71">
        <f t="shared" si="0"/>
        <v>290</v>
      </c>
      <c r="AT12" s="71">
        <f t="shared" si="0"/>
        <v>300</v>
      </c>
      <c r="AU12" s="71">
        <f t="shared" si="0"/>
        <v>310</v>
      </c>
      <c r="AV12" s="71">
        <f t="shared" si="0"/>
        <v>320</v>
      </c>
      <c r="AW12" s="71">
        <f t="shared" si="0"/>
        <v>330</v>
      </c>
      <c r="AX12" s="71">
        <f t="shared" si="0"/>
        <v>340</v>
      </c>
      <c r="AY12" s="71">
        <f t="shared" si="0"/>
        <v>350</v>
      </c>
      <c r="AZ12" s="71">
        <f t="shared" si="0"/>
        <v>360</v>
      </c>
      <c r="BA12" s="71">
        <f t="shared" si="0"/>
        <v>370</v>
      </c>
      <c r="BB12" s="71">
        <f t="shared" si="0"/>
        <v>380</v>
      </c>
    </row>
    <row r="13" spans="3:54" s="34" customFormat="1" ht="43.5" x14ac:dyDescent="0.35">
      <c r="C13" s="59" t="s">
        <v>74</v>
      </c>
      <c r="D13" s="59" t="s">
        <v>325</v>
      </c>
      <c r="E13" s="59" t="s">
        <v>457</v>
      </c>
      <c r="F13" s="59" t="s">
        <v>452</v>
      </c>
      <c r="G13" s="59" t="s">
        <v>455</v>
      </c>
      <c r="H13" s="59" t="s">
        <v>326</v>
      </c>
      <c r="I13" s="59" t="s">
        <v>327</v>
      </c>
      <c r="J13" s="60"/>
      <c r="K13" s="60"/>
      <c r="M13" s="68" t="s">
        <v>454</v>
      </c>
      <c r="N13" s="62">
        <f>PI()*N12/180</f>
        <v>0.87266462599716477</v>
      </c>
      <c r="O13" s="286"/>
      <c r="P13" s="61">
        <f>PI()*P12/180</f>
        <v>0</v>
      </c>
      <c r="Q13" s="61">
        <f t="shared" ref="Q13:BB13" si="1">PI()*Q12/180</f>
        <v>0.17453292519943295</v>
      </c>
      <c r="R13" s="61">
        <f t="shared" si="1"/>
        <v>0.3490658503988659</v>
      </c>
      <c r="S13" s="61">
        <f t="shared" si="1"/>
        <v>0.52359877559829882</v>
      </c>
      <c r="T13" s="61">
        <f t="shared" si="1"/>
        <v>0.69813170079773179</v>
      </c>
      <c r="U13" s="61">
        <f t="shared" si="1"/>
        <v>0.87266462599716477</v>
      </c>
      <c r="V13" s="61">
        <f t="shared" si="1"/>
        <v>1.0471975511965976</v>
      </c>
      <c r="W13" s="61">
        <f t="shared" si="1"/>
        <v>1.2217304763960306</v>
      </c>
      <c r="X13" s="61">
        <f t="shared" si="1"/>
        <v>1.3962634015954636</v>
      </c>
      <c r="Y13" s="61">
        <f t="shared" si="1"/>
        <v>1.5707963267948966</v>
      </c>
      <c r="Z13" s="61">
        <f t="shared" si="1"/>
        <v>1.7453292519943295</v>
      </c>
      <c r="AA13" s="61">
        <f t="shared" si="1"/>
        <v>1.9198621771937625</v>
      </c>
      <c r="AB13" s="61">
        <f t="shared" si="1"/>
        <v>2.0943951023931953</v>
      </c>
      <c r="AC13" s="61">
        <f t="shared" si="1"/>
        <v>2.2689280275926285</v>
      </c>
      <c r="AD13" s="61">
        <f t="shared" si="1"/>
        <v>2.4434609527920612</v>
      </c>
      <c r="AE13" s="61">
        <f t="shared" si="1"/>
        <v>2.6179938779914944</v>
      </c>
      <c r="AF13" s="61">
        <f t="shared" si="1"/>
        <v>2.7925268031909272</v>
      </c>
      <c r="AG13" s="61">
        <f t="shared" si="1"/>
        <v>2.9670597283903604</v>
      </c>
      <c r="AH13" s="61">
        <f t="shared" si="1"/>
        <v>3.1415926535897931</v>
      </c>
      <c r="AI13" s="61">
        <f t="shared" si="1"/>
        <v>3.3161255787892263</v>
      </c>
      <c r="AJ13" s="61">
        <f t="shared" si="1"/>
        <v>3.4906585039886591</v>
      </c>
      <c r="AK13" s="61">
        <f t="shared" si="1"/>
        <v>3.6651914291880923</v>
      </c>
      <c r="AL13" s="61">
        <f t="shared" si="1"/>
        <v>3.839724354387525</v>
      </c>
      <c r="AM13" s="61">
        <f t="shared" si="1"/>
        <v>4.0142572795869578</v>
      </c>
      <c r="AN13" s="61">
        <f t="shared" si="1"/>
        <v>4.1887902047863905</v>
      </c>
      <c r="AO13" s="61">
        <f t="shared" si="1"/>
        <v>4.3633231299858233</v>
      </c>
      <c r="AP13" s="61">
        <f t="shared" si="1"/>
        <v>4.5378560551852569</v>
      </c>
      <c r="AQ13" s="61">
        <f t="shared" si="1"/>
        <v>4.7123889803846897</v>
      </c>
      <c r="AR13" s="61">
        <f t="shared" si="1"/>
        <v>4.8869219055841224</v>
      </c>
      <c r="AS13" s="61">
        <f t="shared" si="1"/>
        <v>5.0614548307835552</v>
      </c>
      <c r="AT13" s="61">
        <f t="shared" si="1"/>
        <v>5.2359877559829888</v>
      </c>
      <c r="AU13" s="61">
        <f t="shared" si="1"/>
        <v>5.4105206811824216</v>
      </c>
      <c r="AV13" s="61">
        <f t="shared" si="1"/>
        <v>5.5850536063818543</v>
      </c>
      <c r="AW13" s="61">
        <f t="shared" si="1"/>
        <v>5.7595865315812871</v>
      </c>
      <c r="AX13" s="61">
        <f t="shared" si="1"/>
        <v>5.9341194567807207</v>
      </c>
      <c r="AY13" s="61">
        <f t="shared" si="1"/>
        <v>6.1086523819801526</v>
      </c>
      <c r="AZ13" s="61">
        <f t="shared" si="1"/>
        <v>6.2831853071795862</v>
      </c>
      <c r="BA13" s="61">
        <f t="shared" si="1"/>
        <v>6.457718232379019</v>
      </c>
      <c r="BB13" s="61">
        <f t="shared" si="1"/>
        <v>6.6322511575784526</v>
      </c>
    </row>
    <row r="14" spans="3:54" s="34" customFormat="1" x14ac:dyDescent="0.35">
      <c r="C14" s="59"/>
      <c r="D14" s="59"/>
      <c r="E14" s="59"/>
      <c r="F14" s="59"/>
      <c r="G14" s="59"/>
      <c r="H14" s="59"/>
      <c r="I14" s="59"/>
      <c r="J14" s="60"/>
      <c r="K14" s="60"/>
      <c r="M14" s="68" t="s">
        <v>458</v>
      </c>
      <c r="N14" s="293">
        <f>$F$19 * N12 / 360</f>
        <v>2.7777777777777779E-3</v>
      </c>
      <c r="O14" s="285"/>
      <c r="P14" s="292">
        <f>$F$19 * P12 / 360</f>
        <v>0</v>
      </c>
      <c r="Q14" s="292">
        <f t="shared" ref="Q14:BB14" si="2">$F$19 * Q12 / 360</f>
        <v>5.5555555555555556E-4</v>
      </c>
      <c r="R14" s="292">
        <f t="shared" si="2"/>
        <v>1.1111111111111111E-3</v>
      </c>
      <c r="S14" s="292">
        <f t="shared" si="2"/>
        <v>1.6666666666666666E-3</v>
      </c>
      <c r="T14" s="292">
        <f t="shared" si="2"/>
        <v>2.2222222222222222E-3</v>
      </c>
      <c r="U14" s="292">
        <f t="shared" si="2"/>
        <v>2.7777777777777779E-3</v>
      </c>
      <c r="V14" s="292">
        <f t="shared" si="2"/>
        <v>3.3333333333333331E-3</v>
      </c>
      <c r="W14" s="292">
        <f t="shared" si="2"/>
        <v>3.8888888888888892E-3</v>
      </c>
      <c r="X14" s="292">
        <f t="shared" si="2"/>
        <v>4.4444444444444444E-3</v>
      </c>
      <c r="Y14" s="292">
        <f t="shared" si="2"/>
        <v>5.0000000000000001E-3</v>
      </c>
      <c r="Z14" s="292">
        <f t="shared" si="2"/>
        <v>5.5555555555555558E-3</v>
      </c>
      <c r="AA14" s="292">
        <f t="shared" si="2"/>
        <v>6.1111111111111114E-3</v>
      </c>
      <c r="AB14" s="292">
        <f t="shared" si="2"/>
        <v>6.6666666666666662E-3</v>
      </c>
      <c r="AC14" s="292">
        <f t="shared" si="2"/>
        <v>7.2222222222222228E-3</v>
      </c>
      <c r="AD14" s="292">
        <f t="shared" si="2"/>
        <v>7.7777777777777784E-3</v>
      </c>
      <c r="AE14" s="292">
        <f t="shared" si="2"/>
        <v>8.3333333333333332E-3</v>
      </c>
      <c r="AF14" s="292">
        <f t="shared" si="2"/>
        <v>8.8888888888888889E-3</v>
      </c>
      <c r="AG14" s="292">
        <f t="shared" si="2"/>
        <v>9.4444444444444445E-3</v>
      </c>
      <c r="AH14" s="292">
        <f t="shared" si="2"/>
        <v>0.01</v>
      </c>
      <c r="AI14" s="292">
        <f t="shared" si="2"/>
        <v>1.0555555555555556E-2</v>
      </c>
      <c r="AJ14" s="292">
        <f t="shared" si="2"/>
        <v>1.1111111111111112E-2</v>
      </c>
      <c r="AK14" s="292">
        <f t="shared" si="2"/>
        <v>1.1666666666666667E-2</v>
      </c>
      <c r="AL14" s="292">
        <f t="shared" si="2"/>
        <v>1.2222222222222223E-2</v>
      </c>
      <c r="AM14" s="292">
        <f t="shared" si="2"/>
        <v>1.2777777777777779E-2</v>
      </c>
      <c r="AN14" s="292">
        <f t="shared" si="2"/>
        <v>1.3333333333333332E-2</v>
      </c>
      <c r="AO14" s="292">
        <f t="shared" si="2"/>
        <v>1.3888888888888888E-2</v>
      </c>
      <c r="AP14" s="292">
        <f t="shared" si="2"/>
        <v>1.4444444444444446E-2</v>
      </c>
      <c r="AQ14" s="292">
        <f t="shared" si="2"/>
        <v>1.5000000000000001E-2</v>
      </c>
      <c r="AR14" s="292">
        <f t="shared" si="2"/>
        <v>1.5555555555555557E-2</v>
      </c>
      <c r="AS14" s="292">
        <f t="shared" si="2"/>
        <v>1.6111111111111111E-2</v>
      </c>
      <c r="AT14" s="292">
        <f t="shared" si="2"/>
        <v>1.6666666666666666E-2</v>
      </c>
      <c r="AU14" s="292">
        <f t="shared" si="2"/>
        <v>1.7222222222222222E-2</v>
      </c>
      <c r="AV14" s="292">
        <f t="shared" si="2"/>
        <v>1.7777777777777778E-2</v>
      </c>
      <c r="AW14" s="292">
        <f t="shared" si="2"/>
        <v>1.8333333333333333E-2</v>
      </c>
      <c r="AX14" s="292">
        <f t="shared" si="2"/>
        <v>1.8888888888888889E-2</v>
      </c>
      <c r="AY14" s="292">
        <f t="shared" si="2"/>
        <v>1.9444444444444445E-2</v>
      </c>
      <c r="AZ14" s="292">
        <f t="shared" si="2"/>
        <v>0.02</v>
      </c>
      <c r="BA14" s="292">
        <f t="shared" si="2"/>
        <v>2.0555555555555556E-2</v>
      </c>
      <c r="BB14" s="292">
        <f t="shared" si="2"/>
        <v>2.1111111111111112E-2</v>
      </c>
    </row>
    <row r="15" spans="3:54" x14ac:dyDescent="0.35">
      <c r="C15" s="42">
        <v>1</v>
      </c>
      <c r="D15" s="42">
        <v>50</v>
      </c>
      <c r="E15" s="294">
        <f>D15/$D$19</f>
        <v>1</v>
      </c>
      <c r="F15" s="294">
        <f>1/D15</f>
        <v>0.02</v>
      </c>
      <c r="G15" s="294">
        <f>2*PI()*D15</f>
        <v>314.15926535897933</v>
      </c>
      <c r="H15" s="42">
        <v>0</v>
      </c>
      <c r="I15" s="297">
        <f>PI()*H15/180</f>
        <v>0</v>
      </c>
      <c r="J15" s="56"/>
      <c r="K15" s="56"/>
      <c r="M15" s="63" t="str">
        <f>_xlfn.CONCAT("y0 = ",IF(C15&lt;&gt;1,_xlfn.CONCAT(ROUND(C15,2)," *"),"")," sin(2*pi * ",IF(D15&lt;&gt;1,_xlfn.CONCAT(ROUND(D15,2),"Hz"),"")," * t ",IF(H15&lt;&gt;0,_xlfn.CONCAT(" + ",ROUND(H15,2),"°"),""),") = ")</f>
        <v xml:space="preserve">y0 =  sin(2*pi * 50Hz * t ) = </v>
      </c>
      <c r="N15" s="299">
        <f>IF($O$15=$AL$7,$C$15*SIN($G$15*N14 + $E$15*$I$15),"")</f>
        <v>0.76604444311897812</v>
      </c>
      <c r="O15" s="48" t="s">
        <v>72</v>
      </c>
      <c r="P15" s="54">
        <f>IF($O$15=$AL$7,$C$15*SIN($G$15*P14 + $E$15*$I$15),"")</f>
        <v>0</v>
      </c>
      <c r="Q15" s="54">
        <f t="shared" ref="Q15:BB15" si="3">IF($O$15=$AL$7,$C$15*SIN($G$15*Q14 + $E$15*$I$15),"")</f>
        <v>0.17364817766693033</v>
      </c>
      <c r="R15" s="54">
        <f t="shared" si="3"/>
        <v>0.34202014332566871</v>
      </c>
      <c r="S15" s="54">
        <f t="shared" si="3"/>
        <v>0.49999999999999994</v>
      </c>
      <c r="T15" s="54">
        <f t="shared" si="3"/>
        <v>0.64278760968653925</v>
      </c>
      <c r="U15" s="54">
        <f t="shared" si="3"/>
        <v>0.76604444311897812</v>
      </c>
      <c r="V15" s="54">
        <f t="shared" si="3"/>
        <v>0.8660254037844386</v>
      </c>
      <c r="W15" s="54">
        <f t="shared" si="3"/>
        <v>0.93969262078590843</v>
      </c>
      <c r="X15" s="54">
        <f t="shared" si="3"/>
        <v>0.98480775301220802</v>
      </c>
      <c r="Y15" s="54">
        <f t="shared" si="3"/>
        <v>1</v>
      </c>
      <c r="Z15" s="54">
        <f t="shared" si="3"/>
        <v>0.98480775301220802</v>
      </c>
      <c r="AA15" s="54">
        <f t="shared" si="3"/>
        <v>0.93969262078590832</v>
      </c>
      <c r="AB15" s="54">
        <f t="shared" si="3"/>
        <v>0.86602540378443871</v>
      </c>
      <c r="AC15" s="54">
        <f t="shared" si="3"/>
        <v>0.76604444311897801</v>
      </c>
      <c r="AD15" s="54">
        <f t="shared" si="3"/>
        <v>0.64278760968653914</v>
      </c>
      <c r="AE15" s="54">
        <f t="shared" si="3"/>
        <v>0.49999999999999994</v>
      </c>
      <c r="AF15" s="54">
        <f t="shared" si="3"/>
        <v>0.34202014332566888</v>
      </c>
      <c r="AG15" s="54">
        <f t="shared" si="3"/>
        <v>0.17364817766693028</v>
      </c>
      <c r="AH15" s="54">
        <f t="shared" si="3"/>
        <v>1.22514845490862E-16</v>
      </c>
      <c r="AI15" s="54">
        <f t="shared" si="3"/>
        <v>-0.17364817766693047</v>
      </c>
      <c r="AJ15" s="54">
        <f t="shared" si="3"/>
        <v>-0.34202014332566905</v>
      </c>
      <c r="AK15" s="54">
        <f t="shared" si="3"/>
        <v>-0.50000000000000011</v>
      </c>
      <c r="AL15" s="54">
        <f t="shared" si="3"/>
        <v>-0.64278760968653958</v>
      </c>
      <c r="AM15" s="54">
        <f t="shared" si="3"/>
        <v>-0.76604444311897846</v>
      </c>
      <c r="AN15" s="54">
        <f t="shared" si="3"/>
        <v>-0.86602540378443837</v>
      </c>
      <c r="AO15" s="54">
        <f t="shared" si="3"/>
        <v>-0.93969262078590843</v>
      </c>
      <c r="AP15" s="54">
        <f t="shared" si="3"/>
        <v>-0.98480775301220802</v>
      </c>
      <c r="AQ15" s="54">
        <f t="shared" si="3"/>
        <v>-1</v>
      </c>
      <c r="AR15" s="54">
        <f t="shared" si="3"/>
        <v>-0.98480775301220802</v>
      </c>
      <c r="AS15" s="54">
        <f t="shared" si="3"/>
        <v>-0.93969262078590832</v>
      </c>
      <c r="AT15" s="54">
        <f t="shared" si="3"/>
        <v>-0.8660254037844386</v>
      </c>
      <c r="AU15" s="54">
        <f t="shared" si="3"/>
        <v>-0.76604444311897812</v>
      </c>
      <c r="AV15" s="54">
        <f t="shared" si="3"/>
        <v>-0.64278760968653958</v>
      </c>
      <c r="AW15" s="54">
        <f t="shared" si="3"/>
        <v>-0.49999999999999967</v>
      </c>
      <c r="AX15" s="54">
        <f t="shared" si="3"/>
        <v>-0.3420201433256686</v>
      </c>
      <c r="AY15" s="54">
        <f t="shared" si="3"/>
        <v>-0.17364817766693039</v>
      </c>
      <c r="AZ15" s="54">
        <f t="shared" si="3"/>
        <v>-2.45029690981724E-16</v>
      </c>
      <c r="BA15" s="54">
        <f t="shared" si="3"/>
        <v>0.17364817766693078</v>
      </c>
      <c r="BB15" s="54">
        <f t="shared" si="3"/>
        <v>0.34202014332566893</v>
      </c>
    </row>
    <row r="16" spans="3:54" x14ac:dyDescent="0.35">
      <c r="C16" s="42">
        <f>1/3</f>
        <v>0.33333333333333331</v>
      </c>
      <c r="D16" s="42">
        <f>3*D15</f>
        <v>150</v>
      </c>
      <c r="E16" s="294">
        <f t="shared" ref="E16:E18" si="4">D16/$D$19</f>
        <v>3</v>
      </c>
      <c r="F16" s="294">
        <f t="shared" ref="F16:F18" si="5">1/D16</f>
        <v>6.6666666666666671E-3</v>
      </c>
      <c r="G16" s="294">
        <f t="shared" ref="G16:G18" si="6">2*PI()*D16</f>
        <v>942.47779607693792</v>
      </c>
      <c r="H16" s="42">
        <v>0</v>
      </c>
      <c r="I16" s="297">
        <f>PI()*H16/180</f>
        <v>0</v>
      </c>
      <c r="J16" s="56"/>
      <c r="K16" s="56"/>
      <c r="M16" s="64" t="str">
        <f>_xlfn.CONCAT("y1 = ",IF(C16&lt;&gt;1,_xlfn.CONCAT(ROUND(C16,2)," *"),"")," sin(2*pi * ",IF(D16&lt;&gt;1,_xlfn.CONCAT(ROUND(D16,2),"Hz"),"")," * t ",IF(H16&lt;&gt;0,_xlfn.CONCAT(" + ",ROUND(H16,2),"°"),""),") = ")</f>
        <v xml:space="preserve">y1 = 0.33 * sin(2*pi * 150Hz * t ) = </v>
      </c>
      <c r="N16" s="300">
        <f>IF($O$16=$AL$7,$C$16*SIN($G$16*N14 + $E$16*$I$16),"")</f>
        <v>0.16666666666666663</v>
      </c>
      <c r="O16" s="49" t="s">
        <v>72</v>
      </c>
      <c r="P16" s="54">
        <f>IF($O$16=$AL$7,$C$16*SIN($G$16*P14 + $E$16*$I$16),"")</f>
        <v>0</v>
      </c>
      <c r="Q16" s="54">
        <f t="shared" ref="Q16:BB16" si="7">IF($O$16=$AL$7,$C$16*SIN($G$16*Q14 + $E$16*$I$16),"")</f>
        <v>0.16666666666666663</v>
      </c>
      <c r="R16" s="54">
        <f t="shared" si="7"/>
        <v>0.28867513459481287</v>
      </c>
      <c r="S16" s="54">
        <f t="shared" si="7"/>
        <v>0.33333333333333331</v>
      </c>
      <c r="T16" s="54">
        <f t="shared" si="7"/>
        <v>0.28867513459481287</v>
      </c>
      <c r="U16" s="54">
        <f t="shared" si="7"/>
        <v>0.16666666666666663</v>
      </c>
      <c r="V16" s="54">
        <f t="shared" si="7"/>
        <v>1.8886801844697487E-16</v>
      </c>
      <c r="W16" s="54">
        <f t="shared" si="7"/>
        <v>-0.16666666666666669</v>
      </c>
      <c r="X16" s="54">
        <f t="shared" si="7"/>
        <v>-0.28867513459481275</v>
      </c>
      <c r="Y16" s="54">
        <f t="shared" si="7"/>
        <v>-0.33333333333333331</v>
      </c>
      <c r="Z16" s="54">
        <f t="shared" si="7"/>
        <v>-0.28867513459481287</v>
      </c>
      <c r="AA16" s="54">
        <f t="shared" si="7"/>
        <v>-0.16666666666666655</v>
      </c>
      <c r="AB16" s="54">
        <f t="shared" si="7"/>
        <v>-3.7773603689394974E-16</v>
      </c>
      <c r="AC16" s="54">
        <f t="shared" si="7"/>
        <v>0.16666666666666666</v>
      </c>
      <c r="AD16" s="54">
        <f t="shared" si="7"/>
        <v>0.28867513459481292</v>
      </c>
      <c r="AE16" s="54">
        <f t="shared" si="7"/>
        <v>0.33333333333333331</v>
      </c>
      <c r="AF16" s="54">
        <f t="shared" si="7"/>
        <v>0.28867513459481303</v>
      </c>
      <c r="AG16" s="54">
        <f t="shared" si="7"/>
        <v>0.16666666666666657</v>
      </c>
      <c r="AH16" s="54">
        <f t="shared" si="7"/>
        <v>1.22514845490862E-16</v>
      </c>
      <c r="AI16" s="54">
        <f t="shared" si="7"/>
        <v>-0.16666666666666638</v>
      </c>
      <c r="AJ16" s="54">
        <f t="shared" si="7"/>
        <v>-0.28867513459481287</v>
      </c>
      <c r="AK16" s="54">
        <f t="shared" si="7"/>
        <v>-0.33333333333333331</v>
      </c>
      <c r="AL16" s="54">
        <f t="shared" si="7"/>
        <v>-0.28867513459481275</v>
      </c>
      <c r="AM16" s="54">
        <f t="shared" si="7"/>
        <v>-0.16666666666666663</v>
      </c>
      <c r="AN16" s="54">
        <f t="shared" si="7"/>
        <v>-7.5547207378789949E-16</v>
      </c>
      <c r="AO16" s="54">
        <f t="shared" si="7"/>
        <v>0.16666666666666635</v>
      </c>
      <c r="AP16" s="54">
        <f t="shared" si="7"/>
        <v>0.28867513459481287</v>
      </c>
      <c r="AQ16" s="54">
        <f t="shared" si="7"/>
        <v>0.33333333333333331</v>
      </c>
      <c r="AR16" s="54">
        <f t="shared" si="7"/>
        <v>0.28867513459481275</v>
      </c>
      <c r="AS16" s="54">
        <f t="shared" si="7"/>
        <v>0.16666666666666718</v>
      </c>
      <c r="AT16" s="54">
        <f t="shared" si="7"/>
        <v>2.0419140915143666E-16</v>
      </c>
      <c r="AU16" s="54">
        <f t="shared" si="7"/>
        <v>-0.1666666666666663</v>
      </c>
      <c r="AV16" s="54">
        <f t="shared" si="7"/>
        <v>-0.28867513459481253</v>
      </c>
      <c r="AW16" s="54">
        <f t="shared" si="7"/>
        <v>-0.33333333333333331</v>
      </c>
      <c r="AX16" s="54">
        <f t="shared" si="7"/>
        <v>-0.28867513459481275</v>
      </c>
      <c r="AY16" s="54">
        <f t="shared" si="7"/>
        <v>-0.16666666666666669</v>
      </c>
      <c r="AZ16" s="54">
        <f t="shared" si="7"/>
        <v>-2.45029690981724E-16</v>
      </c>
      <c r="BA16" s="54">
        <f t="shared" si="7"/>
        <v>0.16666666666666627</v>
      </c>
      <c r="BB16" s="54">
        <f t="shared" si="7"/>
        <v>0.28867513459481253</v>
      </c>
    </row>
    <row r="17" spans="3:54" x14ac:dyDescent="0.35">
      <c r="C17" s="42">
        <f>1/5</f>
        <v>0.2</v>
      </c>
      <c r="D17" s="42">
        <f>5*D15</f>
        <v>250</v>
      </c>
      <c r="E17" s="294">
        <f t="shared" si="4"/>
        <v>5</v>
      </c>
      <c r="F17" s="294">
        <f t="shared" si="5"/>
        <v>4.0000000000000001E-3</v>
      </c>
      <c r="G17" s="294">
        <f t="shared" si="6"/>
        <v>1570.7963267948965</v>
      </c>
      <c r="H17" s="42">
        <v>0</v>
      </c>
      <c r="I17" s="297">
        <f>PI()*H17/180</f>
        <v>0</v>
      </c>
      <c r="J17" s="56"/>
      <c r="K17" s="56"/>
      <c r="M17" s="65" t="str">
        <f>_xlfn.CONCAT("y2 = ",IF(C17&lt;&gt;1,_xlfn.CONCAT(ROUND(C17,2)," *"),"")," sin(2*pi * ",IF(D17&lt;&gt;1,_xlfn.CONCAT(ROUND(D17,2),"Hz"),"")," * t ",IF(H17&lt;&gt;0,_xlfn.CONCAT(" + ",ROUND(H17,2),"°"),""),") = ")</f>
        <v xml:space="preserve">y2 = 0.2 * sin(2*pi * 250Hz * t ) = </v>
      </c>
      <c r="N17" s="301">
        <f>IF($O$17=$AL$7,$C$17*SIN($G$17*N14 + $E$17*$I$17),"")</f>
        <v>-0.18793852415718165</v>
      </c>
      <c r="O17" s="50" t="s">
        <v>72</v>
      </c>
      <c r="P17" s="54">
        <f>IF($O$17=$AL$7,$C$17*SIN($G$17*P14 + $E$17*$I$17),"")</f>
        <v>0</v>
      </c>
      <c r="Q17" s="54">
        <f>IF($O$17=$AL$7,$C$17*SIN($G$17*Q14 + $E$17*$I$17),"")</f>
        <v>0.15320888862379559</v>
      </c>
      <c r="R17" s="54">
        <f t="shared" ref="Q17:BB17" si="8">IF($O$17=$AL$7,$C$17*SIN($G$17*R14 + $E$17*$I$17),"")</f>
        <v>0.19696155060244164</v>
      </c>
      <c r="S17" s="54">
        <f t="shared" si="8"/>
        <v>0.10000000000000007</v>
      </c>
      <c r="T17" s="54">
        <f t="shared" si="8"/>
        <v>-6.8404028665133648E-2</v>
      </c>
      <c r="U17" s="54">
        <f t="shared" si="8"/>
        <v>-0.18793852415718165</v>
      </c>
      <c r="V17" s="54">
        <f t="shared" si="8"/>
        <v>-0.17320508075688781</v>
      </c>
      <c r="W17" s="54">
        <f t="shared" si="8"/>
        <v>-3.472963553338608E-2</v>
      </c>
      <c r="X17" s="54">
        <f t="shared" si="8"/>
        <v>0.12855752193730771</v>
      </c>
      <c r="Y17" s="54">
        <f t="shared" si="8"/>
        <v>0.2</v>
      </c>
      <c r="Z17" s="54">
        <f t="shared" si="8"/>
        <v>0.12855752193730807</v>
      </c>
      <c r="AA17" s="54">
        <f t="shared" si="8"/>
        <v>-3.4729635533385955E-2</v>
      </c>
      <c r="AB17" s="54">
        <f t="shared" si="8"/>
        <v>-0.17320508075688756</v>
      </c>
      <c r="AC17" s="54">
        <f t="shared" si="8"/>
        <v>-0.18793852415718174</v>
      </c>
      <c r="AD17" s="54">
        <f t="shared" si="8"/>
        <v>-6.8404028665133773E-2</v>
      </c>
      <c r="AE17" s="54">
        <f t="shared" si="8"/>
        <v>9.9999999999999811E-2</v>
      </c>
      <c r="AF17" s="54">
        <f t="shared" si="8"/>
        <v>0.19696155060244155</v>
      </c>
      <c r="AG17" s="54">
        <f t="shared" si="8"/>
        <v>0.15320888862379578</v>
      </c>
      <c r="AH17" s="54">
        <f t="shared" si="8"/>
        <v>1.22514845490862E-16</v>
      </c>
      <c r="AI17" s="54">
        <f t="shared" si="8"/>
        <v>-0.15320888862379542</v>
      </c>
      <c r="AJ17" s="54">
        <f t="shared" si="8"/>
        <v>-0.19696155060244172</v>
      </c>
      <c r="AK17" s="54">
        <f t="shared" si="8"/>
        <v>-0.10000000000000003</v>
      </c>
      <c r="AL17" s="54">
        <f t="shared" si="8"/>
        <v>6.8404028665133537E-2</v>
      </c>
      <c r="AM17" s="54">
        <f t="shared" si="8"/>
        <v>0.18793852415718154</v>
      </c>
      <c r="AN17" s="54">
        <f t="shared" si="8"/>
        <v>0.17320508075688806</v>
      </c>
      <c r="AO17" s="54">
        <f t="shared" si="8"/>
        <v>3.4729635533386899E-2</v>
      </c>
      <c r="AP17" s="54">
        <f t="shared" si="8"/>
        <v>-0.1285575219373076</v>
      </c>
      <c r="AQ17" s="54">
        <f t="shared" si="8"/>
        <v>-0.2</v>
      </c>
      <c r="AR17" s="54">
        <f t="shared" si="8"/>
        <v>-0.12855752193730791</v>
      </c>
      <c r="AS17" s="54">
        <f t="shared" si="8"/>
        <v>3.4729635533385143E-2</v>
      </c>
      <c r="AT17" s="54">
        <f t="shared" si="8"/>
        <v>0.17320508075688754</v>
      </c>
      <c r="AU17" s="54">
        <f t="shared" si="8"/>
        <v>0.18793852415718193</v>
      </c>
      <c r="AV17" s="54">
        <f t="shared" si="8"/>
        <v>6.840402866513455E-2</v>
      </c>
      <c r="AW17" s="54">
        <f t="shared" si="8"/>
        <v>-9.99999999999997E-2</v>
      </c>
      <c r="AX17" s="54">
        <f t="shared" si="8"/>
        <v>-0.19696155060244153</v>
      </c>
      <c r="AY17" s="54">
        <f t="shared" si="8"/>
        <v>-0.15320888862379611</v>
      </c>
      <c r="AZ17" s="54">
        <f t="shared" si="8"/>
        <v>-2.45029690981724E-16</v>
      </c>
      <c r="BA17" s="54">
        <f t="shared" si="8"/>
        <v>0.15320888862379489</v>
      </c>
      <c r="BB17" s="54">
        <f t="shared" si="8"/>
        <v>0.19696155060244172</v>
      </c>
    </row>
    <row r="18" spans="3:54" ht="15" thickBot="1" x14ac:dyDescent="0.4">
      <c r="C18" s="287">
        <f>1/7</f>
        <v>0.14285714285714285</v>
      </c>
      <c r="D18" s="287">
        <f>7*D15</f>
        <v>350</v>
      </c>
      <c r="E18" s="295">
        <f t="shared" si="4"/>
        <v>7</v>
      </c>
      <c r="F18" s="295">
        <f t="shared" si="5"/>
        <v>2.8571428571428571E-3</v>
      </c>
      <c r="G18" s="295">
        <f>2*PI()*D18</f>
        <v>2199.114857512855</v>
      </c>
      <c r="H18" s="287">
        <v>0</v>
      </c>
      <c r="I18" s="298">
        <f>PI()*H18/180</f>
        <v>0</v>
      </c>
      <c r="J18" s="56"/>
      <c r="K18" s="56"/>
      <c r="M18" s="66" t="str">
        <f>_xlfn.CONCAT("y3 = ",IF(C18&lt;&gt;1,_xlfn.CONCAT(ROUND(C18,2)," *"),"")," sin(2*pi * ",IF(D18&lt;&gt;1,_xlfn.CONCAT(ROUND(D18,2),"Hz"),"")," * t ",IF(H18&lt;&gt;0,_xlfn.CONCAT(" + ",ROUND(H18,2),"°"),""),") = ")</f>
        <v xml:space="preserve">y3 = 0.14 * sin(2*pi * 350Hz * t ) = </v>
      </c>
      <c r="N18" s="302">
        <f>IF($O$18=$AL$7,$C$18*SIN($G$18*N14 + $E$18*$I$18),"")</f>
        <v>-2.4806882523847322E-2</v>
      </c>
      <c r="O18" s="51" t="s">
        <v>72</v>
      </c>
      <c r="P18" s="54">
        <f>IF($O$18=$AL$7,$C$18*SIN($G$18*P14 + $E$18*$I$18),"")</f>
        <v>0</v>
      </c>
      <c r="Q18" s="54">
        <f t="shared" ref="Q18:BB18" si="9">IF($O$18=$AL$7,$C$18*SIN($G$18*Q14 + $E$18*$I$18),"")</f>
        <v>0.13424180296941546</v>
      </c>
      <c r="R18" s="54">
        <f t="shared" si="9"/>
        <v>9.1826801383791345E-2</v>
      </c>
      <c r="S18" s="54">
        <f t="shared" si="9"/>
        <v>-7.1428571428571341E-2</v>
      </c>
      <c r="T18" s="54">
        <f t="shared" si="9"/>
        <v>-0.14068682185888687</v>
      </c>
      <c r="U18" s="54">
        <f t="shared" si="9"/>
        <v>-2.4806882523847322E-2</v>
      </c>
      <c r="V18" s="54">
        <f t="shared" si="9"/>
        <v>0.12371791482634827</v>
      </c>
      <c r="W18" s="54">
        <f t="shared" si="9"/>
        <v>0.10943492044556839</v>
      </c>
      <c r="X18" s="54">
        <f t="shared" si="9"/>
        <v>-4.8860020475095425E-2</v>
      </c>
      <c r="Y18" s="54">
        <f t="shared" si="9"/>
        <v>-0.14285714285714285</v>
      </c>
      <c r="Z18" s="54">
        <f t="shared" si="9"/>
        <v>-4.8860020475095779E-2</v>
      </c>
      <c r="AA18" s="54">
        <f t="shared" si="9"/>
        <v>0.10943492044556814</v>
      </c>
      <c r="AB18" s="54">
        <f t="shared" si="9"/>
        <v>0.12371791482634859</v>
      </c>
      <c r="AC18" s="54">
        <f t="shared" si="9"/>
        <v>-2.4806882523847079E-2</v>
      </c>
      <c r="AD18" s="54">
        <f t="shared" si="9"/>
        <v>-0.14068682185888681</v>
      </c>
      <c r="AE18" s="54">
        <f t="shared" si="9"/>
        <v>-7.1428571428571883E-2</v>
      </c>
      <c r="AF18" s="54">
        <f t="shared" si="9"/>
        <v>9.1826801383791151E-2</v>
      </c>
      <c r="AG18" s="54">
        <f t="shared" si="9"/>
        <v>0.13424180296941562</v>
      </c>
      <c r="AH18" s="54">
        <f t="shared" si="9"/>
        <v>1.22514845490862E-16</v>
      </c>
      <c r="AI18" s="54">
        <f t="shared" si="9"/>
        <v>-0.13424180296941537</v>
      </c>
      <c r="AJ18" s="54">
        <f t="shared" si="9"/>
        <v>-9.1826801383791734E-2</v>
      </c>
      <c r="AK18" s="54">
        <f t="shared" si="9"/>
        <v>7.142857142857123E-2</v>
      </c>
      <c r="AL18" s="54">
        <f t="shared" si="9"/>
        <v>0.14068682185888692</v>
      </c>
      <c r="AM18" s="54">
        <f t="shared" si="9"/>
        <v>2.4806882523847319E-2</v>
      </c>
      <c r="AN18" s="54">
        <f t="shared" si="9"/>
        <v>-0.12371791482634795</v>
      </c>
      <c r="AO18" s="54">
        <f t="shared" si="9"/>
        <v>-0.10943492044556863</v>
      </c>
      <c r="AP18" s="54">
        <f t="shared" si="9"/>
        <v>4.8860020475095314E-2</v>
      </c>
      <c r="AQ18" s="54">
        <f t="shared" si="9"/>
        <v>0.14285714285714285</v>
      </c>
      <c r="AR18" s="54">
        <f t="shared" si="9"/>
        <v>4.8860020475096133E-2</v>
      </c>
      <c r="AS18" s="54">
        <f t="shared" si="9"/>
        <v>-0.10943492044556806</v>
      </c>
      <c r="AT18" s="54">
        <f t="shared" si="9"/>
        <v>-0.1237179148263489</v>
      </c>
      <c r="AU18" s="54">
        <f t="shared" si="9"/>
        <v>2.4806882523846455E-2</v>
      </c>
      <c r="AV18" s="54">
        <f t="shared" si="9"/>
        <v>0.14068682185888678</v>
      </c>
      <c r="AW18" s="54">
        <f t="shared" si="9"/>
        <v>7.1428571428572424E-2</v>
      </c>
      <c r="AX18" s="54">
        <f t="shared" si="9"/>
        <v>-9.1826801383790679E-2</v>
      </c>
      <c r="AY18" s="54">
        <f t="shared" si="9"/>
        <v>-0.13424180296941565</v>
      </c>
      <c r="AZ18" s="54">
        <f t="shared" si="9"/>
        <v>-2.45029690981724E-16</v>
      </c>
      <c r="BA18" s="54">
        <f t="shared" si="9"/>
        <v>0.13424180296941515</v>
      </c>
      <c r="BB18" s="54">
        <f t="shared" si="9"/>
        <v>9.1826801383791817E-2</v>
      </c>
    </row>
    <row r="19" spans="3:54" ht="16" customHeight="1" thickBot="1" x14ac:dyDescent="0.4">
      <c r="C19" s="288" t="s">
        <v>456</v>
      </c>
      <c r="D19" s="289">
        <f>MIN(D15:D18)</f>
        <v>50</v>
      </c>
      <c r="E19" s="289"/>
      <c r="F19" s="296">
        <f>1/D19</f>
        <v>0.02</v>
      </c>
      <c r="G19" s="296">
        <f>2*PI()*D19</f>
        <v>314.15926535897933</v>
      </c>
      <c r="H19" s="290"/>
      <c r="I19" s="291"/>
      <c r="M19" s="40" t="s">
        <v>66</v>
      </c>
      <c r="N19" s="303">
        <f>IF($O$19=$AL$7,SUM(N15:N18),"")</f>
        <v>0.71996570310461572</v>
      </c>
      <c r="O19" s="53" t="s">
        <v>72</v>
      </c>
      <c r="P19" s="55">
        <f>IF($O$19=$AL$7,SUM(P15:P18),"")</f>
        <v>0</v>
      </c>
      <c r="Q19" s="55">
        <f>IF($O$19=$AL$7,SUM(Q15:Q18),"")</f>
        <v>0.62776553592680795</v>
      </c>
      <c r="R19" s="55">
        <f>IF($O$19=$AL$7,SUM(R15:R18),"")</f>
        <v>0.91948362990671439</v>
      </c>
      <c r="S19" s="55">
        <f>IF($O$19=$AL$7,SUM(S15:S18),"")</f>
        <v>0.86190476190476195</v>
      </c>
      <c r="T19" s="55">
        <f>IF($O$19=$AL$7,SUM(T15:T18),"")</f>
        <v>0.72237189375733157</v>
      </c>
      <c r="U19" s="55">
        <f>IF($O$19=$AL$7,SUM(U15:U18),"")</f>
        <v>0.71996570310461572</v>
      </c>
      <c r="V19" s="55">
        <f>IF($O$19=$AL$7,SUM(V15:V18),"")</f>
        <v>0.81653823785389934</v>
      </c>
      <c r="W19" s="55">
        <f>IF($O$19=$AL$7,SUM(W15:W18),"")</f>
        <v>0.847731239031424</v>
      </c>
      <c r="X19" s="55">
        <f>IF($O$19=$AL$7,SUM(X15:X18),"")</f>
        <v>0.77583011987960759</v>
      </c>
      <c r="Y19" s="55">
        <f>IF($O$19=$AL$7,SUM(Y15:Y18),"")</f>
        <v>0.7238095238095239</v>
      </c>
      <c r="Z19" s="55">
        <f>IF($O$19=$AL$7,SUM(Z15:Z18),"")</f>
        <v>0.77583011987960748</v>
      </c>
      <c r="AA19" s="55">
        <f>IF($O$19=$AL$7,SUM(AA15:AA18),"")</f>
        <v>0.847731239031424</v>
      </c>
      <c r="AB19" s="55">
        <f>IF($O$19=$AL$7,SUM(AB15:AB18),"")</f>
        <v>0.81653823785389945</v>
      </c>
      <c r="AC19" s="55">
        <f>IF($O$19=$AL$7,SUM(AC15:AC18),"")</f>
        <v>0.71996570310461583</v>
      </c>
      <c r="AD19" s="55">
        <f>IF($O$19=$AL$7,SUM(AD15:AD18),"")</f>
        <v>0.72237189375733157</v>
      </c>
      <c r="AE19" s="55">
        <f>IF($O$19=$AL$7,SUM(AE15:AE18),"")</f>
        <v>0.86190476190476129</v>
      </c>
      <c r="AF19" s="55">
        <f>IF($O$19=$AL$7,SUM(AF15:AF18),"")</f>
        <v>0.91948362990671473</v>
      </c>
      <c r="AG19" s="55">
        <f>IF($O$19=$AL$7,SUM(AG15:AG18),"")</f>
        <v>0.62776553592680817</v>
      </c>
      <c r="AH19" s="55">
        <f>IF($O$19=$AL$7,SUM(AH15:AH18),"")</f>
        <v>4.90059381963448E-16</v>
      </c>
      <c r="AI19" s="55">
        <f>IF($O$19=$AL$7,SUM(AI15:AI18),"")</f>
        <v>-0.62776553592680762</v>
      </c>
      <c r="AJ19" s="55">
        <f>IF($O$19=$AL$7,SUM(AJ15:AJ18),"")</f>
        <v>-0.91948362990671539</v>
      </c>
      <c r="AK19" s="55">
        <f>IF($O$19=$AL$7,SUM(AK15:AK18),"")</f>
        <v>-0.8619047619047624</v>
      </c>
      <c r="AL19" s="55">
        <f>IF($O$19=$AL$7,SUM(AL15:AL18),"")</f>
        <v>-0.72237189375733191</v>
      </c>
      <c r="AM19" s="55">
        <f>IF($O$19=$AL$7,SUM(AM15:AM18),"")</f>
        <v>-0.71996570310461616</v>
      </c>
      <c r="AN19" s="55">
        <f>IF($O$19=$AL$7,SUM(AN15:AN18),"")</f>
        <v>-0.81653823785389912</v>
      </c>
      <c r="AO19" s="55">
        <f>IF($O$19=$AL$7,SUM(AO15:AO18),"")</f>
        <v>-0.84773123903142378</v>
      </c>
      <c r="AP19" s="55">
        <f>IF($O$19=$AL$7,SUM(AP15:AP18),"")</f>
        <v>-0.77583011987960748</v>
      </c>
      <c r="AQ19" s="55">
        <f>IF($O$19=$AL$7,SUM(AQ15:AQ18),"")</f>
        <v>-0.7238095238095239</v>
      </c>
      <c r="AR19" s="55">
        <f>IF($O$19=$AL$7,SUM(AR15:AR18),"")</f>
        <v>-0.77583011987960693</v>
      </c>
      <c r="AS19" s="55">
        <f>IF($O$19=$AL$7,SUM(AS15:AS18),"")</f>
        <v>-0.847731239031424</v>
      </c>
      <c r="AT19" s="55">
        <f>IF($O$19=$AL$7,SUM(AT15:AT18),"")</f>
        <v>-0.81653823785389967</v>
      </c>
      <c r="AU19" s="55">
        <f>IF($O$19=$AL$7,SUM(AU15:AU18),"")</f>
        <v>-0.71996570310461605</v>
      </c>
      <c r="AV19" s="55">
        <f>IF($O$19=$AL$7,SUM(AV15:AV18),"")</f>
        <v>-0.7223718937573308</v>
      </c>
      <c r="AW19" s="55">
        <f>IF($O$19=$AL$7,SUM(AW15:AW18),"")</f>
        <v>-0.86190476190476029</v>
      </c>
      <c r="AX19" s="55">
        <f>IF($O$19=$AL$7,SUM(AX15:AX18),"")</f>
        <v>-0.91948362990671351</v>
      </c>
      <c r="AY19" s="55">
        <f>IF($O$19=$AL$7,SUM(AY15:AY18),"")</f>
        <v>-0.62776553592680884</v>
      </c>
      <c r="AZ19" s="55">
        <f>IF($O$19=$AL$7,SUM(AZ15:AZ18),"")</f>
        <v>-9.8011876392689601E-16</v>
      </c>
      <c r="BA19" s="55">
        <f>IF($O$19=$AL$7,SUM(BA15:BA18),"")</f>
        <v>0.62776553592680706</v>
      </c>
      <c r="BB19" s="55">
        <f>IF($O$19=$AL$7,SUM(BB15:BB18),"")</f>
        <v>0.91948362990671506</v>
      </c>
    </row>
    <row r="20" spans="3:54" ht="8.5" customHeight="1" x14ac:dyDescent="0.35">
      <c r="M20" s="39"/>
      <c r="N20" s="39"/>
      <c r="O20" s="39"/>
    </row>
  </sheetData>
  <mergeCells count="4">
    <mergeCell ref="C11:I11"/>
    <mergeCell ref="C12:I12"/>
    <mergeCell ref="U7:V7"/>
    <mergeCell ref="O12:O14"/>
  </mergeCells>
  <dataValidations count="1">
    <dataValidation type="list" allowBlank="1" showInputMessage="1" showErrorMessage="1" sqref="O15:O18 O19" xr:uid="{14030FAE-C205-4F99-A125-F98CBE2B09BD}">
      <formula1>$AL$7:$AL$8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70"/>
  <sheetViews>
    <sheetView showGridLines="0" zoomScale="85" zoomScaleNormal="85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17.320508075688842</v>
      </c>
      <c r="U5" s="5"/>
      <c r="V5" s="5"/>
      <c r="W5" s="5">
        <f>K12</f>
        <v>180</v>
      </c>
      <c r="X5" s="5">
        <f>W5</f>
        <v>180</v>
      </c>
    </row>
    <row r="6" spans="3:51" x14ac:dyDescent="0.35">
      <c r="R6" s="5"/>
      <c r="S6" s="19" t="s">
        <v>79</v>
      </c>
      <c r="T6" s="55">
        <f>MIN(K14:K18)</f>
        <v>9.7968508305790181E-15</v>
      </c>
      <c r="U6" s="5"/>
      <c r="V6" s="5"/>
      <c r="W6" s="55">
        <f>T6</f>
        <v>9.7968508305790181E-15</v>
      </c>
      <c r="X6" s="55">
        <f>T5</f>
        <v>17.320508075688842</v>
      </c>
    </row>
    <row r="7" spans="3:51" x14ac:dyDescent="0.35">
      <c r="R7" s="248" t="s">
        <v>81</v>
      </c>
      <c r="S7" s="248"/>
      <c r="T7" s="5">
        <f>IF(ABS(T5)&gt;ABS(T6),T5,T6)</f>
        <v>17.320508075688842</v>
      </c>
      <c r="U7" s="5"/>
      <c r="V7" s="5"/>
      <c r="W7" s="5"/>
      <c r="X7" s="5"/>
      <c r="AI7" s="5" t="s">
        <v>72</v>
      </c>
      <c r="AP7" s="99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2"/>
      <c r="D11" s="282"/>
      <c r="E11" s="282"/>
      <c r="F11" s="282"/>
      <c r="G11" s="47"/>
      <c r="H11" s="47"/>
      <c r="L11" s="43" t="s">
        <v>8</v>
      </c>
      <c r="M11" s="46">
        <v>15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3:51" s="34" customFormat="1" ht="21" x14ac:dyDescent="0.35">
      <c r="C12" s="283" t="s">
        <v>67</v>
      </c>
      <c r="D12" s="283"/>
      <c r="E12" s="283"/>
      <c r="F12" s="283"/>
      <c r="G12" s="47"/>
      <c r="H12" s="47"/>
      <c r="J12" s="57" t="s">
        <v>70</v>
      </c>
      <c r="K12" s="38">
        <v>180</v>
      </c>
      <c r="L12" s="284" t="s">
        <v>71</v>
      </c>
      <c r="M12" s="38">
        <v>0</v>
      </c>
      <c r="N12" s="71">
        <f>M12+$M$11</f>
        <v>15</v>
      </c>
      <c r="O12" s="71">
        <f t="shared" ref="O12:AY12" si="0">N12+$M$11</f>
        <v>30</v>
      </c>
      <c r="P12" s="71">
        <f t="shared" si="0"/>
        <v>45</v>
      </c>
      <c r="Q12" s="71">
        <f t="shared" si="0"/>
        <v>60</v>
      </c>
      <c r="R12" s="71">
        <f t="shared" si="0"/>
        <v>75</v>
      </c>
      <c r="S12" s="71">
        <f t="shared" si="0"/>
        <v>90</v>
      </c>
      <c r="T12" s="71">
        <f t="shared" si="0"/>
        <v>105</v>
      </c>
      <c r="U12" s="71">
        <f t="shared" si="0"/>
        <v>120</v>
      </c>
      <c r="V12" s="71">
        <f t="shared" si="0"/>
        <v>135</v>
      </c>
      <c r="W12" s="71">
        <f t="shared" si="0"/>
        <v>150</v>
      </c>
      <c r="X12" s="71">
        <f t="shared" si="0"/>
        <v>165</v>
      </c>
      <c r="Y12" s="71">
        <f t="shared" si="0"/>
        <v>180</v>
      </c>
      <c r="Z12" s="71">
        <f t="shared" si="0"/>
        <v>195</v>
      </c>
      <c r="AA12" s="71">
        <f t="shared" si="0"/>
        <v>210</v>
      </c>
      <c r="AB12" s="71">
        <f t="shared" si="0"/>
        <v>225</v>
      </c>
      <c r="AC12" s="71">
        <f t="shared" si="0"/>
        <v>240</v>
      </c>
      <c r="AD12" s="71">
        <f t="shared" si="0"/>
        <v>255</v>
      </c>
      <c r="AE12" s="71">
        <f t="shared" si="0"/>
        <v>270</v>
      </c>
      <c r="AF12" s="71">
        <f t="shared" si="0"/>
        <v>285</v>
      </c>
      <c r="AG12" s="71">
        <f t="shared" si="0"/>
        <v>300</v>
      </c>
      <c r="AH12" s="71">
        <f t="shared" si="0"/>
        <v>315</v>
      </c>
      <c r="AI12" s="71">
        <f t="shared" si="0"/>
        <v>330</v>
      </c>
      <c r="AJ12" s="71">
        <f t="shared" si="0"/>
        <v>345</v>
      </c>
      <c r="AK12" s="71">
        <f t="shared" si="0"/>
        <v>360</v>
      </c>
      <c r="AL12" s="71">
        <f t="shared" si="0"/>
        <v>375</v>
      </c>
      <c r="AM12" s="71">
        <f t="shared" si="0"/>
        <v>390</v>
      </c>
      <c r="AN12" s="71">
        <f t="shared" si="0"/>
        <v>405</v>
      </c>
      <c r="AO12" s="71">
        <f t="shared" si="0"/>
        <v>420</v>
      </c>
      <c r="AP12" s="71">
        <f t="shared" si="0"/>
        <v>435</v>
      </c>
      <c r="AQ12" s="71">
        <f t="shared" si="0"/>
        <v>450</v>
      </c>
      <c r="AR12" s="71">
        <f t="shared" si="0"/>
        <v>465</v>
      </c>
      <c r="AS12" s="71">
        <f t="shared" si="0"/>
        <v>480</v>
      </c>
      <c r="AT12" s="71">
        <f t="shared" si="0"/>
        <v>495</v>
      </c>
      <c r="AU12" s="71">
        <f t="shared" si="0"/>
        <v>510</v>
      </c>
      <c r="AV12" s="71">
        <f t="shared" si="0"/>
        <v>525</v>
      </c>
      <c r="AW12" s="71">
        <f t="shared" si="0"/>
        <v>540</v>
      </c>
      <c r="AX12" s="71">
        <f t="shared" si="0"/>
        <v>555</v>
      </c>
      <c r="AY12" s="71">
        <f t="shared" si="0"/>
        <v>570</v>
      </c>
    </row>
    <row r="13" spans="3:51" s="34" customFormat="1" ht="43.5" x14ac:dyDescent="0.35">
      <c r="C13" s="59" t="s">
        <v>74</v>
      </c>
      <c r="D13" s="59" t="s">
        <v>75</v>
      </c>
      <c r="E13" s="59" t="s">
        <v>78</v>
      </c>
      <c r="F13" s="59" t="s">
        <v>77</v>
      </c>
      <c r="G13" s="60"/>
      <c r="H13" s="60"/>
      <c r="J13" s="68" t="s">
        <v>69</v>
      </c>
      <c r="K13" s="62">
        <f>PI()*K12/180</f>
        <v>3.1415926535897931</v>
      </c>
      <c r="L13" s="285"/>
      <c r="M13" s="61">
        <f>PI()*M12/180</f>
        <v>0</v>
      </c>
      <c r="N13" s="61">
        <f>PI()*N12/180</f>
        <v>0.26179938779914941</v>
      </c>
      <c r="O13" s="61">
        <f t="shared" ref="O13:AY13" si="1">PI()*O12/180</f>
        <v>0.52359877559829882</v>
      </c>
      <c r="P13" s="61">
        <f t="shared" si="1"/>
        <v>0.78539816339744828</v>
      </c>
      <c r="Q13" s="61">
        <f t="shared" si="1"/>
        <v>1.0471975511965976</v>
      </c>
      <c r="R13" s="61">
        <f t="shared" si="1"/>
        <v>1.3089969389957472</v>
      </c>
      <c r="S13" s="61">
        <f t="shared" si="1"/>
        <v>1.5707963267948966</v>
      </c>
      <c r="T13" s="61">
        <f t="shared" si="1"/>
        <v>1.8325957145940461</v>
      </c>
      <c r="U13" s="61">
        <f t="shared" si="1"/>
        <v>2.0943951023931953</v>
      </c>
      <c r="V13" s="61">
        <f t="shared" si="1"/>
        <v>2.3561944901923448</v>
      </c>
      <c r="W13" s="61">
        <f t="shared" si="1"/>
        <v>2.6179938779914944</v>
      </c>
      <c r="X13" s="61">
        <f t="shared" si="1"/>
        <v>2.8797932657906435</v>
      </c>
      <c r="Y13" s="61">
        <f t="shared" si="1"/>
        <v>3.1415926535897931</v>
      </c>
      <c r="Z13" s="61">
        <f t="shared" si="1"/>
        <v>3.4033920413889422</v>
      </c>
      <c r="AA13" s="61">
        <f t="shared" si="1"/>
        <v>3.6651914291880923</v>
      </c>
      <c r="AB13" s="61">
        <f t="shared" si="1"/>
        <v>3.9269908169872414</v>
      </c>
      <c r="AC13" s="61">
        <f t="shared" si="1"/>
        <v>4.1887902047863905</v>
      </c>
      <c r="AD13" s="61">
        <f t="shared" si="1"/>
        <v>4.4505895925855405</v>
      </c>
      <c r="AE13" s="61">
        <f t="shared" si="1"/>
        <v>4.7123889803846897</v>
      </c>
      <c r="AF13" s="61">
        <f t="shared" si="1"/>
        <v>4.9741883681838397</v>
      </c>
      <c r="AG13" s="61">
        <f t="shared" si="1"/>
        <v>5.2359877559829888</v>
      </c>
      <c r="AH13" s="61">
        <f t="shared" si="1"/>
        <v>5.497787143782138</v>
      </c>
      <c r="AI13" s="61">
        <f t="shared" si="1"/>
        <v>5.7595865315812871</v>
      </c>
      <c r="AJ13" s="61">
        <f t="shared" si="1"/>
        <v>6.0213859193804371</v>
      </c>
      <c r="AK13" s="61">
        <f t="shared" si="1"/>
        <v>6.2831853071795862</v>
      </c>
      <c r="AL13" s="61">
        <f t="shared" si="1"/>
        <v>6.5449846949787354</v>
      </c>
      <c r="AM13" s="61">
        <f t="shared" si="1"/>
        <v>6.8067840827778845</v>
      </c>
      <c r="AN13" s="61">
        <f t="shared" si="1"/>
        <v>7.0685834705770336</v>
      </c>
      <c r="AO13" s="61">
        <f t="shared" si="1"/>
        <v>7.3303828583761845</v>
      </c>
      <c r="AP13" s="61">
        <f t="shared" si="1"/>
        <v>7.5921822461753337</v>
      </c>
      <c r="AQ13" s="61">
        <f t="shared" si="1"/>
        <v>7.8539816339744828</v>
      </c>
      <c r="AR13" s="61">
        <f t="shared" si="1"/>
        <v>8.1157810217736319</v>
      </c>
      <c r="AS13" s="61">
        <f t="shared" si="1"/>
        <v>8.3775804095727811</v>
      </c>
      <c r="AT13" s="61">
        <f t="shared" si="1"/>
        <v>8.639379797371932</v>
      </c>
      <c r="AU13" s="61">
        <f t="shared" si="1"/>
        <v>8.9011791851710811</v>
      </c>
      <c r="AV13" s="61">
        <f t="shared" si="1"/>
        <v>9.1629785729702302</v>
      </c>
      <c r="AW13" s="61">
        <f t="shared" si="1"/>
        <v>9.4247779607693793</v>
      </c>
      <c r="AX13" s="61">
        <f t="shared" si="1"/>
        <v>9.6865773485685303</v>
      </c>
      <c r="AY13" s="61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60</v>
      </c>
      <c r="F14" s="69">
        <f>PI()*E14/180</f>
        <v>1.0471975511965976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+ 1.05) = </v>
      </c>
      <c r="K14" s="63">
        <f>IF($L$14=$AI$7,$C$14*SIN($D$14*K13 + $F$14),0)</f>
        <v>17.320508075688842</v>
      </c>
      <c r="L14" s="48" t="s">
        <v>72</v>
      </c>
      <c r="M14" s="54">
        <f>IF($L$14=$AI$7,$C$14*SIN($D$14*M13 + $F$14),0)</f>
        <v>17.320508075688771</v>
      </c>
      <c r="N14" s="54">
        <f t="shared" ref="N14:AY14" si="2">IF($L$14=$AI$7,$C$14*SIN($D$14*N13 + $F$14),0)</f>
        <v>20</v>
      </c>
      <c r="O14" s="54">
        <f t="shared" si="2"/>
        <v>17.320508075688807</v>
      </c>
      <c r="P14" s="54">
        <f t="shared" si="2"/>
        <v>10.000000000000018</v>
      </c>
      <c r="Q14" s="54">
        <f t="shared" si="2"/>
        <v>1.127093210429031E-13</v>
      </c>
      <c r="R14" s="54">
        <f t="shared" si="2"/>
        <v>-10.000000000000069</v>
      </c>
      <c r="S14" s="54">
        <f t="shared" si="2"/>
        <v>-17.320508075688835</v>
      </c>
      <c r="T14" s="54">
        <f t="shared" si="2"/>
        <v>-20</v>
      </c>
      <c r="U14" s="54">
        <f t="shared" si="2"/>
        <v>-17.320508075688803</v>
      </c>
      <c r="V14" s="54">
        <f t="shared" si="2"/>
        <v>-10.000000000000009</v>
      </c>
      <c r="W14" s="54">
        <f t="shared" si="2"/>
        <v>3.9196076939695956E-14</v>
      </c>
      <c r="X14" s="54">
        <f t="shared" si="2"/>
        <v>10.000000000000075</v>
      </c>
      <c r="Y14" s="54">
        <f t="shared" si="2"/>
        <v>17.320508075688842</v>
      </c>
      <c r="Z14" s="54">
        <f t="shared" si="2"/>
        <v>20</v>
      </c>
      <c r="AA14" s="54">
        <f t="shared" si="2"/>
        <v>17.320508075688654</v>
      </c>
      <c r="AB14" s="54">
        <f t="shared" si="2"/>
        <v>10.000000000000247</v>
      </c>
      <c r="AC14" s="54">
        <f t="shared" si="2"/>
        <v>2.352241665337651E-13</v>
      </c>
      <c r="AD14" s="54">
        <f t="shared" si="2"/>
        <v>-10.00000000000033</v>
      </c>
      <c r="AE14" s="54">
        <f t="shared" si="2"/>
        <v>-17.320508075688707</v>
      </c>
      <c r="AF14" s="54">
        <f t="shared" si="2"/>
        <v>-20</v>
      </c>
      <c r="AG14" s="54">
        <f t="shared" si="2"/>
        <v>-17.320508075689077</v>
      </c>
      <c r="AH14" s="54">
        <f t="shared" si="2"/>
        <v>-10.000000000000977</v>
      </c>
      <c r="AI14" s="54">
        <f t="shared" si="2"/>
        <v>-5.0964441000722616E-13</v>
      </c>
      <c r="AJ14" s="54">
        <f t="shared" si="2"/>
        <v>10.000000000000092</v>
      </c>
      <c r="AK14" s="54">
        <f t="shared" si="2"/>
        <v>17.320508075688569</v>
      </c>
      <c r="AL14" s="54">
        <f t="shared" si="2"/>
        <v>20</v>
      </c>
      <c r="AM14" s="54">
        <f t="shared" si="2"/>
        <v>17.320508075689499</v>
      </c>
      <c r="AN14" s="54">
        <f t="shared" si="2"/>
        <v>10.000000000001705</v>
      </c>
      <c r="AO14" s="54">
        <f t="shared" si="2"/>
        <v>2.1563046487260706E-13</v>
      </c>
      <c r="AP14" s="54">
        <f t="shared" si="2"/>
        <v>-9.9999999999993641</v>
      </c>
      <c r="AQ14" s="54">
        <f t="shared" si="2"/>
        <v>-17.320508075688146</v>
      </c>
      <c r="AR14" s="54">
        <f t="shared" si="2"/>
        <v>-20</v>
      </c>
      <c r="AS14" s="54">
        <f t="shared" si="2"/>
        <v>-17.32050807568935</v>
      </c>
      <c r="AT14" s="54">
        <f t="shared" si="2"/>
        <v>-9.9999999999994831</v>
      </c>
      <c r="AU14" s="54">
        <f t="shared" si="2"/>
        <v>7.8383480262012029E-14</v>
      </c>
      <c r="AV14" s="54">
        <f t="shared" si="2"/>
        <v>9.9999999999996181</v>
      </c>
      <c r="AW14" s="54">
        <f t="shared" si="2"/>
        <v>17.320508075688291</v>
      </c>
      <c r="AX14" s="54">
        <f t="shared" si="2"/>
        <v>20</v>
      </c>
      <c r="AY14" s="54">
        <f t="shared" si="2"/>
        <v>17.320508075688636</v>
      </c>
    </row>
    <row r="15" spans="3:51" x14ac:dyDescent="0.35">
      <c r="C15" s="42">
        <v>10</v>
      </c>
      <c r="D15" s="42">
        <v>50</v>
      </c>
      <c r="E15" s="42">
        <v>0</v>
      </c>
      <c r="F15" s="69">
        <f>PI()*E15/180</f>
        <v>0</v>
      </c>
      <c r="G15" s="56"/>
      <c r="H15" s="56"/>
      <c r="J15" s="93" t="str">
        <f>_xlfn.CONCAT("I = ",IF(C15&lt;&gt;1,_xlfn.CONCAT(ROUND(C15,2)," *"),"")," sin(",IF(D15&lt;&gt;1,_xlfn.CONCAT(ROUND(D15,2),"*"),""),"x ",IF(F15&lt;&gt;0,_xlfn.CONCAT(" + ",ROUND(F15,2),""),""),") = ")</f>
        <v xml:space="preserve">I = 10 * sin(50*x ) = </v>
      </c>
      <c r="K15" s="94">
        <f>IF($L$15=$AI$7,$C$15*SIN($D$15*K13 + $F$15),"")</f>
        <v>9.7968508305790181E-15</v>
      </c>
      <c r="L15" s="95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4.9999999999999902</v>
      </c>
      <c r="O15" s="55">
        <f t="shared" si="3"/>
        <v>8.6602540378443766</v>
      </c>
      <c r="P15" s="55">
        <f t="shared" si="3"/>
        <v>10</v>
      </c>
      <c r="Q15" s="55">
        <f t="shared" si="3"/>
        <v>8.6602540378444086</v>
      </c>
      <c r="R15" s="55">
        <f t="shared" si="3"/>
        <v>5.0000000000000169</v>
      </c>
      <c r="S15" s="55">
        <f t="shared" si="3"/>
        <v>-4.898425415289509E-15</v>
      </c>
      <c r="T15" s="55">
        <f t="shared" si="3"/>
        <v>-5.0000000000000258</v>
      </c>
      <c r="U15" s="55">
        <f t="shared" si="3"/>
        <v>-8.6602540378443429</v>
      </c>
      <c r="V15" s="55">
        <f t="shared" si="3"/>
        <v>-10</v>
      </c>
      <c r="W15" s="55">
        <f t="shared" si="3"/>
        <v>-8.6602540378444068</v>
      </c>
      <c r="X15" s="55">
        <f t="shared" si="3"/>
        <v>-5.0000000000000124</v>
      </c>
      <c r="Y15" s="55">
        <f t="shared" si="3"/>
        <v>9.7968508305790181E-15</v>
      </c>
      <c r="Z15" s="55">
        <f t="shared" si="3"/>
        <v>4.9999999999997833</v>
      </c>
      <c r="AA15" s="55">
        <f t="shared" si="3"/>
        <v>8.6602540378444157</v>
      </c>
      <c r="AB15" s="55">
        <f t="shared" si="3"/>
        <v>10</v>
      </c>
      <c r="AC15" s="55">
        <f t="shared" si="3"/>
        <v>8.6602540378444743</v>
      </c>
      <c r="AD15" s="55">
        <f t="shared" si="3"/>
        <v>4.9999999999998854</v>
      </c>
      <c r="AE15" s="55">
        <f t="shared" si="3"/>
        <v>1.2741327090615151E-13</v>
      </c>
      <c r="AF15" s="55">
        <f t="shared" si="3"/>
        <v>-5.0000000000001563</v>
      </c>
      <c r="AG15" s="55">
        <f t="shared" si="3"/>
        <v>-8.6602540378443464</v>
      </c>
      <c r="AH15" s="55">
        <f t="shared" si="3"/>
        <v>-10</v>
      </c>
      <c r="AI15" s="55">
        <f t="shared" si="3"/>
        <v>-8.6602540378444015</v>
      </c>
      <c r="AJ15" s="55">
        <f t="shared" si="3"/>
        <v>-4.9999999999997584</v>
      </c>
      <c r="AK15" s="55">
        <f t="shared" si="3"/>
        <v>1.9593701661158036E-14</v>
      </c>
      <c r="AL15" s="55">
        <f t="shared" si="3"/>
        <v>4.9999999999997922</v>
      </c>
      <c r="AM15" s="55">
        <f t="shared" si="3"/>
        <v>8.6602540378441368</v>
      </c>
      <c r="AN15" s="55">
        <f t="shared" si="3"/>
        <v>10</v>
      </c>
      <c r="AO15" s="55">
        <f t="shared" si="3"/>
        <v>8.6602540378443269</v>
      </c>
      <c r="AP15" s="55">
        <f t="shared" si="3"/>
        <v>5.0000000000001235</v>
      </c>
      <c r="AQ15" s="55">
        <f t="shared" si="3"/>
        <v>4.0183351437961257E-13</v>
      </c>
      <c r="AR15" s="55">
        <f t="shared" si="3"/>
        <v>-4.9999999999999192</v>
      </c>
      <c r="AS15" s="55">
        <f t="shared" si="3"/>
        <v>-8.6602540378442114</v>
      </c>
      <c r="AT15" s="55">
        <f t="shared" si="3"/>
        <v>-10</v>
      </c>
      <c r="AU15" s="55">
        <f t="shared" si="3"/>
        <v>-8.6602540378442541</v>
      </c>
      <c r="AV15" s="55">
        <f t="shared" si="3"/>
        <v>-4.9999999999999956</v>
      </c>
      <c r="AW15" s="55">
        <f t="shared" si="3"/>
        <v>-2.5482654181230302E-13</v>
      </c>
      <c r="AX15" s="55">
        <f t="shared" si="3"/>
        <v>5.0000000000005382</v>
      </c>
      <c r="AY15" s="55">
        <f t="shared" si="3"/>
        <v>8.6602540378445685</v>
      </c>
    </row>
    <row r="16" spans="3:51" ht="8.5" customHeight="1" x14ac:dyDescent="0.35">
      <c r="J16" s="41"/>
      <c r="K16" s="67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67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96" t="s">
        <v>129</v>
      </c>
      <c r="K18" s="97">
        <f>IF($L$18=$AI$7,K14*K15,"")</f>
        <v>1.6968643392736283E-13</v>
      </c>
      <c r="L18" s="98" t="s">
        <v>72</v>
      </c>
      <c r="M18" s="55">
        <f>IF($L$18=$AI$7,M14*M15,0)</f>
        <v>0</v>
      </c>
      <c r="N18" s="55">
        <f t="shared" ref="N18:AY18" si="4">IF($L$18=$AI$7,N14*N15,0)</f>
        <v>99.999999999999801</v>
      </c>
      <c r="O18" s="55">
        <f t="shared" si="4"/>
        <v>150.00000000000011</v>
      </c>
      <c r="P18" s="55">
        <f t="shared" si="4"/>
        <v>100.00000000000017</v>
      </c>
      <c r="Q18" s="55">
        <f t="shared" si="4"/>
        <v>9.7609135266450335E-13</v>
      </c>
      <c r="R18" s="55">
        <f t="shared" si="4"/>
        <v>-50.000000000000512</v>
      </c>
      <c r="S18" s="55">
        <f t="shared" si="4"/>
        <v>8.4843216963681377E-14</v>
      </c>
      <c r="T18" s="55">
        <f t="shared" si="4"/>
        <v>100.00000000000051</v>
      </c>
      <c r="U18" s="55">
        <f t="shared" si="4"/>
        <v>149.99999999999952</v>
      </c>
      <c r="V18" s="55">
        <f t="shared" si="4"/>
        <v>100.00000000000009</v>
      </c>
      <c r="W18" s="55">
        <f t="shared" si="4"/>
        <v>-3.3944798358466192E-13</v>
      </c>
      <c r="X18" s="55">
        <f t="shared" si="4"/>
        <v>-50.000000000000497</v>
      </c>
      <c r="Y18" s="55">
        <f t="shared" si="4"/>
        <v>1.6968643392736283E-13</v>
      </c>
      <c r="Z18" s="55">
        <f t="shared" si="4"/>
        <v>99.999999999995666</v>
      </c>
      <c r="AA18" s="55">
        <f t="shared" si="4"/>
        <v>149.99999999999949</v>
      </c>
      <c r="AB18" s="55">
        <f t="shared" si="4"/>
        <v>100.00000000000247</v>
      </c>
      <c r="AC18" s="55">
        <f t="shared" si="4"/>
        <v>2.0371010380226401E-12</v>
      </c>
      <c r="AD18" s="55">
        <f t="shared" si="4"/>
        <v>-50.000000000000504</v>
      </c>
      <c r="AE18" s="55">
        <f t="shared" si="4"/>
        <v>-2.2068625876799102E-12</v>
      </c>
      <c r="AF18" s="55">
        <f t="shared" si="4"/>
        <v>100.00000000000313</v>
      </c>
      <c r="AG18" s="55">
        <f t="shared" si="4"/>
        <v>150.00000000000193</v>
      </c>
      <c r="AH18" s="55">
        <f t="shared" si="4"/>
        <v>100.00000000000978</v>
      </c>
      <c r="AI18" s="55">
        <f t="shared" si="4"/>
        <v>4.4136500596299078E-12</v>
      </c>
      <c r="AJ18" s="55">
        <f t="shared" si="4"/>
        <v>-49.999999999998046</v>
      </c>
      <c r="AK18" s="55">
        <f t="shared" si="4"/>
        <v>3.3937286785472031E-13</v>
      </c>
      <c r="AL18" s="55">
        <f t="shared" si="4"/>
        <v>99.99999999999585</v>
      </c>
      <c r="AM18" s="55">
        <f t="shared" si="4"/>
        <v>150.00000000000196</v>
      </c>
      <c r="AN18" s="55">
        <f t="shared" si="4"/>
        <v>100.00000000001705</v>
      </c>
      <c r="AO18" s="55">
        <f t="shared" si="4"/>
        <v>1.8674146040952446E-12</v>
      </c>
      <c r="AP18" s="55">
        <f t="shared" si="4"/>
        <v>-49.999999999998053</v>
      </c>
      <c r="AQ18" s="55">
        <f t="shared" si="4"/>
        <v>-6.9599606308942282E-12</v>
      </c>
      <c r="AR18" s="55">
        <f t="shared" si="4"/>
        <v>99.99999999999838</v>
      </c>
      <c r="AS18" s="55">
        <f t="shared" si="4"/>
        <v>150.00000000000196</v>
      </c>
      <c r="AT18" s="55">
        <f t="shared" si="4"/>
        <v>99.999999999994827</v>
      </c>
      <c r="AU18" s="55">
        <f t="shared" si="4"/>
        <v>-6.7882085143937506E-13</v>
      </c>
      <c r="AV18" s="55">
        <f t="shared" si="4"/>
        <v>-49.999999999998046</v>
      </c>
      <c r="AW18" s="55">
        <f t="shared" si="4"/>
        <v>-4.4137251753597146E-12</v>
      </c>
      <c r="AX18" s="55">
        <f t="shared" si="4"/>
        <v>100.00000000001077</v>
      </c>
      <c r="AY18" s="55">
        <f t="shared" si="4"/>
        <v>150.00000000000196</v>
      </c>
    </row>
    <row r="19" spans="10:51" x14ac:dyDescent="0.35">
      <c r="J19" s="39"/>
      <c r="K19" s="39"/>
      <c r="L19" s="39"/>
    </row>
    <row r="55" spans="3:10" ht="16.5" x14ac:dyDescent="0.45">
      <c r="C55" t="s">
        <v>468</v>
      </c>
      <c r="E55" t="s">
        <v>471</v>
      </c>
      <c r="G55" t="s">
        <v>478</v>
      </c>
    </row>
    <row r="56" spans="3:10" ht="16.5" x14ac:dyDescent="0.45">
      <c r="C56" t="s">
        <v>469</v>
      </c>
      <c r="E56" t="s">
        <v>472</v>
      </c>
      <c r="G56" t="s">
        <v>479</v>
      </c>
    </row>
    <row r="57" spans="3:10" x14ac:dyDescent="0.35">
      <c r="C57" s="305" t="s">
        <v>470</v>
      </c>
      <c r="E57" t="s">
        <v>473</v>
      </c>
    </row>
    <row r="59" spans="3:10" x14ac:dyDescent="0.35">
      <c r="C59" t="s">
        <v>475</v>
      </c>
      <c r="E59" t="s">
        <v>474</v>
      </c>
      <c r="J59" t="s">
        <v>477</v>
      </c>
    </row>
    <row r="60" spans="3:10" ht="18.5" x14ac:dyDescent="0.45">
      <c r="C60" t="s">
        <v>476</v>
      </c>
      <c r="E60" t="s">
        <v>483</v>
      </c>
    </row>
    <row r="62" spans="3:10" ht="24" x14ac:dyDescent="0.65">
      <c r="E62" s="306" t="s">
        <v>481</v>
      </c>
    </row>
    <row r="64" spans="3:10" x14ac:dyDescent="0.35">
      <c r="C64" t="s">
        <v>480</v>
      </c>
    </row>
    <row r="70" spans="3:3" x14ac:dyDescent="0.35">
      <c r="C70" t="s">
        <v>482</v>
      </c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36" customWidth="1"/>
    <col min="17" max="17" width="4.90625" style="163" customWidth="1"/>
    <col min="18" max="18" width="34.6328125" style="137" customWidth="1"/>
    <col min="19" max="19" width="3.81640625" style="159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0" customWidth="1"/>
    <col min="28" max="28" width="24.6328125" customWidth="1"/>
    <col min="29" max="29" width="3.81640625" customWidth="1"/>
  </cols>
  <sheetData>
    <row r="2" spans="3:29" ht="26" x14ac:dyDescent="0.6">
      <c r="C2" s="44" t="s">
        <v>339</v>
      </c>
    </row>
    <row r="5" spans="3:29" ht="24" x14ac:dyDescent="0.65">
      <c r="P5" s="152" t="s">
        <v>351</v>
      </c>
      <c r="Q5" s="151" t="s">
        <v>350</v>
      </c>
      <c r="R5" s="138">
        <v>0.5</v>
      </c>
      <c r="S5" s="191" t="s">
        <v>338</v>
      </c>
      <c r="U5" s="189" t="str">
        <f>U59</f>
        <v>U1</v>
      </c>
      <c r="V5" s="213" t="str">
        <f>V59</f>
        <v xml:space="preserve"> =</v>
      </c>
      <c r="W5" s="189">
        <f>W59</f>
        <v>0.38502673796791448</v>
      </c>
      <c r="X5" s="207" t="str">
        <f>X59</f>
        <v>V</v>
      </c>
      <c r="Z5" s="201" t="str">
        <f>U98</f>
        <v>I1 = I23 = I123</v>
      </c>
      <c r="AA5" s="200" t="str">
        <f>V98</f>
        <v xml:space="preserve"> =</v>
      </c>
      <c r="AB5" s="201">
        <f>W98</f>
        <v>0.77005347593582896</v>
      </c>
      <c r="AC5" s="199" t="str">
        <f>X98</f>
        <v>A</v>
      </c>
    </row>
    <row r="6" spans="3:29" ht="24" x14ac:dyDescent="0.65">
      <c r="P6" s="152" t="s">
        <v>352</v>
      </c>
      <c r="Q6" s="151" t="s">
        <v>350</v>
      </c>
      <c r="R6" s="138">
        <v>0.5</v>
      </c>
      <c r="S6" s="191" t="s">
        <v>338</v>
      </c>
      <c r="U6" s="189" t="str">
        <f>U62</f>
        <v>U1 = U2 = U23</v>
      </c>
      <c r="V6" s="213" t="str">
        <f>V62</f>
        <v xml:space="preserve"> =</v>
      </c>
      <c r="W6" s="189">
        <f>W62</f>
        <v>0.25668449197860965</v>
      </c>
      <c r="X6" s="207" t="str">
        <f>X62</f>
        <v>V</v>
      </c>
      <c r="Z6" s="201" t="str">
        <f>U18</f>
        <v>I2</v>
      </c>
      <c r="AA6" s="200" t="str">
        <f>V18</f>
        <v xml:space="preserve"> =</v>
      </c>
      <c r="AB6" s="199">
        <f>W18</f>
        <v>0.5133689839572193</v>
      </c>
      <c r="AC6" s="199" t="str">
        <f>X18</f>
        <v>A</v>
      </c>
    </row>
    <row r="7" spans="3:29" ht="24" x14ac:dyDescent="0.65">
      <c r="P7" s="152" t="s">
        <v>353</v>
      </c>
      <c r="Q7" s="151" t="s">
        <v>350</v>
      </c>
      <c r="R7" s="138">
        <v>1</v>
      </c>
      <c r="S7" s="191" t="s">
        <v>338</v>
      </c>
      <c r="U7" s="189" t="str">
        <f>U62</f>
        <v>U1 = U2 = U23</v>
      </c>
      <c r="V7" s="213" t="str">
        <f>V62</f>
        <v xml:space="preserve"> =</v>
      </c>
      <c r="W7" s="189">
        <f>W62</f>
        <v>0.25668449197860965</v>
      </c>
      <c r="X7" s="207" t="str">
        <f>X62</f>
        <v>V</v>
      </c>
      <c r="Z7" s="201" t="str">
        <f>U21</f>
        <v>I3</v>
      </c>
      <c r="AA7" s="200" t="str">
        <f>V21</f>
        <v xml:space="preserve"> =</v>
      </c>
      <c r="AB7" s="201">
        <f>W21</f>
        <v>0.25668449197860965</v>
      </c>
      <c r="AC7" s="199" t="str">
        <f>X21</f>
        <v>A</v>
      </c>
    </row>
    <row r="8" spans="3:29" ht="24" x14ac:dyDescent="0.65">
      <c r="P8" s="152" t="s">
        <v>354</v>
      </c>
      <c r="Q8" s="151" t="s">
        <v>350</v>
      </c>
      <c r="R8" s="138">
        <v>1</v>
      </c>
      <c r="S8" s="191" t="s">
        <v>338</v>
      </c>
      <c r="U8" s="189" t="str">
        <f>U88</f>
        <v>U4 = U5 = U123 = U12345</v>
      </c>
      <c r="V8" s="213" t="str">
        <f>V88</f>
        <v xml:space="preserve"> =</v>
      </c>
      <c r="W8" s="189">
        <f>W88</f>
        <v>0.64171122994652408</v>
      </c>
      <c r="X8" s="207" t="str">
        <f>X88</f>
        <v>V</v>
      </c>
      <c r="Z8" s="201" t="str">
        <f>U24</f>
        <v>I4</v>
      </c>
      <c r="AA8" s="200" t="str">
        <f>V24</f>
        <v xml:space="preserve"> =</v>
      </c>
      <c r="AB8" s="201">
        <f>W24</f>
        <v>0.64171122994652408</v>
      </c>
      <c r="AC8" s="199" t="str">
        <f>X24</f>
        <v>A</v>
      </c>
    </row>
    <row r="9" spans="3:29" ht="24" x14ac:dyDescent="0.65">
      <c r="P9" s="152" t="s">
        <v>355</v>
      </c>
      <c r="Q9" s="151" t="s">
        <v>350</v>
      </c>
      <c r="R9" s="138">
        <v>2</v>
      </c>
      <c r="S9" s="191" t="s">
        <v>338</v>
      </c>
      <c r="U9" s="189" t="str">
        <f>U88</f>
        <v>U4 = U5 = U123 = U12345</v>
      </c>
      <c r="V9" s="213" t="str">
        <f>V88</f>
        <v xml:space="preserve"> =</v>
      </c>
      <c r="W9" s="189">
        <f>W88</f>
        <v>0.64171122994652408</v>
      </c>
      <c r="X9" s="207" t="str">
        <f>X88</f>
        <v>V</v>
      </c>
      <c r="Z9" s="201" t="str">
        <f>U27</f>
        <v>I5</v>
      </c>
      <c r="AA9" s="200" t="str">
        <f>V27</f>
        <v xml:space="preserve"> =</v>
      </c>
      <c r="AB9" s="201">
        <f>W27</f>
        <v>0.32085561497326204</v>
      </c>
      <c r="AC9" s="199" t="str">
        <f>X27</f>
        <v>A</v>
      </c>
    </row>
    <row r="10" spans="3:29" ht="24" x14ac:dyDescent="0.65">
      <c r="P10" s="152" t="s">
        <v>356</v>
      </c>
      <c r="Q10" s="151" t="s">
        <v>350</v>
      </c>
      <c r="R10" s="138">
        <v>2</v>
      </c>
      <c r="S10" s="191" t="s">
        <v>338</v>
      </c>
      <c r="U10" s="189" t="str">
        <f>U144</f>
        <v>U6</v>
      </c>
      <c r="V10" s="213" t="str">
        <f>V144</f>
        <v xml:space="preserve"> =</v>
      </c>
      <c r="W10" s="189">
        <f>W144</f>
        <v>3.4652406417112305</v>
      </c>
      <c r="X10" s="207" t="str">
        <f>X144</f>
        <v>V</v>
      </c>
      <c r="Z10" s="201" t="str">
        <f>U183</f>
        <v>I6 = I12345 = I123456</v>
      </c>
      <c r="AA10" s="200" t="str">
        <f>V183</f>
        <v xml:space="preserve"> =</v>
      </c>
      <c r="AB10" s="201">
        <f>W183</f>
        <v>1.7326203208556152</v>
      </c>
      <c r="AC10" s="199" t="str">
        <f>X183</f>
        <v>A</v>
      </c>
    </row>
    <row r="11" spans="3:29" ht="24" x14ac:dyDescent="0.65">
      <c r="P11" s="152" t="s">
        <v>357</v>
      </c>
      <c r="Q11" s="151" t="s">
        <v>350</v>
      </c>
      <c r="R11" s="138">
        <v>0.5</v>
      </c>
      <c r="S11" s="191" t="s">
        <v>338</v>
      </c>
      <c r="U11" s="189" t="str">
        <f>U31</f>
        <v>U7</v>
      </c>
      <c r="V11" s="213" t="str">
        <f>V31</f>
        <v xml:space="preserve"> =</v>
      </c>
      <c r="W11" s="189">
        <f>W31</f>
        <v>2.0534759358288772</v>
      </c>
      <c r="X11" s="207" t="str">
        <f>X31</f>
        <v>V</v>
      </c>
      <c r="Z11" s="201" t="str">
        <f>U68</f>
        <v>I7 = I8 = I78</v>
      </c>
      <c r="AA11" s="200" t="str">
        <f>V68</f>
        <v xml:space="preserve"> =</v>
      </c>
      <c r="AB11" s="201">
        <f>W68</f>
        <v>4.1069518716577544</v>
      </c>
      <c r="AC11" s="199" t="str">
        <f>X68</f>
        <v>A</v>
      </c>
    </row>
    <row r="12" spans="3:29" ht="24" x14ac:dyDescent="0.65">
      <c r="P12" s="152" t="s">
        <v>358</v>
      </c>
      <c r="Q12" s="151" t="s">
        <v>350</v>
      </c>
      <c r="R12" s="138">
        <v>0.5</v>
      </c>
      <c r="S12" s="191" t="s">
        <v>338</v>
      </c>
      <c r="U12" s="189" t="str">
        <f>U34</f>
        <v>U8</v>
      </c>
      <c r="V12" s="213" t="str">
        <f>V34</f>
        <v xml:space="preserve"> =</v>
      </c>
      <c r="W12" s="189">
        <f>W34</f>
        <v>2.0534759358288772</v>
      </c>
      <c r="X12" s="207" t="str">
        <f>X34</f>
        <v>V</v>
      </c>
      <c r="Z12" s="201" t="str">
        <f>U68</f>
        <v>I7 = I8 = I78</v>
      </c>
      <c r="AA12" s="200" t="str">
        <f>V68</f>
        <v xml:space="preserve"> =</v>
      </c>
      <c r="AB12" s="201">
        <f>W68</f>
        <v>4.1069518716577544</v>
      </c>
      <c r="AC12" s="199" t="str">
        <f>X68</f>
        <v>A</v>
      </c>
    </row>
    <row r="13" spans="3:29" ht="24" x14ac:dyDescent="0.65">
      <c r="P13" s="152" t="s">
        <v>359</v>
      </c>
      <c r="Q13" s="151" t="s">
        <v>350</v>
      </c>
      <c r="R13" s="138">
        <v>2</v>
      </c>
      <c r="S13" s="191" t="s">
        <v>338</v>
      </c>
      <c r="U13" s="189" t="str">
        <f>U172</f>
        <v>U9 = U123456789 = U78 = U123456</v>
      </c>
      <c r="V13" s="213" t="str">
        <f>V172</f>
        <v xml:space="preserve"> =</v>
      </c>
      <c r="W13" s="189">
        <f>W172</f>
        <v>4.1069518716577544</v>
      </c>
      <c r="X13" s="207" t="str">
        <f>X172</f>
        <v>V</v>
      </c>
      <c r="Z13" s="201" t="str">
        <f>U65</f>
        <v>I9</v>
      </c>
      <c r="AA13" s="200" t="str">
        <f>V65</f>
        <v xml:space="preserve"> =</v>
      </c>
      <c r="AB13" s="201">
        <f>W65</f>
        <v>2.0534759358288772</v>
      </c>
      <c r="AC13" s="199" t="str">
        <f>X65</f>
        <v>A</v>
      </c>
    </row>
    <row r="14" spans="3:29" ht="24" x14ac:dyDescent="0.65">
      <c r="P14" s="152" t="s">
        <v>360</v>
      </c>
      <c r="Q14" s="151" t="s">
        <v>350</v>
      </c>
      <c r="R14" s="138">
        <v>1</v>
      </c>
      <c r="S14" s="191" t="s">
        <v>338</v>
      </c>
      <c r="U14" s="189" t="str">
        <f>U229</f>
        <v>U10</v>
      </c>
      <c r="V14" s="213" t="str">
        <f>V229</f>
        <v xml:space="preserve"> =</v>
      </c>
      <c r="W14" s="189">
        <f>W229</f>
        <v>7.8930481283422456</v>
      </c>
      <c r="X14" s="207" t="str">
        <f>X229</f>
        <v>V</v>
      </c>
      <c r="Z14" s="201" t="str">
        <f>U273</f>
        <v>I10 = I123456789 = ITot</v>
      </c>
      <c r="AA14" s="200" t="str">
        <f>V273</f>
        <v xml:space="preserve"> =</v>
      </c>
      <c r="AB14" s="201">
        <f>W273</f>
        <v>7.8930481283422456</v>
      </c>
      <c r="AC14" s="199" t="str">
        <f>X273</f>
        <v>A</v>
      </c>
    </row>
    <row r="15" spans="3:29" ht="24" x14ac:dyDescent="0.65">
      <c r="P15" s="186" t="s">
        <v>420</v>
      </c>
      <c r="Q15" s="187" t="s">
        <v>350</v>
      </c>
      <c r="R15" s="188">
        <f>R273</f>
        <v>1.5203252032520327</v>
      </c>
      <c r="S15" s="192" t="s">
        <v>337</v>
      </c>
      <c r="U15" s="153" t="s">
        <v>419</v>
      </c>
      <c r="V15" s="214" t="s">
        <v>350</v>
      </c>
      <c r="W15" s="138">
        <v>12</v>
      </c>
      <c r="X15" s="208" t="s">
        <v>337</v>
      </c>
      <c r="Z15" s="201" t="str">
        <f>U273</f>
        <v>I10 = I123456789 = ITot</v>
      </c>
      <c r="AA15" s="200" t="str">
        <f>V273</f>
        <v xml:space="preserve"> =</v>
      </c>
      <c r="AB15" s="199">
        <f>W273</f>
        <v>7.8930481283422456</v>
      </c>
      <c r="AC15" s="199" t="str">
        <f>X273</f>
        <v>A</v>
      </c>
    </row>
    <row r="16" spans="3:29" x14ac:dyDescent="0.35">
      <c r="G16" s="135"/>
    </row>
    <row r="17" spans="16:24" ht="35.5" customHeight="1" x14ac:dyDescent="0.8">
      <c r="U17" s="143" t="s">
        <v>407</v>
      </c>
      <c r="V17" s="214" t="s">
        <v>350</v>
      </c>
      <c r="W17" s="165" t="s">
        <v>413</v>
      </c>
      <c r="X17" s="5"/>
    </row>
    <row r="18" spans="16:24" ht="35.5" customHeight="1" x14ac:dyDescent="0.8">
      <c r="P18" s="202" t="str">
        <f>P59</f>
        <v>R23</v>
      </c>
      <c r="Q18" s="203" t="str">
        <f>Q59</f>
        <v xml:space="preserve"> =</v>
      </c>
      <c r="R18" s="202">
        <f>R59</f>
        <v>0.33333333333333331</v>
      </c>
      <c r="S18" s="204" t="str">
        <f>S59</f>
        <v>Ω</v>
      </c>
      <c r="U18" s="171" t="s">
        <v>407</v>
      </c>
      <c r="V18" s="215" t="s">
        <v>350</v>
      </c>
      <c r="W18" s="172">
        <f>W62/R6</f>
        <v>0.5133689839572193</v>
      </c>
      <c r="X18" s="172" t="s">
        <v>44</v>
      </c>
    </row>
    <row r="19" spans="16:24" ht="35.5" customHeight="1" x14ac:dyDescent="0.35">
      <c r="P19" s="202" t="str">
        <f>P62</f>
        <v>R45</v>
      </c>
      <c r="Q19" s="203" t="str">
        <f>Q62</f>
        <v xml:space="preserve"> =</v>
      </c>
      <c r="R19" s="202">
        <f>R62</f>
        <v>0.66666666666666663</v>
      </c>
      <c r="S19" s="204" t="str">
        <f>S62</f>
        <v>Ω</v>
      </c>
    </row>
    <row r="20" spans="16:24" ht="35.5" customHeight="1" x14ac:dyDescent="0.8">
      <c r="P20" s="202" t="str">
        <f>P65</f>
        <v>R78</v>
      </c>
      <c r="Q20" s="203" t="str">
        <f>Q65</f>
        <v xml:space="preserve"> =</v>
      </c>
      <c r="R20" s="202">
        <f>R65</f>
        <v>1</v>
      </c>
      <c r="S20" s="204" t="str">
        <f>S65</f>
        <v>Ω</v>
      </c>
      <c r="U20" s="143" t="s">
        <v>408</v>
      </c>
      <c r="V20" s="214" t="s">
        <v>350</v>
      </c>
      <c r="W20" s="165" t="s">
        <v>414</v>
      </c>
      <c r="X20" s="5"/>
    </row>
    <row r="21" spans="16:24" ht="35.5" customHeight="1" x14ac:dyDescent="0.8">
      <c r="U21" s="171" t="s">
        <v>408</v>
      </c>
      <c r="V21" s="215" t="s">
        <v>350</v>
      </c>
      <c r="W21" s="172">
        <f>W62/R7</f>
        <v>0.25668449197860965</v>
      </c>
      <c r="X21" s="172" t="s">
        <v>44</v>
      </c>
    </row>
    <row r="22" spans="16:24" ht="35.5" customHeight="1" x14ac:dyDescent="0.35">
      <c r="P22" s="202" t="str">
        <f>P98</f>
        <v>R123</v>
      </c>
      <c r="Q22" s="203" t="str">
        <f>Q98</f>
        <v xml:space="preserve"> =</v>
      </c>
      <c r="R22" s="202">
        <f>R98</f>
        <v>0.83333333333333326</v>
      </c>
      <c r="S22" s="204" t="str">
        <f>S98</f>
        <v>Ω</v>
      </c>
    </row>
    <row r="23" spans="16:24" ht="35.5" customHeight="1" x14ac:dyDescent="0.8">
      <c r="P23" s="202" t="str">
        <f>P101</f>
        <v>R789</v>
      </c>
      <c r="Q23" s="203" t="str">
        <f>Q101</f>
        <v xml:space="preserve"> =</v>
      </c>
      <c r="R23" s="202">
        <f>R101</f>
        <v>0.66666666666666663</v>
      </c>
      <c r="S23" s="204" t="str">
        <f>S101</f>
        <v>Ω</v>
      </c>
      <c r="U23" s="143" t="s">
        <v>409</v>
      </c>
      <c r="V23" s="214" t="s">
        <v>350</v>
      </c>
      <c r="W23" s="165" t="s">
        <v>415</v>
      </c>
      <c r="X23" s="5"/>
    </row>
    <row r="24" spans="16:24" ht="35.5" customHeight="1" x14ac:dyDescent="0.8">
      <c r="U24" s="171" t="s">
        <v>409</v>
      </c>
      <c r="V24" s="215" t="s">
        <v>350</v>
      </c>
      <c r="W24" s="172">
        <f>W88/R8</f>
        <v>0.64171122994652408</v>
      </c>
      <c r="X24" s="172" t="s">
        <v>44</v>
      </c>
    </row>
    <row r="25" spans="16:24" ht="35.5" customHeight="1" x14ac:dyDescent="0.35">
      <c r="P25" s="202" t="str">
        <f>P141</f>
        <v>R12345</v>
      </c>
      <c r="Q25" s="203" t="str">
        <f>Q141</f>
        <v xml:space="preserve"> =</v>
      </c>
      <c r="R25" s="202">
        <f>R141</f>
        <v>0.37037037037037035</v>
      </c>
      <c r="S25" s="204" t="str">
        <f>S141</f>
        <v>Ω</v>
      </c>
    </row>
    <row r="26" spans="16:24" ht="35.5" customHeight="1" x14ac:dyDescent="0.8">
      <c r="U26" s="143" t="s">
        <v>410</v>
      </c>
      <c r="V26" s="214" t="s">
        <v>350</v>
      </c>
      <c r="W26" s="165" t="s">
        <v>416</v>
      </c>
      <c r="X26" s="5"/>
    </row>
    <row r="27" spans="16:24" ht="35.5" customHeight="1" x14ac:dyDescent="0.8">
      <c r="P27" s="202" t="str">
        <f>P180</f>
        <v>R123456</v>
      </c>
      <c r="Q27" s="203" t="str">
        <f>Q180</f>
        <v xml:space="preserve"> =</v>
      </c>
      <c r="R27" s="202">
        <f>R180</f>
        <v>2.3703703703703702</v>
      </c>
      <c r="S27" s="204" t="str">
        <f>S180</f>
        <v>Ω</v>
      </c>
      <c r="U27" s="171" t="s">
        <v>410</v>
      </c>
      <c r="V27" s="215" t="s">
        <v>350</v>
      </c>
      <c r="W27" s="172">
        <f>W88/R9</f>
        <v>0.32085561497326204</v>
      </c>
      <c r="X27" s="172" t="s">
        <v>44</v>
      </c>
    </row>
    <row r="28" spans="16:24" ht="35.5" customHeight="1" x14ac:dyDescent="0.35"/>
    <row r="29" spans="16:24" ht="35.5" customHeight="1" x14ac:dyDescent="0.35">
      <c r="P29" s="202" t="str">
        <f>P226</f>
        <v>R123456789</v>
      </c>
      <c r="Q29" s="203" t="str">
        <f>Q226</f>
        <v xml:space="preserve"> =</v>
      </c>
      <c r="R29" s="202">
        <f>R226</f>
        <v>0.52032520325203258</v>
      </c>
      <c r="S29" s="204" t="str">
        <f>S226</f>
        <v>Ω</v>
      </c>
    </row>
    <row r="30" spans="16:24" ht="35.5" customHeight="1" x14ac:dyDescent="0.85">
      <c r="U30" s="176" t="s">
        <v>411</v>
      </c>
      <c r="V30" s="214" t="s">
        <v>350</v>
      </c>
      <c r="W30" s="178" t="s">
        <v>417</v>
      </c>
      <c r="X30" s="209"/>
    </row>
    <row r="31" spans="16:24" ht="35.5" customHeight="1" x14ac:dyDescent="0.85">
      <c r="P31" s="202" t="str">
        <f>P273</f>
        <v>RTot</v>
      </c>
      <c r="Q31" s="203" t="str">
        <f>Q273</f>
        <v xml:space="preserve"> =</v>
      </c>
      <c r="R31" s="202">
        <f>R273</f>
        <v>1.5203252032520327</v>
      </c>
      <c r="S31" s="204" t="str">
        <f>S273</f>
        <v>Ω</v>
      </c>
      <c r="U31" s="181" t="s">
        <v>411</v>
      </c>
      <c r="V31" s="215" t="s">
        <v>350</v>
      </c>
      <c r="W31" s="182">
        <f>W68*R11</f>
        <v>2.0534759358288772</v>
      </c>
      <c r="X31" s="182" t="s">
        <v>337</v>
      </c>
    </row>
    <row r="32" spans="16:24" ht="35.5" customHeight="1" x14ac:dyDescent="0.35"/>
    <row r="33" spans="3:24" ht="35.5" customHeight="1" x14ac:dyDescent="0.85">
      <c r="U33" s="176" t="s">
        <v>412</v>
      </c>
      <c r="V33" s="214" t="s">
        <v>350</v>
      </c>
      <c r="W33" s="178" t="s">
        <v>418</v>
      </c>
      <c r="X33" s="209"/>
    </row>
    <row r="34" spans="3:24" ht="35.5" customHeight="1" x14ac:dyDescent="0.85">
      <c r="U34" s="181" t="s">
        <v>412</v>
      </c>
      <c r="V34" s="215" t="s">
        <v>350</v>
      </c>
      <c r="W34" s="182">
        <f>W68*R12</f>
        <v>2.0534759358288772</v>
      </c>
      <c r="X34" s="182" t="s">
        <v>337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340</v>
      </c>
    </row>
    <row r="46" spans="3:24" x14ac:dyDescent="0.35">
      <c r="R46" s="136"/>
    </row>
    <row r="47" spans="3:24" x14ac:dyDescent="0.35">
      <c r="R47" s="136"/>
    </row>
    <row r="48" spans="3:24" ht="21" x14ac:dyDescent="0.5">
      <c r="P48" s="154" t="str">
        <f t="shared" ref="P48:S51" si="0">P6</f>
        <v>R2</v>
      </c>
      <c r="Q48" s="166" t="str">
        <f t="shared" si="0"/>
        <v xml:space="preserve"> =</v>
      </c>
      <c r="R48" s="154">
        <f t="shared" si="0"/>
        <v>0.5</v>
      </c>
      <c r="S48" s="158" t="str">
        <f t="shared" si="0"/>
        <v>Ω</v>
      </c>
      <c r="U48" s="13" t="str">
        <f>U98</f>
        <v>I1 = I23 = I123</v>
      </c>
      <c r="V48" s="216" t="str">
        <f>V98</f>
        <v xml:space="preserve"> =</v>
      </c>
      <c r="W48" s="13">
        <f>W98</f>
        <v>0.77005347593582896</v>
      </c>
      <c r="X48" s="184" t="str">
        <f>X98</f>
        <v>A</v>
      </c>
    </row>
    <row r="49" spans="16:24" ht="21" x14ac:dyDescent="0.5">
      <c r="P49" s="154" t="str">
        <f t="shared" si="0"/>
        <v>R3</v>
      </c>
      <c r="Q49" s="166" t="str">
        <f t="shared" si="0"/>
        <v xml:space="preserve"> =</v>
      </c>
      <c r="R49" s="154">
        <f t="shared" si="0"/>
        <v>1</v>
      </c>
      <c r="S49" s="158" t="str">
        <f t="shared" si="0"/>
        <v>Ω</v>
      </c>
      <c r="U49" s="179" t="str">
        <f>U226</f>
        <v>U9 = U123456789 = U78 = U123456</v>
      </c>
      <c r="V49" s="217" t="str">
        <f>V226</f>
        <v xml:space="preserve"> =</v>
      </c>
      <c r="W49" s="179">
        <f>W226</f>
        <v>4.1069518716577544</v>
      </c>
      <c r="X49" s="185" t="str">
        <f>X226</f>
        <v>V</v>
      </c>
    </row>
    <row r="50" spans="16:24" ht="21" x14ac:dyDescent="0.5">
      <c r="P50" s="154" t="str">
        <f t="shared" si="0"/>
        <v>R4</v>
      </c>
      <c r="Q50" s="166" t="str">
        <f t="shared" si="0"/>
        <v xml:space="preserve"> =</v>
      </c>
      <c r="R50" s="154">
        <f t="shared" si="0"/>
        <v>1</v>
      </c>
      <c r="S50" s="158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4" t="str">
        <f t="shared" si="0"/>
        <v>R5</v>
      </c>
      <c r="Q51" s="166" t="str">
        <f t="shared" si="0"/>
        <v xml:space="preserve"> =</v>
      </c>
      <c r="R51" s="154">
        <f t="shared" si="0"/>
        <v>2</v>
      </c>
      <c r="S51" s="158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4" t="str">
        <f t="shared" ref="P52:S53" si="1">P11</f>
        <v>R7</v>
      </c>
      <c r="Q52" s="166" t="str">
        <f t="shared" si="1"/>
        <v xml:space="preserve"> =</v>
      </c>
      <c r="R52" s="154">
        <f t="shared" si="1"/>
        <v>0.5</v>
      </c>
      <c r="S52" s="158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4" t="str">
        <f t="shared" si="1"/>
        <v>R8</v>
      </c>
      <c r="Q53" s="166" t="str">
        <f t="shared" si="1"/>
        <v xml:space="preserve"> =</v>
      </c>
      <c r="R53" s="154">
        <f t="shared" si="1"/>
        <v>0.5</v>
      </c>
      <c r="S53" s="158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36"/>
    </row>
    <row r="55" spans="16:24" x14ac:dyDescent="0.35">
      <c r="R55" s="136"/>
    </row>
    <row r="58" spans="16:24" ht="32.5" x14ac:dyDescent="0.85">
      <c r="P58" s="139" t="s">
        <v>361</v>
      </c>
      <c r="Q58" s="151" t="s">
        <v>350</v>
      </c>
      <c r="R58" s="140" t="s">
        <v>365</v>
      </c>
      <c r="S58" s="193"/>
      <c r="U58" s="176" t="s">
        <v>401</v>
      </c>
      <c r="V58" s="214" t="s">
        <v>350</v>
      </c>
      <c r="W58" s="178" t="s">
        <v>403</v>
      </c>
      <c r="X58" s="209"/>
    </row>
    <row r="59" spans="16:24" ht="32.5" x14ac:dyDescent="0.85">
      <c r="P59" s="155" t="s">
        <v>361</v>
      </c>
      <c r="Q59" s="156" t="s">
        <v>350</v>
      </c>
      <c r="R59" s="157">
        <f>1/(1/R6+1/R7)</f>
        <v>0.33333333333333331</v>
      </c>
      <c r="S59" s="194" t="s">
        <v>338</v>
      </c>
      <c r="U59" s="181" t="s">
        <v>401</v>
      </c>
      <c r="V59" s="215" t="s">
        <v>350</v>
      </c>
      <c r="W59" s="182">
        <f>W48*W50</f>
        <v>0.38502673796791448</v>
      </c>
      <c r="X59" s="182" t="s">
        <v>337</v>
      </c>
    </row>
    <row r="61" spans="16:24" ht="32.5" x14ac:dyDescent="0.85">
      <c r="P61" s="139" t="s">
        <v>362</v>
      </c>
      <c r="Q61" s="151" t="s">
        <v>350</v>
      </c>
      <c r="R61" s="140" t="s">
        <v>366</v>
      </c>
      <c r="S61" s="193"/>
      <c r="U61" s="176" t="s">
        <v>402</v>
      </c>
      <c r="V61" s="214" t="s">
        <v>350</v>
      </c>
      <c r="W61" s="178" t="s">
        <v>404</v>
      </c>
      <c r="X61" s="209"/>
    </row>
    <row r="62" spans="16:24" ht="32.5" x14ac:dyDescent="0.85">
      <c r="P62" s="155" t="s">
        <v>362</v>
      </c>
      <c r="Q62" s="156" t="s">
        <v>350</v>
      </c>
      <c r="R62" s="157">
        <f>1/(1/R8+1/R9)</f>
        <v>0.66666666666666663</v>
      </c>
      <c r="S62" s="194" t="s">
        <v>338</v>
      </c>
      <c r="U62" s="181" t="s">
        <v>426</v>
      </c>
      <c r="V62" s="215" t="s">
        <v>350</v>
      </c>
      <c r="W62" s="182">
        <f>W48*W51</f>
        <v>0.25668449197860965</v>
      </c>
      <c r="X62" s="182" t="s">
        <v>337</v>
      </c>
    </row>
    <row r="64" spans="16:24" ht="30" x14ac:dyDescent="0.8">
      <c r="P64" s="139" t="s">
        <v>363</v>
      </c>
      <c r="Q64" s="151" t="s">
        <v>350</v>
      </c>
      <c r="R64" s="140" t="s">
        <v>367</v>
      </c>
      <c r="S64" s="193"/>
      <c r="U64" s="143" t="s">
        <v>400</v>
      </c>
      <c r="V64" s="214" t="s">
        <v>350</v>
      </c>
      <c r="W64" s="165" t="s">
        <v>405</v>
      </c>
      <c r="X64" s="5"/>
    </row>
    <row r="65" spans="16:24" ht="30" x14ac:dyDescent="0.8">
      <c r="P65" s="155" t="s">
        <v>363</v>
      </c>
      <c r="Q65" s="156" t="s">
        <v>350</v>
      </c>
      <c r="R65" s="157">
        <f>R11+R12</f>
        <v>1</v>
      </c>
      <c r="S65" s="194" t="s">
        <v>338</v>
      </c>
      <c r="U65" s="171" t="s">
        <v>400</v>
      </c>
      <c r="V65" s="215" t="s">
        <v>350</v>
      </c>
      <c r="W65" s="172">
        <f>W49/W53</f>
        <v>2.0534759358288772</v>
      </c>
      <c r="X65" s="172" t="s">
        <v>44</v>
      </c>
    </row>
    <row r="67" spans="16:24" ht="30" x14ac:dyDescent="0.8">
      <c r="U67" s="143" t="s">
        <v>399</v>
      </c>
      <c r="V67" s="214" t="s">
        <v>350</v>
      </c>
      <c r="W67" s="165" t="s">
        <v>406</v>
      </c>
      <c r="X67" s="5"/>
    </row>
    <row r="68" spans="16:24" ht="30" x14ac:dyDescent="0.8">
      <c r="U68" s="171" t="s">
        <v>427</v>
      </c>
      <c r="V68" s="215" t="s">
        <v>350</v>
      </c>
      <c r="W68" s="172">
        <f>W49/W52</f>
        <v>4.1069518716577544</v>
      </c>
      <c r="X68" s="172" t="s">
        <v>44</v>
      </c>
    </row>
    <row r="70" spans="16:24" ht="16" thickBot="1" x14ac:dyDescent="0.4"/>
    <row r="71" spans="16:24" ht="33" thickBot="1" x14ac:dyDescent="0.9">
      <c r="U71" s="150" t="s">
        <v>422</v>
      </c>
      <c r="V71" s="218">
        <f>IF(W59+W62=W88,1,-1)</f>
        <v>1</v>
      </c>
    </row>
    <row r="72" spans="16:24" ht="16" thickBot="1" x14ac:dyDescent="0.4"/>
    <row r="73" spans="16:24" ht="30.5" thickBot="1" x14ac:dyDescent="0.85">
      <c r="U73" s="146" t="s">
        <v>423</v>
      </c>
      <c r="V73" s="219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345</v>
      </c>
      <c r="P88" s="136" t="str">
        <f>P5</f>
        <v>R1</v>
      </c>
      <c r="Q88" s="163" t="str">
        <f>Q5</f>
        <v xml:space="preserve"> =</v>
      </c>
      <c r="R88" s="136">
        <f>R5</f>
        <v>0.5</v>
      </c>
      <c r="S88" s="159" t="str">
        <f>S5</f>
        <v>Ω</v>
      </c>
      <c r="U88" s="179" t="str">
        <f>U141</f>
        <v>U4 = U5 = U123 = U12345</v>
      </c>
      <c r="V88" s="217" t="str">
        <f>V141</f>
        <v xml:space="preserve"> =</v>
      </c>
      <c r="W88" s="179">
        <f>W141</f>
        <v>0.64171122994652408</v>
      </c>
      <c r="X88" s="185" t="str">
        <f>X141</f>
        <v>V</v>
      </c>
    </row>
    <row r="89" spans="3:24" x14ac:dyDescent="0.35">
      <c r="P89" s="136" t="str">
        <f>P13</f>
        <v>R9</v>
      </c>
      <c r="Q89" s="163" t="str">
        <f>Q13</f>
        <v xml:space="preserve"> =</v>
      </c>
      <c r="R89" s="136">
        <f>R13</f>
        <v>2</v>
      </c>
      <c r="S89" s="159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36" t="str">
        <f>P59</f>
        <v>R23</v>
      </c>
      <c r="Q90" s="163" t="str">
        <f>Q59</f>
        <v xml:space="preserve"> =</v>
      </c>
      <c r="R90" s="136">
        <f>R59</f>
        <v>0.33333333333333331</v>
      </c>
      <c r="S90" s="159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36" t="str">
        <f>P65</f>
        <v>R78</v>
      </c>
      <c r="Q91" s="163" t="str">
        <f>Q65</f>
        <v xml:space="preserve"> =</v>
      </c>
      <c r="R91" s="136">
        <f>R65</f>
        <v>1</v>
      </c>
      <c r="S91" s="159" t="str">
        <f>S65</f>
        <v>Ω</v>
      </c>
    </row>
    <row r="97" spans="16:24" ht="30" x14ac:dyDescent="0.8">
      <c r="P97" s="139" t="s">
        <v>364</v>
      </c>
      <c r="Q97" s="151" t="s">
        <v>350</v>
      </c>
      <c r="R97" s="140" t="s">
        <v>368</v>
      </c>
      <c r="S97" s="193"/>
      <c r="U97" s="143" t="s">
        <v>395</v>
      </c>
      <c r="V97" s="214" t="s">
        <v>350</v>
      </c>
      <c r="W97" s="165" t="s">
        <v>396</v>
      </c>
      <c r="X97" s="5"/>
    </row>
    <row r="98" spans="16:24" ht="30" x14ac:dyDescent="0.8">
      <c r="P98" s="155" t="s">
        <v>364</v>
      </c>
      <c r="Q98" s="156" t="s">
        <v>350</v>
      </c>
      <c r="R98" s="157">
        <f>R90+R88</f>
        <v>0.83333333333333326</v>
      </c>
      <c r="S98" s="194" t="s">
        <v>338</v>
      </c>
      <c r="U98" s="171" t="s">
        <v>430</v>
      </c>
      <c r="V98" s="215" t="s">
        <v>350</v>
      </c>
      <c r="W98" s="172">
        <f>W88/W89</f>
        <v>0.77005347593582896</v>
      </c>
      <c r="X98" s="172" t="s">
        <v>44</v>
      </c>
    </row>
    <row r="100" spans="16:24" ht="30" x14ac:dyDescent="0.8">
      <c r="P100" s="139" t="s">
        <v>369</v>
      </c>
      <c r="Q100" s="151" t="s">
        <v>350</v>
      </c>
      <c r="R100" s="140" t="s">
        <v>370</v>
      </c>
      <c r="S100" s="193"/>
      <c r="U100" s="143" t="s">
        <v>397</v>
      </c>
      <c r="V100" s="214" t="s">
        <v>350</v>
      </c>
      <c r="W100" s="165" t="s">
        <v>398</v>
      </c>
      <c r="X100" s="5"/>
    </row>
    <row r="101" spans="16:24" ht="30" x14ac:dyDescent="0.8">
      <c r="P101" s="155" t="s">
        <v>369</v>
      </c>
      <c r="Q101" s="156" t="s">
        <v>350</v>
      </c>
      <c r="R101" s="157">
        <f>1/(1/R89+1/R91)</f>
        <v>0.66666666666666663</v>
      </c>
      <c r="S101" s="194" t="s">
        <v>338</v>
      </c>
      <c r="U101" s="171" t="s">
        <v>397</v>
      </c>
      <c r="V101" s="215" t="s">
        <v>350</v>
      </c>
      <c r="W101" s="172">
        <f>W88/W90</f>
        <v>0.96256684491978617</v>
      </c>
      <c r="X101" s="172" t="s">
        <v>44</v>
      </c>
    </row>
    <row r="103" spans="16:24" ht="16" thickBot="1" x14ac:dyDescent="0.4"/>
    <row r="104" spans="16:24" ht="30.5" thickBot="1" x14ac:dyDescent="0.85">
      <c r="U104" s="146" t="s">
        <v>421</v>
      </c>
      <c r="V104" s="219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344</v>
      </c>
    </row>
    <row r="134" spans="3:24" ht="28.5" x14ac:dyDescent="0.65">
      <c r="T134" s="148"/>
    </row>
    <row r="135" spans="3:24" ht="28.5" x14ac:dyDescent="0.65">
      <c r="P135" s="136" t="str">
        <f>P62</f>
        <v>R45</v>
      </c>
      <c r="Q135" s="163" t="str">
        <f>Q62</f>
        <v xml:space="preserve"> =</v>
      </c>
      <c r="R135" s="136">
        <f>R62</f>
        <v>0.66666666666666663</v>
      </c>
      <c r="S135" s="159" t="str">
        <f>S62</f>
        <v>Ω</v>
      </c>
      <c r="T135" s="148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36" t="str">
        <f>P98</f>
        <v>R123</v>
      </c>
      <c r="Q136" s="163" t="str">
        <f>Q98</f>
        <v xml:space="preserve"> =</v>
      </c>
      <c r="R136" s="136">
        <f>R98</f>
        <v>0.83333333333333326</v>
      </c>
      <c r="S136" s="159" t="str">
        <f>S98</f>
        <v>Ω</v>
      </c>
      <c r="T136" s="148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49"/>
      <c r="Q137" s="164"/>
      <c r="R137" s="148"/>
      <c r="S137" s="183"/>
      <c r="T137" s="148"/>
      <c r="U137" s="13" t="str">
        <f>U183</f>
        <v>I6 = I12345 = I123456</v>
      </c>
      <c r="V137" s="216" t="str">
        <f>V183</f>
        <v xml:space="preserve"> =</v>
      </c>
      <c r="W137" s="13">
        <f>W183</f>
        <v>1.7326203208556152</v>
      </c>
      <c r="X137" s="184" t="str">
        <f>X183</f>
        <v>A</v>
      </c>
    </row>
    <row r="140" spans="3:24" ht="32.5" x14ac:dyDescent="0.85">
      <c r="P140" s="147" t="s">
        <v>371</v>
      </c>
      <c r="Q140" s="151" t="s">
        <v>350</v>
      </c>
      <c r="R140" s="140" t="s">
        <v>372</v>
      </c>
      <c r="S140" s="195"/>
      <c r="U140" s="176" t="s">
        <v>392</v>
      </c>
      <c r="V140" s="214" t="s">
        <v>350</v>
      </c>
      <c r="W140" s="178" t="s">
        <v>386</v>
      </c>
      <c r="X140" s="209"/>
    </row>
    <row r="141" spans="3:24" ht="32.5" x14ac:dyDescent="0.85">
      <c r="P141" s="160" t="s">
        <v>371</v>
      </c>
      <c r="Q141" s="156" t="s">
        <v>350</v>
      </c>
      <c r="R141" s="161">
        <f>1/(1/R135+1/R136)</f>
        <v>0.37037037037037035</v>
      </c>
      <c r="S141" s="196" t="s">
        <v>338</v>
      </c>
      <c r="U141" s="181" t="s">
        <v>425</v>
      </c>
      <c r="V141" s="215" t="s">
        <v>350</v>
      </c>
      <c r="W141" s="182">
        <f>W137*W135</f>
        <v>0.64171122994652408</v>
      </c>
      <c r="X141" s="182" t="s">
        <v>337</v>
      </c>
    </row>
    <row r="143" spans="3:24" ht="32.5" x14ac:dyDescent="0.85">
      <c r="U143" s="176" t="s">
        <v>393</v>
      </c>
      <c r="V143" s="214" t="s">
        <v>350</v>
      </c>
      <c r="W143" s="178" t="s">
        <v>388</v>
      </c>
      <c r="X143" s="209"/>
    </row>
    <row r="144" spans="3:24" ht="32.5" x14ac:dyDescent="0.85">
      <c r="U144" s="181" t="s">
        <v>393</v>
      </c>
      <c r="V144" s="215" t="s">
        <v>350</v>
      </c>
      <c r="W144" s="182">
        <f>W137*W136</f>
        <v>3.4652406417112305</v>
      </c>
      <c r="X144" s="182" t="s">
        <v>337</v>
      </c>
    </row>
    <row r="145" spans="21:24" ht="29" thickBot="1" x14ac:dyDescent="0.7">
      <c r="W145" s="169"/>
      <c r="X145" s="148"/>
    </row>
    <row r="146" spans="21:24" ht="33" thickBot="1" x14ac:dyDescent="0.9">
      <c r="U146" s="150" t="s">
        <v>394</v>
      </c>
      <c r="V146" s="218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343</v>
      </c>
    </row>
    <row r="171" spans="3:24" x14ac:dyDescent="0.35">
      <c r="E171" s="184">
        <f>$W$273</f>
        <v>7.8930481283422456</v>
      </c>
    </row>
    <row r="172" spans="3:24" ht="18.5" customHeight="1" x14ac:dyDescent="0.6">
      <c r="P172" s="136" t="str">
        <f>P10</f>
        <v>R6</v>
      </c>
      <c r="Q172" s="163" t="str">
        <f>Q10</f>
        <v xml:space="preserve"> =</v>
      </c>
      <c r="R172" s="136">
        <f>R10</f>
        <v>2</v>
      </c>
      <c r="S172" s="159" t="str">
        <f>S10</f>
        <v>Ω</v>
      </c>
      <c r="T172" s="144"/>
      <c r="U172" s="179" t="str">
        <f>U226</f>
        <v>U9 = U123456789 = U78 = U123456</v>
      </c>
      <c r="V172" s="217" t="str">
        <f>V226</f>
        <v xml:space="preserve"> =</v>
      </c>
      <c r="W172" s="179">
        <f>W226</f>
        <v>4.1069518716577544</v>
      </c>
      <c r="X172" s="185" t="str">
        <f>X226</f>
        <v>V</v>
      </c>
    </row>
    <row r="173" spans="3:24" ht="26" x14ac:dyDescent="0.6">
      <c r="P173" s="136" t="str">
        <f>P141</f>
        <v>R12345</v>
      </c>
      <c r="Q173" s="163" t="str">
        <f>Q141</f>
        <v xml:space="preserve"> =</v>
      </c>
      <c r="R173" s="136">
        <f>R141</f>
        <v>0.37037037037037035</v>
      </c>
      <c r="S173" s="159" t="str">
        <f>S141</f>
        <v>Ω</v>
      </c>
      <c r="T173" s="144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16" t="str">
        <f>V217</f>
        <v xml:space="preserve"> =</v>
      </c>
      <c r="W176" s="13">
        <f>W217</f>
        <v>7.8930481283422456</v>
      </c>
      <c r="X176" s="184" t="str">
        <f>X217</f>
        <v>A</v>
      </c>
    </row>
    <row r="177" spans="4:24" x14ac:dyDescent="0.35">
      <c r="F177" s="179"/>
    </row>
    <row r="178" spans="4:24" x14ac:dyDescent="0.35">
      <c r="F178" s="179">
        <f>$W$226</f>
        <v>4.1069518716577544</v>
      </c>
      <c r="I178" s="179">
        <f>$W$226</f>
        <v>4.1069518716577544</v>
      </c>
    </row>
    <row r="179" spans="4:24" ht="30" x14ac:dyDescent="0.8">
      <c r="D179" s="185">
        <f>$W$229</f>
        <v>7.8930481283422456</v>
      </c>
      <c r="P179" s="141" t="s">
        <v>373</v>
      </c>
      <c r="Q179" s="151" t="s">
        <v>350</v>
      </c>
      <c r="R179" s="142" t="s">
        <v>374</v>
      </c>
      <c r="S179" s="197"/>
      <c r="U179" s="143" t="s">
        <v>383</v>
      </c>
      <c r="V179" s="214" t="s">
        <v>350</v>
      </c>
      <c r="W179" s="165" t="s">
        <v>382</v>
      </c>
      <c r="X179" s="210"/>
    </row>
    <row r="180" spans="4:24" ht="30" x14ac:dyDescent="0.8">
      <c r="P180" s="167" t="s">
        <v>373</v>
      </c>
      <c r="Q180" s="156" t="s">
        <v>350</v>
      </c>
      <c r="R180" s="168">
        <f>R172+R173</f>
        <v>2.3703703703703702</v>
      </c>
      <c r="S180" s="198" t="s">
        <v>338</v>
      </c>
      <c r="U180" s="171" t="s">
        <v>383</v>
      </c>
      <c r="V180" s="215" t="s">
        <v>350</v>
      </c>
      <c r="W180" s="172">
        <f>W172/W174</f>
        <v>6.1604278074866317</v>
      </c>
      <c r="X180" s="172" t="s">
        <v>44</v>
      </c>
    </row>
    <row r="182" spans="4:24" ht="30" x14ac:dyDescent="0.8">
      <c r="U182" s="143" t="s">
        <v>385</v>
      </c>
      <c r="V182" s="214" t="s">
        <v>350</v>
      </c>
      <c r="W182" s="165" t="s">
        <v>384</v>
      </c>
      <c r="X182" s="210"/>
    </row>
    <row r="183" spans="4:24" ht="30" x14ac:dyDescent="0.8">
      <c r="U183" s="171" t="s">
        <v>429</v>
      </c>
      <c r="V183" s="215" t="s">
        <v>350</v>
      </c>
      <c r="W183" s="172">
        <f>W172/W173</f>
        <v>1.7326203208556152</v>
      </c>
      <c r="X183" s="172" t="s">
        <v>44</v>
      </c>
    </row>
    <row r="185" spans="4:24" ht="16" thickBot="1" x14ac:dyDescent="0.4"/>
    <row r="186" spans="4:24" ht="30.5" thickBot="1" x14ac:dyDescent="0.85">
      <c r="U186" s="146" t="s">
        <v>346</v>
      </c>
      <c r="V186" s="219">
        <f>IF(W180+W183=W273,1,-1)</f>
        <v>1</v>
      </c>
      <c r="W186" s="190"/>
      <c r="X186" s="206"/>
    </row>
    <row r="187" spans="4:24" ht="26" x14ac:dyDescent="0.6">
      <c r="G187" s="184">
        <f>W180</f>
        <v>6.1604278074866317</v>
      </c>
      <c r="I187" s="184">
        <f>$W$183</f>
        <v>1.7326203208556152</v>
      </c>
      <c r="U187" s="205"/>
      <c r="V187" s="220"/>
      <c r="W187" s="206"/>
      <c r="X187" s="206"/>
    </row>
    <row r="188" spans="4:24" ht="26" x14ac:dyDescent="0.6">
      <c r="W188" s="170"/>
      <c r="X188" s="144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342</v>
      </c>
    </row>
    <row r="217" spans="3:24" x14ac:dyDescent="0.35">
      <c r="P217" s="136" t="str">
        <f>P101</f>
        <v>R789</v>
      </c>
      <c r="Q217" s="163" t="str">
        <f>Q101</f>
        <v xml:space="preserve"> =</v>
      </c>
      <c r="R217" s="136">
        <f>R101</f>
        <v>0.66666666666666663</v>
      </c>
      <c r="S217" s="159" t="str">
        <f>S101</f>
        <v>Ω</v>
      </c>
      <c r="U217" s="13" t="str">
        <f>U273</f>
        <v>I10 = I123456789 = ITot</v>
      </c>
      <c r="V217" s="216" t="str">
        <f>V273</f>
        <v xml:space="preserve"> =</v>
      </c>
      <c r="W217" s="13">
        <f>W273</f>
        <v>7.8930481283422456</v>
      </c>
      <c r="X217" s="184" t="str">
        <f>X273</f>
        <v>A</v>
      </c>
    </row>
    <row r="218" spans="3:24" x14ac:dyDescent="0.35">
      <c r="P218" s="136" t="str">
        <f>P180</f>
        <v>R123456</v>
      </c>
      <c r="Q218" s="163" t="str">
        <f>Q180</f>
        <v xml:space="preserve"> =</v>
      </c>
      <c r="R218" s="136">
        <f>R180</f>
        <v>2.3703703703703702</v>
      </c>
      <c r="S218" s="159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4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5">
        <f>$W$229</f>
        <v>7.8930481283422456</v>
      </c>
    </row>
    <row r="225" spans="9:24" ht="30" x14ac:dyDescent="0.8">
      <c r="I225" s="179">
        <f>$W$226</f>
        <v>4.1069518716577544</v>
      </c>
      <c r="P225" s="141" t="s">
        <v>375</v>
      </c>
      <c r="Q225" s="151" t="s">
        <v>350</v>
      </c>
      <c r="R225" s="142" t="s">
        <v>376</v>
      </c>
      <c r="S225" s="197"/>
      <c r="T225" s="144"/>
      <c r="U225" s="173" t="s">
        <v>390</v>
      </c>
      <c r="V225" s="214" t="s">
        <v>350</v>
      </c>
      <c r="W225" s="177" t="s">
        <v>380</v>
      </c>
      <c r="X225" s="211"/>
    </row>
    <row r="226" spans="9:24" ht="30" x14ac:dyDescent="0.8">
      <c r="P226" s="167" t="s">
        <v>375</v>
      </c>
      <c r="Q226" s="156" t="s">
        <v>350</v>
      </c>
      <c r="R226" s="168">
        <f>1/(1/R217+1/R218)</f>
        <v>0.52032520325203258</v>
      </c>
      <c r="S226" s="198" t="s">
        <v>338</v>
      </c>
      <c r="T226" s="144"/>
      <c r="U226" s="174" t="s">
        <v>424</v>
      </c>
      <c r="V226" s="215" t="s">
        <v>350</v>
      </c>
      <c r="W226" s="175">
        <f>W218*W217</f>
        <v>4.1069518716577544</v>
      </c>
      <c r="X226" s="175" t="s">
        <v>337</v>
      </c>
    </row>
    <row r="227" spans="9:24" ht="26" x14ac:dyDescent="0.6">
      <c r="P227" s="145"/>
      <c r="Q227" s="190"/>
      <c r="R227" s="144"/>
      <c r="S227" s="162"/>
      <c r="T227" s="144"/>
    </row>
    <row r="228" spans="9:24" ht="30" x14ac:dyDescent="0.8">
      <c r="P228" s="145"/>
      <c r="Q228" s="190"/>
      <c r="R228" s="144"/>
      <c r="S228" s="162"/>
      <c r="T228" s="144"/>
      <c r="U228" s="173" t="s">
        <v>389</v>
      </c>
      <c r="V228" s="214" t="s">
        <v>350</v>
      </c>
      <c r="W228" s="165" t="s">
        <v>381</v>
      </c>
      <c r="X228" s="211"/>
    </row>
    <row r="229" spans="9:24" ht="30" x14ac:dyDescent="0.8">
      <c r="U229" s="174" t="s">
        <v>389</v>
      </c>
      <c r="V229" s="215" t="s">
        <v>350</v>
      </c>
      <c r="W229" s="175">
        <f>W217*W219</f>
        <v>7.8930481283422456</v>
      </c>
      <c r="X229" s="175" t="s">
        <v>337</v>
      </c>
    </row>
    <row r="230" spans="9:24" ht="26" x14ac:dyDescent="0.6">
      <c r="W230" s="170"/>
      <c r="X230" s="144"/>
    </row>
    <row r="231" spans="9:24" ht="16" thickBot="1" x14ac:dyDescent="0.4"/>
    <row r="232" spans="9:24" ht="30.5" thickBot="1" x14ac:dyDescent="0.85">
      <c r="U232" s="146" t="s">
        <v>391</v>
      </c>
      <c r="V232" s="219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341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36" t="str">
        <f>P14</f>
        <v>R10</v>
      </c>
      <c r="Q267" s="163" t="str">
        <f>Q14</f>
        <v xml:space="preserve"> =</v>
      </c>
      <c r="R267" s="136">
        <f>R14</f>
        <v>1</v>
      </c>
      <c r="S267" s="159" t="str">
        <f>S14</f>
        <v>Ω</v>
      </c>
      <c r="U267" s="179" t="str">
        <f>U15</f>
        <v>UTot</v>
      </c>
      <c r="V267" s="217" t="str">
        <f>V15</f>
        <v xml:space="preserve"> =</v>
      </c>
      <c r="W267" s="179">
        <f>W15</f>
        <v>12</v>
      </c>
      <c r="X267" s="185" t="str">
        <f>X15</f>
        <v>V</v>
      </c>
    </row>
    <row r="268" spans="3:24" x14ac:dyDescent="0.35">
      <c r="H268" s="184">
        <f>$W$273</f>
        <v>7.8930481283422456</v>
      </c>
      <c r="P268" s="136" t="str">
        <f>P226</f>
        <v>R123456789</v>
      </c>
      <c r="Q268" s="163" t="str">
        <f>Q226</f>
        <v xml:space="preserve"> =</v>
      </c>
      <c r="R268" s="136">
        <f>R226</f>
        <v>0.52032520325203258</v>
      </c>
      <c r="S268" s="159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1" t="s">
        <v>379</v>
      </c>
      <c r="Q272" s="151" t="s">
        <v>350</v>
      </c>
      <c r="R272" s="142" t="s">
        <v>377</v>
      </c>
      <c r="S272" s="197"/>
      <c r="U272" s="143" t="s">
        <v>378</v>
      </c>
      <c r="V272" s="214" t="s">
        <v>350</v>
      </c>
      <c r="W272" s="165" t="s">
        <v>387</v>
      </c>
      <c r="X272" s="212"/>
    </row>
    <row r="273" spans="9:24" ht="30" x14ac:dyDescent="0.8">
      <c r="I273" s="180">
        <f>W267</f>
        <v>12</v>
      </c>
      <c r="P273" s="167" t="s">
        <v>379</v>
      </c>
      <c r="Q273" s="156" t="s">
        <v>350</v>
      </c>
      <c r="R273" s="168">
        <f>R267+R268</f>
        <v>1.5203252032520327</v>
      </c>
      <c r="S273" s="198" t="s">
        <v>338</v>
      </c>
      <c r="U273" s="171" t="s">
        <v>428</v>
      </c>
      <c r="V273" s="221" t="s">
        <v>350</v>
      </c>
      <c r="W273" s="172">
        <f>W267/W268</f>
        <v>7.8930481283422456</v>
      </c>
      <c r="X273" s="172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topLeftCell="A25" zoomScale="70" zoomScaleNormal="70" workbookViewId="0">
      <selection activeCell="E7" sqref="E7"/>
    </sheetView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329</v>
      </c>
    </row>
    <row r="3" spans="3:45" x14ac:dyDescent="0.35">
      <c r="J3" s="5" t="s">
        <v>311</v>
      </c>
    </row>
    <row r="4" spans="3:45" x14ac:dyDescent="0.35">
      <c r="J4" s="5" t="s">
        <v>313</v>
      </c>
    </row>
    <row r="6" spans="3:45" x14ac:dyDescent="0.35">
      <c r="C6" s="5"/>
      <c r="D6" s="19" t="s">
        <v>332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1" t="s">
        <v>311</v>
      </c>
      <c r="E7" s="241">
        <v>0</v>
      </c>
      <c r="F7" s="92">
        <f>E7+$E$6</f>
        <v>10</v>
      </c>
      <c r="G7" s="92">
        <f t="shared" ref="G7:AS7" si="0">F7+$E$6</f>
        <v>20</v>
      </c>
      <c r="H7" s="92">
        <f t="shared" si="0"/>
        <v>30</v>
      </c>
      <c r="I7" s="92">
        <f t="shared" si="0"/>
        <v>40</v>
      </c>
      <c r="J7" s="92">
        <f t="shared" si="0"/>
        <v>50</v>
      </c>
      <c r="K7" s="92">
        <f t="shared" si="0"/>
        <v>60</v>
      </c>
      <c r="L7" s="92">
        <f t="shared" si="0"/>
        <v>70</v>
      </c>
      <c r="M7" s="92">
        <f t="shared" si="0"/>
        <v>80</v>
      </c>
      <c r="N7" s="92">
        <f t="shared" si="0"/>
        <v>90</v>
      </c>
      <c r="O7" s="92">
        <f t="shared" si="0"/>
        <v>100</v>
      </c>
      <c r="P7" s="92">
        <f t="shared" si="0"/>
        <v>110</v>
      </c>
      <c r="Q7" s="92">
        <f t="shared" si="0"/>
        <v>120</v>
      </c>
      <c r="R7" s="92">
        <f t="shared" si="0"/>
        <v>130</v>
      </c>
      <c r="S7" s="92">
        <f t="shared" si="0"/>
        <v>140</v>
      </c>
      <c r="T7" s="92">
        <f t="shared" si="0"/>
        <v>150</v>
      </c>
      <c r="U7" s="92">
        <f t="shared" si="0"/>
        <v>160</v>
      </c>
      <c r="V7" s="92">
        <f t="shared" si="0"/>
        <v>170</v>
      </c>
      <c r="W7" s="92">
        <f t="shared" si="0"/>
        <v>180</v>
      </c>
      <c r="X7" s="92">
        <f t="shared" si="0"/>
        <v>190</v>
      </c>
      <c r="Y7" s="92">
        <f t="shared" si="0"/>
        <v>200</v>
      </c>
      <c r="Z7" s="92">
        <f t="shared" si="0"/>
        <v>210</v>
      </c>
      <c r="AA7" s="92">
        <f t="shared" si="0"/>
        <v>220</v>
      </c>
      <c r="AB7" s="92">
        <f t="shared" si="0"/>
        <v>230</v>
      </c>
      <c r="AC7" s="92">
        <f t="shared" si="0"/>
        <v>240</v>
      </c>
      <c r="AD7" s="92">
        <f t="shared" si="0"/>
        <v>250</v>
      </c>
      <c r="AE7" s="92">
        <f t="shared" si="0"/>
        <v>260</v>
      </c>
      <c r="AF7" s="92">
        <f t="shared" si="0"/>
        <v>270</v>
      </c>
      <c r="AG7" s="92">
        <f t="shared" si="0"/>
        <v>280</v>
      </c>
      <c r="AH7" s="92">
        <f t="shared" si="0"/>
        <v>290</v>
      </c>
      <c r="AI7" s="92">
        <f t="shared" si="0"/>
        <v>300</v>
      </c>
      <c r="AJ7" s="92">
        <f t="shared" si="0"/>
        <v>310</v>
      </c>
      <c r="AK7" s="92">
        <f t="shared" si="0"/>
        <v>320</v>
      </c>
      <c r="AL7" s="92">
        <f t="shared" si="0"/>
        <v>330</v>
      </c>
      <c r="AM7" s="92">
        <f t="shared" si="0"/>
        <v>340</v>
      </c>
      <c r="AN7" s="92">
        <f t="shared" si="0"/>
        <v>350</v>
      </c>
      <c r="AO7" s="92">
        <f t="shared" si="0"/>
        <v>360</v>
      </c>
      <c r="AP7" s="92">
        <f t="shared" si="0"/>
        <v>370</v>
      </c>
      <c r="AQ7" s="92">
        <f t="shared" si="0"/>
        <v>380</v>
      </c>
      <c r="AR7" s="92">
        <f t="shared" si="0"/>
        <v>390</v>
      </c>
      <c r="AS7" s="92">
        <f t="shared" si="0"/>
        <v>400</v>
      </c>
    </row>
    <row r="8" spans="3:45" x14ac:dyDescent="0.35">
      <c r="C8" s="5"/>
      <c r="D8" s="19" t="s">
        <v>313</v>
      </c>
      <c r="E8" s="228">
        <f>IF($D$7=$J$3,E7*PI()/180,E7)</f>
        <v>0</v>
      </c>
      <c r="F8" s="228">
        <f t="shared" ref="F8:N8" si="1">IF($D$7=$J$3,F7*PI()/180,F7)</f>
        <v>0.17453292519943295</v>
      </c>
      <c r="G8" s="228">
        <f t="shared" si="1"/>
        <v>0.3490658503988659</v>
      </c>
      <c r="H8" s="228">
        <f t="shared" si="1"/>
        <v>0.52359877559829882</v>
      </c>
      <c r="I8" s="228">
        <f t="shared" si="1"/>
        <v>0.69813170079773179</v>
      </c>
      <c r="J8" s="228">
        <f t="shared" si="1"/>
        <v>0.87266462599716477</v>
      </c>
      <c r="K8" s="228">
        <f t="shared" si="1"/>
        <v>1.0471975511965976</v>
      </c>
      <c r="L8" s="228">
        <f t="shared" si="1"/>
        <v>1.2217304763960306</v>
      </c>
      <c r="M8" s="228">
        <f t="shared" si="1"/>
        <v>1.3962634015954636</v>
      </c>
      <c r="N8" s="228">
        <f t="shared" si="1"/>
        <v>1.5707963267948966</v>
      </c>
      <c r="O8" s="228">
        <f t="shared" ref="O8" si="2">IF($D$7=$J$3,O7*PI()/180,O7)</f>
        <v>1.7453292519943295</v>
      </c>
      <c r="P8" s="228">
        <f t="shared" ref="P8" si="3">IF($D$7=$J$3,P7*PI()/180,P7)</f>
        <v>1.9198621771937625</v>
      </c>
      <c r="Q8" s="228">
        <f t="shared" ref="Q8" si="4">IF($D$7=$J$3,Q7*PI()/180,Q7)</f>
        <v>2.0943951023931953</v>
      </c>
      <c r="R8" s="228">
        <f t="shared" ref="R8" si="5">IF($D$7=$J$3,R7*PI()/180,R7)</f>
        <v>2.2689280275926285</v>
      </c>
      <c r="S8" s="228">
        <f t="shared" ref="S8" si="6">IF($D$7=$J$3,S7*PI()/180,S7)</f>
        <v>2.4434609527920612</v>
      </c>
      <c r="T8" s="228">
        <f t="shared" ref="T8" si="7">IF($D$7=$J$3,T7*PI()/180,T7)</f>
        <v>2.6179938779914944</v>
      </c>
      <c r="U8" s="228">
        <f t="shared" ref="U8" si="8">IF($D$7=$J$3,U7*PI()/180,U7)</f>
        <v>2.7925268031909272</v>
      </c>
      <c r="V8" s="228">
        <f t="shared" ref="V8:W8" si="9">IF($D$7=$J$3,V7*PI()/180,V7)</f>
        <v>2.9670597283903604</v>
      </c>
      <c r="W8" s="228">
        <f t="shared" si="9"/>
        <v>3.1415926535897931</v>
      </c>
      <c r="X8" s="228">
        <f t="shared" ref="X8" si="10">IF($D$7=$J$3,X7*PI()/180,X7)</f>
        <v>3.3161255787892263</v>
      </c>
      <c r="Y8" s="228">
        <f t="shared" ref="Y8" si="11">IF($D$7=$J$3,Y7*PI()/180,Y7)</f>
        <v>3.4906585039886591</v>
      </c>
      <c r="Z8" s="228">
        <f t="shared" ref="Z8" si="12">IF($D$7=$J$3,Z7*PI()/180,Z7)</f>
        <v>3.6651914291880923</v>
      </c>
      <c r="AA8" s="228">
        <f t="shared" ref="AA8" si="13">IF($D$7=$J$3,AA7*PI()/180,AA7)</f>
        <v>3.839724354387525</v>
      </c>
      <c r="AB8" s="228">
        <f t="shared" ref="AB8" si="14">IF($D$7=$J$3,AB7*PI()/180,AB7)</f>
        <v>4.0142572795869578</v>
      </c>
      <c r="AC8" s="228">
        <f t="shared" ref="AC8" si="15">IF($D$7=$J$3,AC7*PI()/180,AC7)</f>
        <v>4.1887902047863905</v>
      </c>
      <c r="AD8" s="228">
        <f t="shared" ref="AD8" si="16">IF($D$7=$J$3,AD7*PI()/180,AD7)</f>
        <v>4.3633231299858233</v>
      </c>
      <c r="AE8" s="228">
        <f t="shared" ref="AE8:AF8" si="17">IF($D$7=$J$3,AE7*PI()/180,AE7)</f>
        <v>4.5378560551852569</v>
      </c>
      <c r="AF8" s="228">
        <f t="shared" si="17"/>
        <v>4.7123889803846897</v>
      </c>
      <c r="AG8" s="228">
        <f t="shared" ref="AG8" si="18">IF($D$7=$J$3,AG7*PI()/180,AG7)</f>
        <v>4.8869219055841224</v>
      </c>
      <c r="AH8" s="228">
        <f t="shared" ref="AH8" si="19">IF($D$7=$J$3,AH7*PI()/180,AH7)</f>
        <v>5.0614548307835552</v>
      </c>
      <c r="AI8" s="228">
        <f t="shared" ref="AI8" si="20">IF($D$7=$J$3,AI7*PI()/180,AI7)</f>
        <v>5.2359877559829888</v>
      </c>
      <c r="AJ8" s="228">
        <f t="shared" ref="AJ8" si="21">IF($D$7=$J$3,AJ7*PI()/180,AJ7)</f>
        <v>5.4105206811824216</v>
      </c>
      <c r="AK8" s="228">
        <f t="shared" ref="AK8" si="22">IF($D$7=$J$3,AK7*PI()/180,AK7)</f>
        <v>5.5850536063818543</v>
      </c>
      <c r="AL8" s="228">
        <f t="shared" ref="AL8" si="23">IF($D$7=$J$3,AL7*PI()/180,AL7)</f>
        <v>5.7595865315812871</v>
      </c>
      <c r="AM8" s="228">
        <f t="shared" ref="AM8" si="24">IF($D$7=$J$3,AM7*PI()/180,AM7)</f>
        <v>5.9341194567807207</v>
      </c>
      <c r="AN8" s="228">
        <f t="shared" ref="AN8:AO8" si="25">IF($D$7=$J$3,AN7*PI()/180,AN7)</f>
        <v>6.1086523819801526</v>
      </c>
      <c r="AO8" s="228">
        <f t="shared" si="25"/>
        <v>6.2831853071795862</v>
      </c>
      <c r="AP8" s="228">
        <f t="shared" ref="AP8" si="26">IF($D$7=$J$3,AP7*PI()/180,AP7)</f>
        <v>6.457718232379019</v>
      </c>
      <c r="AQ8" s="228">
        <f t="shared" ref="AQ8" si="27">IF($D$7=$J$3,AQ7*PI()/180,AQ7)</f>
        <v>6.6322511575784526</v>
      </c>
      <c r="AR8" s="228">
        <f t="shared" ref="AR8" si="28">IF($D$7=$J$3,AR7*PI()/180,AR7)</f>
        <v>6.8067840827778845</v>
      </c>
      <c r="AS8" s="228">
        <f t="shared" ref="AS8" si="29">IF($D$7=$J$3,AS7*PI()/180,AS7)</f>
        <v>6.9813170079773181</v>
      </c>
    </row>
    <row r="9" spans="3:45" x14ac:dyDescent="0.35">
      <c r="C9" s="19" t="s">
        <v>330</v>
      </c>
      <c r="D9" s="5" t="s">
        <v>331</v>
      </c>
      <c r="E9" s="228">
        <f>SIN(E8)</f>
        <v>0</v>
      </c>
      <c r="F9" s="228">
        <f t="shared" ref="F9:AS9" si="30">SIN(F8)</f>
        <v>0.17364817766693033</v>
      </c>
      <c r="G9" s="228">
        <f t="shared" si="30"/>
        <v>0.34202014332566871</v>
      </c>
      <c r="H9" s="228">
        <f t="shared" si="30"/>
        <v>0.49999999999999994</v>
      </c>
      <c r="I9" s="228">
        <f t="shared" si="30"/>
        <v>0.64278760968653925</v>
      </c>
      <c r="J9" s="228">
        <f t="shared" si="30"/>
        <v>0.76604444311897801</v>
      </c>
      <c r="K9" s="228">
        <f t="shared" si="30"/>
        <v>0.8660254037844386</v>
      </c>
      <c r="L9" s="228">
        <f t="shared" si="30"/>
        <v>0.93969262078590832</v>
      </c>
      <c r="M9" s="228">
        <f t="shared" si="30"/>
        <v>0.98480775301220802</v>
      </c>
      <c r="N9" s="228">
        <f t="shared" si="30"/>
        <v>1</v>
      </c>
      <c r="O9" s="228">
        <f t="shared" si="30"/>
        <v>0.98480775301220802</v>
      </c>
      <c r="P9" s="228">
        <f t="shared" si="30"/>
        <v>0.93969262078590843</v>
      </c>
      <c r="Q9" s="228">
        <f t="shared" si="30"/>
        <v>0.86602540378443871</v>
      </c>
      <c r="R9" s="228">
        <f t="shared" si="30"/>
        <v>0.76604444311897801</v>
      </c>
      <c r="S9" s="228">
        <f t="shared" si="30"/>
        <v>0.64278760968653947</v>
      </c>
      <c r="T9" s="228">
        <f t="shared" si="30"/>
        <v>0.49999999999999994</v>
      </c>
      <c r="U9" s="228">
        <f t="shared" si="30"/>
        <v>0.34202014332566888</v>
      </c>
      <c r="V9" s="228">
        <f t="shared" si="30"/>
        <v>0.17364817766693028</v>
      </c>
      <c r="W9" s="228">
        <f t="shared" si="30"/>
        <v>1.22514845490862E-16</v>
      </c>
      <c r="X9" s="228">
        <f t="shared" si="30"/>
        <v>-0.17364817766693047</v>
      </c>
      <c r="Y9" s="228">
        <f t="shared" si="30"/>
        <v>-0.34202014332566866</v>
      </c>
      <c r="Z9" s="228">
        <f t="shared" si="30"/>
        <v>-0.50000000000000011</v>
      </c>
      <c r="AA9" s="228">
        <f t="shared" si="30"/>
        <v>-0.64278760968653925</v>
      </c>
      <c r="AB9" s="228">
        <f t="shared" si="30"/>
        <v>-0.7660444431189779</v>
      </c>
      <c r="AC9" s="228">
        <f t="shared" si="30"/>
        <v>-0.86602540378443837</v>
      </c>
      <c r="AD9" s="228">
        <f t="shared" si="30"/>
        <v>-0.93969262078590821</v>
      </c>
      <c r="AE9" s="228">
        <f t="shared" si="30"/>
        <v>-0.98480775301220802</v>
      </c>
      <c r="AF9" s="228">
        <f t="shared" si="30"/>
        <v>-1</v>
      </c>
      <c r="AG9" s="228">
        <f t="shared" si="30"/>
        <v>-0.98480775301220813</v>
      </c>
      <c r="AH9" s="228">
        <f t="shared" si="30"/>
        <v>-0.93969262078590854</v>
      </c>
      <c r="AI9" s="228">
        <f t="shared" si="30"/>
        <v>-0.8660254037844386</v>
      </c>
      <c r="AJ9" s="228">
        <f t="shared" si="30"/>
        <v>-0.76604444311897812</v>
      </c>
      <c r="AK9" s="228">
        <f t="shared" si="30"/>
        <v>-0.64278760968653958</v>
      </c>
      <c r="AL9" s="228">
        <f t="shared" si="30"/>
        <v>-0.50000000000000044</v>
      </c>
      <c r="AM9" s="228">
        <f t="shared" si="30"/>
        <v>-0.3420201433256686</v>
      </c>
      <c r="AN9" s="228">
        <f t="shared" si="30"/>
        <v>-0.17364817766693127</v>
      </c>
      <c r="AO9" s="228">
        <f t="shared" si="30"/>
        <v>-2.45029690981724E-16</v>
      </c>
      <c r="AP9" s="228">
        <f t="shared" si="30"/>
        <v>0.17364817766692991</v>
      </c>
      <c r="AQ9" s="228">
        <f t="shared" si="30"/>
        <v>0.34202014332566893</v>
      </c>
      <c r="AR9" s="228">
        <f t="shared" si="30"/>
        <v>0.49999999999999928</v>
      </c>
      <c r="AS9" s="228">
        <f t="shared" si="30"/>
        <v>0.64278760968653914</v>
      </c>
    </row>
    <row r="10" spans="3:45" x14ac:dyDescent="0.35">
      <c r="C10" s="19" t="s">
        <v>335</v>
      </c>
      <c r="D10" s="5" t="s">
        <v>333</v>
      </c>
      <c r="E10" s="228">
        <f>COS(E8)</f>
        <v>1</v>
      </c>
      <c r="F10" s="228">
        <f t="shared" ref="F10:AS10" si="31">COS(F8)</f>
        <v>0.98480775301220802</v>
      </c>
      <c r="G10" s="228">
        <f t="shared" si="31"/>
        <v>0.93969262078590843</v>
      </c>
      <c r="H10" s="228">
        <f t="shared" si="31"/>
        <v>0.86602540378443871</v>
      </c>
      <c r="I10" s="228">
        <f t="shared" si="31"/>
        <v>0.76604444311897801</v>
      </c>
      <c r="J10" s="228">
        <f t="shared" si="31"/>
        <v>0.64278760968653936</v>
      </c>
      <c r="K10" s="228">
        <f t="shared" si="31"/>
        <v>0.50000000000000011</v>
      </c>
      <c r="L10" s="228">
        <f t="shared" si="31"/>
        <v>0.34202014332566882</v>
      </c>
      <c r="M10" s="228">
        <f t="shared" si="31"/>
        <v>0.17364817766693041</v>
      </c>
      <c r="N10" s="228">
        <f t="shared" si="31"/>
        <v>6.1257422745431001E-17</v>
      </c>
      <c r="O10" s="228">
        <f t="shared" si="31"/>
        <v>-0.1736481776669303</v>
      </c>
      <c r="P10" s="228">
        <f t="shared" si="31"/>
        <v>-0.34202014332566871</v>
      </c>
      <c r="Q10" s="228">
        <f t="shared" si="31"/>
        <v>-0.49999999999999978</v>
      </c>
      <c r="R10" s="228">
        <f t="shared" si="31"/>
        <v>-0.64278760968653936</v>
      </c>
      <c r="S10" s="228">
        <f t="shared" si="31"/>
        <v>-0.7660444431189779</v>
      </c>
      <c r="T10" s="228">
        <f t="shared" si="31"/>
        <v>-0.86602540378443871</v>
      </c>
      <c r="U10" s="228">
        <f t="shared" si="31"/>
        <v>-0.93969262078590832</v>
      </c>
      <c r="V10" s="228">
        <f t="shared" si="31"/>
        <v>-0.98480775301220802</v>
      </c>
      <c r="W10" s="228">
        <f t="shared" si="31"/>
        <v>-1</v>
      </c>
      <c r="X10" s="228">
        <f t="shared" si="31"/>
        <v>-0.98480775301220802</v>
      </c>
      <c r="Y10" s="228">
        <f t="shared" si="31"/>
        <v>-0.93969262078590843</v>
      </c>
      <c r="Z10" s="228">
        <f t="shared" si="31"/>
        <v>-0.8660254037844386</v>
      </c>
      <c r="AA10" s="228">
        <f t="shared" si="31"/>
        <v>-0.76604444311897801</v>
      </c>
      <c r="AB10" s="228">
        <f t="shared" si="31"/>
        <v>-0.64278760968653947</v>
      </c>
      <c r="AC10" s="228">
        <f t="shared" si="31"/>
        <v>-0.50000000000000044</v>
      </c>
      <c r="AD10" s="228">
        <f t="shared" si="31"/>
        <v>-0.34202014332566938</v>
      </c>
      <c r="AE10" s="228">
        <f t="shared" si="31"/>
        <v>-0.17364817766693033</v>
      </c>
      <c r="AF10" s="228">
        <f t="shared" si="31"/>
        <v>-1.83772268236293E-16</v>
      </c>
      <c r="AG10" s="228">
        <f t="shared" si="31"/>
        <v>0.17364817766692997</v>
      </c>
      <c r="AH10" s="228">
        <f t="shared" si="31"/>
        <v>0.34202014332566816</v>
      </c>
      <c r="AI10" s="228">
        <f t="shared" si="31"/>
        <v>0.50000000000000011</v>
      </c>
      <c r="AJ10" s="228">
        <f t="shared" si="31"/>
        <v>0.64278760968653925</v>
      </c>
      <c r="AK10" s="228">
        <f t="shared" si="31"/>
        <v>0.76604444311897779</v>
      </c>
      <c r="AL10" s="228">
        <f t="shared" si="31"/>
        <v>0.86602540378443837</v>
      </c>
      <c r="AM10" s="228">
        <f t="shared" si="31"/>
        <v>0.93969262078590843</v>
      </c>
      <c r="AN10" s="228">
        <f t="shared" si="31"/>
        <v>0.98480775301220791</v>
      </c>
      <c r="AO10" s="228">
        <f t="shared" si="31"/>
        <v>1</v>
      </c>
      <c r="AP10" s="228">
        <f t="shared" si="31"/>
        <v>0.98480775301220813</v>
      </c>
      <c r="AQ10" s="228">
        <f t="shared" si="31"/>
        <v>0.93969262078590832</v>
      </c>
      <c r="AR10" s="228">
        <f t="shared" si="31"/>
        <v>0.86602540378443904</v>
      </c>
      <c r="AS10" s="228">
        <f t="shared" si="31"/>
        <v>0.76604444311897812</v>
      </c>
    </row>
    <row r="11" spans="3:45" x14ac:dyDescent="0.35">
      <c r="C11" s="19" t="s">
        <v>336</v>
      </c>
      <c r="D11" s="5" t="s">
        <v>334</v>
      </c>
      <c r="E11" s="228">
        <f>TAN(E8)</f>
        <v>0</v>
      </c>
      <c r="F11" s="228">
        <f t="shared" ref="F11:AS11" si="32">TAN(F8)</f>
        <v>0.17632698070846498</v>
      </c>
      <c r="G11" s="228">
        <f t="shared" si="32"/>
        <v>0.36397023426620234</v>
      </c>
      <c r="H11" s="228">
        <f t="shared" si="32"/>
        <v>0.57735026918962573</v>
      </c>
      <c r="I11" s="228">
        <f t="shared" si="32"/>
        <v>0.83909963117727993</v>
      </c>
      <c r="J11" s="228">
        <f t="shared" si="32"/>
        <v>1.19175359259421</v>
      </c>
      <c r="K11" s="228">
        <f t="shared" si="32"/>
        <v>1.7320508075688767</v>
      </c>
      <c r="L11" s="228">
        <f t="shared" si="32"/>
        <v>2.7474774194546216</v>
      </c>
      <c r="M11" s="228">
        <f t="shared" si="32"/>
        <v>5.6712818196177066</v>
      </c>
      <c r="N11" s="228">
        <f t="shared" si="32"/>
        <v>1.6324552277619072E+16</v>
      </c>
      <c r="O11" s="228">
        <f t="shared" si="32"/>
        <v>-5.6712818196177111</v>
      </c>
      <c r="P11" s="228">
        <f t="shared" si="32"/>
        <v>-2.7474774194546225</v>
      </c>
      <c r="Q11" s="228">
        <f t="shared" si="32"/>
        <v>-1.7320508075688783</v>
      </c>
      <c r="R11" s="228">
        <f t="shared" si="32"/>
        <v>-1.19175359259421</v>
      </c>
      <c r="S11" s="228">
        <f t="shared" si="32"/>
        <v>-0.83909963117728037</v>
      </c>
      <c r="T11" s="228">
        <f t="shared" si="32"/>
        <v>-0.57735026918962573</v>
      </c>
      <c r="U11" s="228">
        <f t="shared" si="32"/>
        <v>-0.36397023426620256</v>
      </c>
      <c r="V11" s="228">
        <f t="shared" si="32"/>
        <v>-0.17632698070846489</v>
      </c>
      <c r="W11" s="228">
        <f t="shared" si="32"/>
        <v>-1.22514845490862E-16</v>
      </c>
      <c r="X11" s="228">
        <f t="shared" si="32"/>
        <v>0.17632698070846509</v>
      </c>
      <c r="Y11" s="228">
        <f t="shared" si="32"/>
        <v>0.36397023426620229</v>
      </c>
      <c r="Z11" s="228">
        <f t="shared" si="32"/>
        <v>0.57735026918962595</v>
      </c>
      <c r="AA11" s="228">
        <f t="shared" si="32"/>
        <v>0.83909963117727993</v>
      </c>
      <c r="AB11" s="228">
        <f t="shared" si="32"/>
        <v>1.1917535925942093</v>
      </c>
      <c r="AC11" s="228">
        <f t="shared" si="32"/>
        <v>1.7320508075688754</v>
      </c>
      <c r="AD11" s="228">
        <f t="shared" si="32"/>
        <v>2.7474774194546168</v>
      </c>
      <c r="AE11" s="228">
        <f t="shared" si="32"/>
        <v>5.6712818196177102</v>
      </c>
      <c r="AF11" s="228">
        <f t="shared" si="32"/>
        <v>5441517425873024</v>
      </c>
      <c r="AG11" s="228">
        <f t="shared" si="32"/>
        <v>-5.6712818196177226</v>
      </c>
      <c r="AH11" s="228">
        <f t="shared" si="32"/>
        <v>-2.7474774194546274</v>
      </c>
      <c r="AI11" s="228">
        <f t="shared" si="32"/>
        <v>-1.732050807568877</v>
      </c>
      <c r="AJ11" s="228">
        <f t="shared" si="32"/>
        <v>-1.1917535925942102</v>
      </c>
      <c r="AK11" s="228">
        <f t="shared" si="32"/>
        <v>-0.83909963117728059</v>
      </c>
      <c r="AL11" s="228">
        <f t="shared" si="32"/>
        <v>-0.57735026918962651</v>
      </c>
      <c r="AM11" s="228">
        <f t="shared" si="32"/>
        <v>-0.36397023426620218</v>
      </c>
      <c r="AN11" s="228">
        <f t="shared" si="32"/>
        <v>-0.17632698070846592</v>
      </c>
      <c r="AO11" s="228">
        <f t="shared" si="32"/>
        <v>-2.45029690981724E-16</v>
      </c>
      <c r="AP11" s="228">
        <f t="shared" si="32"/>
        <v>0.1763269807084645</v>
      </c>
      <c r="AQ11" s="228">
        <f t="shared" si="32"/>
        <v>0.36397023426620262</v>
      </c>
      <c r="AR11" s="228">
        <f t="shared" si="32"/>
        <v>0.57735026918962462</v>
      </c>
      <c r="AS11" s="228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7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251</v>
      </c>
      <c r="D2" s="44"/>
      <c r="L2" s="121" t="s">
        <v>267</v>
      </c>
      <c r="M2" s="122" t="s">
        <v>270</v>
      </c>
      <c r="N2" s="107"/>
    </row>
    <row r="3" spans="3:25" x14ac:dyDescent="0.35">
      <c r="L3" s="111" t="s">
        <v>214</v>
      </c>
      <c r="M3" s="111" t="s">
        <v>272</v>
      </c>
      <c r="T3" s="81"/>
      <c r="X3" s="115"/>
      <c r="Y3" s="115"/>
    </row>
    <row r="4" spans="3:25" x14ac:dyDescent="0.35">
      <c r="L4" s="111" t="s">
        <v>215</v>
      </c>
      <c r="M4" s="111" t="s">
        <v>271</v>
      </c>
      <c r="T4" s="81"/>
    </row>
    <row r="5" spans="3:25" x14ac:dyDescent="0.35">
      <c r="L5" s="111"/>
      <c r="M5" s="111" t="s">
        <v>260</v>
      </c>
      <c r="T5" s="81"/>
    </row>
    <row r="6" spans="3:25" x14ac:dyDescent="0.35">
      <c r="L6" s="111"/>
      <c r="M6" s="111" t="s">
        <v>269</v>
      </c>
    </row>
    <row r="20" spans="4:35" x14ac:dyDescent="0.35">
      <c r="D20" s="5" t="s">
        <v>257</v>
      </c>
      <c r="E20" s="19" t="s">
        <v>258</v>
      </c>
      <c r="F20" s="90">
        <v>5</v>
      </c>
      <c r="G20" s="4" t="s">
        <v>271</v>
      </c>
      <c r="I20" s="115"/>
      <c r="K20" s="5" t="s">
        <v>275</v>
      </c>
      <c r="L20" s="5"/>
    </row>
    <row r="21" spans="4:35" x14ac:dyDescent="0.35">
      <c r="D21" s="5" t="s">
        <v>265</v>
      </c>
      <c r="E21" s="19" t="s">
        <v>266</v>
      </c>
      <c r="F21" s="90">
        <v>31</v>
      </c>
      <c r="G21" s="4" t="s">
        <v>214</v>
      </c>
      <c r="I21" s="115"/>
      <c r="K21" s="19" t="s">
        <v>278</v>
      </c>
      <c r="L21" s="129">
        <v>0.6</v>
      </c>
    </row>
    <row r="22" spans="4:35" x14ac:dyDescent="0.35">
      <c r="D22" s="123"/>
      <c r="E22" s="19" t="str">
        <f>E21</f>
        <v xml:space="preserve">α = </v>
      </c>
      <c r="F22" s="124">
        <f>IF(G21=G22,F21,F21*180/PI())</f>
        <v>31</v>
      </c>
      <c r="G22" s="123" t="str">
        <f>L3</f>
        <v>°</v>
      </c>
      <c r="I22" s="115"/>
      <c r="K22" s="19" t="s">
        <v>279</v>
      </c>
      <c r="L22" s="131">
        <v>0.2</v>
      </c>
    </row>
    <row r="23" spans="4:35" x14ac:dyDescent="0.35">
      <c r="D23" s="123"/>
      <c r="E23" s="19" t="str">
        <f>E21</f>
        <v xml:space="preserve">α = </v>
      </c>
      <c r="F23" s="124">
        <f>IF(G21=G23,F21,F21*PI()/180)</f>
        <v>0.54105206811824214</v>
      </c>
      <c r="G23" s="123" t="str">
        <f>L4</f>
        <v>rad</v>
      </c>
      <c r="I23" s="115"/>
      <c r="K23" s="5" t="s">
        <v>310</v>
      </c>
      <c r="L23" s="130">
        <f>DEGREES(ATAN(L21))</f>
        <v>30.963756532073521</v>
      </c>
      <c r="M23" s="5" t="s">
        <v>311</v>
      </c>
      <c r="O23" s="5">
        <f>L23*PI()/180</f>
        <v>0.54041950027058416</v>
      </c>
      <c r="P23" s="5" t="s">
        <v>313</v>
      </c>
    </row>
    <row r="24" spans="4:35" ht="16.5" x14ac:dyDescent="0.35">
      <c r="D24" s="5" t="s">
        <v>259</v>
      </c>
      <c r="E24" s="19" t="s">
        <v>315</v>
      </c>
      <c r="F24" s="89">
        <v>9.81</v>
      </c>
      <c r="G24" s="5" t="s">
        <v>261</v>
      </c>
      <c r="K24" s="5" t="s">
        <v>312</v>
      </c>
      <c r="L24" s="130">
        <f>DEGREES(ATAN(L22))</f>
        <v>11.309932474020215</v>
      </c>
      <c r="M24" s="5" t="s">
        <v>311</v>
      </c>
      <c r="O24" s="5">
        <f>L24*PI()/180</f>
        <v>0.1973955598498808</v>
      </c>
      <c r="P24" s="5" t="s">
        <v>313</v>
      </c>
    </row>
    <row r="26" spans="4:35" ht="16.5" x14ac:dyDescent="0.45">
      <c r="D26" s="5" t="s">
        <v>268</v>
      </c>
      <c r="E26" s="19" t="s">
        <v>252</v>
      </c>
      <c r="F26" s="5" t="s">
        <v>262</v>
      </c>
      <c r="G26" s="89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253</v>
      </c>
      <c r="E27" s="19" t="s">
        <v>255</v>
      </c>
      <c r="F27" s="5" t="s">
        <v>264</v>
      </c>
      <c r="G27" s="89">
        <f>$G$26*SIN($F$23)</f>
        <v>25.262617574338158</v>
      </c>
      <c r="H27" s="5" t="str">
        <f>H26</f>
        <v>mN</v>
      </c>
    </row>
    <row r="28" spans="4:35" ht="16.5" x14ac:dyDescent="0.45">
      <c r="D28" s="5" t="s">
        <v>254</v>
      </c>
      <c r="E28" s="19" t="s">
        <v>256</v>
      </c>
      <c r="F28" s="5" t="s">
        <v>263</v>
      </c>
      <c r="G28" s="89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89"/>
      <c r="H29" s="5"/>
    </row>
    <row r="30" spans="4:35" ht="16.5" x14ac:dyDescent="0.45">
      <c r="D30" s="5" t="s">
        <v>295</v>
      </c>
      <c r="E30" s="19" t="s">
        <v>299</v>
      </c>
      <c r="F30" s="5" t="s">
        <v>294</v>
      </c>
      <c r="G30" s="89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296</v>
      </c>
      <c r="E31" s="19" t="s">
        <v>304</v>
      </c>
      <c r="F31" s="5" t="s">
        <v>300</v>
      </c>
      <c r="G31" s="89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28" t="s">
        <v>280</v>
      </c>
      <c r="L31" s="128" t="s">
        <v>276</v>
      </c>
      <c r="M31" s="128" t="s">
        <v>277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298</v>
      </c>
      <c r="E32" s="19" t="s">
        <v>301</v>
      </c>
      <c r="F32" s="5" t="s">
        <v>297</v>
      </c>
      <c r="G32" s="89">
        <f>$G$28*$L$22</f>
        <v>8.4088112198877223</v>
      </c>
      <c r="H32" s="5" t="str">
        <f>H31</f>
        <v>mN</v>
      </c>
      <c r="K32" s="127" t="s">
        <v>281</v>
      </c>
      <c r="L32" s="127" t="s">
        <v>282</v>
      </c>
      <c r="M32" s="127" t="s">
        <v>283</v>
      </c>
      <c r="O32" s="132" t="s">
        <v>266</v>
      </c>
      <c r="P32" s="132" t="s">
        <v>307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302</v>
      </c>
      <c r="E33" s="19" t="s">
        <v>305</v>
      </c>
      <c r="F33" s="5" t="s">
        <v>303</v>
      </c>
      <c r="G33" s="89">
        <f>$G$27-G32</f>
        <v>16.853806354450434</v>
      </c>
      <c r="H33" s="5" t="str">
        <f>H32</f>
        <v>mN</v>
      </c>
      <c r="K33" s="127" t="s">
        <v>284</v>
      </c>
      <c r="L33" s="127" t="s">
        <v>285</v>
      </c>
      <c r="M33" s="127" t="s">
        <v>286</v>
      </c>
      <c r="O33" s="132" t="s">
        <v>266</v>
      </c>
      <c r="P33" s="132" t="s">
        <v>308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27" t="s">
        <v>287</v>
      </c>
      <c r="L34" s="127" t="s">
        <v>286</v>
      </c>
      <c r="M34" s="127" t="s">
        <v>288</v>
      </c>
      <c r="O34" s="19" t="s">
        <v>255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27" t="s">
        <v>289</v>
      </c>
      <c r="L35" s="127" t="s">
        <v>290</v>
      </c>
      <c r="M35" s="127" t="s">
        <v>291</v>
      </c>
      <c r="O35" s="19" t="s">
        <v>299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27" t="s">
        <v>292</v>
      </c>
      <c r="L36" s="127" t="s">
        <v>293</v>
      </c>
      <c r="M36" s="127" t="s">
        <v>293</v>
      </c>
      <c r="O36" s="19" t="s">
        <v>301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304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305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306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309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3">
        <f t="shared" si="10"/>
        <v>9.6016704210091195</v>
      </c>
      <c r="AI40" s="133">
        <f t="shared" si="10"/>
        <v>9.81</v>
      </c>
    </row>
    <row r="41" spans="4:37" x14ac:dyDescent="0.35">
      <c r="AH41" s="5" t="s">
        <v>314</v>
      </c>
      <c r="AI41" s="89">
        <v>0</v>
      </c>
      <c r="AJ41" s="89">
        <f>$L$23</f>
        <v>30.963756532073521</v>
      </c>
      <c r="AK41" s="89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315</v>
      </c>
      <c r="F12" s="2">
        <v>9.81</v>
      </c>
      <c r="G12" t="s">
        <v>261</v>
      </c>
    </row>
    <row r="13" spans="5:8" x14ac:dyDescent="0.35">
      <c r="E13" s="1" t="s">
        <v>258</v>
      </c>
      <c r="F13" s="2">
        <v>5</v>
      </c>
      <c r="G13" t="s">
        <v>260</v>
      </c>
    </row>
    <row r="15" spans="5:8" ht="16.5" x14ac:dyDescent="0.45">
      <c r="E15" s="1" t="s">
        <v>252</v>
      </c>
      <c r="F15" t="s">
        <v>316</v>
      </c>
      <c r="G15">
        <f>F13*F12</f>
        <v>49.050000000000004</v>
      </c>
      <c r="H15" t="s">
        <v>317</v>
      </c>
    </row>
    <row r="17" spans="5:8" x14ac:dyDescent="0.35">
      <c r="E17" s="1" t="s">
        <v>266</v>
      </c>
      <c r="F17" s="2">
        <v>30</v>
      </c>
      <c r="G17" t="s">
        <v>214</v>
      </c>
    </row>
    <row r="18" spans="5:8" x14ac:dyDescent="0.35">
      <c r="E18" s="1" t="s">
        <v>266</v>
      </c>
      <c r="F18">
        <f>F17*PI()/180</f>
        <v>0.52359877559829882</v>
      </c>
      <c r="G18" t="s">
        <v>215</v>
      </c>
    </row>
    <row r="19" spans="5:8" x14ac:dyDescent="0.35">
      <c r="E19" s="1"/>
    </row>
    <row r="20" spans="5:8" ht="16.5" x14ac:dyDescent="0.45">
      <c r="E20" s="1" t="s">
        <v>256</v>
      </c>
      <c r="F20" t="s">
        <v>318</v>
      </c>
      <c r="G20" s="115">
        <f>$G$15*COS($F$18)</f>
        <v>42.478546055626722</v>
      </c>
      <c r="H20" t="s">
        <v>317</v>
      </c>
    </row>
    <row r="21" spans="5:8" ht="16.5" x14ac:dyDescent="0.45">
      <c r="E21" s="1" t="s">
        <v>255</v>
      </c>
      <c r="F21" t="s">
        <v>319</v>
      </c>
      <c r="G21" s="115">
        <f>$G$15*SIN($F$18)</f>
        <v>24.524999999999999</v>
      </c>
      <c r="H21" t="s">
        <v>317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8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208</v>
      </c>
      <c r="D2" s="44"/>
      <c r="L2" s="41"/>
      <c r="M2" s="107"/>
      <c r="R2" s="88" t="s">
        <v>247</v>
      </c>
      <c r="S2" s="88" t="s">
        <v>216</v>
      </c>
      <c r="T2" s="88" t="s">
        <v>224</v>
      </c>
      <c r="V2" s="88" t="s">
        <v>244</v>
      </c>
      <c r="W2" s="88"/>
      <c r="Y2" s="88" t="s">
        <v>243</v>
      </c>
      <c r="Z2" s="88"/>
      <c r="AA2" s="88"/>
      <c r="AB2" s="88"/>
      <c r="AC2" s="88"/>
    </row>
    <row r="3" spans="3:29" x14ac:dyDescent="0.35">
      <c r="R3" s="125" t="s">
        <v>248</v>
      </c>
      <c r="S3" s="5" t="s">
        <v>214</v>
      </c>
      <c r="T3" s="5" t="s">
        <v>225</v>
      </c>
      <c r="V3" s="89">
        <f>MIN(K14:L20)</f>
        <v>-20</v>
      </c>
      <c r="W3" s="89">
        <f>MAX(K14:L20)</f>
        <v>19.696155060244159</v>
      </c>
      <c r="Y3" s="5" t="s">
        <v>245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5" t="s">
        <v>249</v>
      </c>
      <c r="S4" s="5" t="s">
        <v>215</v>
      </c>
      <c r="T4" s="5" t="s">
        <v>226</v>
      </c>
      <c r="V4" s="5">
        <f>ABS(V3)</f>
        <v>20</v>
      </c>
      <c r="W4" s="5">
        <f>ABS(W3)</f>
        <v>19.696155060244159</v>
      </c>
      <c r="Y4" s="5" t="s">
        <v>246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5" t="s">
        <v>250</v>
      </c>
      <c r="S5" s="5" t="s">
        <v>218</v>
      </c>
      <c r="T5" s="5" t="s">
        <v>227</v>
      </c>
      <c r="V5" s="5">
        <f>MAX(V4:W4)</f>
        <v>20</v>
      </c>
      <c r="W5" s="5">
        <f>V5*1.1</f>
        <v>22</v>
      </c>
    </row>
    <row r="6" spans="3:29" x14ac:dyDescent="0.35">
      <c r="R6" s="5" t="s">
        <v>273</v>
      </c>
      <c r="S6" s="5"/>
      <c r="T6" s="5" t="s">
        <v>228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3" t="s">
        <v>229</v>
      </c>
      <c r="D12" s="243"/>
      <c r="E12" s="243"/>
      <c r="F12" s="243"/>
      <c r="G12" s="243"/>
      <c r="H12" s="71"/>
      <c r="I12" s="243" t="s">
        <v>230</v>
      </c>
      <c r="J12" s="243"/>
      <c r="K12" s="243" t="s">
        <v>225</v>
      </c>
      <c r="L12" s="243"/>
      <c r="M12" s="243" t="s">
        <v>231</v>
      </c>
      <c r="N12" s="243"/>
      <c r="O12" s="243"/>
      <c r="P12" s="242" t="s">
        <v>242</v>
      </c>
      <c r="Q12" s="242"/>
      <c r="R12" s="242"/>
      <c r="S12" s="242"/>
      <c r="T12" s="242" t="s">
        <v>274</v>
      </c>
      <c r="U12" s="242"/>
      <c r="V12" s="242"/>
      <c r="W12" s="242"/>
    </row>
    <row r="13" spans="3:29" x14ac:dyDescent="0.35">
      <c r="C13" s="116" t="s">
        <v>209</v>
      </c>
      <c r="D13" s="116" t="s">
        <v>211</v>
      </c>
      <c r="E13" s="116" t="s">
        <v>210</v>
      </c>
      <c r="F13" s="116" t="s">
        <v>212</v>
      </c>
      <c r="G13" s="116" t="s">
        <v>213</v>
      </c>
      <c r="H13" s="116" t="s">
        <v>247</v>
      </c>
      <c r="I13" s="116" t="s">
        <v>224</v>
      </c>
      <c r="J13" s="116" t="s">
        <v>221</v>
      </c>
      <c r="K13" s="116" t="s">
        <v>222</v>
      </c>
      <c r="L13" s="116" t="s">
        <v>223</v>
      </c>
      <c r="M13" s="116" t="s">
        <v>219</v>
      </c>
      <c r="N13" s="116" t="s">
        <v>220</v>
      </c>
      <c r="O13" s="116" t="s">
        <v>221</v>
      </c>
      <c r="P13" s="116" t="s">
        <v>238</v>
      </c>
      <c r="Q13" s="116" t="s">
        <v>239</v>
      </c>
      <c r="R13" s="116" t="s">
        <v>240</v>
      </c>
      <c r="S13" s="116" t="s">
        <v>241</v>
      </c>
      <c r="T13" s="116" t="s">
        <v>238</v>
      </c>
      <c r="U13" s="116" t="s">
        <v>239</v>
      </c>
      <c r="V13" s="116" t="s">
        <v>240</v>
      </c>
      <c r="W13" s="116" t="s">
        <v>241</v>
      </c>
    </row>
    <row r="14" spans="3:29" x14ac:dyDescent="0.35">
      <c r="C14" s="4" t="s">
        <v>217</v>
      </c>
      <c r="D14" s="4">
        <v>10</v>
      </c>
      <c r="E14" s="108" t="s">
        <v>218</v>
      </c>
      <c r="F14" s="4">
        <v>5</v>
      </c>
      <c r="G14" s="4" t="s">
        <v>218</v>
      </c>
      <c r="H14" s="119"/>
      <c r="I14" s="5" t="str">
        <f>IF(AND(E14=$S$5,G14=$S$5),$T$3,IF(AND(E14=$S$5,G14=$S$4),$T$4,IF(AND(E14=$S$5,G14=$S$3),$T$5,$T$6)))</f>
        <v>Kartesisch</v>
      </c>
      <c r="J14" s="89" t="str">
        <f>IF(I14=$T$5,F14*PI()/180,IF(I14=$T$4,F14,""))</f>
        <v/>
      </c>
      <c r="K14" s="117">
        <f>IF(I14=$T$3,D14,D14*COS(J14))</f>
        <v>10</v>
      </c>
      <c r="L14" s="117">
        <f>IF(I14=$T$3,F14,D14*SIN(J14))</f>
        <v>5</v>
      </c>
      <c r="M14" s="118">
        <f>SQRT(K14^2 + L14^2)</f>
        <v>11.180339887498949</v>
      </c>
      <c r="N14" s="118">
        <f>DEGREES(ATAN2(K14,L14))</f>
        <v>26.56505117707799</v>
      </c>
      <c r="O14" s="118">
        <f>ATAN2(K14,L14)</f>
        <v>0.46364760900080609</v>
      </c>
      <c r="P14" s="89">
        <v>0</v>
      </c>
      <c r="Q14" s="89">
        <f>K14</f>
        <v>10</v>
      </c>
      <c r="R14" s="89">
        <v>0</v>
      </c>
      <c r="S14" s="89">
        <f>L14</f>
        <v>5</v>
      </c>
      <c r="T14" s="126"/>
      <c r="U14" s="126"/>
      <c r="V14" s="126"/>
      <c r="W14" s="126"/>
    </row>
    <row r="15" spans="3:29" x14ac:dyDescent="0.35">
      <c r="C15" s="4" t="s">
        <v>232</v>
      </c>
      <c r="D15" s="4">
        <v>10</v>
      </c>
      <c r="E15" s="108" t="s">
        <v>218</v>
      </c>
      <c r="F15" s="4">
        <v>-12</v>
      </c>
      <c r="G15" s="4" t="s">
        <v>218</v>
      </c>
      <c r="H15" s="120" t="s">
        <v>248</v>
      </c>
      <c r="I15" s="5" t="str">
        <f t="shared" ref="I15:I20" si="0">IF(AND(E15=$S$5,G15=$S$5),$T$3,IF(AND(E15=$S$5,G15=$S$4),$T$4,IF(AND(E15=$S$5,G15=$S$3),$T$5,$T$6)))</f>
        <v>Kartesisch</v>
      </c>
      <c r="J15" s="89" t="str">
        <f t="shared" ref="J15:J20" si="1">IF(I15=$T$5,F15*PI()/180,IF(I15=$T$4,F15,""))</f>
        <v/>
      </c>
      <c r="K15" s="117">
        <f t="shared" ref="K15:K20" si="2">IF(I15=$T$3,D15,D15*COS(J15))</f>
        <v>10</v>
      </c>
      <c r="L15" s="117">
        <f t="shared" ref="L15:L20" si="3">IF(I15=$T$3,F15,D15*SIN(J15))</f>
        <v>-12</v>
      </c>
      <c r="M15" s="118">
        <f t="shared" ref="M15:M20" si="4">SQRT(K15^2 + L15^2)</f>
        <v>15.620499351813308</v>
      </c>
      <c r="N15" s="118">
        <f t="shared" ref="N15:N20" si="5">DEGREES(ATAN2(K15,L15))</f>
        <v>-50.19442890773481</v>
      </c>
      <c r="O15" s="118">
        <f t="shared" ref="O15:O20" si="6">ATAN2(K15,L15)</f>
        <v>-0.87605805059819342</v>
      </c>
      <c r="P15" s="89">
        <f t="shared" ref="P15:P20" si="7">IF(H15=$R$6,0,IF(H15=$R$3,Q14,0))</f>
        <v>10</v>
      </c>
      <c r="Q15" s="89">
        <f t="shared" ref="Q15:Q20" si="8">IF(H15=$R$6,0,IF(H15=$R$3,K15+Q14,K15))</f>
        <v>20</v>
      </c>
      <c r="R15" s="89">
        <f t="shared" ref="R15:R20" si="9">IF(H15=$R$6,0,IF(H15=$R$3,S14,0))</f>
        <v>5</v>
      </c>
      <c r="S15" s="89">
        <f t="shared" ref="S15:S20" si="10">IF(H15=$R$6,0,IF(H15=$R$3,S14+L15,L15))</f>
        <v>-7</v>
      </c>
      <c r="T15" s="89">
        <v>0</v>
      </c>
      <c r="U15" s="89">
        <v>0</v>
      </c>
      <c r="V15" s="89">
        <f t="shared" ref="V15:V20" si="11">IF(P15&lt;&gt;0,Q15,0)</f>
        <v>20</v>
      </c>
      <c r="W15" s="89">
        <f t="shared" ref="W15:W20" si="12">IF(R15&lt;&gt;0,S15,0)</f>
        <v>-7</v>
      </c>
    </row>
    <row r="16" spans="3:29" x14ac:dyDescent="0.35">
      <c r="C16" s="4" t="s">
        <v>233</v>
      </c>
      <c r="D16" s="4">
        <v>-8</v>
      </c>
      <c r="E16" s="108" t="s">
        <v>218</v>
      </c>
      <c r="F16" s="4">
        <v>15</v>
      </c>
      <c r="G16" s="4" t="s">
        <v>218</v>
      </c>
      <c r="H16" s="120" t="s">
        <v>248</v>
      </c>
      <c r="I16" s="5" t="str">
        <f t="shared" si="0"/>
        <v>Kartesisch</v>
      </c>
      <c r="J16" s="89" t="str">
        <f t="shared" si="1"/>
        <v/>
      </c>
      <c r="K16" s="117">
        <f t="shared" si="2"/>
        <v>-8</v>
      </c>
      <c r="L16" s="117">
        <f t="shared" si="3"/>
        <v>15</v>
      </c>
      <c r="M16" s="118">
        <f t="shared" si="4"/>
        <v>17</v>
      </c>
      <c r="N16" s="118">
        <f t="shared" si="5"/>
        <v>118.07248693585296</v>
      </c>
      <c r="O16" s="118">
        <f t="shared" si="6"/>
        <v>2.060753653048625</v>
      </c>
      <c r="P16" s="89">
        <f t="shared" si="7"/>
        <v>20</v>
      </c>
      <c r="Q16" s="89">
        <f t="shared" si="8"/>
        <v>12</v>
      </c>
      <c r="R16" s="89">
        <f t="shared" si="9"/>
        <v>-7</v>
      </c>
      <c r="S16" s="89">
        <f t="shared" si="10"/>
        <v>8</v>
      </c>
      <c r="T16" s="89">
        <v>0</v>
      </c>
      <c r="U16" s="89">
        <v>0</v>
      </c>
      <c r="V16" s="89">
        <f t="shared" si="11"/>
        <v>12</v>
      </c>
      <c r="W16" s="89">
        <f t="shared" si="12"/>
        <v>8</v>
      </c>
    </row>
    <row r="17" spans="3:23" x14ac:dyDescent="0.35">
      <c r="C17" s="4" t="s">
        <v>234</v>
      </c>
      <c r="D17" s="4">
        <v>-10</v>
      </c>
      <c r="E17" s="108" t="s">
        <v>218</v>
      </c>
      <c r="F17" s="4">
        <v>-20</v>
      </c>
      <c r="G17" s="4" t="s">
        <v>218</v>
      </c>
      <c r="H17" s="120" t="s">
        <v>273</v>
      </c>
      <c r="I17" s="5" t="str">
        <f t="shared" si="0"/>
        <v>Kartesisch</v>
      </c>
      <c r="J17" s="89" t="str">
        <f t="shared" si="1"/>
        <v/>
      </c>
      <c r="K17" s="117">
        <f t="shared" si="2"/>
        <v>-10</v>
      </c>
      <c r="L17" s="117">
        <f t="shared" si="3"/>
        <v>-20</v>
      </c>
      <c r="M17" s="118">
        <f t="shared" si="4"/>
        <v>22.360679774997898</v>
      </c>
      <c r="N17" s="118">
        <f t="shared" si="5"/>
        <v>-116.56505117707799</v>
      </c>
      <c r="O17" s="118">
        <f t="shared" si="6"/>
        <v>-2.0344439357957027</v>
      </c>
      <c r="P17" s="89">
        <f t="shared" si="7"/>
        <v>0</v>
      </c>
      <c r="Q17" s="89">
        <f t="shared" si="8"/>
        <v>0</v>
      </c>
      <c r="R17" s="89">
        <f t="shared" si="9"/>
        <v>0</v>
      </c>
      <c r="S17" s="89">
        <f t="shared" si="10"/>
        <v>0</v>
      </c>
      <c r="T17" s="89">
        <v>0</v>
      </c>
      <c r="U17" s="89">
        <v>0</v>
      </c>
      <c r="V17" s="89">
        <f t="shared" si="11"/>
        <v>0</v>
      </c>
      <c r="W17" s="89">
        <f t="shared" si="12"/>
        <v>0</v>
      </c>
    </row>
    <row r="18" spans="3:23" x14ac:dyDescent="0.35">
      <c r="C18" s="4" t="s">
        <v>235</v>
      </c>
      <c r="D18" s="4">
        <v>20</v>
      </c>
      <c r="E18" s="108" t="s">
        <v>218</v>
      </c>
      <c r="F18" s="4">
        <v>100</v>
      </c>
      <c r="G18" s="4" t="s">
        <v>214</v>
      </c>
      <c r="H18" s="120" t="s">
        <v>273</v>
      </c>
      <c r="I18" s="5" t="str">
        <f t="shared" si="0"/>
        <v>Polar [°]</v>
      </c>
      <c r="J18" s="89">
        <f t="shared" si="1"/>
        <v>1.7453292519943295</v>
      </c>
      <c r="K18" s="117">
        <f t="shared" si="2"/>
        <v>-3.4729635533386061</v>
      </c>
      <c r="L18" s="117">
        <f t="shared" si="3"/>
        <v>19.696155060244159</v>
      </c>
      <c r="M18" s="118">
        <f t="shared" si="4"/>
        <v>19.999999999999996</v>
      </c>
      <c r="N18" s="118">
        <f t="shared" si="5"/>
        <v>100</v>
      </c>
      <c r="O18" s="118">
        <f t="shared" si="6"/>
        <v>1.7453292519943295</v>
      </c>
      <c r="P18" s="89">
        <f t="shared" si="7"/>
        <v>0</v>
      </c>
      <c r="Q18" s="89">
        <f t="shared" si="8"/>
        <v>0</v>
      </c>
      <c r="R18" s="89">
        <f t="shared" si="9"/>
        <v>0</v>
      </c>
      <c r="S18" s="89">
        <f t="shared" si="10"/>
        <v>0</v>
      </c>
      <c r="T18" s="89">
        <v>0</v>
      </c>
      <c r="U18" s="89">
        <v>0</v>
      </c>
      <c r="V18" s="89">
        <f t="shared" si="11"/>
        <v>0</v>
      </c>
      <c r="W18" s="89">
        <f t="shared" si="12"/>
        <v>0</v>
      </c>
    </row>
    <row r="19" spans="3:23" x14ac:dyDescent="0.35">
      <c r="C19" s="4" t="s">
        <v>236</v>
      </c>
      <c r="D19" s="4">
        <v>20</v>
      </c>
      <c r="E19" s="108" t="s">
        <v>218</v>
      </c>
      <c r="F19" s="4">
        <v>180</v>
      </c>
      <c r="G19" s="4" t="s">
        <v>214</v>
      </c>
      <c r="H19" s="120" t="s">
        <v>273</v>
      </c>
      <c r="I19" s="5" t="str">
        <f t="shared" si="0"/>
        <v>Polar [°]</v>
      </c>
      <c r="J19" s="89">
        <f t="shared" si="1"/>
        <v>3.1415926535897931</v>
      </c>
      <c r="K19" s="117">
        <f t="shared" si="2"/>
        <v>-20</v>
      </c>
      <c r="L19" s="117">
        <f t="shared" si="3"/>
        <v>2.45029690981724E-15</v>
      </c>
      <c r="M19" s="118">
        <f t="shared" si="4"/>
        <v>20</v>
      </c>
      <c r="N19" s="118">
        <f t="shared" si="5"/>
        <v>180</v>
      </c>
      <c r="O19" s="118">
        <f t="shared" si="6"/>
        <v>3.1415926535897931</v>
      </c>
      <c r="P19" s="89">
        <f t="shared" si="7"/>
        <v>0</v>
      </c>
      <c r="Q19" s="89">
        <f t="shared" si="8"/>
        <v>0</v>
      </c>
      <c r="R19" s="89">
        <f t="shared" si="9"/>
        <v>0</v>
      </c>
      <c r="S19" s="89">
        <f t="shared" si="10"/>
        <v>0</v>
      </c>
      <c r="T19" s="89">
        <v>0</v>
      </c>
      <c r="U19" s="89">
        <v>0</v>
      </c>
      <c r="V19" s="89">
        <f t="shared" si="11"/>
        <v>0</v>
      </c>
      <c r="W19" s="89">
        <f t="shared" si="12"/>
        <v>0</v>
      </c>
    </row>
    <row r="20" spans="3:23" x14ac:dyDescent="0.35">
      <c r="C20" s="4" t="s">
        <v>237</v>
      </c>
      <c r="D20" s="4">
        <v>20</v>
      </c>
      <c r="E20" s="108" t="s">
        <v>218</v>
      </c>
      <c r="F20" s="4">
        <v>6.5</v>
      </c>
      <c r="G20" s="4" t="s">
        <v>215</v>
      </c>
      <c r="H20" s="120" t="s">
        <v>273</v>
      </c>
      <c r="I20" s="5" t="str">
        <f t="shared" si="0"/>
        <v>Polar [rad]</v>
      </c>
      <c r="J20" s="89">
        <f t="shared" si="1"/>
        <v>6.5</v>
      </c>
      <c r="K20" s="117">
        <f t="shared" si="2"/>
        <v>19.53175251456047</v>
      </c>
      <c r="L20" s="117">
        <f t="shared" si="3"/>
        <v>4.3023997617563108</v>
      </c>
      <c r="M20" s="118">
        <f t="shared" si="4"/>
        <v>20</v>
      </c>
      <c r="N20" s="118">
        <f t="shared" si="5"/>
        <v>12.422566835035086</v>
      </c>
      <c r="O20" s="118">
        <f t="shared" si="6"/>
        <v>0.21681469282041352</v>
      </c>
      <c r="P20" s="89">
        <f t="shared" si="7"/>
        <v>0</v>
      </c>
      <c r="Q20" s="89">
        <f t="shared" si="8"/>
        <v>0</v>
      </c>
      <c r="R20" s="89">
        <f t="shared" si="9"/>
        <v>0</v>
      </c>
      <c r="S20" s="89">
        <f t="shared" si="10"/>
        <v>0</v>
      </c>
      <c r="T20" s="89">
        <v>0</v>
      </c>
      <c r="U20" s="89">
        <v>0</v>
      </c>
      <c r="V20" s="89">
        <f t="shared" si="11"/>
        <v>0</v>
      </c>
      <c r="W20" s="89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BB46"/>
  <sheetViews>
    <sheetView showGridLines="0" zoomScaleNormal="100" workbookViewId="0">
      <selection activeCell="G47" sqref="G47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4" customWidth="1"/>
    <col min="16" max="16" width="3.6328125" style="234" customWidth="1"/>
    <col min="17" max="21" width="5.6328125" style="234" customWidth="1"/>
  </cols>
  <sheetData>
    <row r="1" spans="2:21" ht="40" customHeight="1" x14ac:dyDescent="0.35"/>
    <row r="2" spans="2:21" ht="23.5" x14ac:dyDescent="0.55000000000000004">
      <c r="B2" s="22" t="s">
        <v>347</v>
      </c>
      <c r="M2" s="233"/>
    </row>
    <row r="3" spans="2:21" ht="12" customHeight="1" x14ac:dyDescent="0.55000000000000004">
      <c r="B3" s="22"/>
      <c r="M3" s="233"/>
    </row>
    <row r="4" spans="2:21" ht="12" customHeight="1" x14ac:dyDescent="0.55000000000000004">
      <c r="B4" s="22"/>
      <c r="M4" s="233"/>
    </row>
    <row r="5" spans="2:21" x14ac:dyDescent="0.35">
      <c r="C5" s="226" t="s">
        <v>431</v>
      </c>
      <c r="D5" s="225"/>
      <c r="E5" s="225"/>
      <c r="F5" s="225"/>
      <c r="G5" s="225"/>
      <c r="M5" s="225" t="s">
        <v>267</v>
      </c>
    </row>
    <row r="6" spans="2:21" x14ac:dyDescent="0.35">
      <c r="C6" s="222">
        <v>180</v>
      </c>
      <c r="D6" s="5" t="str">
        <f>M6</f>
        <v>°</v>
      </c>
      <c r="E6" s="223" t="s">
        <v>348</v>
      </c>
      <c r="F6" s="228">
        <f>PI()*C6/180</f>
        <v>3.1415926535897931</v>
      </c>
      <c r="G6" s="5" t="str">
        <f>M7</f>
        <v>rad</v>
      </c>
      <c r="M6" s="224" t="s">
        <v>214</v>
      </c>
    </row>
    <row r="7" spans="2:21" x14ac:dyDescent="0.35">
      <c r="C7" s="90">
        <v>3.1415000000000002</v>
      </c>
      <c r="D7" s="5" t="str">
        <f>M7</f>
        <v>rad</v>
      </c>
      <c r="E7" s="223" t="s">
        <v>348</v>
      </c>
      <c r="F7" s="228">
        <f>180*C7/PI()</f>
        <v>179.99469134034814</v>
      </c>
      <c r="G7" s="5" t="str">
        <f>M6</f>
        <v>°</v>
      </c>
      <c r="M7" s="224" t="s">
        <v>215</v>
      </c>
    </row>
    <row r="8" spans="2:21" x14ac:dyDescent="0.35">
      <c r="C8" s="90">
        <v>180</v>
      </c>
      <c r="D8" s="4" t="s">
        <v>214</v>
      </c>
      <c r="E8" s="223" t="s">
        <v>348</v>
      </c>
      <c r="F8" s="228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4" t="s">
        <v>435</v>
      </c>
      <c r="C13" s="246"/>
      <c r="D13" s="246"/>
      <c r="E13" s="246"/>
      <c r="F13" s="246"/>
      <c r="G13" s="246"/>
      <c r="H13" s="246"/>
      <c r="I13" s="246"/>
      <c r="L13" s="244" t="s">
        <v>436</v>
      </c>
      <c r="M13" s="245"/>
      <c r="N13" s="245"/>
      <c r="O13" s="245"/>
      <c r="Q13" s="244" t="s">
        <v>243</v>
      </c>
      <c r="R13" s="245"/>
      <c r="S13" s="245"/>
      <c r="T13" s="245"/>
      <c r="U13" s="245"/>
    </row>
    <row r="14" spans="2:21" x14ac:dyDescent="0.35">
      <c r="B14" s="230" t="s">
        <v>209</v>
      </c>
      <c r="C14" s="229" t="s">
        <v>219</v>
      </c>
      <c r="D14" s="229" t="s">
        <v>99</v>
      </c>
      <c r="E14" s="229" t="s">
        <v>432</v>
      </c>
      <c r="F14" s="229" t="s">
        <v>99</v>
      </c>
      <c r="G14" s="229" t="s">
        <v>432</v>
      </c>
      <c r="H14" s="229" t="s">
        <v>433</v>
      </c>
      <c r="I14" s="229" t="s">
        <v>434</v>
      </c>
      <c r="L14" s="235" t="s">
        <v>440</v>
      </c>
      <c r="M14" s="235" t="s">
        <v>441</v>
      </c>
      <c r="N14" s="235" t="s">
        <v>442</v>
      </c>
      <c r="O14" s="235" t="s">
        <v>443</v>
      </c>
      <c r="P14" s="233"/>
      <c r="Q14" s="239" t="s">
        <v>437</v>
      </c>
      <c r="R14" s="235"/>
      <c r="S14" s="235"/>
      <c r="T14" s="235"/>
      <c r="U14" s="235"/>
    </row>
    <row r="15" spans="2:21" x14ac:dyDescent="0.35">
      <c r="B15" s="231" t="s">
        <v>438</v>
      </c>
      <c r="C15" s="227">
        <v>10</v>
      </c>
      <c r="D15" s="90">
        <v>180</v>
      </c>
      <c r="E15" s="90" t="s">
        <v>214</v>
      </c>
      <c r="F15" s="228">
        <f>IF(E15=M7,D15,IF(D8=M6,D15*PI()/180,"Unknown"))</f>
        <v>3.1415926535897931</v>
      </c>
      <c r="G15" s="89" t="str">
        <f>M7</f>
        <v>rad</v>
      </c>
      <c r="H15" s="228">
        <f>C15*COS(F15)</f>
        <v>-10</v>
      </c>
      <c r="I15" s="228">
        <f>C15*SIN(F15)</f>
        <v>1.22514845490862E-15</v>
      </c>
      <c r="L15" s="236">
        <v>0</v>
      </c>
      <c r="M15" s="236">
        <f>H15</f>
        <v>-10</v>
      </c>
      <c r="N15" s="236">
        <v>0</v>
      </c>
      <c r="O15" s="236">
        <f>I15</f>
        <v>1.22514845490862E-15</v>
      </c>
      <c r="P15" s="237"/>
      <c r="Q15" s="238">
        <f>MAX(ABS(O15),ABS(M16),ABS(O16),ABS(M15),ABS(M17),ABS(O17))</f>
        <v>14</v>
      </c>
      <c r="R15" s="236">
        <f>Q16</f>
        <v>15.400000000000002</v>
      </c>
      <c r="S15" s="236">
        <v>0</v>
      </c>
      <c r="T15" s="236">
        <f>-R15</f>
        <v>-15.400000000000002</v>
      </c>
      <c r="U15" s="236">
        <v>0</v>
      </c>
    </row>
    <row r="16" spans="2:21" x14ac:dyDescent="0.35">
      <c r="B16" s="232" t="s">
        <v>439</v>
      </c>
      <c r="C16" s="228">
        <f>SQRT(H16^2+I16^2)</f>
        <v>6.4031242374328485</v>
      </c>
      <c r="D16" s="228">
        <f>F16*180/PI()</f>
        <v>128.65980825409008</v>
      </c>
      <c r="E16" s="89" t="str">
        <f>M6</f>
        <v>°</v>
      </c>
      <c r="F16" s="228">
        <f>ATAN2(H16,I16)</f>
        <v>2.245537269018449</v>
      </c>
      <c r="G16" s="89" t="str">
        <f>M7</f>
        <v>rad</v>
      </c>
      <c r="H16" s="90">
        <v>-4</v>
      </c>
      <c r="I16" s="90">
        <v>5</v>
      </c>
      <c r="L16" s="236">
        <v>0</v>
      </c>
      <c r="M16" s="236">
        <f>H16</f>
        <v>-4</v>
      </c>
      <c r="N16" s="236">
        <v>0</v>
      </c>
      <c r="O16" s="236">
        <f>I16</f>
        <v>5</v>
      </c>
      <c r="P16" s="237"/>
      <c r="Q16" s="238">
        <f>Q15*1.1</f>
        <v>15.400000000000002</v>
      </c>
      <c r="R16" s="236">
        <v>0</v>
      </c>
      <c r="S16" s="236">
        <f>R15</f>
        <v>15.400000000000002</v>
      </c>
      <c r="T16" s="236">
        <v>0</v>
      </c>
      <c r="U16" s="236">
        <f>T15</f>
        <v>-15.400000000000002</v>
      </c>
    </row>
    <row r="17" spans="2:54" ht="16.5" x14ac:dyDescent="0.45">
      <c r="B17" s="240" t="s">
        <v>450</v>
      </c>
      <c r="C17" s="228">
        <f>SQRT(H17^2+I17^2)</f>
        <v>14.866068747318506</v>
      </c>
      <c r="D17" s="228">
        <f>F17*180/PI()</f>
        <v>160.34617594194668</v>
      </c>
      <c r="E17" s="89" t="str">
        <f>E16</f>
        <v>°</v>
      </c>
      <c r="F17" s="228">
        <f>ATAN2(H17,I17)</f>
        <v>2.7985687131690895</v>
      </c>
      <c r="G17" s="89" t="str">
        <f>G16</f>
        <v>rad</v>
      </c>
      <c r="H17" s="228">
        <f>H16+H15</f>
        <v>-14</v>
      </c>
      <c r="I17" s="228">
        <f>I16+I15</f>
        <v>5.0000000000000009</v>
      </c>
      <c r="L17" s="236">
        <v>0</v>
      </c>
      <c r="M17" s="236">
        <f>H17</f>
        <v>-14</v>
      </c>
      <c r="N17" s="236">
        <v>0</v>
      </c>
      <c r="O17" s="236">
        <f>I17</f>
        <v>5.0000000000000009</v>
      </c>
    </row>
    <row r="18" spans="2:54" ht="16.5" x14ac:dyDescent="0.45">
      <c r="B18" s="19" t="s">
        <v>451</v>
      </c>
      <c r="C18" s="92">
        <f>C16*C15</f>
        <v>64.031242374328485</v>
      </c>
      <c r="D18" s="228">
        <f>D16+D15</f>
        <v>308.65980825409008</v>
      </c>
      <c r="E18" s="89" t="str">
        <f>E17</f>
        <v>°</v>
      </c>
      <c r="F18" s="228">
        <f>F15+F16</f>
        <v>5.3871299226082421</v>
      </c>
      <c r="G18" s="89" t="str">
        <f>G17</f>
        <v>rad</v>
      </c>
      <c r="H18" s="228">
        <f>C18*COS(F18)</f>
        <v>39.999999999999979</v>
      </c>
      <c r="I18" s="228">
        <f>C18*SIN(F18)</f>
        <v>-50.000000000000014</v>
      </c>
    </row>
    <row r="21" spans="2:54" x14ac:dyDescent="0.35">
      <c r="L21" s="234" t="s">
        <v>220</v>
      </c>
      <c r="M21" s="234">
        <v>0</v>
      </c>
      <c r="N21" s="234">
        <f>M21+10</f>
        <v>10</v>
      </c>
      <c r="O21" s="234">
        <f t="shared" ref="O21:BB21" si="0">N21+10</f>
        <v>20</v>
      </c>
      <c r="P21" s="234">
        <f t="shared" si="0"/>
        <v>30</v>
      </c>
      <c r="Q21" s="234">
        <f t="shared" si="0"/>
        <v>40</v>
      </c>
      <c r="R21" s="234">
        <f t="shared" si="0"/>
        <v>50</v>
      </c>
      <c r="S21" s="234">
        <f t="shared" si="0"/>
        <v>60</v>
      </c>
      <c r="T21" s="234">
        <f t="shared" si="0"/>
        <v>70</v>
      </c>
      <c r="U21" s="234">
        <f t="shared" si="0"/>
        <v>80</v>
      </c>
      <c r="V21" s="234">
        <f t="shared" si="0"/>
        <v>90</v>
      </c>
      <c r="W21" s="234">
        <f t="shared" si="0"/>
        <v>100</v>
      </c>
      <c r="X21" s="234">
        <f t="shared" si="0"/>
        <v>110</v>
      </c>
      <c r="Y21" s="234">
        <f t="shared" si="0"/>
        <v>120</v>
      </c>
      <c r="Z21" s="234">
        <f t="shared" si="0"/>
        <v>130</v>
      </c>
      <c r="AA21" s="234">
        <f t="shared" si="0"/>
        <v>140</v>
      </c>
      <c r="AB21" s="234">
        <f t="shared" si="0"/>
        <v>150</v>
      </c>
      <c r="AC21" s="234">
        <f t="shared" si="0"/>
        <v>160</v>
      </c>
      <c r="AD21" s="234">
        <f t="shared" si="0"/>
        <v>170</v>
      </c>
      <c r="AE21" s="234">
        <f t="shared" si="0"/>
        <v>180</v>
      </c>
      <c r="AF21" s="234">
        <f t="shared" si="0"/>
        <v>190</v>
      </c>
      <c r="AG21" s="234">
        <f t="shared" si="0"/>
        <v>200</v>
      </c>
      <c r="AH21" s="234">
        <f t="shared" si="0"/>
        <v>210</v>
      </c>
      <c r="AI21" s="234">
        <f t="shared" si="0"/>
        <v>220</v>
      </c>
      <c r="AJ21" s="234">
        <f t="shared" si="0"/>
        <v>230</v>
      </c>
      <c r="AK21" s="234">
        <f t="shared" si="0"/>
        <v>240</v>
      </c>
      <c r="AL21" s="234">
        <f t="shared" si="0"/>
        <v>250</v>
      </c>
      <c r="AM21" s="234">
        <f t="shared" si="0"/>
        <v>260</v>
      </c>
      <c r="AN21" s="234">
        <f t="shared" si="0"/>
        <v>270</v>
      </c>
      <c r="AO21" s="234">
        <f t="shared" si="0"/>
        <v>280</v>
      </c>
      <c r="AP21" s="234">
        <f t="shared" si="0"/>
        <v>290</v>
      </c>
      <c r="AQ21" s="234">
        <f t="shared" si="0"/>
        <v>300</v>
      </c>
      <c r="AR21" s="234">
        <f t="shared" si="0"/>
        <v>310</v>
      </c>
      <c r="AS21" s="234">
        <f t="shared" si="0"/>
        <v>320</v>
      </c>
      <c r="AT21" s="234">
        <f t="shared" si="0"/>
        <v>330</v>
      </c>
      <c r="AU21" s="234">
        <f t="shared" si="0"/>
        <v>340</v>
      </c>
      <c r="AV21" s="234">
        <f t="shared" si="0"/>
        <v>350</v>
      </c>
      <c r="AW21" s="234">
        <f t="shared" si="0"/>
        <v>360</v>
      </c>
      <c r="AX21" s="234"/>
      <c r="AY21" s="234"/>
      <c r="AZ21" s="234"/>
      <c r="BA21" s="234"/>
      <c r="BB21" s="234"/>
    </row>
    <row r="22" spans="2:54" x14ac:dyDescent="0.35">
      <c r="L22" s="234" t="s">
        <v>221</v>
      </c>
      <c r="M22" s="234">
        <f>M21*PI()/180</f>
        <v>0</v>
      </c>
      <c r="N22" s="234">
        <f t="shared" ref="N22:AW22" si="1">N21*PI()/180</f>
        <v>0.17453292519943295</v>
      </c>
      <c r="O22" s="234">
        <f t="shared" si="1"/>
        <v>0.3490658503988659</v>
      </c>
      <c r="P22" s="234">
        <f t="shared" si="1"/>
        <v>0.52359877559829882</v>
      </c>
      <c r="Q22" s="234">
        <f t="shared" si="1"/>
        <v>0.69813170079773179</v>
      </c>
      <c r="R22" s="234">
        <f t="shared" si="1"/>
        <v>0.87266462599716477</v>
      </c>
      <c r="S22" s="234">
        <f t="shared" si="1"/>
        <v>1.0471975511965976</v>
      </c>
      <c r="T22" s="234">
        <f t="shared" si="1"/>
        <v>1.2217304763960306</v>
      </c>
      <c r="U22" s="234">
        <f t="shared" si="1"/>
        <v>1.3962634015954636</v>
      </c>
      <c r="V22" s="234">
        <f t="shared" si="1"/>
        <v>1.5707963267948966</v>
      </c>
      <c r="W22" s="234">
        <f t="shared" si="1"/>
        <v>1.7453292519943295</v>
      </c>
      <c r="X22" s="234">
        <f t="shared" si="1"/>
        <v>1.9198621771937625</v>
      </c>
      <c r="Y22" s="234">
        <f t="shared" si="1"/>
        <v>2.0943951023931953</v>
      </c>
      <c r="Z22" s="234">
        <f t="shared" si="1"/>
        <v>2.2689280275926285</v>
      </c>
      <c r="AA22" s="234">
        <f t="shared" si="1"/>
        <v>2.4434609527920612</v>
      </c>
      <c r="AB22" s="234">
        <f t="shared" si="1"/>
        <v>2.6179938779914944</v>
      </c>
      <c r="AC22" s="234">
        <f t="shared" si="1"/>
        <v>2.7925268031909272</v>
      </c>
      <c r="AD22" s="234">
        <f t="shared" si="1"/>
        <v>2.9670597283903604</v>
      </c>
      <c r="AE22" s="234">
        <f t="shared" si="1"/>
        <v>3.1415926535897931</v>
      </c>
      <c r="AF22" s="234">
        <f t="shared" si="1"/>
        <v>3.3161255787892263</v>
      </c>
      <c r="AG22" s="234">
        <f t="shared" si="1"/>
        <v>3.4906585039886591</v>
      </c>
      <c r="AH22" s="234">
        <f t="shared" si="1"/>
        <v>3.6651914291880923</v>
      </c>
      <c r="AI22" s="234">
        <f t="shared" si="1"/>
        <v>3.839724354387525</v>
      </c>
      <c r="AJ22" s="234">
        <f t="shared" si="1"/>
        <v>4.0142572795869578</v>
      </c>
      <c r="AK22" s="234">
        <f t="shared" si="1"/>
        <v>4.1887902047863905</v>
      </c>
      <c r="AL22" s="234">
        <f t="shared" si="1"/>
        <v>4.3633231299858233</v>
      </c>
      <c r="AM22" s="234">
        <f t="shared" si="1"/>
        <v>4.5378560551852569</v>
      </c>
      <c r="AN22" s="234">
        <f t="shared" si="1"/>
        <v>4.7123889803846897</v>
      </c>
      <c r="AO22" s="234">
        <f t="shared" si="1"/>
        <v>4.8869219055841224</v>
      </c>
      <c r="AP22" s="234">
        <f t="shared" si="1"/>
        <v>5.0614548307835552</v>
      </c>
      <c r="AQ22" s="234">
        <f t="shared" si="1"/>
        <v>5.2359877559829888</v>
      </c>
      <c r="AR22" s="234">
        <f t="shared" si="1"/>
        <v>5.4105206811824216</v>
      </c>
      <c r="AS22" s="234">
        <f t="shared" si="1"/>
        <v>5.5850536063818543</v>
      </c>
      <c r="AT22" s="234">
        <f t="shared" si="1"/>
        <v>5.7595865315812871</v>
      </c>
      <c r="AU22" s="234">
        <f t="shared" si="1"/>
        <v>5.9341194567807207</v>
      </c>
      <c r="AV22" s="234">
        <f t="shared" si="1"/>
        <v>6.1086523819801526</v>
      </c>
      <c r="AW22" s="234">
        <f t="shared" si="1"/>
        <v>6.2831853071795862</v>
      </c>
    </row>
    <row r="23" spans="2:54" x14ac:dyDescent="0.35">
      <c r="L23" s="231" t="s">
        <v>438</v>
      </c>
      <c r="M23" s="234">
        <f>$C$15*SIN(M22+$F$15)</f>
        <v>1.22514845490862E-15</v>
      </c>
      <c r="N23" s="234">
        <f t="shared" ref="N23:AW23" si="2">$C$15*SIN(N22+$F$15)</f>
        <v>-1.7364817766693004</v>
      </c>
      <c r="O23" s="234">
        <f t="shared" si="2"/>
        <v>-3.4202014332566866</v>
      </c>
      <c r="P23" s="234">
        <f t="shared" si="2"/>
        <v>-4.9999999999999973</v>
      </c>
      <c r="Q23" s="234">
        <f t="shared" si="2"/>
        <v>-6.4278760968653925</v>
      </c>
      <c r="R23" s="234">
        <f t="shared" si="2"/>
        <v>-7.660444431189779</v>
      </c>
      <c r="S23" s="234">
        <f t="shared" si="2"/>
        <v>-8.6602540378443837</v>
      </c>
      <c r="T23" s="234">
        <f t="shared" si="2"/>
        <v>-9.3969262078590852</v>
      </c>
      <c r="U23" s="234">
        <f t="shared" si="2"/>
        <v>-9.8480775301220795</v>
      </c>
      <c r="V23" s="234">
        <f t="shared" si="2"/>
        <v>-10</v>
      </c>
      <c r="W23" s="234">
        <f t="shared" si="2"/>
        <v>-9.8480775301220813</v>
      </c>
      <c r="X23" s="234">
        <f t="shared" si="2"/>
        <v>-9.3969262078590852</v>
      </c>
      <c r="Y23" s="234">
        <f t="shared" si="2"/>
        <v>-8.6602540378443909</v>
      </c>
      <c r="Z23" s="234">
        <f t="shared" si="2"/>
        <v>-7.6604444311897808</v>
      </c>
      <c r="AA23" s="234">
        <f t="shared" si="2"/>
        <v>-6.4278760968653961</v>
      </c>
      <c r="AB23" s="234">
        <f t="shared" si="2"/>
        <v>-4.9999999999999964</v>
      </c>
      <c r="AC23" s="234">
        <f t="shared" si="2"/>
        <v>-3.4202014332566861</v>
      </c>
      <c r="AD23" s="234">
        <f t="shared" si="2"/>
        <v>-1.7364817766693039</v>
      </c>
      <c r="AE23" s="234">
        <f t="shared" si="2"/>
        <v>-2.45029690981724E-15</v>
      </c>
      <c r="AF23" s="234">
        <f t="shared" si="2"/>
        <v>1.736481776669299</v>
      </c>
      <c r="AG23" s="234">
        <f t="shared" si="2"/>
        <v>3.4202014332566808</v>
      </c>
      <c r="AH23" s="234">
        <f t="shared" si="2"/>
        <v>5</v>
      </c>
      <c r="AI23" s="234">
        <f t="shared" si="2"/>
        <v>6.4278760968653916</v>
      </c>
      <c r="AJ23" s="234">
        <f t="shared" si="2"/>
        <v>7.6604444311897781</v>
      </c>
      <c r="AK23" s="234">
        <f t="shared" si="2"/>
        <v>8.6602540378443837</v>
      </c>
      <c r="AL23" s="234">
        <f t="shared" si="2"/>
        <v>9.3969262078590816</v>
      </c>
      <c r="AM23" s="234">
        <f t="shared" si="2"/>
        <v>9.8480775301220795</v>
      </c>
      <c r="AN23" s="234">
        <f t="shared" si="2"/>
        <v>10</v>
      </c>
      <c r="AO23" s="234">
        <f t="shared" si="2"/>
        <v>9.8480775301220813</v>
      </c>
      <c r="AP23" s="234">
        <f t="shared" si="2"/>
        <v>9.3969262078590869</v>
      </c>
      <c r="AQ23" s="234">
        <f t="shared" si="2"/>
        <v>8.660254037844382</v>
      </c>
      <c r="AR23" s="234">
        <f t="shared" si="2"/>
        <v>7.6604444311897755</v>
      </c>
      <c r="AS23" s="234">
        <f t="shared" si="2"/>
        <v>6.4278760968653899</v>
      </c>
      <c r="AT23" s="234">
        <f t="shared" si="2"/>
        <v>4.9999999999999982</v>
      </c>
      <c r="AU23" s="234">
        <f t="shared" si="2"/>
        <v>3.420201433256687</v>
      </c>
      <c r="AV23" s="234">
        <f t="shared" si="2"/>
        <v>1.736481776669305</v>
      </c>
      <c r="AW23" s="234">
        <f t="shared" si="2"/>
        <v>3.67544536472586E-15</v>
      </c>
    </row>
    <row r="24" spans="2:54" ht="16" customHeight="1" x14ac:dyDescent="0.35">
      <c r="L24" s="232" t="s">
        <v>439</v>
      </c>
      <c r="M24" s="234">
        <f>$C$16*SIN(M22+$F$16)</f>
        <v>5.0000000000000009</v>
      </c>
      <c r="N24" s="234">
        <f t="shared" ref="N24:AW24" si="3">$C$16*SIN(N22+$F$16)</f>
        <v>4.2294460543933212</v>
      </c>
      <c r="O24" s="234">
        <f t="shared" si="3"/>
        <v>3.330382530626868</v>
      </c>
      <c r="P24" s="234">
        <f t="shared" si="3"/>
        <v>2.3301270189221959</v>
      </c>
      <c r="Q24" s="234">
        <f t="shared" si="3"/>
        <v>1.2590717768487343</v>
      </c>
      <c r="R24" s="234">
        <f t="shared" si="3"/>
        <v>0.14976027595678734</v>
      </c>
      <c r="S24" s="234">
        <f t="shared" si="3"/>
        <v>-0.9641016151377505</v>
      </c>
      <c r="T24" s="234">
        <f t="shared" si="3"/>
        <v>-2.0486697665152875</v>
      </c>
      <c r="U24" s="234">
        <f t="shared" si="3"/>
        <v>-3.0709901237141795</v>
      </c>
      <c r="V24" s="234">
        <f t="shared" si="3"/>
        <v>-3.9999999999999978</v>
      </c>
      <c r="W24" s="234">
        <f t="shared" si="3"/>
        <v>-4.807471900383482</v>
      </c>
      <c r="X24" s="234">
        <f t="shared" si="3"/>
        <v>-5.4688711997719741</v>
      </c>
      <c r="Y24" s="234">
        <f t="shared" si="3"/>
        <v>-5.9641016151377517</v>
      </c>
      <c r="Z24" s="234">
        <f t="shared" si="3"/>
        <v>-6.2781158209086083</v>
      </c>
      <c r="AA24" s="234">
        <f t="shared" si="3"/>
        <v>-6.4013726543410474</v>
      </c>
      <c r="AB24" s="234">
        <f t="shared" si="3"/>
        <v>-6.3301270189221928</v>
      </c>
      <c r="AC24" s="234">
        <f t="shared" si="3"/>
        <v>-6.0665436772322172</v>
      </c>
      <c r="AD24" s="234">
        <f t="shared" si="3"/>
        <v>-5.6186314757287628</v>
      </c>
      <c r="AE24" s="234">
        <f t="shared" si="3"/>
        <v>-5.0000000000000018</v>
      </c>
      <c r="AF24" s="234">
        <f t="shared" si="3"/>
        <v>-4.2294460543933221</v>
      </c>
      <c r="AG24" s="234">
        <f t="shared" si="3"/>
        <v>-3.3303825306268715</v>
      </c>
      <c r="AH24" s="234">
        <f t="shared" si="3"/>
        <v>-2.3301270189221941</v>
      </c>
      <c r="AI24" s="234">
        <f t="shared" si="3"/>
        <v>-1.2590717768487352</v>
      </c>
      <c r="AJ24" s="234">
        <f t="shared" si="3"/>
        <v>-0.14976027595678815</v>
      </c>
      <c r="AK24" s="234">
        <f t="shared" si="3"/>
        <v>0.96410161513774961</v>
      </c>
      <c r="AL24" s="234">
        <f t="shared" si="3"/>
        <v>2.048669766515284</v>
      </c>
      <c r="AM24" s="234">
        <f t="shared" si="3"/>
        <v>3.070990123714179</v>
      </c>
      <c r="AN24" s="234">
        <f t="shared" si="3"/>
        <v>3.9999999999999973</v>
      </c>
      <c r="AO24" s="234">
        <f t="shared" si="3"/>
        <v>4.8074719003834812</v>
      </c>
      <c r="AP24" s="234">
        <f t="shared" si="3"/>
        <v>5.4688711997719741</v>
      </c>
      <c r="AQ24" s="234">
        <f t="shared" si="3"/>
        <v>5.9641016151377544</v>
      </c>
      <c r="AR24" s="234">
        <f t="shared" si="3"/>
        <v>6.2781158209086083</v>
      </c>
      <c r="AS24" s="234">
        <f t="shared" si="3"/>
        <v>6.4013726543410474</v>
      </c>
      <c r="AT24" s="234">
        <f t="shared" si="3"/>
        <v>6.3301270189221928</v>
      </c>
      <c r="AU24" s="234">
        <f t="shared" si="3"/>
        <v>6.0665436772322172</v>
      </c>
      <c r="AV24" s="234">
        <f t="shared" si="3"/>
        <v>5.6186314757287628</v>
      </c>
      <c r="AW24" s="234">
        <f t="shared" si="3"/>
        <v>5.0000000000000027</v>
      </c>
    </row>
    <row r="25" spans="2:54" ht="16" customHeight="1" x14ac:dyDescent="0.45">
      <c r="L25" s="240" t="s">
        <v>450</v>
      </c>
      <c r="M25" s="234">
        <f>M23+M24</f>
        <v>5.0000000000000018</v>
      </c>
      <c r="N25" s="234">
        <f t="shared" ref="N25:AW25" si="4">N23+N24</f>
        <v>2.4929642777240208</v>
      </c>
      <c r="O25" s="234">
        <f t="shared" si="4"/>
        <v>-8.981890262981862E-2</v>
      </c>
      <c r="P25" s="234">
        <f t="shared" si="4"/>
        <v>-2.6698729810778015</v>
      </c>
      <c r="Q25" s="234">
        <f t="shared" si="4"/>
        <v>-5.1688043200166582</v>
      </c>
      <c r="R25" s="234">
        <f t="shared" si="4"/>
        <v>-7.5106841552329913</v>
      </c>
      <c r="S25" s="234">
        <f t="shared" si="4"/>
        <v>-9.6243556529821337</v>
      </c>
      <c r="T25" s="234">
        <f t="shared" si="4"/>
        <v>-11.445595974374372</v>
      </c>
      <c r="U25" s="234">
        <f t="shared" si="4"/>
        <v>-12.919067653836258</v>
      </c>
      <c r="V25" s="234">
        <f t="shared" si="4"/>
        <v>-13.999999999999998</v>
      </c>
      <c r="W25" s="234">
        <f t="shared" si="4"/>
        <v>-14.655549430505562</v>
      </c>
      <c r="X25" s="234">
        <f t="shared" si="4"/>
        <v>-14.86579740763106</v>
      </c>
      <c r="Y25" s="234">
        <f t="shared" si="4"/>
        <v>-14.624355652982143</v>
      </c>
      <c r="Z25" s="234">
        <f t="shared" si="4"/>
        <v>-13.938560252098389</v>
      </c>
      <c r="AA25" s="234">
        <f t="shared" si="4"/>
        <v>-12.829248751206443</v>
      </c>
      <c r="AB25" s="234">
        <f t="shared" si="4"/>
        <v>-11.330127018922189</v>
      </c>
      <c r="AC25" s="234">
        <f t="shared" si="4"/>
        <v>-9.4867451104889042</v>
      </c>
      <c r="AD25" s="234">
        <f t="shared" si="4"/>
        <v>-7.3551132523980662</v>
      </c>
      <c r="AE25" s="234">
        <f t="shared" si="4"/>
        <v>-5.0000000000000044</v>
      </c>
      <c r="AF25" s="234">
        <f t="shared" si="4"/>
        <v>-2.4929642777240231</v>
      </c>
      <c r="AG25" s="234">
        <f t="shared" si="4"/>
        <v>8.9818902629809294E-2</v>
      </c>
      <c r="AH25" s="234">
        <f t="shared" si="4"/>
        <v>2.6698729810778059</v>
      </c>
      <c r="AI25" s="234">
        <f t="shared" si="4"/>
        <v>5.1688043200166565</v>
      </c>
      <c r="AJ25" s="234">
        <f t="shared" si="4"/>
        <v>7.5106841552329904</v>
      </c>
      <c r="AK25" s="234">
        <f t="shared" si="4"/>
        <v>9.6243556529821337</v>
      </c>
      <c r="AL25" s="234">
        <f t="shared" si="4"/>
        <v>11.445595974374365</v>
      </c>
      <c r="AM25" s="234">
        <f t="shared" si="4"/>
        <v>12.919067653836258</v>
      </c>
      <c r="AN25" s="234">
        <f t="shared" si="4"/>
        <v>13.999999999999996</v>
      </c>
      <c r="AO25" s="234">
        <f t="shared" si="4"/>
        <v>14.655549430505562</v>
      </c>
      <c r="AP25" s="234">
        <f t="shared" si="4"/>
        <v>14.86579740763106</v>
      </c>
      <c r="AQ25" s="234">
        <f t="shared" si="4"/>
        <v>14.624355652982135</v>
      </c>
      <c r="AR25" s="234">
        <f t="shared" si="4"/>
        <v>13.938560252098384</v>
      </c>
      <c r="AS25" s="234">
        <f t="shared" si="4"/>
        <v>12.829248751206437</v>
      </c>
      <c r="AT25" s="234">
        <f t="shared" si="4"/>
        <v>11.330127018922191</v>
      </c>
      <c r="AU25" s="234">
        <f t="shared" si="4"/>
        <v>9.4867451104889042</v>
      </c>
      <c r="AV25" s="234">
        <f t="shared" si="4"/>
        <v>7.355113252398068</v>
      </c>
      <c r="AW25" s="234">
        <f t="shared" si="4"/>
        <v>5.0000000000000062</v>
      </c>
    </row>
    <row r="26" spans="2:54" ht="16" customHeight="1" x14ac:dyDescent="0.35"/>
    <row r="44" spans="2:4" x14ac:dyDescent="0.35">
      <c r="B44" s="2" t="s">
        <v>444</v>
      </c>
      <c r="C44" s="2"/>
      <c r="D44" t="s">
        <v>445</v>
      </c>
    </row>
    <row r="45" spans="2:4" x14ac:dyDescent="0.35">
      <c r="B45" s="3" t="s">
        <v>446</v>
      </c>
      <c r="C45" s="3"/>
      <c r="D45" t="s">
        <v>449</v>
      </c>
    </row>
    <row r="46" spans="2:4" x14ac:dyDescent="0.35">
      <c r="B46" t="s">
        <v>447</v>
      </c>
      <c r="D46" t="s">
        <v>448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1CB-F0FB-46C8-A99F-379ED0B1A00D}">
  <dimension ref="B1:BB41"/>
  <sheetViews>
    <sheetView showGridLines="0" zoomScaleNormal="100" workbookViewId="0">
      <selection activeCell="M20" sqref="M20:AW20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4" customWidth="1"/>
    <col min="16" max="16" width="3.6328125" style="234" customWidth="1"/>
    <col min="17" max="21" width="5.6328125" style="234" customWidth="1"/>
  </cols>
  <sheetData>
    <row r="1" spans="2:54" ht="40" customHeight="1" x14ac:dyDescent="0.35"/>
    <row r="2" spans="2:54" ht="23.5" x14ac:dyDescent="0.55000000000000004">
      <c r="B2" s="22" t="s">
        <v>463</v>
      </c>
      <c r="M2" s="233"/>
    </row>
    <row r="3" spans="2:54" ht="12" customHeight="1" x14ac:dyDescent="0.55000000000000004">
      <c r="B3" s="22"/>
      <c r="M3" s="233"/>
    </row>
    <row r="4" spans="2:54" ht="12" customHeight="1" x14ac:dyDescent="0.55000000000000004">
      <c r="B4" s="22"/>
      <c r="M4" s="233"/>
    </row>
    <row r="5" spans="2:54" ht="4.5" customHeight="1" x14ac:dyDescent="0.35"/>
    <row r="6" spans="2:54" ht="4.5" customHeight="1" x14ac:dyDescent="0.35"/>
    <row r="7" spans="2:54" ht="4.5" customHeight="1" x14ac:dyDescent="0.35"/>
    <row r="8" spans="2:54" ht="4.5" customHeight="1" x14ac:dyDescent="0.35"/>
    <row r="9" spans="2:54" x14ac:dyDescent="0.35">
      <c r="B9" s="244" t="s">
        <v>435</v>
      </c>
      <c r="C9" s="246"/>
      <c r="D9" s="246"/>
      <c r="E9" s="246"/>
      <c r="F9" s="246"/>
      <c r="G9" s="246"/>
      <c r="H9" s="246"/>
      <c r="I9" s="246"/>
      <c r="L9" s="244" t="s">
        <v>436</v>
      </c>
      <c r="M9" s="245"/>
      <c r="N9" s="245"/>
      <c r="O9" s="245"/>
      <c r="Q9" s="244" t="s">
        <v>243</v>
      </c>
      <c r="R9" s="245"/>
      <c r="S9" s="245"/>
      <c r="T9" s="245"/>
      <c r="U9" s="245"/>
    </row>
    <row r="10" spans="2:54" x14ac:dyDescent="0.35">
      <c r="B10" s="230" t="s">
        <v>209</v>
      </c>
      <c r="C10" s="229" t="s">
        <v>219</v>
      </c>
      <c r="D10" s="229" t="s">
        <v>99</v>
      </c>
      <c r="E10" s="229" t="s">
        <v>432</v>
      </c>
      <c r="F10" s="229" t="s">
        <v>99</v>
      </c>
      <c r="G10" s="229" t="s">
        <v>432</v>
      </c>
      <c r="H10" s="229" t="s">
        <v>433</v>
      </c>
      <c r="I10" s="229" t="s">
        <v>434</v>
      </c>
      <c r="L10" s="235" t="s">
        <v>440</v>
      </c>
      <c r="M10" s="235" t="s">
        <v>441</v>
      </c>
      <c r="N10" s="235" t="s">
        <v>442</v>
      </c>
      <c r="O10" s="235" t="s">
        <v>443</v>
      </c>
      <c r="P10" s="233"/>
      <c r="Q10" s="239" t="s">
        <v>437</v>
      </c>
      <c r="R10" s="235"/>
      <c r="S10" s="235"/>
      <c r="T10" s="235"/>
      <c r="U10" s="235"/>
    </row>
    <row r="11" spans="2:54" x14ac:dyDescent="0.35">
      <c r="B11" s="231" t="s">
        <v>460</v>
      </c>
      <c r="C11" s="227">
        <v>230</v>
      </c>
      <c r="D11" s="90">
        <v>0</v>
      </c>
      <c r="E11" s="89" t="s">
        <v>214</v>
      </c>
      <c r="F11" s="228">
        <f>D11*PI()/180</f>
        <v>0</v>
      </c>
      <c r="G11" s="89" t="s">
        <v>215</v>
      </c>
      <c r="H11" s="228">
        <f>C11*COS(F11)</f>
        <v>230</v>
      </c>
      <c r="I11" s="228">
        <f>C11*SIN(F11)</f>
        <v>0</v>
      </c>
      <c r="L11" s="236">
        <v>0</v>
      </c>
      <c r="M11" s="236">
        <f>H11</f>
        <v>230</v>
      </c>
      <c r="N11" s="236">
        <v>0</v>
      </c>
      <c r="O11" s="236">
        <f>I11</f>
        <v>0</v>
      </c>
      <c r="P11" s="237"/>
      <c r="Q11" s="238">
        <f>MAX(ABS(O11),ABS(M12),ABS(O12),ABS(M11),ABS(M13),ABS(O13))</f>
        <v>230</v>
      </c>
      <c r="R11" s="236">
        <f>Q12</f>
        <v>253.00000000000003</v>
      </c>
      <c r="S11" s="236">
        <v>0</v>
      </c>
      <c r="T11" s="236">
        <f>-R11</f>
        <v>-253.00000000000003</v>
      </c>
      <c r="U11" s="236">
        <v>0</v>
      </c>
    </row>
    <row r="12" spans="2:54" x14ac:dyDescent="0.35">
      <c r="B12" s="232" t="s">
        <v>461</v>
      </c>
      <c r="C12" s="227">
        <v>230</v>
      </c>
      <c r="D12" s="90">
        <v>120</v>
      </c>
      <c r="E12" s="89" t="str">
        <f t="shared" ref="E11:E12" si="0">E11</f>
        <v>°</v>
      </c>
      <c r="F12" s="228">
        <f>D12*PI()/180</f>
        <v>2.0943951023931953</v>
      </c>
      <c r="G12" s="89" t="s">
        <v>215</v>
      </c>
      <c r="H12" s="228">
        <f>C12*COS(F12)</f>
        <v>-114.99999999999994</v>
      </c>
      <c r="I12" s="228">
        <f>C12*SIN(F12)</f>
        <v>199.18584287042091</v>
      </c>
      <c r="L12" s="236">
        <v>0</v>
      </c>
      <c r="M12" s="236">
        <f>H12</f>
        <v>-114.99999999999994</v>
      </c>
      <c r="N12" s="236">
        <v>0</v>
      </c>
      <c r="O12" s="236">
        <f>I12</f>
        <v>199.18584287042091</v>
      </c>
      <c r="P12" s="237"/>
      <c r="Q12" s="238">
        <f>Q11*1.1</f>
        <v>253.00000000000003</v>
      </c>
      <c r="R12" s="236">
        <v>0</v>
      </c>
      <c r="S12" s="236">
        <f>R11</f>
        <v>253.00000000000003</v>
      </c>
      <c r="T12" s="236">
        <v>0</v>
      </c>
      <c r="U12" s="236">
        <f>T11</f>
        <v>-253.00000000000003</v>
      </c>
    </row>
    <row r="13" spans="2:54" ht="16.5" x14ac:dyDescent="0.45">
      <c r="B13" s="240" t="s">
        <v>462</v>
      </c>
      <c r="C13" s="228">
        <f>SQRT(H13^2+I13^2)</f>
        <v>398.37168574084171</v>
      </c>
      <c r="D13" s="228">
        <f>F13*180/PI()</f>
        <v>149.99999999999997</v>
      </c>
      <c r="E13" s="89" t="str">
        <f>E12</f>
        <v>°</v>
      </c>
      <c r="F13" s="228">
        <f>ATAN2(H13,I13)</f>
        <v>2.617993877991494</v>
      </c>
      <c r="G13" s="89" t="str">
        <f>G12</f>
        <v>rad</v>
      </c>
      <c r="H13" s="228">
        <f>H12-H11</f>
        <v>-344.99999999999994</v>
      </c>
      <c r="I13" s="228">
        <f>I12-I11</f>
        <v>199.18584287042091</v>
      </c>
      <c r="L13" s="236">
        <f>M11</f>
        <v>230</v>
      </c>
      <c r="M13" s="236">
        <f>M12</f>
        <v>-114.99999999999994</v>
      </c>
      <c r="N13" s="236">
        <f>O11</f>
        <v>0</v>
      </c>
      <c r="O13" s="236">
        <f>O12</f>
        <v>199.18584287042091</v>
      </c>
    </row>
    <row r="16" spans="2:54" x14ac:dyDescent="0.35">
      <c r="L16" s="234" t="s">
        <v>220</v>
      </c>
      <c r="M16" s="234">
        <v>0</v>
      </c>
      <c r="N16" s="234">
        <f>M16+10</f>
        <v>10</v>
      </c>
      <c r="O16" s="234">
        <f t="shared" ref="O16:BB16" si="1">N16+10</f>
        <v>20</v>
      </c>
      <c r="P16" s="234">
        <f t="shared" si="1"/>
        <v>30</v>
      </c>
      <c r="Q16" s="234">
        <f t="shared" si="1"/>
        <v>40</v>
      </c>
      <c r="R16" s="234">
        <f t="shared" si="1"/>
        <v>50</v>
      </c>
      <c r="S16" s="234">
        <f t="shared" si="1"/>
        <v>60</v>
      </c>
      <c r="T16" s="234">
        <f t="shared" si="1"/>
        <v>70</v>
      </c>
      <c r="U16" s="234">
        <f t="shared" si="1"/>
        <v>80</v>
      </c>
      <c r="V16" s="234">
        <f t="shared" si="1"/>
        <v>90</v>
      </c>
      <c r="W16" s="234">
        <f t="shared" si="1"/>
        <v>100</v>
      </c>
      <c r="X16" s="234">
        <f t="shared" si="1"/>
        <v>110</v>
      </c>
      <c r="Y16" s="234">
        <f t="shared" si="1"/>
        <v>120</v>
      </c>
      <c r="Z16" s="234">
        <f t="shared" si="1"/>
        <v>130</v>
      </c>
      <c r="AA16" s="234">
        <f t="shared" si="1"/>
        <v>140</v>
      </c>
      <c r="AB16" s="234">
        <f t="shared" si="1"/>
        <v>150</v>
      </c>
      <c r="AC16" s="234">
        <f t="shared" si="1"/>
        <v>160</v>
      </c>
      <c r="AD16" s="234">
        <f t="shared" si="1"/>
        <v>170</v>
      </c>
      <c r="AE16" s="234">
        <f t="shared" si="1"/>
        <v>180</v>
      </c>
      <c r="AF16" s="234">
        <f t="shared" si="1"/>
        <v>190</v>
      </c>
      <c r="AG16" s="234">
        <f t="shared" si="1"/>
        <v>200</v>
      </c>
      <c r="AH16" s="234">
        <f t="shared" si="1"/>
        <v>210</v>
      </c>
      <c r="AI16" s="234">
        <f t="shared" si="1"/>
        <v>220</v>
      </c>
      <c r="AJ16" s="234">
        <f t="shared" si="1"/>
        <v>230</v>
      </c>
      <c r="AK16" s="234">
        <f t="shared" si="1"/>
        <v>240</v>
      </c>
      <c r="AL16" s="234">
        <f t="shared" si="1"/>
        <v>250</v>
      </c>
      <c r="AM16" s="234">
        <f t="shared" si="1"/>
        <v>260</v>
      </c>
      <c r="AN16" s="234">
        <f t="shared" si="1"/>
        <v>270</v>
      </c>
      <c r="AO16" s="234">
        <f t="shared" si="1"/>
        <v>280</v>
      </c>
      <c r="AP16" s="234">
        <f t="shared" si="1"/>
        <v>290</v>
      </c>
      <c r="AQ16" s="234">
        <f t="shared" si="1"/>
        <v>300</v>
      </c>
      <c r="AR16" s="234">
        <f t="shared" si="1"/>
        <v>310</v>
      </c>
      <c r="AS16" s="234">
        <f t="shared" si="1"/>
        <v>320</v>
      </c>
      <c r="AT16" s="234">
        <f t="shared" si="1"/>
        <v>330</v>
      </c>
      <c r="AU16" s="234">
        <f t="shared" si="1"/>
        <v>340</v>
      </c>
      <c r="AV16" s="234">
        <f t="shared" si="1"/>
        <v>350</v>
      </c>
      <c r="AW16" s="234">
        <f t="shared" si="1"/>
        <v>360</v>
      </c>
      <c r="AX16" s="234"/>
      <c r="AY16" s="234"/>
      <c r="AZ16" s="234"/>
      <c r="BA16" s="234"/>
      <c r="BB16" s="234"/>
    </row>
    <row r="17" spans="12:49" x14ac:dyDescent="0.35">
      <c r="L17" s="234" t="s">
        <v>221</v>
      </c>
      <c r="M17" s="234">
        <f>M16*PI()/180</f>
        <v>0</v>
      </c>
      <c r="N17" s="234">
        <f t="shared" ref="N17:AW17" si="2">N16*PI()/180</f>
        <v>0.17453292519943295</v>
      </c>
      <c r="O17" s="234">
        <f t="shared" si="2"/>
        <v>0.3490658503988659</v>
      </c>
      <c r="P17" s="234">
        <f t="shared" si="2"/>
        <v>0.52359877559829882</v>
      </c>
      <c r="Q17" s="234">
        <f t="shared" si="2"/>
        <v>0.69813170079773179</v>
      </c>
      <c r="R17" s="234">
        <f t="shared" si="2"/>
        <v>0.87266462599716477</v>
      </c>
      <c r="S17" s="234">
        <f t="shared" si="2"/>
        <v>1.0471975511965976</v>
      </c>
      <c r="T17" s="234">
        <f t="shared" si="2"/>
        <v>1.2217304763960306</v>
      </c>
      <c r="U17" s="234">
        <f t="shared" si="2"/>
        <v>1.3962634015954636</v>
      </c>
      <c r="V17" s="234">
        <f t="shared" si="2"/>
        <v>1.5707963267948966</v>
      </c>
      <c r="W17" s="234">
        <f t="shared" si="2"/>
        <v>1.7453292519943295</v>
      </c>
      <c r="X17" s="234">
        <f t="shared" si="2"/>
        <v>1.9198621771937625</v>
      </c>
      <c r="Y17" s="234">
        <f t="shared" si="2"/>
        <v>2.0943951023931953</v>
      </c>
      <c r="Z17" s="234">
        <f t="shared" si="2"/>
        <v>2.2689280275926285</v>
      </c>
      <c r="AA17" s="234">
        <f t="shared" si="2"/>
        <v>2.4434609527920612</v>
      </c>
      <c r="AB17" s="234">
        <f t="shared" si="2"/>
        <v>2.6179938779914944</v>
      </c>
      <c r="AC17" s="234">
        <f t="shared" si="2"/>
        <v>2.7925268031909272</v>
      </c>
      <c r="AD17" s="234">
        <f t="shared" si="2"/>
        <v>2.9670597283903604</v>
      </c>
      <c r="AE17" s="234">
        <f t="shared" si="2"/>
        <v>3.1415926535897931</v>
      </c>
      <c r="AF17" s="234">
        <f t="shared" si="2"/>
        <v>3.3161255787892263</v>
      </c>
      <c r="AG17" s="234">
        <f t="shared" si="2"/>
        <v>3.4906585039886591</v>
      </c>
      <c r="AH17" s="234">
        <f t="shared" si="2"/>
        <v>3.6651914291880923</v>
      </c>
      <c r="AI17" s="234">
        <f t="shared" si="2"/>
        <v>3.839724354387525</v>
      </c>
      <c r="AJ17" s="234">
        <f t="shared" si="2"/>
        <v>4.0142572795869578</v>
      </c>
      <c r="AK17" s="234">
        <f t="shared" si="2"/>
        <v>4.1887902047863905</v>
      </c>
      <c r="AL17" s="234">
        <f t="shared" si="2"/>
        <v>4.3633231299858233</v>
      </c>
      <c r="AM17" s="234">
        <f t="shared" si="2"/>
        <v>4.5378560551852569</v>
      </c>
      <c r="AN17" s="234">
        <f t="shared" si="2"/>
        <v>4.7123889803846897</v>
      </c>
      <c r="AO17" s="234">
        <f t="shared" si="2"/>
        <v>4.8869219055841224</v>
      </c>
      <c r="AP17" s="234">
        <f t="shared" si="2"/>
        <v>5.0614548307835552</v>
      </c>
      <c r="AQ17" s="234">
        <f t="shared" si="2"/>
        <v>5.2359877559829888</v>
      </c>
      <c r="AR17" s="234">
        <f t="shared" si="2"/>
        <v>5.4105206811824216</v>
      </c>
      <c r="AS17" s="234">
        <f t="shared" si="2"/>
        <v>5.5850536063818543</v>
      </c>
      <c r="AT17" s="234">
        <f t="shared" si="2"/>
        <v>5.7595865315812871</v>
      </c>
      <c r="AU17" s="234">
        <f t="shared" si="2"/>
        <v>5.9341194567807207</v>
      </c>
      <c r="AV17" s="234">
        <f t="shared" si="2"/>
        <v>6.1086523819801526</v>
      </c>
      <c r="AW17" s="234">
        <f t="shared" si="2"/>
        <v>6.2831853071795862</v>
      </c>
    </row>
    <row r="18" spans="12:49" x14ac:dyDescent="0.35">
      <c r="L18" s="231" t="s">
        <v>465</v>
      </c>
      <c r="M18" s="234">
        <f>$C$11*SIN(M17+$F$11)</f>
        <v>0</v>
      </c>
      <c r="N18" s="234">
        <f t="shared" ref="N18:AW18" si="3">$C$11*SIN(N17+$F$11)</f>
        <v>39.939080863393976</v>
      </c>
      <c r="O18" s="234">
        <f t="shared" si="3"/>
        <v>78.664632964903802</v>
      </c>
      <c r="P18" s="234">
        <f t="shared" si="3"/>
        <v>114.99999999999999</v>
      </c>
      <c r="Q18" s="234">
        <f t="shared" si="3"/>
        <v>147.84115022790402</v>
      </c>
      <c r="R18" s="234">
        <f t="shared" si="3"/>
        <v>176.19022191736494</v>
      </c>
      <c r="S18" s="234">
        <f t="shared" si="3"/>
        <v>199.18584287042088</v>
      </c>
      <c r="T18" s="234">
        <f t="shared" si="3"/>
        <v>216.12930278075891</v>
      </c>
      <c r="U18" s="234">
        <f t="shared" si="3"/>
        <v>226.50578319280785</v>
      </c>
      <c r="V18" s="234">
        <f t="shared" si="3"/>
        <v>230</v>
      </c>
      <c r="W18" s="234">
        <f t="shared" si="3"/>
        <v>226.50578319280785</v>
      </c>
      <c r="X18" s="234">
        <f t="shared" si="3"/>
        <v>216.12930278075893</v>
      </c>
      <c r="Y18" s="234">
        <f t="shared" si="3"/>
        <v>199.18584287042091</v>
      </c>
      <c r="Z18" s="234">
        <f t="shared" si="3"/>
        <v>176.19022191736494</v>
      </c>
      <c r="AA18" s="234">
        <f t="shared" si="3"/>
        <v>147.84115022790408</v>
      </c>
      <c r="AB18" s="234">
        <f t="shared" si="3"/>
        <v>114.99999999999999</v>
      </c>
      <c r="AC18" s="234">
        <f t="shared" si="3"/>
        <v>78.664632964903845</v>
      </c>
      <c r="AD18" s="234">
        <f t="shared" si="3"/>
        <v>39.939080863393961</v>
      </c>
      <c r="AE18" s="234">
        <f t="shared" si="3"/>
        <v>2.817841446289826E-14</v>
      </c>
      <c r="AF18" s="234">
        <f t="shared" si="3"/>
        <v>-39.939080863394011</v>
      </c>
      <c r="AG18" s="234">
        <f t="shared" si="3"/>
        <v>-78.664632964903788</v>
      </c>
      <c r="AH18" s="234">
        <f t="shared" si="3"/>
        <v>-115.00000000000003</v>
      </c>
      <c r="AI18" s="234">
        <f t="shared" si="3"/>
        <v>-147.84115022790402</v>
      </c>
      <c r="AJ18" s="234">
        <f t="shared" si="3"/>
        <v>-176.19022191736491</v>
      </c>
      <c r="AK18" s="234">
        <f t="shared" si="3"/>
        <v>-199.18584287042083</v>
      </c>
      <c r="AL18" s="234">
        <f t="shared" si="3"/>
        <v>-216.12930278075888</v>
      </c>
      <c r="AM18" s="234">
        <f t="shared" si="3"/>
        <v>-226.50578319280785</v>
      </c>
      <c r="AN18" s="234">
        <f t="shared" si="3"/>
        <v>-230</v>
      </c>
      <c r="AO18" s="234">
        <f t="shared" si="3"/>
        <v>-226.50578319280788</v>
      </c>
      <c r="AP18" s="234">
        <f t="shared" si="3"/>
        <v>-216.12930278075896</v>
      </c>
      <c r="AQ18" s="234">
        <f t="shared" si="3"/>
        <v>-199.18584287042088</v>
      </c>
      <c r="AR18" s="234">
        <f t="shared" si="3"/>
        <v>-176.19022191736497</v>
      </c>
      <c r="AS18" s="234">
        <f t="shared" si="3"/>
        <v>-147.84115022790411</v>
      </c>
      <c r="AT18" s="234">
        <f t="shared" si="3"/>
        <v>-115.0000000000001</v>
      </c>
      <c r="AU18" s="234">
        <f t="shared" si="3"/>
        <v>-78.664632964903774</v>
      </c>
      <c r="AV18" s="234">
        <f t="shared" si="3"/>
        <v>-39.939080863394196</v>
      </c>
      <c r="AW18" s="234">
        <f t="shared" si="3"/>
        <v>-5.635682892579652E-14</v>
      </c>
    </row>
    <row r="19" spans="12:49" ht="16" customHeight="1" x14ac:dyDescent="0.35">
      <c r="L19" s="232" t="s">
        <v>466</v>
      </c>
      <c r="M19" s="234">
        <f>$C$12*SIN(M17+$F$12)</f>
        <v>199.18584287042091</v>
      </c>
      <c r="N19" s="234">
        <f t="shared" ref="N19:AW19" si="4">$C$12*SIN(N17+$F$12)</f>
        <v>176.19022191736502</v>
      </c>
      <c r="O19" s="234">
        <f t="shared" si="4"/>
        <v>147.84115022790408</v>
      </c>
      <c r="P19" s="234">
        <f t="shared" si="4"/>
        <v>115.00000000000007</v>
      </c>
      <c r="Q19" s="234">
        <f t="shared" si="4"/>
        <v>78.664632964903845</v>
      </c>
      <c r="R19" s="234">
        <f t="shared" si="4"/>
        <v>39.939080863394061</v>
      </c>
      <c r="S19" s="234">
        <f t="shared" si="4"/>
        <v>2.817841446289826E-14</v>
      </c>
      <c r="T19" s="234">
        <f t="shared" si="4"/>
        <v>-39.939080863393905</v>
      </c>
      <c r="U19" s="234">
        <f t="shared" si="4"/>
        <v>-78.664632964903689</v>
      </c>
      <c r="V19" s="234">
        <f t="shared" si="4"/>
        <v>-114.99999999999994</v>
      </c>
      <c r="W19" s="234">
        <f t="shared" si="4"/>
        <v>-147.84115022790402</v>
      </c>
      <c r="X19" s="234">
        <f t="shared" si="4"/>
        <v>-176.19022191736491</v>
      </c>
      <c r="Y19" s="234">
        <f t="shared" si="4"/>
        <v>-199.18584287042083</v>
      </c>
      <c r="Z19" s="234">
        <f t="shared" si="4"/>
        <v>-216.12930278075893</v>
      </c>
      <c r="AA19" s="234">
        <f t="shared" si="4"/>
        <v>-226.50578319280785</v>
      </c>
      <c r="AB19" s="234">
        <f t="shared" si="4"/>
        <v>-230</v>
      </c>
      <c r="AC19" s="234">
        <f t="shared" si="4"/>
        <v>-226.50578319280788</v>
      </c>
      <c r="AD19" s="234">
        <f t="shared" si="4"/>
        <v>-216.12930278075896</v>
      </c>
      <c r="AE19" s="234">
        <f t="shared" si="4"/>
        <v>-199.18584287042097</v>
      </c>
      <c r="AF19" s="234">
        <f t="shared" si="4"/>
        <v>-176.19022191736497</v>
      </c>
      <c r="AG19" s="234">
        <f t="shared" si="4"/>
        <v>-147.84115022790411</v>
      </c>
      <c r="AH19" s="234">
        <f t="shared" si="4"/>
        <v>-114.99999999999993</v>
      </c>
      <c r="AI19" s="234">
        <f t="shared" si="4"/>
        <v>-78.664632964903774</v>
      </c>
      <c r="AJ19" s="234">
        <f t="shared" si="4"/>
        <v>-39.93908086339399</v>
      </c>
      <c r="AK19" s="234">
        <f t="shared" si="4"/>
        <v>-5.635682892579652E-14</v>
      </c>
      <c r="AL19" s="234">
        <f t="shared" si="4"/>
        <v>39.939080863393883</v>
      </c>
      <c r="AM19" s="234">
        <f t="shared" si="4"/>
        <v>78.66463296490366</v>
      </c>
      <c r="AN19" s="234">
        <f t="shared" si="4"/>
        <v>114.99999999999983</v>
      </c>
      <c r="AO19" s="234">
        <f t="shared" si="4"/>
        <v>147.84115022790385</v>
      </c>
      <c r="AP19" s="234">
        <f t="shared" si="4"/>
        <v>176.19022191736477</v>
      </c>
      <c r="AQ19" s="234">
        <f t="shared" si="4"/>
        <v>199.18584287042094</v>
      </c>
      <c r="AR19" s="234">
        <f t="shared" si="4"/>
        <v>216.12930278075893</v>
      </c>
      <c r="AS19" s="234">
        <f t="shared" si="4"/>
        <v>226.50578319280785</v>
      </c>
      <c r="AT19" s="234">
        <f t="shared" si="4"/>
        <v>230</v>
      </c>
      <c r="AU19" s="234">
        <f t="shared" si="4"/>
        <v>226.50578319280788</v>
      </c>
      <c r="AV19" s="234">
        <f t="shared" si="4"/>
        <v>216.12930278075899</v>
      </c>
      <c r="AW19" s="234">
        <f t="shared" si="4"/>
        <v>199.185842870421</v>
      </c>
    </row>
    <row r="20" spans="12:49" ht="16" customHeight="1" x14ac:dyDescent="0.45">
      <c r="L20" s="240" t="s">
        <v>467</v>
      </c>
      <c r="M20" s="234">
        <f>M18-M19</f>
        <v>-199.18584287042091</v>
      </c>
      <c r="N20" s="234">
        <f t="shared" ref="N20:AW20" si="5">N18-N19</f>
        <v>-136.25114105397105</v>
      </c>
      <c r="O20" s="234">
        <f t="shared" si="5"/>
        <v>-69.176517263000278</v>
      </c>
      <c r="P20" s="234">
        <f t="shared" si="5"/>
        <v>0</v>
      </c>
      <c r="Q20" s="234">
        <f t="shared" si="5"/>
        <v>69.176517263000179</v>
      </c>
      <c r="R20" s="234">
        <f t="shared" si="5"/>
        <v>136.25114105397088</v>
      </c>
      <c r="S20" s="234">
        <f t="shared" si="5"/>
        <v>199.18584287042086</v>
      </c>
      <c r="T20" s="234">
        <f t="shared" si="5"/>
        <v>256.06838364415279</v>
      </c>
      <c r="U20" s="234">
        <f t="shared" si="5"/>
        <v>305.17041615771154</v>
      </c>
      <c r="V20" s="234">
        <f t="shared" si="5"/>
        <v>344.99999999999994</v>
      </c>
      <c r="W20" s="234">
        <f t="shared" si="5"/>
        <v>374.34693342071188</v>
      </c>
      <c r="X20" s="234">
        <f t="shared" si="5"/>
        <v>392.31952469812381</v>
      </c>
      <c r="Y20" s="234">
        <f t="shared" si="5"/>
        <v>398.37168574084171</v>
      </c>
      <c r="Z20" s="234">
        <f t="shared" si="5"/>
        <v>392.31952469812387</v>
      </c>
      <c r="AA20" s="234">
        <f t="shared" si="5"/>
        <v>374.34693342071193</v>
      </c>
      <c r="AB20" s="234">
        <f t="shared" si="5"/>
        <v>345</v>
      </c>
      <c r="AC20" s="234">
        <f t="shared" si="5"/>
        <v>305.17041615771171</v>
      </c>
      <c r="AD20" s="234">
        <f t="shared" si="5"/>
        <v>256.0683836441529</v>
      </c>
      <c r="AE20" s="234">
        <f t="shared" si="5"/>
        <v>199.185842870421</v>
      </c>
      <c r="AF20" s="234">
        <f t="shared" si="5"/>
        <v>136.25114105397097</v>
      </c>
      <c r="AG20" s="234">
        <f t="shared" si="5"/>
        <v>69.176517263000321</v>
      </c>
      <c r="AH20" s="234">
        <f t="shared" si="5"/>
        <v>0</v>
      </c>
      <c r="AI20" s="234">
        <f t="shared" si="5"/>
        <v>-69.17651726300025</v>
      </c>
      <c r="AJ20" s="234">
        <f t="shared" si="5"/>
        <v>-136.25114105397091</v>
      </c>
      <c r="AK20" s="234">
        <f t="shared" si="5"/>
        <v>-199.18584287042077</v>
      </c>
      <c r="AL20" s="234">
        <f t="shared" si="5"/>
        <v>-256.06838364415273</v>
      </c>
      <c r="AM20" s="234">
        <f t="shared" si="5"/>
        <v>-305.17041615771154</v>
      </c>
      <c r="AN20" s="234">
        <f t="shared" si="5"/>
        <v>-344.99999999999983</v>
      </c>
      <c r="AO20" s="234">
        <f t="shared" si="5"/>
        <v>-374.34693342071171</v>
      </c>
      <c r="AP20" s="234">
        <f t="shared" si="5"/>
        <v>-392.3195246981237</v>
      </c>
      <c r="AQ20" s="234">
        <f t="shared" si="5"/>
        <v>-398.37168574084183</v>
      </c>
      <c r="AR20" s="234">
        <f t="shared" si="5"/>
        <v>-392.31952469812393</v>
      </c>
      <c r="AS20" s="234">
        <f t="shared" si="5"/>
        <v>-374.34693342071193</v>
      </c>
      <c r="AT20" s="234">
        <f t="shared" si="5"/>
        <v>-345.00000000000011</v>
      </c>
      <c r="AU20" s="234">
        <f t="shared" si="5"/>
        <v>-305.17041615771166</v>
      </c>
      <c r="AV20" s="234">
        <f t="shared" si="5"/>
        <v>-256.06838364415319</v>
      </c>
      <c r="AW20" s="234">
        <f t="shared" si="5"/>
        <v>-199.18584287042106</v>
      </c>
    </row>
    <row r="21" spans="12:49" ht="16" customHeight="1" x14ac:dyDescent="0.35"/>
    <row r="39" spans="2:4" x14ac:dyDescent="0.35">
      <c r="B39" s="2" t="s">
        <v>444</v>
      </c>
      <c r="C39" s="2"/>
      <c r="D39" t="s">
        <v>445</v>
      </c>
    </row>
    <row r="40" spans="2:4" x14ac:dyDescent="0.35">
      <c r="B40" s="3" t="s">
        <v>446</v>
      </c>
      <c r="C40" s="3"/>
      <c r="D40" t="s">
        <v>449</v>
      </c>
    </row>
    <row r="41" spans="2:4" x14ac:dyDescent="0.35">
      <c r="B41" t="s">
        <v>447</v>
      </c>
      <c r="D41" t="s">
        <v>448</v>
      </c>
    </row>
  </sheetData>
  <mergeCells count="3">
    <mergeCell ref="B9:I9"/>
    <mergeCell ref="L9:O9"/>
    <mergeCell ref="Q9:U9"/>
  </mergeCell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203</v>
      </c>
      <c r="J2" s="107">
        <f ca="1">NOW()</f>
        <v>45870.844568518522</v>
      </c>
    </row>
    <row r="3" spans="1:11" ht="26" x14ac:dyDescent="0.6">
      <c r="C3" s="44"/>
      <c r="D3" s="44"/>
      <c r="I3" s="41"/>
      <c r="J3" s="107"/>
    </row>
    <row r="4" spans="1:11" ht="28.5" customHeight="1" x14ac:dyDescent="0.35">
      <c r="A4" s="108" t="s">
        <v>204</v>
      </c>
      <c r="B4" s="108" t="s">
        <v>198</v>
      </c>
      <c r="C4" s="108" t="str">
        <f ca="1">_xlfn.CONCAT("Geburtstag im ",YEAR(J2))</f>
        <v>Geburtstag im 2025</v>
      </c>
      <c r="D4" s="108" t="s">
        <v>207</v>
      </c>
      <c r="E4" s="114" t="s">
        <v>205</v>
      </c>
      <c r="F4" s="114" t="s">
        <v>206</v>
      </c>
      <c r="G4" s="108" t="s">
        <v>198</v>
      </c>
      <c r="H4" s="108" t="s">
        <v>199</v>
      </c>
      <c r="I4" s="108" t="s">
        <v>200</v>
      </c>
      <c r="J4" s="108" t="s">
        <v>201</v>
      </c>
      <c r="K4" s="108" t="s">
        <v>202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09" t="str">
        <f t="shared" ref="B5:B34" si="1">_xlfn.CONCAT(TEXT(DAY(G5),"00"),".",TEXT(G5,"MMMM"))</f>
        <v>01.Januar</v>
      </c>
      <c r="C5" s="113">
        <f t="shared" ref="C5:C34" ca="1" si="2">DATE(YEAR($J$2),MONTH(G5),DAY(G5))</f>
        <v>45658</v>
      </c>
      <c r="D5" s="113">
        <f t="shared" ref="D5:D34" ca="1" si="3">IF(C5&lt;$J$2,DATE(YEAR($J$2)+1,MONTH(G5),DAY(G5)),DATE(YEAR($J$2),MONTH(G5),DAY(G5)))</f>
        <v>46023</v>
      </c>
      <c r="E5" s="110">
        <f t="shared" ref="E5:E34" ca="1" si="4">YEAR($J$2) - YEAR(G5) - IF(C5&gt;$J$2,1,0)</f>
        <v>62</v>
      </c>
      <c r="F5" s="111">
        <f t="shared" ref="F5:F34" ca="1" si="5">YEAR($J$2) - YEAR(G5)</f>
        <v>62</v>
      </c>
      <c r="G5" s="112">
        <v>23012</v>
      </c>
      <c r="H5" s="5" t="s">
        <v>139</v>
      </c>
      <c r="I5" s="5" t="s">
        <v>140</v>
      </c>
      <c r="J5" s="5" t="s">
        <v>179</v>
      </c>
      <c r="K5" s="92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09" t="str">
        <f t="shared" si="1"/>
        <v>02.Januar</v>
      </c>
      <c r="C6" s="113">
        <f t="shared" ca="1" si="2"/>
        <v>45659</v>
      </c>
      <c r="D6" s="113">
        <f t="shared" ca="1" si="3"/>
        <v>46024</v>
      </c>
      <c r="E6" s="110">
        <f t="shared" ca="1" si="4"/>
        <v>38</v>
      </c>
      <c r="F6" s="111">
        <f t="shared" ca="1" si="5"/>
        <v>38</v>
      </c>
      <c r="G6" s="112" t="s">
        <v>144</v>
      </c>
      <c r="H6" s="5" t="s">
        <v>141</v>
      </c>
      <c r="I6" s="5" t="s">
        <v>145</v>
      </c>
      <c r="J6" s="5" t="s">
        <v>146</v>
      </c>
      <c r="K6" s="92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09" t="str">
        <f t="shared" si="1"/>
        <v>02.Januar</v>
      </c>
      <c r="C7" s="113">
        <f t="shared" ca="1" si="2"/>
        <v>45659</v>
      </c>
      <c r="D7" s="113">
        <f t="shared" ca="1" si="3"/>
        <v>46024</v>
      </c>
      <c r="E7" s="110">
        <f t="shared" ca="1" si="4"/>
        <v>33</v>
      </c>
      <c r="F7" s="111">
        <f t="shared" ca="1" si="5"/>
        <v>33</v>
      </c>
      <c r="G7" s="112" t="s">
        <v>149</v>
      </c>
      <c r="H7" s="5" t="s">
        <v>141</v>
      </c>
      <c r="I7" s="5" t="s">
        <v>150</v>
      </c>
      <c r="J7" s="5" t="s">
        <v>143</v>
      </c>
      <c r="K7" s="92" t="str">
        <f t="shared" ca="1" si="6"/>
        <v>Schon Geburtstag gehabt</v>
      </c>
    </row>
    <row r="8" spans="1:11" x14ac:dyDescent="0.35">
      <c r="A8" s="5" t="str">
        <f t="shared" si="0"/>
        <v>01_06</v>
      </c>
      <c r="B8" s="109" t="str">
        <f t="shared" si="1"/>
        <v>06.Januar</v>
      </c>
      <c r="C8" s="113">
        <f t="shared" ca="1" si="2"/>
        <v>45663</v>
      </c>
      <c r="D8" s="113">
        <f t="shared" ca="1" si="3"/>
        <v>46028</v>
      </c>
      <c r="E8" s="110">
        <f t="shared" ca="1" si="4"/>
        <v>37</v>
      </c>
      <c r="F8" s="111">
        <f t="shared" ca="1" si="5"/>
        <v>37</v>
      </c>
      <c r="G8" s="112" t="s">
        <v>151</v>
      </c>
      <c r="H8" s="5" t="s">
        <v>141</v>
      </c>
      <c r="I8" s="5" t="s">
        <v>152</v>
      </c>
      <c r="J8" s="5" t="s">
        <v>184</v>
      </c>
      <c r="K8" s="92" t="str">
        <f t="shared" ca="1" si="6"/>
        <v>Schon Geburtstag gehabt</v>
      </c>
    </row>
    <row r="9" spans="1:11" x14ac:dyDescent="0.35">
      <c r="A9" s="5" t="str">
        <f t="shared" si="0"/>
        <v>01_07</v>
      </c>
      <c r="B9" s="109" t="str">
        <f t="shared" si="1"/>
        <v>07.Januar</v>
      </c>
      <c r="C9" s="113">
        <f t="shared" ca="1" si="2"/>
        <v>45664</v>
      </c>
      <c r="D9" s="113">
        <f t="shared" ca="1" si="3"/>
        <v>46029</v>
      </c>
      <c r="E9" s="110">
        <f t="shared" ca="1" si="4"/>
        <v>49</v>
      </c>
      <c r="F9" s="111">
        <f t="shared" ca="1" si="5"/>
        <v>49</v>
      </c>
      <c r="G9" s="112" t="s">
        <v>154</v>
      </c>
      <c r="H9" s="5" t="s">
        <v>139</v>
      </c>
      <c r="I9" s="5" t="s">
        <v>155</v>
      </c>
      <c r="J9" s="5" t="s">
        <v>153</v>
      </c>
      <c r="K9" s="92" t="str">
        <f t="shared" ca="1" si="6"/>
        <v>Schon Geburtstag gehabt</v>
      </c>
    </row>
    <row r="10" spans="1:11" x14ac:dyDescent="0.35">
      <c r="A10" s="5" t="str">
        <f t="shared" si="0"/>
        <v>01_09</v>
      </c>
      <c r="B10" s="109" t="str">
        <f t="shared" si="1"/>
        <v>09.Januar</v>
      </c>
      <c r="C10" s="113">
        <f t="shared" ca="1" si="2"/>
        <v>45666</v>
      </c>
      <c r="D10" s="113">
        <f t="shared" ca="1" si="3"/>
        <v>46031</v>
      </c>
      <c r="E10" s="110">
        <f t="shared" ca="1" si="4"/>
        <v>60</v>
      </c>
      <c r="F10" s="111">
        <f t="shared" ca="1" si="5"/>
        <v>60</v>
      </c>
      <c r="G10" s="112" t="s">
        <v>156</v>
      </c>
      <c r="H10" s="5" t="s">
        <v>139</v>
      </c>
      <c r="I10" s="5" t="s">
        <v>157</v>
      </c>
      <c r="J10" s="5" t="s">
        <v>185</v>
      </c>
      <c r="K10" s="92" t="str">
        <f t="shared" ca="1" si="6"/>
        <v>Schon Geburtstag gehabt</v>
      </c>
    </row>
    <row r="11" spans="1:11" x14ac:dyDescent="0.35">
      <c r="A11" s="5" t="str">
        <f t="shared" si="0"/>
        <v>01_09</v>
      </c>
      <c r="B11" s="109" t="str">
        <f t="shared" si="1"/>
        <v>09.Januar</v>
      </c>
      <c r="C11" s="113">
        <f t="shared" ca="1" si="2"/>
        <v>45666</v>
      </c>
      <c r="D11" s="113">
        <f t="shared" ca="1" si="3"/>
        <v>46031</v>
      </c>
      <c r="E11" s="110">
        <f t="shared" ca="1" si="4"/>
        <v>67</v>
      </c>
      <c r="F11" s="111">
        <f t="shared" ca="1" si="5"/>
        <v>67</v>
      </c>
      <c r="G11" s="112" t="s">
        <v>159</v>
      </c>
      <c r="H11" s="5" t="s">
        <v>141</v>
      </c>
      <c r="I11" s="5" t="s">
        <v>160</v>
      </c>
      <c r="J11" s="5" t="s">
        <v>153</v>
      </c>
      <c r="K11" s="92" t="str">
        <f t="shared" ca="1" si="6"/>
        <v>Schon Geburtstag gehabt</v>
      </c>
    </row>
    <row r="12" spans="1:11" x14ac:dyDescent="0.35">
      <c r="A12" s="5" t="str">
        <f t="shared" si="0"/>
        <v>01_10</v>
      </c>
      <c r="B12" s="109" t="str">
        <f t="shared" si="1"/>
        <v>10.Januar</v>
      </c>
      <c r="C12" s="113">
        <f t="shared" ca="1" si="2"/>
        <v>45667</v>
      </c>
      <c r="D12" s="113">
        <f t="shared" ca="1" si="3"/>
        <v>46032</v>
      </c>
      <c r="E12" s="110">
        <f t="shared" ca="1" si="4"/>
        <v>28</v>
      </c>
      <c r="F12" s="111">
        <f t="shared" ca="1" si="5"/>
        <v>28</v>
      </c>
      <c r="G12" s="112" t="s">
        <v>161</v>
      </c>
      <c r="H12" s="5" t="s">
        <v>141</v>
      </c>
      <c r="I12" s="5" t="s">
        <v>152</v>
      </c>
      <c r="J12" s="5" t="s">
        <v>187</v>
      </c>
      <c r="K12" s="92" t="str">
        <f t="shared" ca="1" si="6"/>
        <v>Schon Geburtstag gehabt</v>
      </c>
    </row>
    <row r="13" spans="1:11" x14ac:dyDescent="0.35">
      <c r="A13" s="5" t="str">
        <f t="shared" si="0"/>
        <v>01_11</v>
      </c>
      <c r="B13" s="109" t="str">
        <f t="shared" si="1"/>
        <v>11.Januar</v>
      </c>
      <c r="C13" s="113">
        <f t="shared" ca="1" si="2"/>
        <v>45668</v>
      </c>
      <c r="D13" s="113">
        <f t="shared" ca="1" si="3"/>
        <v>46033</v>
      </c>
      <c r="E13" s="110">
        <f t="shared" ca="1" si="4"/>
        <v>61</v>
      </c>
      <c r="F13" s="111">
        <f t="shared" ca="1" si="5"/>
        <v>61</v>
      </c>
      <c r="G13" s="112" t="s">
        <v>165</v>
      </c>
      <c r="H13" s="5" t="s">
        <v>139</v>
      </c>
      <c r="I13" s="5" t="s">
        <v>166</v>
      </c>
      <c r="J13" s="5" t="s">
        <v>190</v>
      </c>
      <c r="K13" s="92" t="str">
        <f t="shared" ca="1" si="6"/>
        <v>Schon Geburtstag gehabt</v>
      </c>
    </row>
    <row r="14" spans="1:11" x14ac:dyDescent="0.35">
      <c r="A14" s="5" t="str">
        <f t="shared" si="0"/>
        <v>01_11</v>
      </c>
      <c r="B14" s="109" t="str">
        <f t="shared" si="1"/>
        <v>11.Januar</v>
      </c>
      <c r="C14" s="113">
        <f t="shared" ca="1" si="2"/>
        <v>45668</v>
      </c>
      <c r="D14" s="113">
        <f t="shared" ca="1" si="3"/>
        <v>46033</v>
      </c>
      <c r="E14" s="110">
        <f t="shared" ca="1" si="4"/>
        <v>42</v>
      </c>
      <c r="F14" s="111">
        <f t="shared" ca="1" si="5"/>
        <v>42</v>
      </c>
      <c r="G14" s="112" t="s">
        <v>168</v>
      </c>
      <c r="H14" s="5" t="s">
        <v>141</v>
      </c>
      <c r="I14" s="5" t="s">
        <v>169</v>
      </c>
      <c r="J14" s="5" t="s">
        <v>192</v>
      </c>
      <c r="K14" s="92" t="str">
        <f t="shared" ca="1" si="6"/>
        <v>Schon Geburtstag gehabt</v>
      </c>
    </row>
    <row r="15" spans="1:11" x14ac:dyDescent="0.35">
      <c r="A15" s="5" t="str">
        <f t="shared" si="0"/>
        <v>01_14</v>
      </c>
      <c r="B15" s="109" t="str">
        <f t="shared" si="1"/>
        <v>14.Januar</v>
      </c>
      <c r="C15" s="113">
        <f t="shared" ca="1" si="2"/>
        <v>45671</v>
      </c>
      <c r="D15" s="113">
        <f t="shared" ca="1" si="3"/>
        <v>46036</v>
      </c>
      <c r="E15" s="110">
        <f t="shared" ca="1" si="4"/>
        <v>65</v>
      </c>
      <c r="F15" s="111">
        <f t="shared" ca="1" si="5"/>
        <v>65</v>
      </c>
      <c r="G15" s="112" t="s">
        <v>174</v>
      </c>
      <c r="H15" s="5" t="s">
        <v>141</v>
      </c>
      <c r="I15" s="5" t="s">
        <v>175</v>
      </c>
      <c r="J15" s="5" t="s">
        <v>195</v>
      </c>
      <c r="K15" s="92" t="str">
        <f t="shared" ca="1" si="6"/>
        <v>Schon Geburtstag gehabt</v>
      </c>
    </row>
    <row r="16" spans="1:11" x14ac:dyDescent="0.35">
      <c r="A16" s="5" t="str">
        <f t="shared" si="0"/>
        <v>01_15</v>
      </c>
      <c r="B16" s="109" t="str">
        <f t="shared" si="1"/>
        <v>15.Januar</v>
      </c>
      <c r="C16" s="113">
        <f t="shared" ca="1" si="2"/>
        <v>45672</v>
      </c>
      <c r="D16" s="113">
        <f t="shared" ca="1" si="3"/>
        <v>46037</v>
      </c>
      <c r="E16" s="110">
        <f t="shared" ca="1" si="4"/>
        <v>45</v>
      </c>
      <c r="F16" s="111">
        <f t="shared" ca="1" si="5"/>
        <v>45</v>
      </c>
      <c r="G16" s="112" t="s">
        <v>177</v>
      </c>
      <c r="H16" s="5" t="s">
        <v>141</v>
      </c>
      <c r="I16" s="5" t="s">
        <v>178</v>
      </c>
      <c r="J16" s="5" t="s">
        <v>153</v>
      </c>
      <c r="K16" s="92" t="str">
        <f t="shared" ca="1" si="6"/>
        <v>Schon Geburtstag gehabt</v>
      </c>
    </row>
    <row r="17" spans="1:11" x14ac:dyDescent="0.35">
      <c r="A17" s="5" t="str">
        <f t="shared" si="0"/>
        <v>02_09</v>
      </c>
      <c r="B17" s="109" t="str">
        <f t="shared" si="1"/>
        <v>09.Februar</v>
      </c>
      <c r="C17" s="113">
        <f t="shared" ca="1" si="2"/>
        <v>45697</v>
      </c>
      <c r="D17" s="113">
        <f t="shared" ca="1" si="3"/>
        <v>46062</v>
      </c>
      <c r="E17" s="110">
        <f t="shared" ca="1" si="4"/>
        <v>80</v>
      </c>
      <c r="F17" s="111">
        <f t="shared" ca="1" si="5"/>
        <v>80</v>
      </c>
      <c r="G17" s="112">
        <v>16477</v>
      </c>
      <c r="H17" s="5" t="s">
        <v>139</v>
      </c>
      <c r="I17" s="5" t="s">
        <v>158</v>
      </c>
      <c r="J17" s="5" t="s">
        <v>186</v>
      </c>
      <c r="K17" s="92" t="str">
        <f t="shared" ca="1" si="6"/>
        <v>Schon Geburtstag gehabt</v>
      </c>
    </row>
    <row r="18" spans="1:11" x14ac:dyDescent="0.35">
      <c r="A18" s="5" t="str">
        <f t="shared" si="0"/>
        <v>02_14</v>
      </c>
      <c r="B18" s="109" t="str">
        <f t="shared" si="1"/>
        <v>14.Februar</v>
      </c>
      <c r="C18" s="113">
        <f t="shared" ca="1" si="2"/>
        <v>45702</v>
      </c>
      <c r="D18" s="113">
        <f t="shared" ca="1" si="3"/>
        <v>46067</v>
      </c>
      <c r="E18" s="110">
        <f t="shared" ca="1" si="4"/>
        <v>52</v>
      </c>
      <c r="F18" s="111">
        <f t="shared" ca="1" si="5"/>
        <v>52</v>
      </c>
      <c r="G18" s="112">
        <v>26709</v>
      </c>
      <c r="H18" s="5" t="s">
        <v>141</v>
      </c>
      <c r="I18" s="5" t="s">
        <v>173</v>
      </c>
      <c r="J18" s="5" t="s">
        <v>194</v>
      </c>
      <c r="K18" s="92" t="str">
        <f t="shared" ca="1" si="6"/>
        <v>Schon Geburtstag gehabt</v>
      </c>
    </row>
    <row r="19" spans="1:11" x14ac:dyDescent="0.35">
      <c r="A19" s="5" t="str">
        <f t="shared" si="0"/>
        <v>03_02</v>
      </c>
      <c r="B19" s="109" t="str">
        <f t="shared" si="1"/>
        <v>02.März</v>
      </c>
      <c r="C19" s="113">
        <f t="shared" ca="1" si="2"/>
        <v>45718</v>
      </c>
      <c r="D19" s="113">
        <f t="shared" ca="1" si="3"/>
        <v>46083</v>
      </c>
      <c r="E19" s="110">
        <f t="shared" ca="1" si="4"/>
        <v>66</v>
      </c>
      <c r="F19" s="111">
        <f t="shared" ca="1" si="5"/>
        <v>66</v>
      </c>
      <c r="G19" s="112">
        <v>21611</v>
      </c>
      <c r="H19" s="5" t="s">
        <v>141</v>
      </c>
      <c r="I19" s="5" t="s">
        <v>147</v>
      </c>
      <c r="J19" s="5" t="s">
        <v>143</v>
      </c>
      <c r="K19" s="92" t="str">
        <f t="shared" ca="1" si="6"/>
        <v>Schon Geburtstag gehabt</v>
      </c>
    </row>
    <row r="20" spans="1:11" x14ac:dyDescent="0.35">
      <c r="A20" s="5" t="str">
        <f t="shared" si="0"/>
        <v>03_02</v>
      </c>
      <c r="B20" s="109" t="str">
        <f t="shared" si="1"/>
        <v>02.März</v>
      </c>
      <c r="C20" s="113">
        <f t="shared" ca="1" si="2"/>
        <v>45718</v>
      </c>
      <c r="D20" s="113">
        <f t="shared" ca="1" si="3"/>
        <v>46083</v>
      </c>
      <c r="E20" s="110">
        <f t="shared" ca="1" si="4"/>
        <v>31</v>
      </c>
      <c r="F20" s="111">
        <f t="shared" ca="1" si="5"/>
        <v>31</v>
      </c>
      <c r="G20" s="112">
        <v>34395</v>
      </c>
      <c r="H20" s="5" t="s">
        <v>139</v>
      </c>
      <c r="I20" s="5" t="s">
        <v>148</v>
      </c>
      <c r="J20" s="5" t="s">
        <v>143</v>
      </c>
      <c r="K20" s="92" t="str">
        <f t="shared" ca="1" si="6"/>
        <v>Schon Geburtstag gehabt</v>
      </c>
    </row>
    <row r="21" spans="1:11" x14ac:dyDescent="0.35">
      <c r="A21" s="5" t="str">
        <f t="shared" si="0"/>
        <v>04_10</v>
      </c>
      <c r="B21" s="109" t="str">
        <f t="shared" si="1"/>
        <v>10.April</v>
      </c>
      <c r="C21" s="113">
        <f t="shared" ca="1" si="2"/>
        <v>45757</v>
      </c>
      <c r="D21" s="113">
        <f t="shared" ca="1" si="3"/>
        <v>46122</v>
      </c>
      <c r="E21" s="110">
        <f t="shared" ca="1" si="4"/>
        <v>25</v>
      </c>
      <c r="F21" s="111">
        <f t="shared" ca="1" si="5"/>
        <v>25</v>
      </c>
      <c r="G21" s="112">
        <v>36626</v>
      </c>
      <c r="H21" s="5" t="s">
        <v>141</v>
      </c>
      <c r="I21" s="5" t="s">
        <v>142</v>
      </c>
      <c r="J21" s="5" t="s">
        <v>183</v>
      </c>
      <c r="K21" s="92" t="str">
        <f t="shared" ca="1" si="6"/>
        <v>Schon Geburtstag gehabt</v>
      </c>
    </row>
    <row r="22" spans="1:11" x14ac:dyDescent="0.35">
      <c r="A22" s="5" t="str">
        <f t="shared" si="0"/>
        <v>07_12</v>
      </c>
      <c r="B22" s="109" t="str">
        <f t="shared" si="1"/>
        <v>12.Juli</v>
      </c>
      <c r="C22" s="113">
        <f t="shared" ca="1" si="2"/>
        <v>45850</v>
      </c>
      <c r="D22" s="113">
        <f t="shared" ca="1" si="3"/>
        <v>46215</v>
      </c>
      <c r="E22" s="110">
        <f t="shared" ca="1" si="4"/>
        <v>51</v>
      </c>
      <c r="F22" s="111">
        <f t="shared" ca="1" si="5"/>
        <v>51</v>
      </c>
      <c r="G22" s="112">
        <v>27222</v>
      </c>
      <c r="H22" s="5" t="s">
        <v>141</v>
      </c>
      <c r="I22" s="5" t="s">
        <v>152</v>
      </c>
      <c r="J22" s="5" t="s">
        <v>193</v>
      </c>
      <c r="K22" s="92" t="str">
        <f t="shared" ca="1" si="6"/>
        <v>Schon Geburtstag gehabt</v>
      </c>
    </row>
    <row r="23" spans="1:11" x14ac:dyDescent="0.35">
      <c r="A23" s="5" t="str">
        <f t="shared" si="0"/>
        <v>08_05</v>
      </c>
      <c r="B23" s="109" t="str">
        <f t="shared" si="1"/>
        <v>05.August</v>
      </c>
      <c r="C23" s="113">
        <f t="shared" ca="1" si="2"/>
        <v>45874</v>
      </c>
      <c r="D23" s="113">
        <f t="shared" ca="1" si="3"/>
        <v>45874</v>
      </c>
      <c r="E23" s="110">
        <f t="shared" ca="1" si="4"/>
        <v>64</v>
      </c>
      <c r="F23" s="111">
        <f t="shared" ca="1" si="5"/>
        <v>65</v>
      </c>
      <c r="G23" s="112">
        <v>22133</v>
      </c>
      <c r="H23" s="5" t="s">
        <v>139</v>
      </c>
      <c r="I23" s="5" t="s">
        <v>167</v>
      </c>
      <c r="J23" s="5" t="s">
        <v>191</v>
      </c>
      <c r="K23" s="92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09" t="str">
        <f t="shared" si="1"/>
        <v>12.August</v>
      </c>
      <c r="C24" s="113">
        <f t="shared" ca="1" si="2"/>
        <v>45881</v>
      </c>
      <c r="D24" s="113">
        <f t="shared" ca="1" si="3"/>
        <v>45881</v>
      </c>
      <c r="E24" s="110">
        <f t="shared" ca="1" si="4"/>
        <v>55</v>
      </c>
      <c r="F24" s="111">
        <f t="shared" ca="1" si="5"/>
        <v>56</v>
      </c>
      <c r="G24" s="112">
        <v>25427</v>
      </c>
      <c r="H24" s="5" t="s">
        <v>141</v>
      </c>
      <c r="I24" s="5" t="s">
        <v>171</v>
      </c>
      <c r="J24" s="5" t="s">
        <v>146</v>
      </c>
      <c r="K24" s="92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09" t="str">
        <f t="shared" si="1"/>
        <v>13.August</v>
      </c>
      <c r="C25" s="113">
        <f t="shared" ca="1" si="2"/>
        <v>45882</v>
      </c>
      <c r="D25" s="113">
        <f t="shared" ca="1" si="3"/>
        <v>45882</v>
      </c>
      <c r="E25" s="110">
        <f t="shared" ca="1" si="4"/>
        <v>82</v>
      </c>
      <c r="F25" s="111">
        <f t="shared" ca="1" si="5"/>
        <v>83</v>
      </c>
      <c r="G25" s="112">
        <v>15566</v>
      </c>
      <c r="H25" s="5" t="s">
        <v>141</v>
      </c>
      <c r="I25" s="5" t="s">
        <v>172</v>
      </c>
      <c r="J25" s="5" t="s">
        <v>179</v>
      </c>
      <c r="K25" s="92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09" t="str">
        <f t="shared" si="1"/>
        <v>12.September</v>
      </c>
      <c r="C26" s="113">
        <f t="shared" ca="1" si="2"/>
        <v>45912</v>
      </c>
      <c r="D26" s="113">
        <f t="shared" ca="1" si="3"/>
        <v>45912</v>
      </c>
      <c r="E26" s="110">
        <f t="shared" ca="1" si="4"/>
        <v>55</v>
      </c>
      <c r="F26" s="111">
        <f t="shared" ca="1" si="5"/>
        <v>56</v>
      </c>
      <c r="G26" s="112">
        <v>25458</v>
      </c>
      <c r="H26" s="5" t="s">
        <v>139</v>
      </c>
      <c r="I26" s="5" t="s">
        <v>170</v>
      </c>
      <c r="J26" s="5" t="s">
        <v>146</v>
      </c>
      <c r="K26" s="92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09" t="str">
        <f t="shared" si="1"/>
        <v>16.September</v>
      </c>
      <c r="C27" s="113">
        <f t="shared" ca="1" si="2"/>
        <v>45916</v>
      </c>
      <c r="D27" s="113">
        <f t="shared" ca="1" si="3"/>
        <v>45916</v>
      </c>
      <c r="E27" s="110">
        <f t="shared" ca="1" si="4"/>
        <v>63</v>
      </c>
      <c r="F27" s="111">
        <f t="shared" ca="1" si="5"/>
        <v>64</v>
      </c>
      <c r="G27" s="112">
        <v>22540</v>
      </c>
      <c r="H27" s="5" t="s">
        <v>139</v>
      </c>
      <c r="I27" s="5" t="s">
        <v>181</v>
      </c>
      <c r="J27" s="5" t="s">
        <v>146</v>
      </c>
      <c r="K27" s="92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09" t="str">
        <f t="shared" si="1"/>
        <v>10.Oktober</v>
      </c>
      <c r="C28" s="113">
        <f t="shared" ca="1" si="2"/>
        <v>45940</v>
      </c>
      <c r="D28" s="113">
        <f t="shared" ca="1" si="3"/>
        <v>45940</v>
      </c>
      <c r="E28" s="110">
        <f t="shared" ca="1" si="4"/>
        <v>84</v>
      </c>
      <c r="F28" s="111">
        <f t="shared" ca="1" si="5"/>
        <v>85</v>
      </c>
      <c r="G28" s="112">
        <v>14894</v>
      </c>
      <c r="H28" s="5" t="s">
        <v>141</v>
      </c>
      <c r="I28" s="5" t="s">
        <v>162</v>
      </c>
      <c r="J28" s="5" t="s">
        <v>188</v>
      </c>
      <c r="K28" s="92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09" t="str">
        <f t="shared" si="1"/>
        <v>12.Oktober</v>
      </c>
      <c r="C29" s="113">
        <f t="shared" ca="1" si="2"/>
        <v>45942</v>
      </c>
      <c r="D29" s="113">
        <f t="shared" ca="1" si="3"/>
        <v>45942</v>
      </c>
      <c r="E29" s="110">
        <f t="shared" ca="1" si="4"/>
        <v>82</v>
      </c>
      <c r="F29" s="111">
        <f t="shared" ca="1" si="5"/>
        <v>83</v>
      </c>
      <c r="G29" s="112">
        <v>15626</v>
      </c>
      <c r="H29" s="5" t="s">
        <v>141</v>
      </c>
      <c r="I29" s="5" t="s">
        <v>163</v>
      </c>
      <c r="J29" s="5" t="s">
        <v>179</v>
      </c>
      <c r="K29" s="92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09" t="str">
        <f t="shared" si="1"/>
        <v>14.Oktober</v>
      </c>
      <c r="C30" s="113">
        <f t="shared" ca="1" si="2"/>
        <v>45944</v>
      </c>
      <c r="D30" s="113">
        <f t="shared" ca="1" si="3"/>
        <v>45944</v>
      </c>
      <c r="E30" s="110">
        <f t="shared" ca="1" si="4"/>
        <v>40</v>
      </c>
      <c r="F30" s="111">
        <f t="shared" ca="1" si="5"/>
        <v>41</v>
      </c>
      <c r="G30" s="112">
        <v>30969</v>
      </c>
      <c r="H30" s="5" t="s">
        <v>139</v>
      </c>
      <c r="I30" s="5" t="s">
        <v>176</v>
      </c>
      <c r="J30" s="5" t="s">
        <v>146</v>
      </c>
      <c r="K30" s="92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09" t="str">
        <f t="shared" si="1"/>
        <v>15.Oktober</v>
      </c>
      <c r="C31" s="113">
        <f t="shared" ca="1" si="2"/>
        <v>45945</v>
      </c>
      <c r="D31" s="113">
        <f t="shared" ca="1" si="3"/>
        <v>45945</v>
      </c>
      <c r="E31" s="110">
        <f t="shared" ca="1" si="4"/>
        <v>63</v>
      </c>
      <c r="F31" s="111">
        <f t="shared" ca="1" si="5"/>
        <v>64</v>
      </c>
      <c r="G31" s="112">
        <v>22569</v>
      </c>
      <c r="H31" s="5" t="s">
        <v>141</v>
      </c>
      <c r="I31" s="5" t="s">
        <v>180</v>
      </c>
      <c r="J31" s="5" t="s">
        <v>196</v>
      </c>
      <c r="K31" s="92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09" t="str">
        <f t="shared" si="1"/>
        <v>10.November</v>
      </c>
      <c r="C32" s="113">
        <f t="shared" ca="1" si="2"/>
        <v>45971</v>
      </c>
      <c r="D32" s="113">
        <f t="shared" ca="1" si="3"/>
        <v>45971</v>
      </c>
      <c r="E32" s="110">
        <f t="shared" ca="1" si="4"/>
        <v>83</v>
      </c>
      <c r="F32" s="111">
        <f t="shared" ca="1" si="5"/>
        <v>84</v>
      </c>
      <c r="G32" s="112">
        <v>15290</v>
      </c>
      <c r="H32" s="5" t="s">
        <v>141</v>
      </c>
      <c r="I32" s="5" t="s">
        <v>163</v>
      </c>
      <c r="J32" s="5" t="s">
        <v>189</v>
      </c>
      <c r="K32" s="92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09" t="str">
        <f t="shared" si="1"/>
        <v>10.Dezember</v>
      </c>
      <c r="C33" s="113">
        <f t="shared" ca="1" si="2"/>
        <v>46001</v>
      </c>
      <c r="D33" s="113">
        <f t="shared" ca="1" si="3"/>
        <v>46001</v>
      </c>
      <c r="E33" s="110">
        <f t="shared" ca="1" si="4"/>
        <v>56</v>
      </c>
      <c r="F33" s="111">
        <f t="shared" ca="1" si="5"/>
        <v>57</v>
      </c>
      <c r="G33" s="112">
        <v>25182</v>
      </c>
      <c r="H33" s="5" t="s">
        <v>141</v>
      </c>
      <c r="I33" s="5" t="s">
        <v>164</v>
      </c>
      <c r="J33" s="5" t="s">
        <v>143</v>
      </c>
      <c r="K33" s="92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09" t="str">
        <f t="shared" si="1"/>
        <v>16.Dezember</v>
      </c>
      <c r="C34" s="113">
        <f t="shared" ca="1" si="2"/>
        <v>46007</v>
      </c>
      <c r="D34" s="113">
        <f t="shared" ca="1" si="3"/>
        <v>46007</v>
      </c>
      <c r="E34" s="110">
        <f t="shared" ca="1" si="4"/>
        <v>30</v>
      </c>
      <c r="F34" s="111">
        <f t="shared" ca="1" si="5"/>
        <v>31</v>
      </c>
      <c r="G34" s="112">
        <v>34684</v>
      </c>
      <c r="H34" s="5" t="s">
        <v>141</v>
      </c>
      <c r="I34" s="5" t="s">
        <v>182</v>
      </c>
      <c r="J34" s="5" t="s">
        <v>143</v>
      </c>
      <c r="K34" s="92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137</v>
      </c>
      <c r="C2" s="44"/>
    </row>
    <row r="5" spans="2:3" x14ac:dyDescent="0.35">
      <c r="B5" s="106" t="s">
        <v>138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3-Phasenstrom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2025-08-01T18:16:14Z</dcterms:modified>
</cp:coreProperties>
</file>