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ocke_000\Google Drive\Air Devils\"/>
    </mc:Choice>
  </mc:AlternateContent>
  <bookViews>
    <workbookView xWindow="0" yWindow="0" windowWidth="28800" windowHeight="11610" tabRatio="572" firstSheet="8" activeTab="10" xr2:uid="{00000000-000D-0000-FFFF-FFFF00000000}"/>
  </bookViews>
  <sheets>
    <sheet name="Prototype 1" sheetId="1" r:id="rId1"/>
    <sheet name="Pusher Prototype" sheetId="2" r:id="rId2"/>
    <sheet name="pusher prototype 2" sheetId="3" r:id="rId3"/>
    <sheet name="Proto2.5" sheetId="4" r:id="rId4"/>
    <sheet name="Proto3" sheetId="5" r:id="rId5"/>
    <sheet name="Final Chart" sheetId="10" r:id="rId6"/>
    <sheet name="Final Chart (3 Pucks)" sheetId="14" r:id="rId7"/>
    <sheet name="Final Chart (Empty)" sheetId="11" r:id="rId8"/>
    <sheet name="Proto M1" sheetId="6" r:id="rId9"/>
    <sheet name="Proto M2" sheetId="12" r:id="rId10"/>
    <sheet name="Proto M3" sheetId="13" r:id="rId11"/>
  </sheets>
  <calcPr calcId="171026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3" i="5" l="1"/>
  <c r="P22" i="5"/>
  <c r="B34" i="6"/>
  <c r="J36" i="6"/>
  <c r="B13" i="13"/>
  <c r="C23" i="11" l="1"/>
  <c r="D21" i="11"/>
  <c r="D20" i="11"/>
  <c r="C20" i="11"/>
  <c r="D19" i="11"/>
  <c r="D18" i="11"/>
  <c r="D17" i="11"/>
  <c r="D16" i="11"/>
  <c r="D15" i="11"/>
  <c r="D14" i="11"/>
  <c r="D13" i="11"/>
  <c r="D12" i="11"/>
  <c r="D11" i="11"/>
  <c r="E11" i="11" s="1"/>
  <c r="D10" i="11"/>
  <c r="D9" i="11"/>
  <c r="D8" i="11"/>
  <c r="D7" i="11"/>
  <c r="D6" i="11"/>
  <c r="D5" i="11"/>
  <c r="D4" i="11"/>
  <c r="C21" i="11"/>
  <c r="E21" i="11" s="1"/>
  <c r="E20" i="11"/>
  <c r="C19" i="11"/>
  <c r="E19" i="11" s="1"/>
  <c r="C18" i="11"/>
  <c r="E18" i="11" s="1"/>
  <c r="E17" i="11"/>
  <c r="C17" i="11"/>
  <c r="C16" i="11"/>
  <c r="C15" i="11"/>
  <c r="E15" i="11" s="1"/>
  <c r="C14" i="11"/>
  <c r="E14" i="11" s="1"/>
  <c r="C13" i="11"/>
  <c r="E13" i="11" s="1"/>
  <c r="C12" i="11"/>
  <c r="F12" i="11" s="1"/>
  <c r="C11" i="11"/>
  <c r="C10" i="11"/>
  <c r="C9" i="11"/>
  <c r="C8" i="11"/>
  <c r="E8" i="11" s="1"/>
  <c r="C7" i="11"/>
  <c r="F4" i="11" s="1"/>
  <c r="E6" i="11"/>
  <c r="C6" i="11"/>
  <c r="C5" i="11"/>
  <c r="C4" i="11"/>
  <c r="E4" i="11" s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4" i="10"/>
  <c r="F23" i="10"/>
  <c r="R10" i="6"/>
  <c r="F8" i="10"/>
  <c r="F4" i="10"/>
  <c r="F17" i="10"/>
  <c r="D22" i="10"/>
  <c r="D21" i="10"/>
  <c r="D20" i="10"/>
  <c r="D19" i="10"/>
  <c r="D18" i="10"/>
  <c r="D17" i="10"/>
  <c r="C22" i="10"/>
  <c r="C21" i="10"/>
  <c r="C20" i="10"/>
  <c r="C19" i="10"/>
  <c r="C18" i="10"/>
  <c r="C17" i="10"/>
  <c r="C10" i="14"/>
  <c r="C13" i="14"/>
  <c r="C16" i="14"/>
  <c r="C14" i="14"/>
  <c r="C12" i="14"/>
  <c r="C8" i="14"/>
  <c r="D8" i="12"/>
  <c r="C17" i="14"/>
  <c r="C18" i="14"/>
  <c r="C22" i="14"/>
  <c r="C21" i="14"/>
  <c r="C20" i="14"/>
  <c r="C19" i="14"/>
  <c r="F16" i="11" l="1"/>
  <c r="F22" i="11" s="1"/>
  <c r="E5" i="11"/>
  <c r="F8" i="11"/>
  <c r="E10" i="11"/>
  <c r="E7" i="11"/>
  <c r="E12" i="11"/>
  <c r="E9" i="11"/>
  <c r="E16" i="11"/>
  <c r="F17" i="14"/>
  <c r="B33" i="12"/>
  <c r="C33" i="12"/>
  <c r="E22" i="11" l="1"/>
  <c r="E40" i="13"/>
  <c r="D40" i="13"/>
  <c r="C40" i="13"/>
  <c r="B40" i="13"/>
  <c r="B38" i="13"/>
  <c r="D37" i="13"/>
  <c r="C37" i="13"/>
  <c r="D36" i="13"/>
  <c r="C36" i="13"/>
  <c r="B36" i="13"/>
  <c r="B37" i="13" s="1"/>
  <c r="C35" i="13"/>
  <c r="B35" i="13"/>
  <c r="D34" i="13"/>
  <c r="D35" i="13" s="1"/>
  <c r="C34" i="13"/>
  <c r="B34" i="13"/>
  <c r="D33" i="13"/>
  <c r="L29" i="13"/>
  <c r="E28" i="13"/>
  <c r="D28" i="13"/>
  <c r="C28" i="13"/>
  <c r="B28" i="13"/>
  <c r="P27" i="13"/>
  <c r="K9" i="13" s="1"/>
  <c r="D27" i="13"/>
  <c r="C27" i="13"/>
  <c r="D26" i="13"/>
  <c r="C26" i="13"/>
  <c r="B26" i="13"/>
  <c r="T25" i="13"/>
  <c r="M31" i="13" s="1"/>
  <c r="K25" i="13"/>
  <c r="V23" i="13" s="1"/>
  <c r="E25" i="13"/>
  <c r="E26" i="13" s="1"/>
  <c r="D25" i="13"/>
  <c r="T23" i="13"/>
  <c r="E23" i="13"/>
  <c r="D23" i="13"/>
  <c r="C23" i="13"/>
  <c r="B23" i="13"/>
  <c r="O21" i="13"/>
  <c r="L30" i="13" s="1"/>
  <c r="E21" i="13"/>
  <c r="D21" i="13"/>
  <c r="C21" i="13"/>
  <c r="B21" i="13"/>
  <c r="X20" i="13"/>
  <c r="K20" i="13"/>
  <c r="K19" i="13"/>
  <c r="E19" i="13"/>
  <c r="D19" i="13"/>
  <c r="C19" i="13"/>
  <c r="E18" i="13"/>
  <c r="D18" i="13"/>
  <c r="E17" i="13"/>
  <c r="D17" i="13"/>
  <c r="C17" i="13"/>
  <c r="E16" i="13"/>
  <c r="D16" i="13"/>
  <c r="E15" i="13"/>
  <c r="B15" i="13"/>
  <c r="V14" i="13"/>
  <c r="V13" i="13"/>
  <c r="E34" i="13" s="1"/>
  <c r="L13" i="13"/>
  <c r="K13" i="13"/>
  <c r="L12" i="13"/>
  <c r="K12" i="13"/>
  <c r="J12" i="13"/>
  <c r="B12" i="13"/>
  <c r="C11" i="13"/>
  <c r="B11" i="13"/>
  <c r="D10" i="13"/>
  <c r="L9" i="13"/>
  <c r="J9" i="13"/>
  <c r="C9" i="13"/>
  <c r="C10" i="13" s="1"/>
  <c r="B9" i="13"/>
  <c r="B10" i="13" s="1"/>
  <c r="K8" i="13"/>
  <c r="L7" i="13"/>
  <c r="K7" i="13"/>
  <c r="J7" i="13"/>
  <c r="B8" i="13"/>
  <c r="L6" i="13"/>
  <c r="K6" i="13"/>
  <c r="J6" i="13"/>
  <c r="C5" i="13"/>
  <c r="C8" i="13" s="1"/>
  <c r="E4" i="13"/>
  <c r="B6" i="13"/>
  <c r="K3" i="13"/>
  <c r="J3" i="13"/>
  <c r="E3" i="13"/>
  <c r="C3" i="13"/>
  <c r="H3" i="13" s="1"/>
  <c r="B3" i="13"/>
  <c r="B2" i="13"/>
  <c r="E40" i="12"/>
  <c r="D40" i="12"/>
  <c r="C40" i="12"/>
  <c r="B40" i="12"/>
  <c r="B38" i="12"/>
  <c r="D37" i="12"/>
  <c r="C37" i="12"/>
  <c r="D36" i="12"/>
  <c r="C36" i="12"/>
  <c r="B36" i="12"/>
  <c r="B37" i="12" s="1"/>
  <c r="B35" i="12"/>
  <c r="D34" i="12"/>
  <c r="D35" i="12" s="1"/>
  <c r="C34" i="12"/>
  <c r="C35" i="12" s="1"/>
  <c r="B34" i="12"/>
  <c r="D33" i="12"/>
  <c r="L29" i="12"/>
  <c r="E28" i="12"/>
  <c r="C28" i="12"/>
  <c r="B28" i="12"/>
  <c r="P27" i="12"/>
  <c r="K8" i="12" s="1"/>
  <c r="D27" i="12"/>
  <c r="C27" i="12"/>
  <c r="C26" i="12"/>
  <c r="B26" i="12"/>
  <c r="T25" i="12"/>
  <c r="M31" i="12" s="1"/>
  <c r="K25" i="12"/>
  <c r="E25" i="12"/>
  <c r="E26" i="12" s="1"/>
  <c r="D25" i="12"/>
  <c r="T23" i="12"/>
  <c r="E23" i="12"/>
  <c r="D23" i="12"/>
  <c r="D28" i="12" s="1"/>
  <c r="C23" i="12"/>
  <c r="B23" i="12"/>
  <c r="O21" i="12"/>
  <c r="E21" i="12"/>
  <c r="D21" i="12"/>
  <c r="D26" i="12" s="1"/>
  <c r="C21" i="12"/>
  <c r="B21" i="12"/>
  <c r="X20" i="12"/>
  <c r="K20" i="12"/>
  <c r="K19" i="12"/>
  <c r="E19" i="12"/>
  <c r="D19" i="12"/>
  <c r="C19" i="12"/>
  <c r="E18" i="12"/>
  <c r="D18" i="12"/>
  <c r="E17" i="12"/>
  <c r="D17" i="12"/>
  <c r="C17" i="12"/>
  <c r="E16" i="12"/>
  <c r="D16" i="12"/>
  <c r="E15" i="12"/>
  <c r="B15" i="12"/>
  <c r="V14" i="12"/>
  <c r="V13" i="12"/>
  <c r="E34" i="12" s="1"/>
  <c r="L13" i="12"/>
  <c r="K13" i="12"/>
  <c r="J13" i="12"/>
  <c r="L12" i="12"/>
  <c r="K12" i="12"/>
  <c r="J12" i="12"/>
  <c r="B12" i="12"/>
  <c r="C11" i="12"/>
  <c r="B11" i="12"/>
  <c r="D10" i="12"/>
  <c r="L9" i="12"/>
  <c r="K9" i="12"/>
  <c r="J9" i="12"/>
  <c r="N9" i="12" s="1"/>
  <c r="C9" i="12"/>
  <c r="C10" i="12" s="1"/>
  <c r="B9" i="12"/>
  <c r="B10" i="12" s="1"/>
  <c r="L7" i="12"/>
  <c r="K7" i="12"/>
  <c r="J7" i="12"/>
  <c r="B8" i="12"/>
  <c r="L6" i="12"/>
  <c r="K6" i="12"/>
  <c r="J6" i="12"/>
  <c r="C5" i="12"/>
  <c r="C8" i="12" s="1"/>
  <c r="B5" i="12"/>
  <c r="E4" i="12"/>
  <c r="B4" i="12"/>
  <c r="B6" i="12" s="1"/>
  <c r="L3" i="12"/>
  <c r="K3" i="12"/>
  <c r="J3" i="12"/>
  <c r="E3" i="12"/>
  <c r="C3" i="12"/>
  <c r="B3" i="12"/>
  <c r="H3" i="12" s="1"/>
  <c r="B2" i="12"/>
  <c r="E10" i="6"/>
  <c r="D10" i="6"/>
  <c r="C10" i="6"/>
  <c r="B10" i="6"/>
  <c r="E28" i="6"/>
  <c r="E23" i="6"/>
  <c r="D23" i="6"/>
  <c r="D28" i="6" s="1"/>
  <c r="K12" i="6"/>
  <c r="L12" i="6"/>
  <c r="K13" i="6"/>
  <c r="L13" i="6"/>
  <c r="B38" i="6"/>
  <c r="C11" i="6"/>
  <c r="E40" i="6"/>
  <c r="D40" i="6"/>
  <c r="E15" i="6"/>
  <c r="C3" i="6"/>
  <c r="E25" i="6"/>
  <c r="E26" i="6" s="1"/>
  <c r="C27" i="6"/>
  <c r="C28" i="6" s="1"/>
  <c r="D27" i="6"/>
  <c r="D26" i="6"/>
  <c r="D25" i="6"/>
  <c r="B28" i="6"/>
  <c r="C26" i="6"/>
  <c r="B26" i="6"/>
  <c r="B23" i="6"/>
  <c r="D21" i="6"/>
  <c r="E21" i="6"/>
  <c r="C23" i="6"/>
  <c r="C21" i="6"/>
  <c r="B21" i="6"/>
  <c r="L30" i="12" l="1"/>
  <c r="V23" i="12"/>
  <c r="N9" i="13"/>
  <c r="S22" i="13"/>
  <c r="J8" i="13"/>
  <c r="E35" i="13"/>
  <c r="E9" i="13"/>
  <c r="E10" i="13" s="1"/>
  <c r="M29" i="13"/>
  <c r="L31" i="13"/>
  <c r="N31" i="13" s="1"/>
  <c r="M30" i="13"/>
  <c r="N30" i="13" s="1"/>
  <c r="C7" i="13"/>
  <c r="L8" i="13"/>
  <c r="E36" i="13"/>
  <c r="E37" i="13" s="1"/>
  <c r="C4" i="13"/>
  <c r="C6" i="13"/>
  <c r="L3" i="13"/>
  <c r="J13" i="13"/>
  <c r="S22" i="12"/>
  <c r="J8" i="12"/>
  <c r="E35" i="12"/>
  <c r="E9" i="12"/>
  <c r="E10" i="12" s="1"/>
  <c r="M30" i="12"/>
  <c r="N30" i="12" s="1"/>
  <c r="C7" i="12"/>
  <c r="M29" i="12"/>
  <c r="N29" i="12"/>
  <c r="E36" i="12"/>
  <c r="E37" i="12" s="1"/>
  <c r="L8" i="12"/>
  <c r="C4" i="12"/>
  <c r="L31" i="12"/>
  <c r="N31" i="12" s="1"/>
  <c r="C6" i="12"/>
  <c r="E17" i="6"/>
  <c r="E18" i="6"/>
  <c r="E19" i="6"/>
  <c r="E16" i="6"/>
  <c r="C19" i="6"/>
  <c r="C17" i="6"/>
  <c r="D19" i="6"/>
  <c r="D17" i="6"/>
  <c r="D18" i="6"/>
  <c r="D16" i="6"/>
  <c r="B36" i="6"/>
  <c r="N8" i="13" l="1"/>
  <c r="M8" i="13"/>
  <c r="N29" i="13"/>
  <c r="K4" i="12"/>
  <c r="K5" i="12" s="1"/>
  <c r="L4" i="12"/>
  <c r="L5" i="12" s="1"/>
  <c r="J4" i="12"/>
  <c r="N8" i="12"/>
  <c r="M8" i="12"/>
  <c r="K20" i="6"/>
  <c r="K19" i="6"/>
  <c r="C9" i="6"/>
  <c r="E3" i="6"/>
  <c r="B3" i="6"/>
  <c r="C9" i="14" s="1"/>
  <c r="B9" i="6"/>
  <c r="B11" i="6"/>
  <c r="C15" i="10" s="1"/>
  <c r="B10" i="5"/>
  <c r="D36" i="6"/>
  <c r="D34" i="6"/>
  <c r="E4" i="6"/>
  <c r="B15" i="6"/>
  <c r="C40" i="6"/>
  <c r="B2" i="6"/>
  <c r="B13" i="6" s="1"/>
  <c r="B40" i="6"/>
  <c r="C11" i="14" s="1"/>
  <c r="B4" i="6"/>
  <c r="F16" i="14" s="1"/>
  <c r="B5" i="6"/>
  <c r="B7" i="6"/>
  <c r="B8" i="6" s="1"/>
  <c r="B12" i="6"/>
  <c r="C12" i="10" s="1"/>
  <c r="C10" i="10"/>
  <c r="C5" i="6"/>
  <c r="C4" i="6" s="1"/>
  <c r="V13" i="6"/>
  <c r="O21" i="6"/>
  <c r="K6" i="6" s="1"/>
  <c r="K25" i="6"/>
  <c r="M29" i="6" s="1"/>
  <c r="P27" i="6"/>
  <c r="T23" i="6"/>
  <c r="T25" i="6"/>
  <c r="X20" i="6"/>
  <c r="B35" i="6"/>
  <c r="B37" i="6"/>
  <c r="C34" i="6"/>
  <c r="C35" i="6" s="1"/>
  <c r="C36" i="6"/>
  <c r="C37" i="6" s="1"/>
  <c r="K3" i="6"/>
  <c r="L7" i="6"/>
  <c r="K7" i="6"/>
  <c r="V14" i="6"/>
  <c r="K26" i="1"/>
  <c r="U19" i="1"/>
  <c r="B2" i="5"/>
  <c r="B4" i="5"/>
  <c r="C4" i="5"/>
  <c r="B5" i="5"/>
  <c r="B6" i="5"/>
  <c r="C6" i="5"/>
  <c r="B7" i="5"/>
  <c r="C7" i="5"/>
  <c r="B8" i="5"/>
  <c r="C8" i="5"/>
  <c r="B11" i="5"/>
  <c r="B12" i="5"/>
  <c r="C12" i="5"/>
  <c r="B13" i="5"/>
  <c r="B14" i="5"/>
  <c r="P13" i="5"/>
  <c r="K2" i="5"/>
  <c r="L2" i="5"/>
  <c r="K3" i="5"/>
  <c r="T26" i="5"/>
  <c r="U26" i="5"/>
  <c r="T27" i="5"/>
  <c r="U27" i="5"/>
  <c r="T28" i="5"/>
  <c r="U28" i="5"/>
  <c r="T29" i="5"/>
  <c r="U29" i="5"/>
  <c r="L3" i="5"/>
  <c r="K4" i="5"/>
  <c r="T14" i="5"/>
  <c r="K22" i="5"/>
  <c r="U14" i="5"/>
  <c r="T15" i="5"/>
  <c r="U15" i="5"/>
  <c r="L4" i="5"/>
  <c r="K5" i="5"/>
  <c r="L5" i="5"/>
  <c r="K6" i="5"/>
  <c r="L6" i="5"/>
  <c r="L9" i="5"/>
  <c r="K10" i="5"/>
  <c r="L10" i="5"/>
  <c r="H17" i="5"/>
  <c r="E2" i="5"/>
  <c r="E5" i="5"/>
  <c r="E6" i="5"/>
  <c r="E7" i="5"/>
  <c r="E8" i="5"/>
  <c r="E14" i="5"/>
  <c r="N2" i="5"/>
  <c r="V14" i="5"/>
  <c r="V15" i="5"/>
  <c r="N4" i="5"/>
  <c r="N10" i="5"/>
  <c r="H16" i="5"/>
  <c r="X19" i="5"/>
  <c r="U20" i="1"/>
  <c r="X20" i="5"/>
  <c r="U21" i="1"/>
  <c r="X21" i="5"/>
  <c r="U22" i="1"/>
  <c r="X22" i="5"/>
  <c r="P5" i="5"/>
  <c r="D33" i="6"/>
  <c r="P10" i="5"/>
  <c r="P9" i="5"/>
  <c r="P8" i="5"/>
  <c r="P7" i="5"/>
  <c r="P6" i="5"/>
  <c r="G2" i="5"/>
  <c r="M10" i="5"/>
  <c r="O10" i="5"/>
  <c r="O9" i="5"/>
  <c r="O8" i="5"/>
  <c r="O7" i="5"/>
  <c r="O6" i="5"/>
  <c r="Q10" i="5"/>
  <c r="Q9" i="5"/>
  <c r="Q8" i="5"/>
  <c r="Q7" i="5"/>
  <c r="Q6" i="5"/>
  <c r="H2" i="5"/>
  <c r="F3" i="5"/>
  <c r="P27" i="5"/>
  <c r="X29" i="5"/>
  <c r="V26" i="5"/>
  <c r="V27" i="5"/>
  <c r="V29" i="5"/>
  <c r="W29" i="5"/>
  <c r="J29" i="5"/>
  <c r="X28" i="5"/>
  <c r="V28" i="5"/>
  <c r="W28" i="5"/>
  <c r="X27" i="5"/>
  <c r="W27" i="5"/>
  <c r="X26" i="5"/>
  <c r="W26" i="5"/>
  <c r="H26" i="5"/>
  <c r="P25" i="5"/>
  <c r="H3" i="5"/>
  <c r="H4" i="5"/>
  <c r="H5" i="5"/>
  <c r="H6" i="5"/>
  <c r="H7" i="5"/>
  <c r="H8" i="5"/>
  <c r="H9" i="5"/>
  <c r="H10" i="5"/>
  <c r="H11" i="5"/>
  <c r="H12" i="5"/>
  <c r="H13" i="5"/>
  <c r="H14" i="5"/>
  <c r="Q2" i="5"/>
  <c r="X14" i="5"/>
  <c r="X15" i="5"/>
  <c r="Q4" i="5"/>
  <c r="V19" i="5"/>
  <c r="U19" i="5"/>
  <c r="Y19" i="5"/>
  <c r="V20" i="5"/>
  <c r="U20" i="5"/>
  <c r="Y20" i="5"/>
  <c r="V21" i="5"/>
  <c r="U21" i="5"/>
  <c r="Y21" i="5"/>
  <c r="Q5" i="5"/>
  <c r="H22" i="5"/>
  <c r="H25" i="5"/>
  <c r="P24" i="5"/>
  <c r="G3" i="5"/>
  <c r="G4" i="5"/>
  <c r="G5" i="5"/>
  <c r="G6" i="5"/>
  <c r="G7" i="5"/>
  <c r="G8" i="5"/>
  <c r="G9" i="5"/>
  <c r="G10" i="5"/>
  <c r="G11" i="5"/>
  <c r="G12" i="5"/>
  <c r="G13" i="5"/>
  <c r="G14" i="5"/>
  <c r="P2" i="5"/>
  <c r="P3" i="5"/>
  <c r="Y14" i="5"/>
  <c r="Y15" i="5"/>
  <c r="P4" i="5"/>
  <c r="H21" i="5"/>
  <c r="H24" i="5"/>
  <c r="U22" i="5"/>
  <c r="T23" i="5"/>
  <c r="F2" i="5"/>
  <c r="F4" i="5"/>
  <c r="F5" i="5"/>
  <c r="F6" i="5"/>
  <c r="F7" i="5"/>
  <c r="F8" i="5"/>
  <c r="F9" i="5"/>
  <c r="F10" i="5"/>
  <c r="F11" i="5"/>
  <c r="F12" i="5"/>
  <c r="F13" i="5"/>
  <c r="F14" i="5"/>
  <c r="O2" i="5"/>
  <c r="O3" i="5"/>
  <c r="W14" i="5"/>
  <c r="W15" i="5"/>
  <c r="O4" i="5"/>
  <c r="V19" i="1"/>
  <c r="W19" i="5"/>
  <c r="V20" i="1"/>
  <c r="W20" i="5"/>
  <c r="V21" i="1"/>
  <c r="W21" i="5"/>
  <c r="V22" i="1"/>
  <c r="W22" i="5"/>
  <c r="O5" i="5"/>
  <c r="H20" i="5"/>
  <c r="H23" i="5"/>
  <c r="V22" i="5"/>
  <c r="H18" i="5"/>
  <c r="M16" i="5"/>
  <c r="U11" i="5"/>
  <c r="T11" i="5"/>
  <c r="Y8" i="5"/>
  <c r="X8" i="5"/>
  <c r="W8" i="5"/>
  <c r="Y7" i="5"/>
  <c r="X7" i="5"/>
  <c r="W7" i="5"/>
  <c r="Y6" i="5"/>
  <c r="X6" i="5"/>
  <c r="W6" i="5"/>
  <c r="Y5" i="5"/>
  <c r="X5" i="5"/>
  <c r="W5" i="5"/>
  <c r="Y4" i="5"/>
  <c r="X4" i="5"/>
  <c r="W4" i="5"/>
  <c r="Y3" i="5"/>
  <c r="X3" i="5"/>
  <c r="W3" i="5"/>
  <c r="M2" i="5"/>
  <c r="B2" i="3"/>
  <c r="B3" i="3"/>
  <c r="C4" i="3"/>
  <c r="B5" i="3"/>
  <c r="B6" i="3"/>
  <c r="C6" i="3"/>
  <c r="C7" i="3"/>
  <c r="B8" i="3"/>
  <c r="C8" i="3"/>
  <c r="B10" i="3"/>
  <c r="B11" i="3"/>
  <c r="B13" i="3"/>
  <c r="B14" i="3"/>
  <c r="C14" i="3"/>
  <c r="P13" i="3"/>
  <c r="K2" i="3"/>
  <c r="L2" i="3"/>
  <c r="K3" i="3"/>
  <c r="T26" i="3"/>
  <c r="U26" i="3"/>
  <c r="T27" i="3"/>
  <c r="U27" i="3"/>
  <c r="T28" i="3"/>
  <c r="U28" i="3"/>
  <c r="T29" i="3"/>
  <c r="U29" i="3"/>
  <c r="L3" i="3"/>
  <c r="K4" i="3"/>
  <c r="T14" i="3"/>
  <c r="K22" i="3"/>
  <c r="U14" i="3"/>
  <c r="T15" i="3"/>
  <c r="U15" i="3"/>
  <c r="L4" i="3"/>
  <c r="K5" i="3"/>
  <c r="L5" i="3"/>
  <c r="K7" i="3"/>
  <c r="H17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Q2" i="3"/>
  <c r="X14" i="3"/>
  <c r="X15" i="3"/>
  <c r="Q4" i="3"/>
  <c r="T19" i="3"/>
  <c r="V19" i="3"/>
  <c r="U19" i="3"/>
  <c r="Y19" i="3"/>
  <c r="T20" i="3"/>
  <c r="V20" i="3"/>
  <c r="U20" i="3"/>
  <c r="Y20" i="3"/>
  <c r="T21" i="3"/>
  <c r="V21" i="3"/>
  <c r="U21" i="3"/>
  <c r="Y21" i="3"/>
  <c r="Q5" i="3"/>
  <c r="H22" i="3"/>
  <c r="H25" i="3"/>
  <c r="E2" i="3"/>
  <c r="E5" i="3"/>
  <c r="E6" i="3"/>
  <c r="E7" i="3"/>
  <c r="E8" i="3"/>
  <c r="E14" i="3"/>
  <c r="N2" i="3"/>
  <c r="V14" i="3"/>
  <c r="V15" i="3"/>
  <c r="N4" i="3"/>
  <c r="H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O2" i="3"/>
  <c r="V26" i="3"/>
  <c r="W26" i="3"/>
  <c r="V27" i="3"/>
  <c r="W27" i="3"/>
  <c r="V28" i="3"/>
  <c r="W28" i="3"/>
  <c r="V29" i="3"/>
  <c r="W29" i="3"/>
  <c r="O3" i="3"/>
  <c r="W14" i="3"/>
  <c r="W15" i="3"/>
  <c r="O4" i="3"/>
  <c r="W19" i="3"/>
  <c r="W20" i="3"/>
  <c r="W21" i="3"/>
  <c r="O5" i="3"/>
  <c r="H20" i="3"/>
  <c r="H23" i="3"/>
  <c r="G28" i="3"/>
  <c r="B14" i="4"/>
  <c r="C12" i="4"/>
  <c r="U20" i="4"/>
  <c r="B2" i="4"/>
  <c r="B3" i="4"/>
  <c r="C4" i="4"/>
  <c r="B5" i="4"/>
  <c r="B6" i="4"/>
  <c r="C6" i="4"/>
  <c r="C7" i="4"/>
  <c r="B8" i="4"/>
  <c r="C8" i="4"/>
  <c r="B10" i="4"/>
  <c r="B11" i="4"/>
  <c r="B12" i="4"/>
  <c r="B13" i="4"/>
  <c r="C14" i="4"/>
  <c r="P13" i="4"/>
  <c r="K2" i="4"/>
  <c r="L2" i="4"/>
  <c r="K3" i="4"/>
  <c r="T26" i="4"/>
  <c r="U26" i="4"/>
  <c r="T27" i="4"/>
  <c r="U27" i="4"/>
  <c r="T28" i="4"/>
  <c r="U28" i="4"/>
  <c r="T29" i="4"/>
  <c r="U29" i="4"/>
  <c r="L3" i="4"/>
  <c r="K4" i="4"/>
  <c r="T14" i="4"/>
  <c r="K22" i="4"/>
  <c r="U14" i="4"/>
  <c r="T15" i="4"/>
  <c r="U15" i="4"/>
  <c r="L4" i="4"/>
  <c r="K5" i="4"/>
  <c r="L5" i="4"/>
  <c r="H17" i="4"/>
  <c r="E2" i="4"/>
  <c r="E5" i="4"/>
  <c r="E6" i="4"/>
  <c r="E7" i="4"/>
  <c r="E8" i="4"/>
  <c r="E14" i="4"/>
  <c r="N2" i="4"/>
  <c r="V14" i="4"/>
  <c r="V15" i="4"/>
  <c r="N4" i="4"/>
  <c r="H16" i="4"/>
  <c r="X22" i="4"/>
  <c r="W22" i="4"/>
  <c r="V22" i="4"/>
  <c r="U22" i="4"/>
  <c r="X21" i="4"/>
  <c r="W21" i="4"/>
  <c r="V21" i="4"/>
  <c r="U21" i="4"/>
  <c r="X20" i="4"/>
  <c r="W20" i="4"/>
  <c r="V20" i="4"/>
  <c r="X19" i="4"/>
  <c r="W19" i="4"/>
  <c r="V19" i="4"/>
  <c r="U19" i="4"/>
  <c r="F2" i="4"/>
  <c r="V26" i="4"/>
  <c r="V28" i="4"/>
  <c r="P23" i="4"/>
  <c r="P24" i="4"/>
  <c r="P22" i="4"/>
  <c r="P25" i="4"/>
  <c r="T23" i="4"/>
  <c r="M16" i="4"/>
  <c r="J29" i="4"/>
  <c r="U11" i="4"/>
  <c r="T11" i="4"/>
  <c r="X5" i="4"/>
  <c r="H3" i="4"/>
  <c r="M2" i="4"/>
  <c r="H18" i="4"/>
  <c r="P23" i="3"/>
  <c r="P24" i="3"/>
  <c r="P22" i="3"/>
  <c r="P25" i="3"/>
  <c r="B3" i="1"/>
  <c r="T11" i="3"/>
  <c r="X5" i="3"/>
  <c r="U11" i="3"/>
  <c r="W14" i="4"/>
  <c r="W4" i="4"/>
  <c r="O2" i="4"/>
  <c r="F4" i="4"/>
  <c r="V27" i="4"/>
  <c r="V29" i="4"/>
  <c r="W29" i="4"/>
  <c r="W26" i="4"/>
  <c r="F12" i="4"/>
  <c r="W8" i="4"/>
  <c r="W7" i="4"/>
  <c r="F6" i="4"/>
  <c r="W15" i="4"/>
  <c r="F10" i="4"/>
  <c r="W6" i="4"/>
  <c r="W28" i="4"/>
  <c r="W5" i="4"/>
  <c r="F5" i="4"/>
  <c r="F8" i="4"/>
  <c r="F3" i="4"/>
  <c r="W3" i="4"/>
  <c r="F13" i="4"/>
  <c r="F7" i="4"/>
  <c r="F14" i="4"/>
  <c r="F11" i="4"/>
  <c r="F9" i="4"/>
  <c r="H26" i="4"/>
  <c r="T16" i="2"/>
  <c r="N8" i="2"/>
  <c r="V16" i="2"/>
  <c r="B2" i="2"/>
  <c r="B5" i="2"/>
  <c r="E5" i="2"/>
  <c r="B6" i="2"/>
  <c r="E6" i="2"/>
  <c r="E7" i="2"/>
  <c r="B8" i="2"/>
  <c r="E8" i="2"/>
  <c r="B10" i="2"/>
  <c r="P13" i="2"/>
  <c r="K2" i="2"/>
  <c r="U11" i="2"/>
  <c r="N2" i="2"/>
  <c r="K4" i="2"/>
  <c r="T14" i="2"/>
  <c r="V14" i="2"/>
  <c r="T15" i="2"/>
  <c r="V15" i="2"/>
  <c r="N4" i="2"/>
  <c r="K5" i="2"/>
  <c r="K8" i="2"/>
  <c r="H16" i="2"/>
  <c r="U16" i="2"/>
  <c r="C2" i="2"/>
  <c r="C4" i="2"/>
  <c r="C6" i="2"/>
  <c r="C7" i="2"/>
  <c r="C8" i="2"/>
  <c r="C11" i="2"/>
  <c r="U6" i="2"/>
  <c r="U7" i="2"/>
  <c r="T11" i="2"/>
  <c r="L2" i="2"/>
  <c r="M16" i="2"/>
  <c r="L3" i="2"/>
  <c r="K22" i="2"/>
  <c r="U14" i="2"/>
  <c r="U15" i="2"/>
  <c r="L4" i="2"/>
  <c r="K26" i="2"/>
  <c r="L5" i="2"/>
  <c r="H17" i="2"/>
  <c r="Y16" i="2"/>
  <c r="Y15" i="2"/>
  <c r="Y14" i="2"/>
  <c r="M2" i="3"/>
  <c r="M16" i="3"/>
  <c r="J29" i="3"/>
  <c r="W27" i="4"/>
  <c r="O3" i="4"/>
  <c r="O4" i="4"/>
  <c r="O5" i="4"/>
  <c r="H20" i="4"/>
  <c r="H23" i="4"/>
  <c r="H18" i="3"/>
  <c r="H26" i="3"/>
  <c r="T23" i="3"/>
  <c r="P20" i="1"/>
  <c r="C11" i="1"/>
  <c r="V29" i="2"/>
  <c r="T29" i="2"/>
  <c r="V28" i="2"/>
  <c r="T28" i="2"/>
  <c r="V27" i="2"/>
  <c r="U27" i="2"/>
  <c r="U28" i="2"/>
  <c r="T27" i="2"/>
  <c r="V26" i="2"/>
  <c r="U26" i="2"/>
  <c r="U29" i="2"/>
  <c r="T26" i="2"/>
  <c r="U21" i="2"/>
  <c r="V22" i="2"/>
  <c r="U22" i="2"/>
  <c r="V21" i="2"/>
  <c r="V20" i="2"/>
  <c r="U20" i="2"/>
  <c r="V19" i="2"/>
  <c r="U19" i="2"/>
  <c r="T23" i="2"/>
  <c r="H3" i="2"/>
  <c r="X29" i="4"/>
  <c r="X26" i="4"/>
  <c r="Y21" i="4"/>
  <c r="G12" i="4"/>
  <c r="H10" i="4"/>
  <c r="X8" i="4"/>
  <c r="G4" i="4"/>
  <c r="H8" i="4"/>
  <c r="X4" i="4"/>
  <c r="X15" i="4"/>
  <c r="G10" i="4"/>
  <c r="X7" i="4"/>
  <c r="X6" i="4"/>
  <c r="H5" i="4"/>
  <c r="G5" i="4"/>
  <c r="H2" i="4"/>
  <c r="Y3" i="4"/>
  <c r="G9" i="4"/>
  <c r="P5" i="4"/>
  <c r="H4" i="4"/>
  <c r="X27" i="4"/>
  <c r="H13" i="4"/>
  <c r="G8" i="4"/>
  <c r="H7" i="4"/>
  <c r="H6" i="4"/>
  <c r="G3" i="4"/>
  <c r="G2" i="4"/>
  <c r="X14" i="4"/>
  <c r="Q4" i="4"/>
  <c r="H12" i="4"/>
  <c r="H14" i="4"/>
  <c r="G13" i="4"/>
  <c r="H11" i="4"/>
  <c r="H9" i="4"/>
  <c r="G7" i="4"/>
  <c r="G6" i="4"/>
  <c r="X3" i="4"/>
  <c r="G11" i="4"/>
  <c r="Q2" i="4"/>
  <c r="G14" i="4"/>
  <c r="Y20" i="4"/>
  <c r="Y8" i="4"/>
  <c r="X28" i="4"/>
  <c r="Y19" i="4"/>
  <c r="Y4" i="4"/>
  <c r="Y6" i="4"/>
  <c r="Y15" i="4"/>
  <c r="P2" i="4"/>
  <c r="Y7" i="4"/>
  <c r="Y14" i="4"/>
  <c r="Y5" i="4"/>
  <c r="X5" i="2"/>
  <c r="H18" i="2"/>
  <c r="J29" i="2"/>
  <c r="H26" i="2"/>
  <c r="B6" i="1"/>
  <c r="B5" i="1"/>
  <c r="Q5" i="4"/>
  <c r="P4" i="4"/>
  <c r="H22" i="4"/>
  <c r="H25" i="4"/>
  <c r="P3" i="4"/>
  <c r="H21" i="4"/>
  <c r="H24" i="4"/>
  <c r="Y6" i="3"/>
  <c r="X4" i="3"/>
  <c r="X3" i="3"/>
  <c r="Y7" i="3"/>
  <c r="X8" i="3"/>
  <c r="X6" i="3"/>
  <c r="Y4" i="3"/>
  <c r="X7" i="3"/>
  <c r="Y3" i="3"/>
  <c r="Y5" i="3"/>
  <c r="Y8" i="3"/>
  <c r="P8" i="2"/>
  <c r="W16" i="2"/>
  <c r="O8" i="2"/>
  <c r="W15" i="2"/>
  <c r="F13" i="2"/>
  <c r="F11" i="2"/>
  <c r="W7" i="2"/>
  <c r="F4" i="2"/>
  <c r="F3" i="2"/>
  <c r="W14" i="2"/>
  <c r="W29" i="2"/>
  <c r="W26" i="2"/>
  <c r="W22" i="2"/>
  <c r="W19" i="2"/>
  <c r="W6" i="2"/>
  <c r="W8" i="2"/>
  <c r="F8" i="2"/>
  <c r="F5" i="2"/>
  <c r="F9" i="2"/>
  <c r="W4" i="2"/>
  <c r="F12" i="2"/>
  <c r="F10" i="2"/>
  <c r="W5" i="2"/>
  <c r="F2" i="2"/>
  <c r="F7" i="2"/>
  <c r="W3" i="2"/>
  <c r="F6" i="2"/>
  <c r="W27" i="2"/>
  <c r="W20" i="2"/>
  <c r="F14" i="2"/>
  <c r="W28" i="2"/>
  <c r="W21" i="2"/>
  <c r="N8" i="1"/>
  <c r="V16" i="1"/>
  <c r="U16" i="1"/>
  <c r="T16" i="1"/>
  <c r="V29" i="1"/>
  <c r="V28" i="1"/>
  <c r="V27" i="1"/>
  <c r="V26" i="1"/>
  <c r="T29" i="1"/>
  <c r="T26" i="1"/>
  <c r="T28" i="1"/>
  <c r="T27" i="1"/>
  <c r="U26" i="1"/>
  <c r="U29" i="1"/>
  <c r="U27" i="1"/>
  <c r="U28" i="1"/>
  <c r="P13" i="1"/>
  <c r="J29" i="1"/>
  <c r="E8" i="1"/>
  <c r="E7" i="1"/>
  <c r="E6" i="1"/>
  <c r="E5" i="1"/>
  <c r="B8" i="1"/>
  <c r="T23" i="1"/>
  <c r="V15" i="1"/>
  <c r="V14" i="1"/>
  <c r="T15" i="1"/>
  <c r="T14" i="1"/>
  <c r="B2" i="1"/>
  <c r="U7" i="1"/>
  <c r="U6" i="1"/>
  <c r="H3" i="1"/>
  <c r="O5" i="2"/>
  <c r="O3" i="2"/>
  <c r="O2" i="2"/>
  <c r="O4" i="2"/>
  <c r="X29" i="2"/>
  <c r="X26" i="2"/>
  <c r="X22" i="2"/>
  <c r="X19" i="2"/>
  <c r="H8" i="2"/>
  <c r="X6" i="2"/>
  <c r="H5" i="2"/>
  <c r="X14" i="2"/>
  <c r="X21" i="2"/>
  <c r="Y6" i="2"/>
  <c r="H12" i="2"/>
  <c r="H10" i="2"/>
  <c r="X8" i="2"/>
  <c r="G8" i="2"/>
  <c r="G5" i="2"/>
  <c r="G3" i="2"/>
  <c r="H2" i="2"/>
  <c r="H14" i="2"/>
  <c r="G12" i="2"/>
  <c r="G10" i="2"/>
  <c r="H7" i="2"/>
  <c r="G2" i="2"/>
  <c r="H9" i="2"/>
  <c r="H4" i="2"/>
  <c r="X16" i="2"/>
  <c r="Q8" i="2"/>
  <c r="X27" i="2"/>
  <c r="X20" i="2"/>
  <c r="G14" i="2"/>
  <c r="G7" i="2"/>
  <c r="H6" i="2"/>
  <c r="X3" i="2"/>
  <c r="G6" i="2"/>
  <c r="H13" i="2"/>
  <c r="G9" i="2"/>
  <c r="Y7" i="2"/>
  <c r="X4" i="2"/>
  <c r="G13" i="2"/>
  <c r="H11" i="2"/>
  <c r="G11" i="2"/>
  <c r="X28" i="2"/>
  <c r="X15" i="2"/>
  <c r="X7" i="2"/>
  <c r="G4" i="2"/>
  <c r="Y8" i="2"/>
  <c r="Y5" i="2"/>
  <c r="Y3" i="2"/>
  <c r="Y4" i="2"/>
  <c r="N4" i="1"/>
  <c r="K22" i="1"/>
  <c r="C4" i="1"/>
  <c r="H20" i="2"/>
  <c r="P3" i="2"/>
  <c r="Q2" i="2"/>
  <c r="P4" i="2"/>
  <c r="P2" i="2"/>
  <c r="Q4" i="2"/>
  <c r="P5" i="2"/>
  <c r="U14" i="1"/>
  <c r="U15" i="1"/>
  <c r="C6" i="1"/>
  <c r="C8" i="1"/>
  <c r="C7" i="1"/>
  <c r="H22" i="2"/>
  <c r="H21" i="2"/>
  <c r="L4" i="1"/>
  <c r="K4" i="1"/>
  <c r="K8" i="1"/>
  <c r="K5" i="1"/>
  <c r="M16" i="1"/>
  <c r="L3" i="1"/>
  <c r="L5" i="1"/>
  <c r="B10" i="1"/>
  <c r="H18" i="1"/>
  <c r="K2" i="1"/>
  <c r="H26" i="1"/>
  <c r="T11" i="1"/>
  <c r="L2" i="1"/>
  <c r="U11" i="1"/>
  <c r="H17" i="1"/>
  <c r="X5" i="1"/>
  <c r="N2" i="1"/>
  <c r="H16" i="1"/>
  <c r="W3" i="1"/>
  <c r="W16" i="1"/>
  <c r="O8" i="1"/>
  <c r="Y16" i="1"/>
  <c r="P8" i="1"/>
  <c r="W26" i="1"/>
  <c r="W8" i="1"/>
  <c r="W7" i="1"/>
  <c r="W6" i="1"/>
  <c r="W5" i="1"/>
  <c r="W4" i="1"/>
  <c r="X16" i="1"/>
  <c r="Q8" i="1"/>
  <c r="X28" i="1"/>
  <c r="X3" i="1"/>
  <c r="X27" i="1"/>
  <c r="X26" i="1"/>
  <c r="X19" i="1"/>
  <c r="X29" i="1"/>
  <c r="Y3" i="1"/>
  <c r="W27" i="1"/>
  <c r="W28" i="1"/>
  <c r="W29" i="1"/>
  <c r="W19" i="1"/>
  <c r="W22" i="1"/>
  <c r="W20" i="1"/>
  <c r="W14" i="1"/>
  <c r="X22" i="1"/>
  <c r="X20" i="1"/>
  <c r="X21" i="1"/>
  <c r="W21" i="1"/>
  <c r="Y15" i="1"/>
  <c r="Y8" i="1"/>
  <c r="Y4" i="1"/>
  <c r="F5" i="1"/>
  <c r="F14" i="1"/>
  <c r="F12" i="1"/>
  <c r="F3" i="1"/>
  <c r="F11" i="1"/>
  <c r="F7" i="1"/>
  <c r="F13" i="1"/>
  <c r="F4" i="1"/>
  <c r="F8" i="1"/>
  <c r="F9" i="1"/>
  <c r="F10" i="1"/>
  <c r="W15" i="1"/>
  <c r="F2" i="1"/>
  <c r="F6" i="1"/>
  <c r="Y5" i="1"/>
  <c r="H12" i="1"/>
  <c r="H14" i="1"/>
  <c r="X4" i="1"/>
  <c r="H2" i="1"/>
  <c r="X15" i="1"/>
  <c r="H9" i="1"/>
  <c r="G13" i="1"/>
  <c r="H8" i="1"/>
  <c r="X8" i="1"/>
  <c r="H13" i="1"/>
  <c r="G4" i="1"/>
  <c r="H5" i="1"/>
  <c r="X14" i="1"/>
  <c r="G2" i="1"/>
  <c r="G7" i="1"/>
  <c r="G6" i="1"/>
  <c r="H6" i="1"/>
  <c r="G14" i="1"/>
  <c r="G12" i="1"/>
  <c r="H4" i="1"/>
  <c r="G3" i="1"/>
  <c r="G9" i="1"/>
  <c r="H10" i="1"/>
  <c r="G10" i="1"/>
  <c r="G5" i="1"/>
  <c r="G8" i="1"/>
  <c r="H7" i="1"/>
  <c r="X7" i="1"/>
  <c r="G11" i="1"/>
  <c r="H11" i="1"/>
  <c r="X6" i="1"/>
  <c r="Y6" i="1"/>
  <c r="Y14" i="1"/>
  <c r="Y7" i="1"/>
  <c r="O2" i="1"/>
  <c r="O5" i="1"/>
  <c r="Q4" i="1"/>
  <c r="P3" i="1"/>
  <c r="O3" i="1"/>
  <c r="P4" i="1"/>
  <c r="P5" i="1"/>
  <c r="Q2" i="1"/>
  <c r="O4" i="1"/>
  <c r="P2" i="1"/>
  <c r="H20" i="1"/>
  <c r="H21" i="1"/>
  <c r="H22" i="1"/>
  <c r="W6" i="3"/>
  <c r="W3" i="3"/>
  <c r="W4" i="3"/>
  <c r="W5" i="3"/>
  <c r="W7" i="3"/>
  <c r="W8" i="3"/>
  <c r="P2" i="3"/>
  <c r="Y14" i="3"/>
  <c r="X19" i="3"/>
  <c r="G10" i="3"/>
  <c r="X21" i="3"/>
  <c r="X26" i="3"/>
  <c r="G14" i="3"/>
  <c r="X20" i="3"/>
  <c r="G2" i="3"/>
  <c r="G7" i="3"/>
  <c r="X29" i="3"/>
  <c r="G4" i="3"/>
  <c r="G13" i="3"/>
  <c r="G5" i="3"/>
  <c r="G6" i="3"/>
  <c r="G11" i="3"/>
  <c r="Y15" i="3"/>
  <c r="X28" i="3"/>
  <c r="G8" i="3"/>
  <c r="X27" i="3"/>
  <c r="G12" i="3"/>
  <c r="G3" i="3"/>
  <c r="G9" i="3"/>
  <c r="P5" i="3"/>
  <c r="P3" i="3"/>
  <c r="P4" i="3"/>
  <c r="H21" i="3"/>
  <c r="H24" i="3"/>
  <c r="J4" i="13" l="1"/>
  <c r="K4" i="13"/>
  <c r="K5" i="13" s="1"/>
  <c r="L4" i="13"/>
  <c r="L5" i="13" s="1"/>
  <c r="J5" i="12"/>
  <c r="E33" i="12"/>
  <c r="L3" i="6"/>
  <c r="J12" i="6"/>
  <c r="J13" i="6"/>
  <c r="J9" i="6"/>
  <c r="N9" i="6" s="1"/>
  <c r="J7" i="6"/>
  <c r="H3" i="6"/>
  <c r="L29" i="6"/>
  <c r="K9" i="6"/>
  <c r="E34" i="6"/>
  <c r="E9" i="6" s="1"/>
  <c r="C16" i="10"/>
  <c r="F16" i="10" s="1"/>
  <c r="M30" i="6"/>
  <c r="B6" i="6"/>
  <c r="N29" i="6"/>
  <c r="L31" i="6"/>
  <c r="L9" i="6"/>
  <c r="V23" i="6"/>
  <c r="S22" i="6" s="1"/>
  <c r="C9" i="10"/>
  <c r="K8" i="6"/>
  <c r="J6" i="6"/>
  <c r="C13" i="10"/>
  <c r="C4" i="14"/>
  <c r="L30" i="6"/>
  <c r="J3" i="6"/>
  <c r="C15" i="14"/>
  <c r="D37" i="6"/>
  <c r="C8" i="6"/>
  <c r="L6" i="6"/>
  <c r="M31" i="6"/>
  <c r="C7" i="6"/>
  <c r="D35" i="6"/>
  <c r="E36" i="6"/>
  <c r="E37" i="6" s="1"/>
  <c r="L8" i="6"/>
  <c r="C6" i="6"/>
  <c r="C8" i="10"/>
  <c r="C14" i="10"/>
  <c r="C11" i="10"/>
  <c r="C4" i="10"/>
  <c r="C6" i="10"/>
  <c r="C6" i="14"/>
  <c r="J5" i="13" l="1"/>
  <c r="E33" i="13" s="1"/>
  <c r="R2" i="12"/>
  <c r="R10" i="12"/>
  <c r="R1" i="12"/>
  <c r="N30" i="6"/>
  <c r="E35" i="6"/>
  <c r="F8" i="14"/>
  <c r="J8" i="6"/>
  <c r="M8" i="6" s="1"/>
  <c r="N31" i="6"/>
  <c r="F12" i="10"/>
  <c r="F12" i="14"/>
  <c r="F23" i="14" l="1"/>
  <c r="D12" i="14"/>
  <c r="E12" i="14" s="1"/>
  <c r="D11" i="14"/>
  <c r="E11" i="14" s="1"/>
  <c r="D16" i="14"/>
  <c r="E16" i="14" s="1"/>
  <c r="D15" i="14"/>
  <c r="E15" i="14" s="1"/>
  <c r="D9" i="14"/>
  <c r="E9" i="14" s="1"/>
  <c r="D22" i="14"/>
  <c r="E22" i="14" s="1"/>
  <c r="D10" i="14"/>
  <c r="E10" i="14" s="1"/>
  <c r="D7" i="14"/>
  <c r="E7" i="14" s="1"/>
  <c r="D6" i="14"/>
  <c r="E6" i="14" s="1"/>
  <c r="D20" i="14"/>
  <c r="E20" i="14" s="1"/>
  <c r="D14" i="14"/>
  <c r="E14" i="14" s="1"/>
  <c r="D5" i="14"/>
  <c r="E5" i="14" s="1"/>
  <c r="D21" i="14"/>
  <c r="E21" i="14" s="1"/>
  <c r="D19" i="14"/>
  <c r="E19" i="14" s="1"/>
  <c r="C24" i="14"/>
  <c r="D8" i="14"/>
  <c r="E8" i="14" s="1"/>
  <c r="D13" i="14"/>
  <c r="E13" i="14" s="1"/>
  <c r="D4" i="14"/>
  <c r="E4" i="14" s="1"/>
  <c r="D18" i="14"/>
  <c r="E18" i="14" s="1"/>
  <c r="D17" i="14"/>
  <c r="E17" i="14" s="1"/>
  <c r="R2" i="13"/>
  <c r="R1" i="13"/>
  <c r="R10" i="13"/>
  <c r="F38" i="12"/>
  <c r="F21" i="12"/>
  <c r="F17" i="12"/>
  <c r="F4" i="12"/>
  <c r="F2" i="12"/>
  <c r="M13" i="12"/>
  <c r="O3" i="12"/>
  <c r="F16" i="12"/>
  <c r="M9" i="12"/>
  <c r="F29" i="12"/>
  <c r="F26" i="12"/>
  <c r="F20" i="12"/>
  <c r="F14" i="12"/>
  <c r="F11" i="12"/>
  <c r="O8" i="12"/>
  <c r="F8" i="12"/>
  <c r="O6" i="12"/>
  <c r="F6" i="12"/>
  <c r="O4" i="12"/>
  <c r="F34" i="12"/>
  <c r="F10" i="12"/>
  <c r="M7" i="12"/>
  <c r="F35" i="12"/>
  <c r="F25" i="12"/>
  <c r="F9" i="12"/>
  <c r="F39" i="12"/>
  <c r="F19" i="12"/>
  <c r="F12" i="12"/>
  <c r="F5" i="12"/>
  <c r="F36" i="12"/>
  <c r="F30" i="12"/>
  <c r="F18" i="12"/>
  <c r="F15" i="12"/>
  <c r="O13" i="12"/>
  <c r="F13" i="12"/>
  <c r="M6" i="12"/>
  <c r="M4" i="12"/>
  <c r="G33" i="12"/>
  <c r="O12" i="12"/>
  <c r="O7" i="12"/>
  <c r="F37" i="12"/>
  <c r="F28" i="12"/>
  <c r="F27" i="12"/>
  <c r="F23" i="12"/>
  <c r="F22" i="12"/>
  <c r="F7" i="12"/>
  <c r="O5" i="12"/>
  <c r="F3" i="12"/>
  <c r="F24" i="12"/>
  <c r="M12" i="12"/>
  <c r="M3" i="12"/>
  <c r="F40" i="12"/>
  <c r="F33" i="12"/>
  <c r="M5" i="12"/>
  <c r="G29" i="12"/>
  <c r="G26" i="12"/>
  <c r="H25" i="12"/>
  <c r="G20" i="12"/>
  <c r="G14" i="12"/>
  <c r="G11" i="12"/>
  <c r="G8" i="12"/>
  <c r="G6" i="12"/>
  <c r="G4" i="12"/>
  <c r="G40" i="12"/>
  <c r="H24" i="12"/>
  <c r="G16" i="12"/>
  <c r="H21" i="12"/>
  <c r="N5" i="12"/>
  <c r="H29" i="12"/>
  <c r="G17" i="12"/>
  <c r="H4" i="12"/>
  <c r="H36" i="12"/>
  <c r="H30" i="12"/>
  <c r="G25" i="12"/>
  <c r="H18" i="12"/>
  <c r="H15" i="12"/>
  <c r="H13" i="12"/>
  <c r="H20" i="12"/>
  <c r="H14" i="12"/>
  <c r="H37" i="12"/>
  <c r="G36" i="12"/>
  <c r="G30" i="12"/>
  <c r="H28" i="12"/>
  <c r="H27" i="12"/>
  <c r="H23" i="12"/>
  <c r="H22" i="12"/>
  <c r="G18" i="12"/>
  <c r="G15" i="12"/>
  <c r="G13" i="12"/>
  <c r="H9" i="12"/>
  <c r="N6" i="12"/>
  <c r="N4" i="12"/>
  <c r="H2" i="12"/>
  <c r="G12" i="12"/>
  <c r="G3" i="12"/>
  <c r="N7" i="12"/>
  <c r="G38" i="12"/>
  <c r="H39" i="12"/>
  <c r="G37" i="12"/>
  <c r="G28" i="12"/>
  <c r="G27" i="12"/>
  <c r="G23" i="12"/>
  <c r="G22" i="12"/>
  <c r="H19" i="12"/>
  <c r="H12" i="12"/>
  <c r="G9" i="12"/>
  <c r="H7" i="12"/>
  <c r="H5" i="12"/>
  <c r="G2" i="12"/>
  <c r="G7" i="12"/>
  <c r="G5" i="12"/>
  <c r="G24" i="12"/>
  <c r="H17" i="12"/>
  <c r="N12" i="12"/>
  <c r="H35" i="12" s="1"/>
  <c r="H40" i="12"/>
  <c r="G39" i="12"/>
  <c r="H33" i="12"/>
  <c r="G19" i="12"/>
  <c r="H16" i="12"/>
  <c r="N13" i="12"/>
  <c r="H10" i="12"/>
  <c r="G10" i="12"/>
  <c r="H8" i="12"/>
  <c r="H6" i="12"/>
  <c r="H38" i="12"/>
  <c r="N3" i="12"/>
  <c r="H26" i="12"/>
  <c r="G21" i="12"/>
  <c r="H11" i="12"/>
  <c r="L4" i="6"/>
  <c r="J4" i="6"/>
  <c r="J5" i="6" s="1"/>
  <c r="K4" i="6"/>
  <c r="K5" i="6" s="1"/>
  <c r="N8" i="6"/>
  <c r="L5" i="6"/>
  <c r="C7" i="10"/>
  <c r="C7" i="14"/>
  <c r="G35" i="12" l="1"/>
  <c r="R5" i="12" s="1"/>
  <c r="R8" i="12" s="1"/>
  <c r="F38" i="13"/>
  <c r="F21" i="13"/>
  <c r="F17" i="13"/>
  <c r="F29" i="13"/>
  <c r="F11" i="13"/>
  <c r="O8" i="13"/>
  <c r="O6" i="13"/>
  <c r="F4" i="13"/>
  <c r="F3" i="13"/>
  <c r="F26" i="13"/>
  <c r="F20" i="13"/>
  <c r="F14" i="13"/>
  <c r="F8" i="13"/>
  <c r="F6" i="13"/>
  <c r="O4" i="13"/>
  <c r="F35" i="13"/>
  <c r="F25" i="13"/>
  <c r="F34" i="13"/>
  <c r="F36" i="13"/>
  <c r="F30" i="13"/>
  <c r="F18" i="13"/>
  <c r="F15" i="13"/>
  <c r="O13" i="13"/>
  <c r="F13" i="13"/>
  <c r="M6" i="13"/>
  <c r="M4" i="13"/>
  <c r="F16" i="13"/>
  <c r="M9" i="13"/>
  <c r="F10" i="13"/>
  <c r="F37" i="13"/>
  <c r="F28" i="13"/>
  <c r="F27" i="13"/>
  <c r="F23" i="13"/>
  <c r="F22" i="13"/>
  <c r="F9" i="13"/>
  <c r="F2" i="13"/>
  <c r="O3" i="13"/>
  <c r="F24" i="13"/>
  <c r="M7" i="13"/>
  <c r="M5" i="13"/>
  <c r="F39" i="13"/>
  <c r="G33" i="13"/>
  <c r="F19" i="13"/>
  <c r="M13" i="13"/>
  <c r="O12" i="13"/>
  <c r="F12" i="13"/>
  <c r="O7" i="13"/>
  <c r="F7" i="13"/>
  <c r="O5" i="13"/>
  <c r="F5" i="13"/>
  <c r="M12" i="13"/>
  <c r="F40" i="13"/>
  <c r="F33" i="13"/>
  <c r="M3" i="13"/>
  <c r="G29" i="13"/>
  <c r="G26" i="13"/>
  <c r="H25" i="13"/>
  <c r="G20" i="13"/>
  <c r="G14" i="13"/>
  <c r="G11" i="13"/>
  <c r="G8" i="13"/>
  <c r="G6" i="13"/>
  <c r="G4" i="13"/>
  <c r="H30" i="13"/>
  <c r="G25" i="13"/>
  <c r="H18" i="13"/>
  <c r="H15" i="13"/>
  <c r="H13" i="13"/>
  <c r="H36" i="13"/>
  <c r="H37" i="13"/>
  <c r="G36" i="13"/>
  <c r="G30" i="13"/>
  <c r="H28" i="13"/>
  <c r="H27" i="13"/>
  <c r="H23" i="13"/>
  <c r="H22" i="13"/>
  <c r="G18" i="13"/>
  <c r="G15" i="13"/>
  <c r="G13" i="13"/>
  <c r="H9" i="13"/>
  <c r="N6" i="13"/>
  <c r="N4" i="13"/>
  <c r="H2" i="13"/>
  <c r="N12" i="13"/>
  <c r="H35" i="13" s="1"/>
  <c r="H14" i="13"/>
  <c r="H39" i="13"/>
  <c r="G37" i="13"/>
  <c r="G28" i="13"/>
  <c r="G27" i="13"/>
  <c r="G23" i="13"/>
  <c r="G22" i="13"/>
  <c r="H19" i="13"/>
  <c r="H12" i="13"/>
  <c r="G9" i="13"/>
  <c r="H7" i="13"/>
  <c r="H5" i="13"/>
  <c r="G2" i="13"/>
  <c r="N5" i="13"/>
  <c r="H29" i="13"/>
  <c r="H40" i="13"/>
  <c r="G39" i="13"/>
  <c r="H33" i="13"/>
  <c r="G19" i="13"/>
  <c r="H16" i="13"/>
  <c r="N13" i="13"/>
  <c r="G12" i="13"/>
  <c r="G7" i="13"/>
  <c r="G5" i="13"/>
  <c r="G3" i="13"/>
  <c r="G38" i="13"/>
  <c r="G17" i="13"/>
  <c r="H11" i="13"/>
  <c r="G40" i="13"/>
  <c r="H24" i="13"/>
  <c r="G16" i="13"/>
  <c r="H10" i="13"/>
  <c r="H21" i="13"/>
  <c r="G10" i="13"/>
  <c r="N7" i="13"/>
  <c r="H26" i="13"/>
  <c r="G21" i="13"/>
  <c r="H4" i="13"/>
  <c r="H38" i="13"/>
  <c r="G24" i="13"/>
  <c r="H17" i="13"/>
  <c r="N3" i="13"/>
  <c r="H20" i="13"/>
  <c r="H8" i="13"/>
  <c r="H6" i="13"/>
  <c r="R4" i="12"/>
  <c r="R7" i="12" s="1"/>
  <c r="R6" i="12"/>
  <c r="R9" i="12" s="1"/>
  <c r="E33" i="6"/>
  <c r="C5" i="10"/>
  <c r="G35" i="13" l="1"/>
  <c r="R5" i="13" s="1"/>
  <c r="R8" i="13" s="1"/>
  <c r="R4" i="13"/>
  <c r="R7" i="13" s="1"/>
  <c r="R6" i="13"/>
  <c r="R9" i="13" s="1"/>
  <c r="C5" i="14"/>
  <c r="R2" i="6"/>
  <c r="R1" i="6"/>
  <c r="F4" i="14"/>
  <c r="E23" i="14" l="1"/>
  <c r="F10" i="6"/>
  <c r="F9" i="6"/>
  <c r="G10" i="6"/>
  <c r="G9" i="6"/>
  <c r="H9" i="6"/>
  <c r="H10" i="6"/>
  <c r="F27" i="6"/>
  <c r="F29" i="6"/>
  <c r="F28" i="6"/>
  <c r="F30" i="6"/>
  <c r="H36" i="6"/>
  <c r="H27" i="6"/>
  <c r="H28" i="6"/>
  <c r="H29" i="6"/>
  <c r="H30" i="6"/>
  <c r="G27" i="6"/>
  <c r="G28" i="6"/>
  <c r="G29" i="6"/>
  <c r="G30" i="6"/>
  <c r="C24" i="10"/>
  <c r="H23" i="6"/>
  <c r="N6" i="6"/>
  <c r="D13" i="10"/>
  <c r="H18" i="6"/>
  <c r="H13" i="6"/>
  <c r="N5" i="6"/>
  <c r="H16" i="6"/>
  <c r="H20" i="6"/>
  <c r="H14" i="6"/>
  <c r="H40" i="6"/>
  <c r="H21" i="6"/>
  <c r="H19" i="6"/>
  <c r="D7" i="10"/>
  <c r="H17" i="6"/>
  <c r="H15" i="6"/>
  <c r="D10" i="10"/>
  <c r="H5" i="6"/>
  <c r="H4" i="6"/>
  <c r="D15" i="10"/>
  <c r="D8" i="10"/>
  <c r="H38" i="6"/>
  <c r="H22" i="6"/>
  <c r="D6" i="10"/>
  <c r="H7" i="6"/>
  <c r="H37" i="6"/>
  <c r="N4" i="6"/>
  <c r="H6" i="6"/>
  <c r="H11" i="6"/>
  <c r="H26" i="6"/>
  <c r="N3" i="6"/>
  <c r="H24" i="6"/>
  <c r="H33" i="6"/>
  <c r="D11" i="10"/>
  <c r="H12" i="6"/>
  <c r="H25" i="6"/>
  <c r="D5" i="10"/>
  <c r="D14" i="10"/>
  <c r="H2" i="6"/>
  <c r="D12" i="10"/>
  <c r="H39" i="6"/>
  <c r="H8" i="6"/>
  <c r="D16" i="10"/>
  <c r="N7" i="6"/>
  <c r="D4" i="10"/>
  <c r="D9" i="10"/>
  <c r="N12" i="6"/>
  <c r="N13" i="6"/>
  <c r="M12" i="6"/>
  <c r="O12" i="6"/>
  <c r="M13" i="6"/>
  <c r="O13" i="6"/>
  <c r="G37" i="6"/>
  <c r="G36" i="6"/>
  <c r="G12" i="6"/>
  <c r="G40" i="6"/>
  <c r="G25" i="6"/>
  <c r="F23" i="6"/>
  <c r="F4" i="6"/>
  <c r="F8" i="6"/>
  <c r="F5" i="6"/>
  <c r="G6" i="6"/>
  <c r="F21" i="6"/>
  <c r="F38" i="6"/>
  <c r="F11" i="6"/>
  <c r="F36" i="6"/>
  <c r="O8" i="6"/>
  <c r="G7" i="6"/>
  <c r="G15" i="6"/>
  <c r="G20" i="6"/>
  <c r="O7" i="6"/>
  <c r="G2" i="6"/>
  <c r="G22" i="6"/>
  <c r="M4" i="6"/>
  <c r="G8" i="6"/>
  <c r="G19" i="6"/>
  <c r="F26" i="6"/>
  <c r="M7" i="6"/>
  <c r="F13" i="6"/>
  <c r="F19" i="6"/>
  <c r="F2" i="6"/>
  <c r="O5" i="6"/>
  <c r="G3" i="6"/>
  <c r="F7" i="6"/>
  <c r="F14" i="6"/>
  <c r="G14" i="6"/>
  <c r="F25" i="6"/>
  <c r="F15" i="6"/>
  <c r="M5" i="6"/>
  <c r="F20" i="6"/>
  <c r="F18" i="6"/>
  <c r="F24" i="6"/>
  <c r="F35" i="6"/>
  <c r="F33" i="6"/>
  <c r="F16" i="6"/>
  <c r="M3" i="6"/>
  <c r="O3" i="6"/>
  <c r="G38" i="6"/>
  <c r="F37" i="6"/>
  <c r="G33" i="6"/>
  <c r="F22" i="6"/>
  <c r="F6" i="6"/>
  <c r="F3" i="6"/>
  <c r="F40" i="6"/>
  <c r="F34" i="6"/>
  <c r="F17" i="6"/>
  <c r="M9" i="6"/>
  <c r="F39" i="6"/>
  <c r="O4" i="6"/>
  <c r="F12" i="6"/>
  <c r="G24" i="6"/>
  <c r="O6" i="6"/>
  <c r="M6" i="6"/>
  <c r="G17" i="6"/>
  <c r="G39" i="6"/>
  <c r="G21" i="6"/>
  <c r="G23" i="6"/>
  <c r="G18" i="6"/>
  <c r="G16" i="6"/>
  <c r="G13" i="6"/>
  <c r="G5" i="6"/>
  <c r="G4" i="6"/>
  <c r="G11" i="6"/>
  <c r="G26" i="6"/>
  <c r="E23" i="10" l="1"/>
  <c r="H35" i="6"/>
  <c r="R6" i="6" s="1"/>
  <c r="R9" i="6" s="1"/>
  <c r="R4" i="6"/>
  <c r="R7" i="6" s="1"/>
  <c r="G35" i="6"/>
  <c r="R5" i="6" s="1"/>
  <c r="R8" i="6" s="1"/>
</calcChain>
</file>

<file path=xl/sharedStrings.xml><?xml version="1.0" encoding="utf-8"?>
<sst xmlns="http://schemas.openxmlformats.org/spreadsheetml/2006/main" count="1260" uniqueCount="205">
  <si>
    <t>lumped masses</t>
  </si>
  <si>
    <t>weight</t>
  </si>
  <si>
    <t>xpos</t>
  </si>
  <si>
    <t>ypos</t>
  </si>
  <si>
    <t>zpos</t>
  </si>
  <si>
    <t>Ixx</t>
  </si>
  <si>
    <t>Iyy</t>
  </si>
  <si>
    <t>Izz</t>
  </si>
  <si>
    <t>componenets</t>
  </si>
  <si>
    <t>Xcg</t>
  </si>
  <si>
    <t>Ycg</t>
  </si>
  <si>
    <t>Zcg</t>
  </si>
  <si>
    <t>fuse</t>
  </si>
  <si>
    <t>motor</t>
  </si>
  <si>
    <t>A</t>
  </si>
  <si>
    <t>xT</t>
  </si>
  <si>
    <t>zT</t>
  </si>
  <si>
    <t>Ix</t>
  </si>
  <si>
    <t>Iz</t>
  </si>
  <si>
    <t>Iy</t>
  </si>
  <si>
    <t>battery</t>
  </si>
  <si>
    <t>wing</t>
  </si>
  <si>
    <t>puck1</t>
  </si>
  <si>
    <t>vert stab</t>
  </si>
  <si>
    <t>puck2</t>
  </si>
  <si>
    <t>horiz stabs</t>
  </si>
  <si>
    <t>puck3</t>
  </si>
  <si>
    <t>ailerons</t>
  </si>
  <si>
    <t>puck4</t>
  </si>
  <si>
    <t>horiz flaps</t>
  </si>
  <si>
    <t>puck5</t>
  </si>
  <si>
    <t>rudder</t>
  </si>
  <si>
    <t>servo1</t>
  </si>
  <si>
    <t>guiderail</t>
  </si>
  <si>
    <t>servo2</t>
  </si>
  <si>
    <t>counterweight</t>
  </si>
  <si>
    <t>x-</t>
  </si>
  <si>
    <t>z-</t>
  </si>
  <si>
    <t>Reciever</t>
  </si>
  <si>
    <t>ESC</t>
  </si>
  <si>
    <t>Fuse Length:</t>
  </si>
  <si>
    <t>Board Density</t>
  </si>
  <si>
    <t>6.5lb/ft^3</t>
  </si>
  <si>
    <t>lb/in^3</t>
  </si>
  <si>
    <t>Prop</t>
  </si>
  <si>
    <t>Fuse Height:</t>
  </si>
  <si>
    <t>Puck 2 should be centered on the CG</t>
  </si>
  <si>
    <t>Fuse Width:</t>
  </si>
  <si>
    <t>ALL WEIGHTS ARE IN POUNDS</t>
  </si>
  <si>
    <t>inches</t>
  </si>
  <si>
    <t>Wing h:</t>
  </si>
  <si>
    <t>wing length</t>
  </si>
  <si>
    <t>Wing span:</t>
  </si>
  <si>
    <t>Guiderail</t>
  </si>
  <si>
    <t>horiz stab</t>
  </si>
  <si>
    <t>Lump Xcg</t>
  </si>
  <si>
    <t>Wing starting x:</t>
  </si>
  <si>
    <t>Starting x:</t>
  </si>
  <si>
    <t>yT</t>
  </si>
  <si>
    <t>Target:</t>
  </si>
  <si>
    <t>Vert h:</t>
  </si>
  <si>
    <t>Length:</t>
  </si>
  <si>
    <t>R</t>
  </si>
  <si>
    <t>Restrictions:</t>
  </si>
  <si>
    <t>4ft long X 1ft Diameter</t>
  </si>
  <si>
    <t>Ixx:</t>
  </si>
  <si>
    <t>lbm*in^2</t>
  </si>
  <si>
    <t>Vert length:</t>
  </si>
  <si>
    <t>Rudder</t>
  </si>
  <si>
    <t>Iyy:</t>
  </si>
  <si>
    <t>vert width:</t>
  </si>
  <si>
    <t>Height(z):</t>
  </si>
  <si>
    <t>L</t>
  </si>
  <si>
    <t>Puck Config</t>
  </si>
  <si>
    <t>Izz:</t>
  </si>
  <si>
    <t>starting x:</t>
  </si>
  <si>
    <t>Length(x):</t>
  </si>
  <si>
    <t>p1</t>
  </si>
  <si>
    <t>Ixy:</t>
  </si>
  <si>
    <t>Horiz Length:</t>
  </si>
  <si>
    <t>H Flaps L:</t>
  </si>
  <si>
    <t>p4</t>
  </si>
  <si>
    <t>p2</t>
  </si>
  <si>
    <t>p5</t>
  </si>
  <si>
    <t>Ixz:</t>
  </si>
  <si>
    <t>Horiz Span:</t>
  </si>
  <si>
    <t>H Flaps W:</t>
  </si>
  <si>
    <t>p3</t>
  </si>
  <si>
    <t>Iyz:</t>
  </si>
  <si>
    <t>Horiz height:</t>
  </si>
  <si>
    <t>H Flaps height:</t>
  </si>
  <si>
    <t>weight:</t>
  </si>
  <si>
    <t>lbm</t>
  </si>
  <si>
    <t>canards</t>
  </si>
  <si>
    <t>motor1</t>
  </si>
  <si>
    <t>ballast</t>
  </si>
  <si>
    <t>Receiver</t>
  </si>
  <si>
    <t>good</t>
  </si>
  <si>
    <t>Lump CG</t>
  </si>
  <si>
    <t>oz/in</t>
  </si>
  <si>
    <t>Roll</t>
  </si>
  <si>
    <t>lbm*ft^2</t>
  </si>
  <si>
    <t>Pitch</t>
  </si>
  <si>
    <t>DON'T</t>
  </si>
  <si>
    <t>Yaw</t>
  </si>
  <si>
    <t>DELETE</t>
  </si>
  <si>
    <t>Yaw to roll</t>
  </si>
  <si>
    <t>Forward bulk?</t>
  </si>
  <si>
    <t>Prop1</t>
  </si>
  <si>
    <t>Prop2</t>
  </si>
  <si>
    <t>Motor2</t>
  </si>
  <si>
    <t>Servo A1</t>
  </si>
  <si>
    <t>servo Canard</t>
  </si>
  <si>
    <t>servo Rudder</t>
  </si>
  <si>
    <t>Servo A2</t>
  </si>
  <si>
    <t>aft board: bass</t>
  </si>
  <si>
    <t>CR Motor</t>
  </si>
  <si>
    <t>lb</t>
  </si>
  <si>
    <t>Lumped masses</t>
  </si>
  <si>
    <t>Wing</t>
  </si>
  <si>
    <t>V</t>
  </si>
  <si>
    <t>Start x:</t>
  </si>
  <si>
    <t>Motor Mount</t>
  </si>
  <si>
    <t>B</t>
  </si>
  <si>
    <t>Start y:</t>
  </si>
  <si>
    <t>Tail</t>
  </si>
  <si>
    <t>Start z:</t>
  </si>
  <si>
    <t>End y:</t>
  </si>
  <si>
    <t>T</t>
  </si>
  <si>
    <t>Canard</t>
  </si>
  <si>
    <t>Bk</t>
  </si>
  <si>
    <t>End z:</t>
  </si>
  <si>
    <t>Sl</t>
  </si>
  <si>
    <t>Chord:</t>
  </si>
  <si>
    <t>Elevon Servos</t>
  </si>
  <si>
    <t>f</t>
  </si>
  <si>
    <t>Rudder x:</t>
  </si>
  <si>
    <t>Tail Servos</t>
  </si>
  <si>
    <t>R Chord:</t>
  </si>
  <si>
    <t>Rudder H:</t>
  </si>
  <si>
    <t>Chord</t>
  </si>
  <si>
    <t>Reciever Battery</t>
  </si>
  <si>
    <t>Balsa Density</t>
  </si>
  <si>
    <t>Balsa Thickness</t>
  </si>
  <si>
    <t>in</t>
  </si>
  <si>
    <t>Componenets</t>
  </si>
  <si>
    <t>Forward R</t>
  </si>
  <si>
    <t>Forward L</t>
  </si>
  <si>
    <t>Rear R</t>
  </si>
  <si>
    <t>Rear L</t>
  </si>
  <si>
    <t>b</t>
  </si>
  <si>
    <t>e</t>
  </si>
  <si>
    <t>Batteries R</t>
  </si>
  <si>
    <t>Batteries L</t>
  </si>
  <si>
    <t>a=</t>
  </si>
  <si>
    <t>d=</t>
  </si>
  <si>
    <t>c=</t>
  </si>
  <si>
    <t>X~</t>
  </si>
  <si>
    <t>Z~</t>
  </si>
  <si>
    <t>Component</t>
  </si>
  <si>
    <t>Weight (lb)</t>
  </si>
  <si>
    <t>Moment Arm (in)</t>
  </si>
  <si>
    <t>Moment (lb-in)</t>
  </si>
  <si>
    <t>Total Weight (lb)</t>
  </si>
  <si>
    <t>Structure</t>
  </si>
  <si>
    <t>Wing w/ Spar</t>
  </si>
  <si>
    <t>Fuselage</t>
  </si>
  <si>
    <t>Horizontal Stabilizer w/ Spar</t>
  </si>
  <si>
    <t>Vertical Stabilizer</t>
  </si>
  <si>
    <t>Propulsion</t>
  </si>
  <si>
    <t>Motor w/ Propeller</t>
  </si>
  <si>
    <t>Speed Controller</t>
  </si>
  <si>
    <t>Propulsion Batteries</t>
  </si>
  <si>
    <t>Avionics</t>
  </si>
  <si>
    <t>Tail Surface Servos</t>
  </si>
  <si>
    <t>Payload</t>
  </si>
  <si>
    <t>Hocky Pucks</t>
  </si>
  <si>
    <t>Total</t>
  </si>
  <si>
    <t>CG (in)</t>
  </si>
  <si>
    <t>small hinge</t>
  </si>
  <si>
    <t>large hinge</t>
  </si>
  <si>
    <t>oz each</t>
  </si>
  <si>
    <t>Mounting TabFR</t>
  </si>
  <si>
    <t>Mounting TabFL</t>
  </si>
  <si>
    <t>Mounting TabBR</t>
  </si>
  <si>
    <t>Mounting Tab BL</t>
  </si>
  <si>
    <t>Hinge FR</t>
  </si>
  <si>
    <t>Hinge FL</t>
  </si>
  <si>
    <t>Hinge BR</t>
  </si>
  <si>
    <t>Hinge BL</t>
  </si>
  <si>
    <t>Nose Skid Piece</t>
  </si>
  <si>
    <t>FR Sleeve</t>
  </si>
  <si>
    <t>FL Sleeve</t>
  </si>
  <si>
    <t>BR Sleeve</t>
  </si>
  <si>
    <t>BL Sleeve</t>
  </si>
  <si>
    <t>F Hinge Lock Plate</t>
  </si>
  <si>
    <t>Rear Skid</t>
  </si>
  <si>
    <t>Right Elevon Servo</t>
  </si>
  <si>
    <t>Left Elevon Servo</t>
  </si>
  <si>
    <t>Misc.</t>
  </si>
  <si>
    <t>Front Hinges</t>
  </si>
  <si>
    <t>Rear Hinges</t>
  </si>
  <si>
    <t>Front Skid</t>
  </si>
  <si>
    <t>Front Mounting Tabs</t>
  </si>
  <si>
    <t>Rear Mounting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</si>
</sst>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CC0000"/>
        <bgColor indexed="64"/>
      </patternFill>
    </fill>
    <fill>
      <patternFill patternType="solid">
        <fgColor rgb="FFC6EFCE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2" fillId="2" borderId="15" applyNumberFormat="0" applyAlignment="0" applyProtection="0"/>
    <xf numFmtId="0" fontId="3" fillId="3" borderId="16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15" applyNumberFormat="0" applyAlignment="0" applyProtection="0"/>
    <xf numFmtId="0" fontId="11" fillId="8" borderId="0" applyNumberFormat="0" applyBorder="0" applyAlignment="0" applyProtection="0"/>
    <xf numFmtId="0" fontId="12" fillId="2" borderId="51" applyNumberFormat="0" applyAlignment="0" applyProtection="0"/>
  </cellStyleXfs>
  <cellXfs count="1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4" xfId="0" applyFill="1" applyBorder="1"/>
    <xf numFmtId="0" fontId="1" fillId="0" borderId="0" xfId="0" applyFont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6" xfId="0" applyFont="1" applyFill="1" applyBorder="1"/>
    <xf numFmtId="0" fontId="0" fillId="0" borderId="7" xfId="0" applyBorder="1"/>
    <xf numFmtId="2" fontId="0" fillId="0" borderId="10" xfId="0" applyNumberFormat="1" applyBorder="1"/>
    <xf numFmtId="0" fontId="1" fillId="0" borderId="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1" fillId="0" borderId="1" xfId="0" applyFont="1" applyFill="1" applyBorder="1"/>
    <xf numFmtId="0" fontId="1" fillId="0" borderId="4" xfId="0" applyFont="1" applyFill="1" applyBorder="1"/>
    <xf numFmtId="0" fontId="0" fillId="0" borderId="6" xfId="0" applyFont="1" applyBorder="1"/>
    <xf numFmtId="0" fontId="1" fillId="0" borderId="18" xfId="0" applyFont="1" applyFill="1" applyBorder="1"/>
    <xf numFmtId="0" fontId="1" fillId="0" borderId="17" xfId="0" applyFont="1" applyBorder="1"/>
    <xf numFmtId="0" fontId="0" fillId="0" borderId="0" xfId="0" applyFont="1" applyBorder="1"/>
    <xf numFmtId="0" fontId="0" fillId="0" borderId="19" xfId="0" applyBorder="1"/>
    <xf numFmtId="0" fontId="0" fillId="0" borderId="0" xfId="0" applyFill="1" applyBorder="1"/>
    <xf numFmtId="0" fontId="0" fillId="0" borderId="5" xfId="0" applyFill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0" fillId="0" borderId="23" xfId="0" applyBorder="1"/>
    <xf numFmtId="0" fontId="1" fillId="0" borderId="24" xfId="0" applyFont="1" applyBorder="1"/>
    <xf numFmtId="0" fontId="2" fillId="2" borderId="15" xfId="1"/>
    <xf numFmtId="0" fontId="3" fillId="3" borderId="16" xfId="2"/>
    <xf numFmtId="0" fontId="2" fillId="2" borderId="25" xfId="1" applyBorder="1"/>
    <xf numFmtId="0" fontId="0" fillId="0" borderId="26" xfId="0" applyBorder="1"/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Fill="1" applyBorder="1"/>
    <xf numFmtId="0" fontId="1" fillId="0" borderId="30" xfId="0" applyFont="1" applyFill="1" applyBorder="1"/>
    <xf numFmtId="0" fontId="0" fillId="5" borderId="0" xfId="0" applyFill="1"/>
    <xf numFmtId="0" fontId="3" fillId="3" borderId="32" xfId="2" applyBorder="1"/>
    <xf numFmtId="0" fontId="0" fillId="4" borderId="31" xfId="0" applyFill="1" applyBorder="1"/>
    <xf numFmtId="2" fontId="0" fillId="0" borderId="0" xfId="0" applyNumberFormat="1"/>
    <xf numFmtId="0" fontId="2" fillId="2" borderId="15" xfId="0" applyFont="1" applyFill="1" applyBorder="1"/>
    <xf numFmtId="0" fontId="3" fillId="3" borderId="0" xfId="2" applyBorder="1"/>
    <xf numFmtId="0" fontId="6" fillId="6" borderId="15" xfId="5"/>
    <xf numFmtId="0" fontId="0" fillId="0" borderId="2" xfId="0" applyFill="1" applyBorder="1"/>
    <xf numFmtId="0" fontId="0" fillId="0" borderId="0" xfId="0" applyNumberFormat="1"/>
    <xf numFmtId="0" fontId="2" fillId="2" borderId="25" xfId="1" applyNumberFormat="1" applyBorder="1"/>
    <xf numFmtId="0" fontId="0" fillId="0" borderId="34" xfId="0" applyBorder="1"/>
    <xf numFmtId="2" fontId="0" fillId="0" borderId="35" xfId="0" applyNumberFormat="1" applyBorder="1"/>
    <xf numFmtId="0" fontId="0" fillId="0" borderId="33" xfId="0" applyBorder="1"/>
    <xf numFmtId="0" fontId="0" fillId="0" borderId="3" xfId="0" applyBorder="1"/>
    <xf numFmtId="0" fontId="0" fillId="0" borderId="36" xfId="0" applyBorder="1"/>
    <xf numFmtId="0" fontId="0" fillId="0" borderId="37" xfId="0" applyBorder="1"/>
    <xf numFmtId="0" fontId="0" fillId="0" borderId="37" xfId="0" applyFont="1" applyBorder="1"/>
    <xf numFmtId="0" fontId="0" fillId="0" borderId="2" xfId="0" applyFont="1" applyFill="1" applyBorder="1"/>
    <xf numFmtId="0" fontId="6" fillId="6" borderId="25" xfId="5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7" fillId="0" borderId="38" xfId="0" applyFont="1" applyBorder="1" applyAlignment="1">
      <alignment horizontal="center"/>
    </xf>
    <xf numFmtId="0" fontId="7" fillId="0" borderId="3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8" fillId="7" borderId="38" xfId="0" applyFont="1" applyFill="1" applyBorder="1" applyAlignment="1">
      <alignment horizontal="center" vertical="center"/>
    </xf>
    <xf numFmtId="0" fontId="0" fillId="0" borderId="40" xfId="0" applyBorder="1"/>
    <xf numFmtId="0" fontId="7" fillId="0" borderId="47" xfId="0" applyFont="1" applyFill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/>
    </xf>
    <xf numFmtId="0" fontId="7" fillId="0" borderId="46" xfId="0" applyFont="1" applyBorder="1" applyAlignment="1">
      <alignment horizontal="center" vertical="center"/>
    </xf>
    <xf numFmtId="2" fontId="7" fillId="0" borderId="49" xfId="0" applyNumberFormat="1" applyFont="1" applyBorder="1" applyAlignment="1">
      <alignment horizontal="center"/>
    </xf>
    <xf numFmtId="0" fontId="7" fillId="0" borderId="49" xfId="0" applyFont="1" applyBorder="1" applyAlignment="1">
      <alignment horizontal="center" vertical="center"/>
    </xf>
    <xf numFmtId="0" fontId="7" fillId="0" borderId="46" xfId="0" applyFont="1" applyFill="1" applyBorder="1" applyAlignment="1">
      <alignment horizontal="center" vertical="center"/>
    </xf>
    <xf numFmtId="0" fontId="7" fillId="0" borderId="39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2" fontId="6" fillId="6" borderId="15" xfId="5" applyNumberFormat="1"/>
    <xf numFmtId="0" fontId="12" fillId="2" borderId="51" xfId="7"/>
    <xf numFmtId="0" fontId="11" fillId="8" borderId="2" xfId="6" applyBorder="1"/>
    <xf numFmtId="0" fontId="11" fillId="8" borderId="51" xfId="6" applyBorder="1"/>
    <xf numFmtId="0" fontId="8" fillId="7" borderId="41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/>
    </xf>
    <xf numFmtId="0" fontId="8" fillId="7" borderId="3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42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8" fillId="7" borderId="43" xfId="0" applyFont="1" applyFill="1" applyBorder="1" applyAlignment="1">
      <alignment horizontal="center" vertical="center" wrapText="1"/>
    </xf>
    <xf numFmtId="0" fontId="8" fillId="7" borderId="40" xfId="0" applyFont="1" applyFill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3" fillId="7" borderId="46" xfId="0" applyFont="1" applyFill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0" fontId="3" fillId="7" borderId="39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7" borderId="31" xfId="0" applyFont="1" applyFill="1" applyBorder="1" applyAlignment="1">
      <alignment horizontal="center" vertical="center" wrapText="1"/>
    </xf>
    <xf numFmtId="0" fontId="8" fillId="7" borderId="45" xfId="0" applyFont="1" applyFill="1" applyBorder="1" applyAlignment="1">
      <alignment horizontal="center" vertical="center" wrapText="1"/>
    </xf>
    <xf numFmtId="0" fontId="8" fillId="7" borderId="46" xfId="0" applyFont="1" applyFill="1" applyBorder="1" applyAlignment="1">
      <alignment horizontal="center" vertical="center"/>
    </xf>
    <xf numFmtId="0" fontId="8" fillId="7" borderId="47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3" fillId="7" borderId="40" xfId="0" applyFont="1" applyFill="1" applyBorder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0" fillId="0" borderId="0" xfId="0" applyFont="1" applyFill="1" applyAlignment="1">
      <alignment horizontal="center"/>
    </xf>
  </cellXfs>
  <cellStyles count="8">
    <cellStyle name="Calculation" xfId="1" builtinId="22"/>
    <cellStyle name="Check Cell" xfId="2" builtinId="23"/>
    <cellStyle name="Followed Hyperlink" xfId="3" builtinId="9" hidden="1"/>
    <cellStyle name="Good" xfId="6" builtinId="26"/>
    <cellStyle name="Hyperlink" xfId="4" builtinId="8" hidden="1"/>
    <cellStyle name="Input" xfId="5" builtinId="20"/>
    <cellStyle name="Normal" xfId="0" builtinId="0"/>
    <cellStyle name="Output" xfId="7" builtinId="21"/>
  </cellStyles>
  <dxfs count="6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</dxf>
    <dxf>
      <font>
        <b/>
        <i val="0"/>
        <color theme="0"/>
      </font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Table Style 1" pivot="0" count="0" xr9:uid="{00000000-0011-0000-FFFF-FFFF00000000}"/>
    <tableStyle name="Table Style 2" pivot="0" count="3" xr9:uid="{00000000-0011-0000-FFFF-FFFF01000000}">
      <tableStyleElement type="wholeTable" dxfId="66"/>
      <tableStyleElement type="headerRow" dxfId="65"/>
      <tableStyleElement type="firstColumn" dxfId="64"/>
    </tableStyle>
  </tableStyles>
  <colors>
    <mruColors>
      <color rgb="FFCC0000"/>
      <color rgb="FFA20000"/>
      <color rgb="FF8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4" totalsRowShown="0">
  <autoFilter ref="A1:H14" xr:uid="{00000000-0009-0000-0100-000001000000}"/>
  <tableColumns count="8">
    <tableColumn id="1" xr3:uid="{00000000-0010-0000-0000-000001000000}" name="lumped masses"/>
    <tableColumn id="2" xr3:uid="{00000000-0010-0000-0000-000002000000}" name="weight"/>
    <tableColumn id="3" xr3:uid="{00000000-0010-0000-0000-000003000000}" name="xpos"/>
    <tableColumn id="4" xr3:uid="{00000000-0010-0000-0000-000004000000}" name="ypos"/>
    <tableColumn id="5" xr3:uid="{00000000-0010-0000-0000-000005000000}" name="zpos"/>
    <tableColumn id="6" xr3:uid="{00000000-0010-0000-0000-000006000000}" name="Ixx"/>
    <tableColumn id="7" xr3:uid="{00000000-0010-0000-0000-000007000000}" name="Iyy"/>
    <tableColumn id="8" xr3:uid="{00000000-0010-0000-0000-000008000000}" name="Izz"/>
  </tableColumns>
  <tableStyleInfo name="TableStyleLight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613" displayName="Table613" ref="T13:Y16" totalsRowShown="0" headerRowCellStyle="Calculation" dataCellStyle="Calculation">
  <autoFilter ref="T13:Y16" xr:uid="{00000000-0009-0000-0100-00000C000000}"/>
  <tableColumns count="6">
    <tableColumn id="1" xr3:uid="{00000000-0010-0000-0900-000001000000}" name="A" dataCellStyle="Calculation">
      <calculatedColumnFormula>4.11*K18</calculatedColumnFormula>
    </tableColumn>
    <tableColumn id="2" xr3:uid="{00000000-0010-0000-0900-000002000000}" name="xT" dataCellStyle="Calculation"/>
    <tableColumn id="3" xr3:uid="{00000000-0010-0000-0900-000003000000}" name="zT" dataCellStyle="Calculation"/>
    <tableColumn id="4" xr3:uid="{00000000-0010-0000-0900-000004000000}" name="Ix" dataCellStyle="Calculation"/>
    <tableColumn id="5" xr3:uid="{00000000-0010-0000-0900-000005000000}" name="Iz" dataCellStyle="Calculation"/>
    <tableColumn id="6" xr3:uid="{00000000-0010-0000-0900-000006000000}" name="Iy" dataCellStyle="Calculation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6914" displayName="Table6914" ref="T18:X23" totalsRowCount="1" headerRowCellStyle="Calculation" dataCellStyle="Calculation" totalsRowCellStyle="Calculation">
  <autoFilter ref="T18:X22" xr:uid="{00000000-0009-0000-0100-00000D000000}"/>
  <tableColumns count="5">
    <tableColumn id="1" xr3:uid="{00000000-0010-0000-0A00-000001000000}" name="A" totalsRowFunction="custom" dataCellStyle="Calculation">
      <totalsRowFormula>(T19*U19+T20*U20+T21*U21+T22*U22)/(T19+T20+T21+T22)</totalsRowFormula>
    </tableColumn>
    <tableColumn id="2" xr3:uid="{00000000-0010-0000-0A00-000002000000}" name="xT" dataCellStyle="Calculation"/>
    <tableColumn id="3" xr3:uid="{00000000-0010-0000-0A00-000003000000}" name="yT" dataCellStyle="Calculation"/>
    <tableColumn id="4" xr3:uid="{00000000-0010-0000-0A00-000004000000}" name="Ix" dataCellStyle="Calculation"/>
    <tableColumn id="5" xr3:uid="{00000000-0010-0000-0A00-000005000000}" name="Iy" dataCellStyle="Calculation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915" displayName="Table915" ref="T25:X29" totalsRowShown="0" headerRowCellStyle="Calculation" dataCellStyle="Calculation">
  <autoFilter ref="T25:X29" xr:uid="{00000000-0009-0000-0100-00000E000000}"/>
  <tableColumns count="5">
    <tableColumn id="1" xr3:uid="{00000000-0010-0000-0B00-000001000000}" name="A" dataCellStyle="Calculation"/>
    <tableColumn id="2" xr3:uid="{00000000-0010-0000-0B00-000002000000}" name="xT" dataCellStyle="Calculation"/>
    <tableColumn id="3" xr3:uid="{00000000-0010-0000-0B00-000003000000}" name="yT" dataCellStyle="Calculation"/>
    <tableColumn id="4" xr3:uid="{00000000-0010-0000-0B00-000004000000}" name="Ix" dataCellStyle="Calculation"/>
    <tableColumn id="5" xr3:uid="{00000000-0010-0000-0B00-000005000000}" name="Iy" dataCellStyle="Calculation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C000000}" name="Table184" displayName="Table184" ref="A1:H14" totalsRowShown="0">
  <autoFilter ref="A1:H14" xr:uid="{00000000-0009-0000-0100-000003000000}"/>
  <tableColumns count="8">
    <tableColumn id="1" xr3:uid="{00000000-0010-0000-0C00-000001000000}" name="lumped masses"/>
    <tableColumn id="2" xr3:uid="{00000000-0010-0000-0C00-000002000000}" name="weight"/>
    <tableColumn id="3" xr3:uid="{00000000-0010-0000-0C00-000003000000}" name="xpos"/>
    <tableColumn id="4" xr3:uid="{00000000-0010-0000-0C00-000004000000}" name="ypos"/>
    <tableColumn id="5" xr3:uid="{00000000-0010-0000-0C00-000005000000}" name="zpos"/>
    <tableColumn id="6" xr3:uid="{00000000-0010-0000-0C00-000006000000}" name="Ixx"/>
    <tableColumn id="7" xr3:uid="{00000000-0010-0000-0C00-000007000000}" name="Iyy"/>
    <tableColumn id="8" xr3:uid="{00000000-0010-0000-0C00-000008000000}" name="Izz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D000000}" name="Table2115" displayName="Table2115" ref="J1:Q10" totalsRowShown="0">
  <autoFilter ref="J1:Q10" xr:uid="{00000000-0009-0000-0100-000004000000}"/>
  <tableColumns count="8">
    <tableColumn id="1" xr3:uid="{00000000-0010-0000-0D00-000001000000}" name="componenets"/>
    <tableColumn id="2" xr3:uid="{00000000-0010-0000-0D00-000002000000}" name="weight"/>
    <tableColumn id="3" xr3:uid="{00000000-0010-0000-0D00-000003000000}" name="Xcg" dataDxfId="53"/>
    <tableColumn id="4" xr3:uid="{00000000-0010-0000-0D00-000004000000}" name="Ycg"/>
    <tableColumn id="5" xr3:uid="{00000000-0010-0000-0D00-000005000000}" name="Zcg" dataDxfId="52">
      <calculatedColumnFormula>U11</calculatedColumnFormula>
    </tableColumn>
    <tableColumn id="6" xr3:uid="{00000000-0010-0000-0D00-000006000000}" name="Ixx" dataDxfId="51"/>
    <tableColumn id="7" xr3:uid="{00000000-0010-0000-0D00-000007000000}" name="Iyy"/>
    <tableColumn id="8" xr3:uid="{00000000-0010-0000-0D00-000008000000}" name="Izz"/>
  </tableColumns>
  <tableStyleInfo name="TableStyleLight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E000000}" name="Table61317" displayName="Table61317" ref="T13:Y17" totalsRowShown="0" headerRowCellStyle="Calculation" dataCellStyle="Calculation">
  <autoFilter ref="T13:Y17" xr:uid="{00000000-0009-0000-0100-000010000000}"/>
  <tableColumns count="6">
    <tableColumn id="1" xr3:uid="{00000000-0010-0000-0E00-000001000000}" name="A" dataCellStyle="Calculation">
      <calculatedColumnFormula>4.11*K18</calculatedColumnFormula>
    </tableColumn>
    <tableColumn id="2" xr3:uid="{00000000-0010-0000-0E00-000002000000}" name="xT" dataCellStyle="Calculation"/>
    <tableColumn id="3" xr3:uid="{00000000-0010-0000-0E00-000003000000}" name="zT" dataCellStyle="Calculation"/>
    <tableColumn id="4" xr3:uid="{00000000-0010-0000-0E00-000004000000}" name="Ix" dataCellStyle="Calculation"/>
    <tableColumn id="5" xr3:uid="{00000000-0010-0000-0E00-000005000000}" name="Iz" dataCellStyle="Calculation"/>
    <tableColumn id="6" xr3:uid="{00000000-0010-0000-0E00-000006000000}" name="Iy" dataCellStyle="Calculation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F000000}" name="Table691418" displayName="Table691418" ref="T18:Y23" totalsRowCount="1" headerRowCellStyle="Calculation" dataCellStyle="Calculation" totalsRowCellStyle="Calculation">
  <autoFilter ref="T18:Y22" xr:uid="{00000000-0009-0000-0100-000011000000}"/>
  <tableColumns count="6">
    <tableColumn id="1" xr3:uid="{00000000-0010-0000-0F00-000001000000}" name="A" totalsRowFunction="custom" dataCellStyle="Calculation">
      <totalsRowFormula>(T19*U19+T20*U20+T21*U21+T22*U22)/(T19+T20+T21+T22)</totalsRowFormula>
    </tableColumn>
    <tableColumn id="2" xr3:uid="{00000000-0010-0000-0F00-000002000000}" name="xT" dataCellStyle="Calculation"/>
    <tableColumn id="3" xr3:uid="{00000000-0010-0000-0F00-000003000000}" name="yT" dataCellStyle="Calculation"/>
    <tableColumn id="4" xr3:uid="{00000000-0010-0000-0F00-000004000000}" name="Ix" dataCellStyle="Calculation"/>
    <tableColumn id="5" xr3:uid="{00000000-0010-0000-0F00-000005000000}" name="Iy" dataCellStyle="Calculation"/>
    <tableColumn id="6" xr3:uid="{00000000-0010-0000-0F00-000006000000}" name="Iz" dataCellStyle="Calculation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e91519" displayName="Table91519" ref="T25:Y29" totalsRowShown="0" headerRowCellStyle="Calculation" dataCellStyle="Calculation">
  <autoFilter ref="T25:Y29" xr:uid="{00000000-0009-0000-0100-000012000000}"/>
  <tableColumns count="6">
    <tableColumn id="1" xr3:uid="{00000000-0010-0000-1000-000001000000}" name="A" dataCellStyle="Calculation"/>
    <tableColumn id="2" xr3:uid="{00000000-0010-0000-1000-000002000000}" name="xT" dataCellStyle="Calculation"/>
    <tableColumn id="3" xr3:uid="{00000000-0010-0000-1000-000003000000}" name="yT" dataCellStyle="Calculation"/>
    <tableColumn id="4" xr3:uid="{00000000-0010-0000-1000-000004000000}" name="Ix" dataCellStyle="Calculation"/>
    <tableColumn id="5" xr3:uid="{00000000-0010-0000-1000-000005000000}" name="Iy" dataCellStyle="Calculation"/>
    <tableColumn id="6" xr3:uid="{00000000-0010-0000-1000-000006000000}" name="Iz" dataCellStyle="Calculation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1000000}" name="Table51216" displayName="Table51216" ref="T2:Y8" totalsRowShown="0" headerRowCellStyle="Calculation" dataCellStyle="Calculation">
  <autoFilter ref="T2:Y8" xr:uid="{00000000-0009-0000-0100-00000F000000}"/>
  <tableColumns count="6">
    <tableColumn id="1" xr3:uid="{00000000-0010-0000-1100-000001000000}" name="A" dataCellStyle="Calculation"/>
    <tableColumn id="2" xr3:uid="{00000000-0010-0000-1100-000002000000}" name="xT" dataCellStyle="Calculation"/>
    <tableColumn id="3" xr3:uid="{00000000-0010-0000-1100-000003000000}" name="zT" dataCellStyle="Calculation"/>
    <tableColumn id="6" xr3:uid="{00000000-0010-0000-1100-000006000000}" name="Ix" dataDxfId="50" dataCellStyle="Calculation">
      <calculatedColumnFormula>Table51216[[#This Row],[A]]*Table51216[[#This Row],[zT]]^2+14.90625</calculatedColumnFormula>
    </tableColumn>
    <tableColumn id="7" xr3:uid="{00000000-0010-0000-1100-000007000000}" name="Iz" dataDxfId="49" dataCellStyle="Calculation">
      <calculatedColumnFormula>Table51216[[#This Row],[A]]*Table51216[[#This Row],[xT]]^2</calculatedColumnFormula>
    </tableColumn>
    <tableColumn id="8" xr3:uid="{00000000-0010-0000-1100-000008000000}" name="Iy" dataCellStyle="Calculation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8420" displayName="Table18420" ref="A1:H14" totalsRowShown="0">
  <autoFilter ref="A1:H14" xr:uid="{00000000-0009-0000-0100-000013000000}"/>
  <tableColumns count="8">
    <tableColumn id="1" xr3:uid="{00000000-0010-0000-1200-000001000000}" name="lumped masses"/>
    <tableColumn id="2" xr3:uid="{00000000-0010-0000-1200-000002000000}" name="weight"/>
    <tableColumn id="3" xr3:uid="{00000000-0010-0000-1200-000003000000}" name="xpos"/>
    <tableColumn id="4" xr3:uid="{00000000-0010-0000-1200-000004000000}" name="ypos"/>
    <tableColumn id="5" xr3:uid="{00000000-0010-0000-1200-000005000000}" name="zpos"/>
    <tableColumn id="6" xr3:uid="{00000000-0010-0000-1200-000006000000}" name="Ixx"/>
    <tableColumn id="7" xr3:uid="{00000000-0010-0000-1200-000007000000}" name="Iyy"/>
    <tableColumn id="8" xr3:uid="{00000000-0010-0000-1200-000008000000}" name="Izz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J1:Q10" totalsRowShown="0">
  <autoFilter ref="J1:Q10" xr:uid="{00000000-0009-0000-0100-000002000000}"/>
  <tableColumns count="8">
    <tableColumn id="1" xr3:uid="{00000000-0010-0000-0100-000001000000}" name="componenets"/>
    <tableColumn id="2" xr3:uid="{00000000-0010-0000-0100-000002000000}" name="weight"/>
    <tableColumn id="3" xr3:uid="{00000000-0010-0000-0100-000003000000}" name="Xcg" dataDxfId="63"/>
    <tableColumn id="4" xr3:uid="{00000000-0010-0000-0100-000004000000}" name="Ycg"/>
    <tableColumn id="5" xr3:uid="{00000000-0010-0000-0100-000005000000}" name="Zcg" dataDxfId="62">
      <calculatedColumnFormula>U11</calculatedColumnFormula>
    </tableColumn>
    <tableColumn id="6" xr3:uid="{00000000-0010-0000-0100-000006000000}" name="Ixx" dataDxfId="61"/>
    <tableColumn id="7" xr3:uid="{00000000-0010-0000-0100-000007000000}" name="Iyy"/>
    <tableColumn id="8" xr3:uid="{00000000-0010-0000-0100-000008000000}" name="Izz"/>
  </tableColumns>
  <tableStyleInfo name="TableStyleLight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11521" displayName="Table211521" ref="J1:Q10" totalsRowShown="0">
  <autoFilter ref="J1:Q10" xr:uid="{00000000-0009-0000-0100-000014000000}"/>
  <tableColumns count="8">
    <tableColumn id="1" xr3:uid="{00000000-0010-0000-1300-000001000000}" name="componenets"/>
    <tableColumn id="2" xr3:uid="{00000000-0010-0000-1300-000002000000}" name="weight"/>
    <tableColumn id="3" xr3:uid="{00000000-0010-0000-1300-000003000000}" name="Xcg" dataDxfId="48"/>
    <tableColumn id="4" xr3:uid="{00000000-0010-0000-1300-000004000000}" name="Ycg"/>
    <tableColumn id="5" xr3:uid="{00000000-0010-0000-1300-000005000000}" name="Zcg" dataDxfId="47">
      <calculatedColumnFormula>U11</calculatedColumnFormula>
    </tableColumn>
    <tableColumn id="6" xr3:uid="{00000000-0010-0000-1300-000006000000}" name="Ixx" dataDxfId="46"/>
    <tableColumn id="7" xr3:uid="{00000000-0010-0000-1300-000007000000}" name="Iyy"/>
    <tableColumn id="8" xr3:uid="{00000000-0010-0000-1300-000008000000}" name="Izz"/>
  </tableColumns>
  <tableStyleInfo name="TableStyleLight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6131722" displayName="Table6131722" ref="T13:Y17" totalsRowShown="0" headerRowCellStyle="Calculation" dataCellStyle="Calculation">
  <autoFilter ref="T13:Y17" xr:uid="{00000000-0009-0000-0100-000015000000}"/>
  <tableColumns count="6">
    <tableColumn id="1" xr3:uid="{00000000-0010-0000-1400-000001000000}" name="A" dataCellStyle="Calculation">
      <calculatedColumnFormula>4.11*K18</calculatedColumnFormula>
    </tableColumn>
    <tableColumn id="2" xr3:uid="{00000000-0010-0000-1400-000002000000}" name="xT" dataCellStyle="Calculation"/>
    <tableColumn id="3" xr3:uid="{00000000-0010-0000-1400-000003000000}" name="zT" dataCellStyle="Calculation"/>
    <tableColumn id="4" xr3:uid="{00000000-0010-0000-1400-000004000000}" name="Ix" dataCellStyle="Calculation"/>
    <tableColumn id="5" xr3:uid="{00000000-0010-0000-1400-000005000000}" name="Iz" dataCellStyle="Calculation"/>
    <tableColumn id="6" xr3:uid="{00000000-0010-0000-1400-000006000000}" name="Iy" dataCellStyle="Calculation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69141823" displayName="Table69141823" ref="T18:Y23" totalsRowCount="1" headerRowCellStyle="Calculation" dataCellStyle="Calculation" totalsRowCellStyle="Calculation">
  <autoFilter ref="T18:Y22" xr:uid="{00000000-0009-0000-0100-000016000000}"/>
  <tableColumns count="6">
    <tableColumn id="1" xr3:uid="{00000000-0010-0000-1500-000001000000}" name="A" totalsRowFunction="custom" totalsRowDxfId="45" dataCellStyle="Calculation">
      <totalsRowFormula>(T19*U19+T20*U20+T21*U21+T22*U22)/(T19+T20+T21+T22)</totalsRowFormula>
    </tableColumn>
    <tableColumn id="2" xr3:uid="{00000000-0010-0000-1500-000002000000}" name="xT" totalsRowDxfId="44" dataCellStyle="Calculation"/>
    <tableColumn id="3" xr3:uid="{00000000-0010-0000-1500-000003000000}" name="yT" totalsRowDxfId="43" dataCellStyle="Calculation"/>
    <tableColumn id="4" xr3:uid="{00000000-0010-0000-1500-000004000000}" name="Ix" totalsRowDxfId="42" dataCellStyle="Calculation"/>
    <tableColumn id="5" xr3:uid="{00000000-0010-0000-1500-000005000000}" name="Iy" totalsRowDxfId="41" dataCellStyle="Calculation"/>
    <tableColumn id="6" xr3:uid="{00000000-0010-0000-1500-000006000000}" name="Iz" totalsRowDxfId="40" dataCellStyle="Calculation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9151924" displayName="Table9151924" ref="T25:Y29" totalsRowShown="0" headerRowCellStyle="Calculation" dataCellStyle="Calculation">
  <autoFilter ref="T25:Y29" xr:uid="{00000000-0009-0000-0100-000017000000}"/>
  <tableColumns count="6">
    <tableColumn id="1" xr3:uid="{00000000-0010-0000-1600-000001000000}" name="A" dataCellStyle="Calculation"/>
    <tableColumn id="2" xr3:uid="{00000000-0010-0000-1600-000002000000}" name="xT" dataCellStyle="Calculation"/>
    <tableColumn id="3" xr3:uid="{00000000-0010-0000-1600-000003000000}" name="yT" dataCellStyle="Calculation"/>
    <tableColumn id="4" xr3:uid="{00000000-0010-0000-1600-000004000000}" name="Ix" dataCellStyle="Calculation"/>
    <tableColumn id="5" xr3:uid="{00000000-0010-0000-1600-000005000000}" name="Iy" dataCellStyle="Calculation"/>
    <tableColumn id="6" xr3:uid="{00000000-0010-0000-1600-000006000000}" name="Iz" dataCellStyle="Calculation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5121625" displayName="Table5121625" ref="T2:Y8" totalsRowShown="0" headerRowCellStyle="Calculation" dataCellStyle="Calculation">
  <autoFilter ref="T2:Y8" xr:uid="{00000000-0009-0000-0100-000018000000}"/>
  <tableColumns count="6">
    <tableColumn id="1" xr3:uid="{00000000-0010-0000-1700-000001000000}" name="A" dataCellStyle="Calculation"/>
    <tableColumn id="2" xr3:uid="{00000000-0010-0000-1700-000002000000}" name="xT" dataCellStyle="Calculation"/>
    <tableColumn id="3" xr3:uid="{00000000-0010-0000-1700-000003000000}" name="zT" dataCellStyle="Calculation"/>
    <tableColumn id="6" xr3:uid="{00000000-0010-0000-1700-000006000000}" name="Ix" dataDxfId="39" dataCellStyle="Calculation">
      <calculatedColumnFormula>Table5121625[[#This Row],[A]]*Table5121625[[#This Row],[zT]]^2+14.90625</calculatedColumnFormula>
    </tableColumn>
    <tableColumn id="7" xr3:uid="{00000000-0010-0000-1700-000007000000}" name="Iz" dataDxfId="38" dataCellStyle="Calculation">
      <calculatedColumnFormula>Table5121625[[#This Row],[A]]*Table5121625[[#This Row],[xT]]^2</calculatedColumnFormula>
    </tableColumn>
    <tableColumn id="8" xr3:uid="{00000000-0010-0000-1700-000008000000}" name="Iy" dataCellStyle="Calculation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1842026" displayName="Table1842026" ref="A1:H14" totalsRowShown="0">
  <autoFilter ref="A1:H14" xr:uid="{00000000-0009-0000-0100-000019000000}"/>
  <tableColumns count="8">
    <tableColumn id="1" xr3:uid="{00000000-0010-0000-1800-000001000000}" name="lumped masses"/>
    <tableColumn id="2" xr3:uid="{00000000-0010-0000-1800-000002000000}" name="weight"/>
    <tableColumn id="3" xr3:uid="{00000000-0010-0000-1800-000003000000}" name="xpos"/>
    <tableColumn id="4" xr3:uid="{00000000-0010-0000-1800-000004000000}" name="ypos"/>
    <tableColumn id="5" xr3:uid="{00000000-0010-0000-1800-000005000000}" name="zpos"/>
    <tableColumn id="6" xr3:uid="{00000000-0010-0000-1800-000006000000}" name="Ixx"/>
    <tableColumn id="7" xr3:uid="{00000000-0010-0000-1800-000007000000}" name="Iyy"/>
    <tableColumn id="8" xr3:uid="{00000000-0010-0000-1800-000008000000}" name="Izz"/>
  </tableColumns>
  <tableStyleInfo name="TableStyleLight2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1152127" displayName="Table21152127" ref="J1:Q10" totalsRowShown="0">
  <autoFilter ref="J1:Q10" xr:uid="{00000000-0009-0000-0100-00001A000000}"/>
  <tableColumns count="8">
    <tableColumn id="1" xr3:uid="{00000000-0010-0000-1900-000001000000}" name="componenets"/>
    <tableColumn id="2" xr3:uid="{00000000-0010-0000-1900-000002000000}" name="weight"/>
    <tableColumn id="3" xr3:uid="{00000000-0010-0000-1900-000003000000}" name="Xcg" dataDxfId="37"/>
    <tableColumn id="4" xr3:uid="{00000000-0010-0000-1900-000004000000}" name="Ycg"/>
    <tableColumn id="5" xr3:uid="{00000000-0010-0000-1900-000005000000}" name="Zcg" dataDxfId="36">
      <calculatedColumnFormula>U11</calculatedColumnFormula>
    </tableColumn>
    <tableColumn id="6" xr3:uid="{00000000-0010-0000-1900-000006000000}" name="Ixx" dataDxfId="35"/>
    <tableColumn id="7" xr3:uid="{00000000-0010-0000-1900-000007000000}" name="Iyy"/>
    <tableColumn id="8" xr3:uid="{00000000-0010-0000-1900-000008000000}" name="Izz"/>
  </tableColumns>
  <tableStyleInfo name="TableStyleLight1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613172228" displayName="Table613172228" ref="T13:Y17" totalsRowShown="0" headerRowCellStyle="Calculation" dataCellStyle="Calculation">
  <autoFilter ref="T13:Y17" xr:uid="{00000000-0009-0000-0100-00001B000000}"/>
  <tableColumns count="6">
    <tableColumn id="1" xr3:uid="{00000000-0010-0000-1A00-000001000000}" name="A" dataCellStyle="Calculation">
      <calculatedColumnFormula>4.11*K18</calculatedColumnFormula>
    </tableColumn>
    <tableColumn id="2" xr3:uid="{00000000-0010-0000-1A00-000002000000}" name="xT" dataCellStyle="Calculation"/>
    <tableColumn id="3" xr3:uid="{00000000-0010-0000-1A00-000003000000}" name="zT" dataCellStyle="Calculation"/>
    <tableColumn id="4" xr3:uid="{00000000-0010-0000-1A00-000004000000}" name="Ix" dataCellStyle="Calculation"/>
    <tableColumn id="5" xr3:uid="{00000000-0010-0000-1A00-000005000000}" name="Iz" dataCellStyle="Calculation"/>
    <tableColumn id="6" xr3:uid="{00000000-0010-0000-1A00-000006000000}" name="Iy" dataCellStyle="Calculation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6914182329" displayName="Table6914182329" ref="T18:Y23" totalsRowCount="1" headerRowCellStyle="Calculation" dataCellStyle="Calculation" totalsRowCellStyle="Calculation">
  <autoFilter ref="T18:Y22" xr:uid="{00000000-0009-0000-0100-00001C000000}"/>
  <tableColumns count="6">
    <tableColumn id="1" xr3:uid="{00000000-0010-0000-1B00-000001000000}" name="A" totalsRowFunction="custom" totalsRowDxfId="34" dataCellStyle="Calculation">
      <totalsRowFormula>(T19*U19+T20*U20+T21*U21+T22*U22)/(T19+T20+T21+T22)</totalsRowFormula>
    </tableColumn>
    <tableColumn id="2" xr3:uid="{00000000-0010-0000-1B00-000002000000}" name="xT" totalsRowDxfId="33" dataCellStyle="Calculation"/>
    <tableColumn id="3" xr3:uid="{00000000-0010-0000-1B00-000003000000}" name="yT" totalsRowDxfId="32" dataCellStyle="Calculation"/>
    <tableColumn id="4" xr3:uid="{00000000-0010-0000-1B00-000004000000}" name="Ix" totalsRowDxfId="31" dataCellStyle="Calculation"/>
    <tableColumn id="5" xr3:uid="{00000000-0010-0000-1B00-000005000000}" name="Iy" totalsRowDxfId="30" dataCellStyle="Calculation"/>
    <tableColumn id="6" xr3:uid="{00000000-0010-0000-1B00-000006000000}" name="Iz" totalsRowDxfId="29" dataCellStyle="Calculation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915192430" displayName="Table915192430" ref="T25:Y29" totalsRowShown="0" headerRowCellStyle="Calculation" dataCellStyle="Calculation">
  <autoFilter ref="T25:Y29" xr:uid="{00000000-0009-0000-0100-00001D000000}"/>
  <tableColumns count="6">
    <tableColumn id="1" xr3:uid="{00000000-0010-0000-1C00-000001000000}" name="A" dataCellStyle="Calculation"/>
    <tableColumn id="2" xr3:uid="{00000000-0010-0000-1C00-000002000000}" name="xT" dataCellStyle="Calculation"/>
    <tableColumn id="3" xr3:uid="{00000000-0010-0000-1C00-000003000000}" name="yT" dataCellStyle="Calculation"/>
    <tableColumn id="4" xr3:uid="{00000000-0010-0000-1C00-000004000000}" name="Ix" dataCellStyle="Calculation"/>
    <tableColumn id="5" xr3:uid="{00000000-0010-0000-1C00-000005000000}" name="Iy" dataCellStyle="Calculation"/>
    <tableColumn id="6" xr3:uid="{00000000-0010-0000-1C00-000006000000}" name="Iz" dataCellStyle="Calculation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T2:Y8" totalsRowShown="0" headerRowCellStyle="Calculation" dataCellStyle="Calculation">
  <autoFilter ref="T2:Y8" xr:uid="{00000000-0009-0000-0100-000005000000}"/>
  <tableColumns count="6">
    <tableColumn id="1" xr3:uid="{00000000-0010-0000-0200-000001000000}" name="A" dataCellStyle="Calculation"/>
    <tableColumn id="2" xr3:uid="{00000000-0010-0000-0200-000002000000}" name="xT" dataCellStyle="Calculation"/>
    <tableColumn id="3" xr3:uid="{00000000-0010-0000-0200-000003000000}" name="zT" dataCellStyle="Calculation"/>
    <tableColumn id="6" xr3:uid="{00000000-0010-0000-0200-000006000000}" name="Ix" dataDxfId="60" dataCellStyle="Calculation">
      <calculatedColumnFormula>Table5[[#This Row],[A]]*Table5[[#This Row],[zT]]^2+14.90625</calculatedColumnFormula>
    </tableColumn>
    <tableColumn id="7" xr3:uid="{00000000-0010-0000-0200-000007000000}" name="Iz" dataDxfId="59" dataCellStyle="Calculation">
      <calculatedColumnFormula>Table5[[#This Row],[A]]*Table5[[#This Row],[xT]]^2</calculatedColumnFormula>
    </tableColumn>
    <tableColumn id="8" xr3:uid="{00000000-0010-0000-0200-000008000000}" name="Iy" dataCellStyle="Calculation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512162531" displayName="Table512162531" ref="T2:Y8" totalsRowShown="0" headerRowCellStyle="Calculation" dataCellStyle="Calculation">
  <autoFilter ref="T2:Y8" xr:uid="{00000000-0009-0000-0100-00001E000000}"/>
  <tableColumns count="6">
    <tableColumn id="1" xr3:uid="{00000000-0010-0000-1D00-000001000000}" name="A" dataCellStyle="Calculation"/>
    <tableColumn id="2" xr3:uid="{00000000-0010-0000-1D00-000002000000}" name="xT" dataCellStyle="Calculation"/>
    <tableColumn id="3" xr3:uid="{00000000-0010-0000-1D00-000003000000}" name="zT" dataCellStyle="Calculation"/>
    <tableColumn id="6" xr3:uid="{00000000-0010-0000-1D00-000006000000}" name="Ix" dataDxfId="28" dataCellStyle="Calculation">
      <calculatedColumnFormula>Table512162531[[#This Row],[A]]*Table512162531[[#This Row],[zT]]^2+14.90625</calculatedColumnFormula>
    </tableColumn>
    <tableColumn id="7" xr3:uid="{00000000-0010-0000-1D00-000007000000}" name="Iz" dataDxfId="27" dataCellStyle="Calculation">
      <calculatedColumnFormula>Table512162531[[#This Row],[A]]*Table512162531[[#This Row],[xT]]^2</calculatedColumnFormula>
    </tableColumn>
    <tableColumn id="8" xr3:uid="{00000000-0010-0000-1D00-000008000000}" name="Iy" dataCellStyle="Calculation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184202632" displayName="Table184202632" ref="A1:H31" totalsRowShown="0" headerRowDxfId="26">
  <autoFilter ref="A1:H31" xr:uid="{00000000-0009-0000-0100-00001F000000}"/>
  <tableColumns count="8">
    <tableColumn id="1" xr3:uid="{00000000-0010-0000-1E00-000001000000}" name="Lumped masses" dataDxfId="25"/>
    <tableColumn id="2" xr3:uid="{00000000-0010-0000-1E00-000002000000}" name="weight"/>
    <tableColumn id="3" xr3:uid="{00000000-0010-0000-1E00-000003000000}" name="xpos"/>
    <tableColumn id="4" xr3:uid="{00000000-0010-0000-1E00-000004000000}" name="ypos"/>
    <tableColumn id="5" xr3:uid="{00000000-0010-0000-1E00-000005000000}" name="zpos"/>
    <tableColumn id="6" xr3:uid="{00000000-0010-0000-1E00-000006000000}" name="Ixx"/>
    <tableColumn id="7" xr3:uid="{00000000-0010-0000-1E00-000007000000}" name="Iyy"/>
    <tableColumn id="8" xr3:uid="{00000000-0010-0000-1E00-000008000000}" name="Izz"/>
  </tableColumns>
  <tableStyleInfo name="Table Style 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2115212733" displayName="Table2115212733" ref="A32:H40" totalsRowShown="0" headerRowDxfId="24">
  <autoFilter ref="A32:H40" xr:uid="{00000000-0009-0000-0100-000020000000}"/>
  <tableColumns count="8">
    <tableColumn id="1" xr3:uid="{00000000-0010-0000-1F00-000001000000}" name="Componenets" dataDxfId="23"/>
    <tableColumn id="2" xr3:uid="{00000000-0010-0000-1F00-000002000000}" name="weight"/>
    <tableColumn id="3" xr3:uid="{00000000-0010-0000-1F00-000003000000}" name="Xcg" dataDxfId="22"/>
    <tableColumn id="4" xr3:uid="{00000000-0010-0000-1F00-000004000000}" name="Ycg"/>
    <tableColumn id="5" xr3:uid="{00000000-0010-0000-1F00-000005000000}" name="Zcg" dataDxfId="21"/>
    <tableColumn id="6" xr3:uid="{00000000-0010-0000-1F00-000006000000}" name="Ixx" dataDxfId="20"/>
    <tableColumn id="7" xr3:uid="{00000000-0010-0000-1F00-000007000000}" name="Iyy"/>
    <tableColumn id="8" xr3:uid="{00000000-0010-0000-1F00-000008000000}" name="Izz"/>
  </tableColumns>
  <tableStyleInfo name="Table Style 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0000000}" name="Table51216253137" displayName="Table51216253137" ref="J2:O9" totalsRowShown="0" headerRowCellStyle="Calculation" dataCellStyle="Calculation">
  <autoFilter ref="J2:O9" xr:uid="{00000000-0009-0000-0100-000024000000}"/>
  <tableColumns count="6">
    <tableColumn id="1" xr3:uid="{00000000-0010-0000-2000-000001000000}" name="V" dataCellStyle="Input"/>
    <tableColumn id="2" xr3:uid="{00000000-0010-0000-2000-000002000000}" name="xT" dataCellStyle="Input"/>
    <tableColumn id="3" xr3:uid="{00000000-0010-0000-2000-000003000000}" name="zT" dataCellStyle="Input"/>
    <tableColumn id="6" xr3:uid="{00000000-0010-0000-2000-000006000000}" name="Ix" dataDxfId="19" dataCellStyle="Calculation">
      <calculatedColumnFormula>Table51216253137[[#This Row],[V]]*Table51216253137[[#This Row],[zT]]^2+14.90625</calculatedColumnFormula>
    </tableColumn>
    <tableColumn id="7" xr3:uid="{00000000-0010-0000-2000-000007000000}" name="Iz" dataDxfId="18" dataCellStyle="Calculation">
      <calculatedColumnFormula>Table51216253137[[#This Row],[V]]*Table51216253137[[#This Row],[xT]]^2</calculatedColumnFormula>
    </tableColumn>
    <tableColumn id="8" xr3:uid="{00000000-0010-0000-2000-000008000000}" name="Iy" dataCellStyle="Calculation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L28:N31" totalsRowShown="0">
  <autoFilter ref="L28:N31" xr:uid="{00000000-0009-0000-0100-000022000000}"/>
  <tableColumns count="3">
    <tableColumn id="1" xr3:uid="{00000000-0010-0000-2100-000001000000}" name="X~"/>
    <tableColumn id="2" xr3:uid="{00000000-0010-0000-2100-000002000000}" name="Z~"/>
    <tableColumn id="3" xr3:uid="{00000000-0010-0000-2100-000003000000}" name="A"/>
  </tableColumns>
  <tableStyleInfo name="TableStyleLight1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2000000}" name="Table61317222834" displayName="Table61317222834" ref="J11:O14" totalsRowShown="0" headerRowCellStyle="Calculation" dataCellStyle="Calculation">
  <autoFilter ref="J11:O14" xr:uid="{00000000-0009-0000-0100-000021000000}"/>
  <tableColumns count="6">
    <tableColumn id="1" xr3:uid="{00000000-0010-0000-2200-000001000000}" name="V" dataCellStyle="Calculation">
      <calculatedColumnFormula>4.11*#REF!</calculatedColumnFormula>
    </tableColumn>
    <tableColumn id="2" xr3:uid="{00000000-0010-0000-2200-000002000000}" name="xT" dataCellStyle="Calculation"/>
    <tableColumn id="3" xr3:uid="{00000000-0010-0000-2200-000003000000}" name="zT" dataCellStyle="Calculation"/>
    <tableColumn id="4" xr3:uid="{00000000-0010-0000-2200-000004000000}" name="Ix" dataCellStyle="Calculation"/>
    <tableColumn id="5" xr3:uid="{00000000-0010-0000-2200-000005000000}" name="Iz" dataCellStyle="Calculation"/>
    <tableColumn id="6" xr3:uid="{00000000-0010-0000-2200-000006000000}" name="Iy" dataCellStyle="Calculation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3000000}" name="Table18420263236" displayName="Table18420263236" ref="A1:H31" totalsRowShown="0" headerRowDxfId="17">
  <autoFilter ref="A1:H31" xr:uid="{00000000-0009-0000-0100-000023000000}"/>
  <tableColumns count="8">
    <tableColumn id="1" xr3:uid="{00000000-0010-0000-2300-000001000000}" name="Lumped masses" dataDxfId="16"/>
    <tableColumn id="2" xr3:uid="{00000000-0010-0000-2300-000002000000}" name="weight"/>
    <tableColumn id="3" xr3:uid="{00000000-0010-0000-2300-000003000000}" name="xpos"/>
    <tableColumn id="4" xr3:uid="{00000000-0010-0000-2300-000004000000}" name="ypos"/>
    <tableColumn id="5" xr3:uid="{00000000-0010-0000-2300-000005000000}" name="zpos"/>
    <tableColumn id="6" xr3:uid="{00000000-0010-0000-2300-000006000000}" name="Ixx"/>
    <tableColumn id="7" xr3:uid="{00000000-0010-0000-2300-000007000000}" name="Iyy"/>
    <tableColumn id="8" xr3:uid="{00000000-0010-0000-2300-000008000000}" name="Izz"/>
  </tableColumns>
  <tableStyleInfo name="Table Style 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211521273338" displayName="Table211521273338" ref="A32:H40" totalsRowShown="0" headerRowDxfId="15">
  <autoFilter ref="A32:H40" xr:uid="{00000000-0009-0000-0100-000025000000}"/>
  <tableColumns count="8">
    <tableColumn id="1" xr3:uid="{00000000-0010-0000-2400-000001000000}" name="Componenets" dataDxfId="14"/>
    <tableColumn id="2" xr3:uid="{00000000-0010-0000-2400-000002000000}" name="weight"/>
    <tableColumn id="3" xr3:uid="{00000000-0010-0000-2400-000003000000}" name="Xcg" dataDxfId="13"/>
    <tableColumn id="4" xr3:uid="{00000000-0010-0000-2400-000004000000}" name="Ycg"/>
    <tableColumn id="5" xr3:uid="{00000000-0010-0000-2400-000005000000}" name="Zcg" dataDxfId="12"/>
    <tableColumn id="6" xr3:uid="{00000000-0010-0000-2400-000006000000}" name="Ixx" dataDxfId="11"/>
    <tableColumn id="7" xr3:uid="{00000000-0010-0000-2400-000007000000}" name="Iyy"/>
    <tableColumn id="8" xr3:uid="{00000000-0010-0000-2400-000008000000}" name="Izz"/>
  </tableColumns>
  <tableStyleInfo name="Table Style 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5121625313739" displayName="Table5121625313739" ref="J2:O9" totalsRowShown="0" headerRowCellStyle="Calculation" dataCellStyle="Calculation">
  <autoFilter ref="J2:O9" xr:uid="{00000000-0009-0000-0100-000026000000}"/>
  <tableColumns count="6">
    <tableColumn id="1" xr3:uid="{00000000-0010-0000-2500-000001000000}" name="V" dataCellStyle="Input"/>
    <tableColumn id="2" xr3:uid="{00000000-0010-0000-2500-000002000000}" name="xT" dataCellStyle="Input"/>
    <tableColumn id="3" xr3:uid="{00000000-0010-0000-2500-000003000000}" name="zT" dataCellStyle="Input"/>
    <tableColumn id="6" xr3:uid="{00000000-0010-0000-2500-000006000000}" name="Ix" dataDxfId="10" dataCellStyle="Calculation"/>
    <tableColumn id="7" xr3:uid="{00000000-0010-0000-2500-000007000000}" name="Iz" dataDxfId="9" dataCellStyle="Calculation"/>
    <tableColumn id="8" xr3:uid="{00000000-0010-0000-2500-000008000000}" name="Iy" dataCellStyle="Calculation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440" displayName="Table3440" ref="L28:N31" totalsRowShown="0">
  <autoFilter ref="L28:N31" xr:uid="{00000000-0009-0000-0100-000027000000}"/>
  <tableColumns count="3">
    <tableColumn id="1" xr3:uid="{00000000-0010-0000-2600-000001000000}" name="X~"/>
    <tableColumn id="2" xr3:uid="{00000000-0010-0000-2600-000002000000}" name="Z~"/>
    <tableColumn id="3" xr3:uid="{00000000-0010-0000-2600-000003000000}" name="A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T13:Y16" totalsRowShown="0" headerRowCellStyle="Calculation" dataCellStyle="Calculation">
  <autoFilter ref="T13:Y16" xr:uid="{00000000-0009-0000-0100-000006000000}"/>
  <tableColumns count="6">
    <tableColumn id="1" xr3:uid="{00000000-0010-0000-0300-000001000000}" name="A" dataCellStyle="Calculation">
      <calculatedColumnFormula>4.11*K18</calculatedColumnFormula>
    </tableColumn>
    <tableColumn id="2" xr3:uid="{00000000-0010-0000-0300-000002000000}" name="xT" dataCellStyle="Calculation"/>
    <tableColumn id="3" xr3:uid="{00000000-0010-0000-0300-000003000000}" name="zT" dataCellStyle="Calculation"/>
    <tableColumn id="4" xr3:uid="{00000000-0010-0000-0300-000004000000}" name="Ix" dataCellStyle="Calculation"/>
    <tableColumn id="5" xr3:uid="{00000000-0010-0000-0300-000005000000}" name="Iz" dataCellStyle="Calculation"/>
    <tableColumn id="6" xr3:uid="{00000000-0010-0000-0300-000006000000}" name="Iy" dataCellStyle="Calculation"/>
  </tableColumns>
  <tableStyleInfo name="Table Style 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6131722283441" displayName="Table6131722283441" ref="J11:O14" totalsRowShown="0" headerRowCellStyle="Calculation" dataCellStyle="Calculation">
  <autoFilter ref="J11:O14" xr:uid="{00000000-0009-0000-0100-000028000000}"/>
  <tableColumns count="6">
    <tableColumn id="1" xr3:uid="{00000000-0010-0000-2700-000001000000}" name="V" dataCellStyle="Calculation"/>
    <tableColumn id="2" xr3:uid="{00000000-0010-0000-2700-000002000000}" name="xT" dataCellStyle="Calculation"/>
    <tableColumn id="3" xr3:uid="{00000000-0010-0000-2700-000003000000}" name="zT" dataCellStyle="Calculation"/>
    <tableColumn id="4" xr3:uid="{00000000-0010-0000-2700-000004000000}" name="Ix" dataCellStyle="Calculation"/>
    <tableColumn id="5" xr3:uid="{00000000-0010-0000-2700-000005000000}" name="Iz" dataCellStyle="Calculation"/>
    <tableColumn id="6" xr3:uid="{00000000-0010-0000-2700-000006000000}" name="Iy" dataCellStyle="Calculation"/>
  </tableColumns>
  <tableStyleInfo name="Table Style 1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18420263242" displayName="Table18420263242" ref="A1:H31" totalsRowShown="0" headerRowDxfId="8">
  <autoFilter ref="A1:H31" xr:uid="{00000000-0009-0000-0100-000029000000}"/>
  <tableColumns count="8">
    <tableColumn id="1" xr3:uid="{00000000-0010-0000-2800-000001000000}" name="Lumped masses" dataDxfId="7"/>
    <tableColumn id="2" xr3:uid="{00000000-0010-0000-2800-000002000000}" name="weight"/>
    <tableColumn id="3" xr3:uid="{00000000-0010-0000-2800-000003000000}" name="xpos"/>
    <tableColumn id="4" xr3:uid="{00000000-0010-0000-2800-000004000000}" name="ypos"/>
    <tableColumn id="5" xr3:uid="{00000000-0010-0000-2800-000005000000}" name="zpos"/>
    <tableColumn id="6" xr3:uid="{00000000-0010-0000-2800-000006000000}" name="Ixx"/>
    <tableColumn id="7" xr3:uid="{00000000-0010-0000-2800-000007000000}" name="Iyy"/>
    <tableColumn id="8" xr3:uid="{00000000-0010-0000-2800-000008000000}" name="Izz"/>
  </tableColumns>
  <tableStyleInfo name="Table Style 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211521273343" displayName="Table211521273343" ref="A32:H40" totalsRowShown="0" headerRowDxfId="6">
  <autoFilter ref="A32:H40" xr:uid="{00000000-0009-0000-0100-00002A000000}"/>
  <tableColumns count="8">
    <tableColumn id="1" xr3:uid="{00000000-0010-0000-2900-000001000000}" name="Componenets" dataDxfId="5"/>
    <tableColumn id="2" xr3:uid="{00000000-0010-0000-2900-000002000000}" name="weight"/>
    <tableColumn id="3" xr3:uid="{00000000-0010-0000-2900-000003000000}" name="Xcg" dataDxfId="4"/>
    <tableColumn id="4" xr3:uid="{00000000-0010-0000-2900-000004000000}" name="Ycg"/>
    <tableColumn id="5" xr3:uid="{00000000-0010-0000-2900-000005000000}" name="Zcg" dataDxfId="3"/>
    <tableColumn id="6" xr3:uid="{00000000-0010-0000-2900-000006000000}" name="Ixx" dataDxfId="2"/>
    <tableColumn id="7" xr3:uid="{00000000-0010-0000-2900-000007000000}" name="Iyy"/>
    <tableColumn id="8" xr3:uid="{00000000-0010-0000-2900-000008000000}" name="Izz"/>
  </tableColumns>
  <tableStyleInfo name="Table Style 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5121625313744" displayName="Table5121625313744" ref="J2:O9" totalsRowShown="0" headerRowCellStyle="Calculation" dataCellStyle="Calculation">
  <autoFilter ref="J2:O9" xr:uid="{00000000-0009-0000-0100-00002B000000}"/>
  <tableColumns count="6">
    <tableColumn id="1" xr3:uid="{00000000-0010-0000-2A00-000001000000}" name="V" dataCellStyle="Input"/>
    <tableColumn id="2" xr3:uid="{00000000-0010-0000-2A00-000002000000}" name="xT" dataCellStyle="Input"/>
    <tableColumn id="3" xr3:uid="{00000000-0010-0000-2A00-000003000000}" name="zT" dataCellStyle="Input"/>
    <tableColumn id="6" xr3:uid="{00000000-0010-0000-2A00-000006000000}" name="Ix" dataDxfId="1" dataCellStyle="Calculation">
      <calculatedColumnFormula>Table5121625313744[[#This Row],[V]]*Table5121625313744[[#This Row],[zT]]^2+14.90625</calculatedColumnFormula>
    </tableColumn>
    <tableColumn id="7" xr3:uid="{00000000-0010-0000-2A00-000007000000}" name="Iz" dataDxfId="0" dataCellStyle="Calculation">
      <calculatedColumnFormula>Table5121625313744[[#This Row],[V]]*Table5121625313744[[#This Row],[xT]]^2</calculatedColumnFormula>
    </tableColumn>
    <tableColumn id="8" xr3:uid="{00000000-0010-0000-2A00-000008000000}" name="Iy" dataCellStyle="Calculation"/>
  </tableColumns>
  <tableStyleInfo name="Table Style 1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3445" displayName="Table3445" ref="L28:N31" totalsRowShown="0">
  <autoFilter ref="L28:N31" xr:uid="{00000000-0009-0000-0100-00002C000000}"/>
  <tableColumns count="3">
    <tableColumn id="1" xr3:uid="{00000000-0010-0000-2B00-000001000000}" name="X~"/>
    <tableColumn id="2" xr3:uid="{00000000-0010-0000-2B00-000002000000}" name="Z~"/>
    <tableColumn id="3" xr3:uid="{00000000-0010-0000-2B00-000003000000}" name="A"/>
  </tableColumns>
  <tableStyleInfo name="TableStyleLight1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6131722283446" displayName="Table6131722283446" ref="J11:O14" totalsRowShown="0" headerRowCellStyle="Calculation" dataCellStyle="Calculation">
  <autoFilter ref="J11:O14" xr:uid="{00000000-0009-0000-0100-00002D000000}"/>
  <tableColumns count="6">
    <tableColumn id="1" xr3:uid="{00000000-0010-0000-2C00-000001000000}" name="V" dataCellStyle="Calculation">
      <calculatedColumnFormula>4.11*#REF!</calculatedColumnFormula>
    </tableColumn>
    <tableColumn id="2" xr3:uid="{00000000-0010-0000-2C00-000002000000}" name="xT" dataCellStyle="Calculation"/>
    <tableColumn id="3" xr3:uid="{00000000-0010-0000-2C00-000003000000}" name="zT" dataCellStyle="Calculation"/>
    <tableColumn id="4" xr3:uid="{00000000-0010-0000-2C00-000004000000}" name="Ix" dataCellStyle="Calculation"/>
    <tableColumn id="5" xr3:uid="{00000000-0010-0000-2C00-000005000000}" name="Iz" dataCellStyle="Calculation"/>
    <tableColumn id="6" xr3:uid="{00000000-0010-0000-2C00-000006000000}" name="Iy" dataCellStyle="Calculation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able69" displayName="Table69" ref="T18:X23" totalsRowCount="1" headerRowCellStyle="Calculation" dataCellStyle="Calculation" totalsRowCellStyle="Calculation">
  <autoFilter ref="T18:X22" xr:uid="{00000000-0009-0000-0100-000008000000}"/>
  <tableColumns count="5">
    <tableColumn id="1" xr3:uid="{00000000-0010-0000-0400-000001000000}" name="A" totalsRowFunction="custom" dataCellStyle="Calculation">
      <totalsRowFormula>(T19*U19+T20*U20+T21*U21+T22*U22)/(T19+T20+T21+T22)</totalsRowFormula>
    </tableColumn>
    <tableColumn id="2" xr3:uid="{00000000-0010-0000-0400-000002000000}" name="xT" dataCellStyle="Calculation"/>
    <tableColumn id="3" xr3:uid="{00000000-0010-0000-0400-000003000000}" name="yT" dataCellStyle="Calculation"/>
    <tableColumn id="4" xr3:uid="{00000000-0010-0000-0400-000004000000}" name="Ix" dataCellStyle="Calculation"/>
    <tableColumn id="5" xr3:uid="{00000000-0010-0000-0400-000005000000}" name="Iy" dataCellStyle="Calculation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T25:X29" totalsRowShown="0" headerRowCellStyle="Calculation" dataCellStyle="Calculation">
  <autoFilter ref="T25:X29" xr:uid="{00000000-0009-0000-0100-000009000000}"/>
  <tableColumns count="5">
    <tableColumn id="1" xr3:uid="{00000000-0010-0000-0500-000001000000}" name="A" dataCellStyle="Calculation"/>
    <tableColumn id="2" xr3:uid="{00000000-0010-0000-0500-000002000000}" name="xT" dataCellStyle="Calculation"/>
    <tableColumn id="3" xr3:uid="{00000000-0010-0000-0500-000003000000}" name="yT" dataCellStyle="Calculation"/>
    <tableColumn id="4" xr3:uid="{00000000-0010-0000-0500-000004000000}" name="Ix" dataCellStyle="Calculation"/>
    <tableColumn id="5" xr3:uid="{00000000-0010-0000-0500-000005000000}" name="Iy" dataCellStyle="Calculation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8" displayName="Table18" ref="A1:H14" totalsRowShown="0">
  <autoFilter ref="A1:H14" xr:uid="{00000000-0009-0000-0100-000007000000}"/>
  <tableColumns count="8">
    <tableColumn id="1" xr3:uid="{00000000-0010-0000-0600-000001000000}" name="lumped masses"/>
    <tableColumn id="2" xr3:uid="{00000000-0010-0000-0600-000002000000}" name="weight"/>
    <tableColumn id="3" xr3:uid="{00000000-0010-0000-0600-000003000000}" name="xpos"/>
    <tableColumn id="4" xr3:uid="{00000000-0010-0000-0600-000004000000}" name="ypos"/>
    <tableColumn id="5" xr3:uid="{00000000-0010-0000-0600-000005000000}" name="zpos"/>
    <tableColumn id="6" xr3:uid="{00000000-0010-0000-0600-000006000000}" name="Ixx"/>
    <tableColumn id="7" xr3:uid="{00000000-0010-0000-0600-000007000000}" name="Iyy"/>
    <tableColumn id="8" xr3:uid="{00000000-0010-0000-0600-000008000000}" name="Izz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211" displayName="Table211" ref="J1:Q10" totalsRowShown="0">
  <autoFilter ref="J1:Q10" xr:uid="{00000000-0009-0000-0100-00000A000000}"/>
  <tableColumns count="8">
    <tableColumn id="1" xr3:uid="{00000000-0010-0000-0700-000001000000}" name="componenets"/>
    <tableColumn id="2" xr3:uid="{00000000-0010-0000-0700-000002000000}" name="weight"/>
    <tableColumn id="3" xr3:uid="{00000000-0010-0000-0700-000003000000}" name="Xcg" dataDxfId="58"/>
    <tableColumn id="4" xr3:uid="{00000000-0010-0000-0700-000004000000}" name="Ycg"/>
    <tableColumn id="5" xr3:uid="{00000000-0010-0000-0700-000005000000}" name="Zcg" dataDxfId="57">
      <calculatedColumnFormula>U11</calculatedColumnFormula>
    </tableColumn>
    <tableColumn id="6" xr3:uid="{00000000-0010-0000-0700-000006000000}" name="Ixx" dataDxfId="56"/>
    <tableColumn id="7" xr3:uid="{00000000-0010-0000-0700-000007000000}" name="Iyy"/>
    <tableColumn id="8" xr3:uid="{00000000-0010-0000-0700-000008000000}" name="Izz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512" displayName="Table512" ref="T2:Y8" totalsRowShown="0" headerRowCellStyle="Calculation" dataCellStyle="Calculation">
  <autoFilter ref="T2:Y8" xr:uid="{00000000-0009-0000-0100-00000B000000}"/>
  <tableColumns count="6">
    <tableColumn id="1" xr3:uid="{00000000-0010-0000-0800-000001000000}" name="A" dataCellStyle="Calculation"/>
    <tableColumn id="2" xr3:uid="{00000000-0010-0000-0800-000002000000}" name="xT" dataCellStyle="Calculation"/>
    <tableColumn id="3" xr3:uid="{00000000-0010-0000-0800-000003000000}" name="zT" dataCellStyle="Calculation"/>
    <tableColumn id="6" xr3:uid="{00000000-0010-0000-0800-000006000000}" name="Ix" dataDxfId="55" dataCellStyle="Calculation">
      <calculatedColumnFormula>Table512[[#This Row],[A]]*Table512[[#This Row],[zT]]^2+14.90625</calculatedColumnFormula>
    </tableColumn>
    <tableColumn id="7" xr3:uid="{00000000-0010-0000-0800-000007000000}" name="Iz" dataDxfId="54" dataCellStyle="Calculation">
      <calculatedColumnFormula>Table512[[#This Row],[A]]*Table512[[#This Row],[xT]]^2</calculatedColumnFormula>
    </tableColumn>
    <tableColumn id="8" xr3:uid="{00000000-0010-0000-0800-000008000000}" name="Iy" dataCellStyle="Calculation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table" Target="../tables/table36.xml"/><Relationship Id="rId5" Type="http://schemas.openxmlformats.org/officeDocument/2006/relationships/table" Target="../tables/table40.xml"/><Relationship Id="rId4" Type="http://schemas.openxmlformats.org/officeDocument/2006/relationships/table" Target="../tables/table3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table" Target="../tables/table41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38"/>
  <sheetViews>
    <sheetView workbookViewId="0">
      <selection activeCell="AA22" sqref="AA22"/>
    </sheetView>
  </sheetViews>
  <sheetFormatPr defaultColWidth="8.85546875" defaultRowHeight="15" x14ac:dyDescent="0.25"/>
  <cols>
    <col min="1" max="1" width="14.42578125" customWidth="1"/>
    <col min="10" max="10" width="13.140625" customWidth="1"/>
    <col min="12" max="12" width="11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</v>
      </c>
      <c r="L1" t="s">
        <v>9</v>
      </c>
      <c r="M1" t="s">
        <v>10</v>
      </c>
      <c r="N1" t="s">
        <v>11</v>
      </c>
      <c r="O1" t="s">
        <v>5</v>
      </c>
      <c r="P1" t="s">
        <v>6</v>
      </c>
      <c r="Q1" t="s">
        <v>7</v>
      </c>
      <c r="T1" s="36" t="s">
        <v>12</v>
      </c>
      <c r="U1" s="36"/>
      <c r="V1" s="36"/>
      <c r="W1" s="36"/>
      <c r="X1" s="36"/>
      <c r="Y1" s="36"/>
    </row>
    <row r="2" spans="1:25" x14ac:dyDescent="0.25">
      <c r="A2" t="s">
        <v>13</v>
      </c>
      <c r="B2">
        <f>6.7/16</f>
        <v>0.41875000000000001</v>
      </c>
      <c r="C2">
        <v>1.25</v>
      </c>
      <c r="D2">
        <v>0</v>
      </c>
      <c r="E2">
        <v>0</v>
      </c>
      <c r="F2">
        <f>Table1[[#This Row],[weight]]*(Table1[[#This Row],[ypos]]^2+(Table1[[#This Row],[zpos]]-H16)^2)</f>
        <v>0.36407277676369942</v>
      </c>
      <c r="G2">
        <f>Table1[[#This Row],[weight]]*((Table1[[#This Row],[xpos]]-H17)^2+(Table1[[#This Row],[zpos]]-H16)^2)</f>
        <v>99.459739565767066</v>
      </c>
      <c r="H2">
        <f>Table1[[#This Row],[weight]]*(Table1[[#This Row],[xpos]]-H17)^2</f>
        <v>99.095666789003374</v>
      </c>
      <c r="J2" t="s">
        <v>12</v>
      </c>
      <c r="K2">
        <f>SUM(Table5[A])*K15*P13</f>
        <v>0.12833961769386573</v>
      </c>
      <c r="L2">
        <f>T11</f>
        <v>20.58903207561859</v>
      </c>
      <c r="N2">
        <f>U11</f>
        <v>-0.15190312741860879</v>
      </c>
      <c r="O2">
        <f>SUM(Table5[Ix])*P13*K15</f>
        <v>0.23636721166042501</v>
      </c>
      <c r="P2">
        <f>SUM(Table5[Iy])*K15*P13</f>
        <v>10.640519482131335</v>
      </c>
      <c r="Q2">
        <f>SUM(Table5[Iz])*P13*K15</f>
        <v>15.094751227041264</v>
      </c>
      <c r="T2" s="36" t="s">
        <v>14</v>
      </c>
      <c r="U2" s="36" t="s">
        <v>15</v>
      </c>
      <c r="V2" s="36" t="s">
        <v>16</v>
      </c>
      <c r="W2" s="36" t="s">
        <v>17</v>
      </c>
      <c r="X2" s="36" t="s">
        <v>18</v>
      </c>
      <c r="Y2" s="36" t="s">
        <v>19</v>
      </c>
    </row>
    <row r="3" spans="1:25" x14ac:dyDescent="0.25">
      <c r="A3" t="s">
        <v>20</v>
      </c>
      <c r="B3">
        <f>8.68/16</f>
        <v>0.54249999999999998</v>
      </c>
      <c r="C3">
        <v>20</v>
      </c>
      <c r="D3">
        <v>-2</v>
      </c>
      <c r="E3">
        <v>-2.25</v>
      </c>
      <c r="F3">
        <f>Table1[[#This Row],[weight]]*(Table1[[#This Row],[ypos]]^2+(Table1[[#This Row],[zpos]]-H16)^2)</f>
        <v>3.111773560931713</v>
      </c>
      <c r="G3">
        <f>Table1[[#This Row],[weight]]*((Table1[[#This Row],[xpos]]-H17)^2+(Table1[[#This Row],[zpos]]-H16)^2)</f>
        <v>7.0907780581934388</v>
      </c>
      <c r="H3">
        <f>Table1[[#This Row],[weight]]*(Table1[[#This Row],[xpos]]^2+Table1[[#This Row],[ypos]]^2)</f>
        <v>219.17</v>
      </c>
      <c r="J3" t="s">
        <v>21</v>
      </c>
      <c r="K3">
        <v>0.375</v>
      </c>
      <c r="L3">
        <f>2*M16/3+K18</f>
        <v>23.403333333333336</v>
      </c>
      <c r="M3">
        <v>0</v>
      </c>
      <c r="N3">
        <v>-2.125</v>
      </c>
      <c r="O3">
        <f>SUM(Table9[Ix])*K16*P13</f>
        <v>20.320037700484697</v>
      </c>
      <c r="P3">
        <f>SUM(Table9[Iy])*K16*P13</f>
        <v>19.713359405570625</v>
      </c>
      <c r="Q3">
        <v>34.130000000000003</v>
      </c>
      <c r="T3" s="36">
        <v>93.44</v>
      </c>
      <c r="U3" s="36">
        <v>24.18</v>
      </c>
      <c r="V3" s="36">
        <v>-0.25</v>
      </c>
      <c r="W3" s="36">
        <f>Table5[[#This Row],[A]]*(Table5[[#This Row],[zT]]-H16)^2+124.587</f>
        <v>168.10313284679933</v>
      </c>
      <c r="X3" s="36">
        <f>Table5[[#This Row],[A]]*(Table5[[#This Row],[xT]]-H17)^2+4249.1</f>
        <v>9570.7378946984172</v>
      </c>
      <c r="Y3" s="36">
        <f>Table5[[#This Row],[A]]*((Table5[[#This Row],[zT]]-U11)^2+(Table5[[#This Row],[xT]]-H17)^2)</f>
        <v>5322.5370674829901</v>
      </c>
    </row>
    <row r="4" spans="1:25" x14ac:dyDescent="0.25">
      <c r="A4" t="s">
        <v>22</v>
      </c>
      <c r="B4">
        <v>0.375</v>
      </c>
      <c r="C4">
        <f>C5-3</f>
        <v>15.100000000000001</v>
      </c>
      <c r="D4">
        <v>0.5</v>
      </c>
      <c r="E4">
        <v>-0.75</v>
      </c>
      <c r="F4">
        <f>Table1[[#This Row],[weight]]*(Table1[[#This Row],[ypos]]^2+(Table1[[#This Row],[zpos]]-H16)^2)</f>
        <v>0.1062303979936825</v>
      </c>
      <c r="G4">
        <f>Table1[[#This Row],[weight]]*((Table1[[#This Row],[xpos]]-H17)^2+(Table1[[#This Row],[zpos]]-H16)^2)</f>
        <v>0.89412553524269689</v>
      </c>
      <c r="H4">
        <f>Table1[[#This Row],[weight]]*((Table1[[#This Row],[xpos]]-H17)^2+Table1[[#This Row],[ypos]]^2)</f>
        <v>0.97539513724901439</v>
      </c>
      <c r="J4" t="s">
        <v>23</v>
      </c>
      <c r="K4">
        <f>((K20-4.11)*K19/2+K19*4.1)*K21*P13</f>
        <v>2.6072410300925927E-2</v>
      </c>
      <c r="L4">
        <f>(T14*U14+T15*U15)/(T14+T15)</f>
        <v>32.669852985298526</v>
      </c>
      <c r="M4">
        <v>0</v>
      </c>
      <c r="N4">
        <f>(T14*V14+T15*V15)/(T14+T15)</f>
        <v>4.0332283228322838</v>
      </c>
      <c r="O4">
        <f>SUM(Table6[Ix])*K21*P13</f>
        <v>0.8024903205618541</v>
      </c>
      <c r="P4">
        <f>SUM(Table6[Iy])*K21*P13</f>
        <v>9.1137705091516477</v>
      </c>
      <c r="Q4">
        <f>SUM(Table6[Iz])*K21*P13</f>
        <v>8.5572535604630584</v>
      </c>
      <c r="T4" s="36">
        <v>19.875</v>
      </c>
      <c r="U4" s="36">
        <v>9.1875</v>
      </c>
      <c r="V4" s="36">
        <v>0.25</v>
      </c>
      <c r="W4" s="36">
        <f>Table5[[#This Row],[A]]*(Table5[[#This Row],[zT]]-H16)^2+14.90625</f>
        <v>42.694342423675081</v>
      </c>
      <c r="X4" s="36">
        <f>Table5[[#This Row],[A]]*(Table5[[#This Row],[xT]]-H17)^2+72.6938</f>
        <v>1174.5668853168665</v>
      </c>
      <c r="Y4" s="36">
        <f>Table5[[#This Row],[A]]*((Table5[[#This Row],[zT]]-U11)^2+(Table5[[#This Row],[xT]]-H17)^2)</f>
        <v>1105.083417027965</v>
      </c>
    </row>
    <row r="5" spans="1:25" x14ac:dyDescent="0.25">
      <c r="A5" t="s">
        <v>24</v>
      </c>
      <c r="B5">
        <f>B4</f>
        <v>0.375</v>
      </c>
      <c r="C5">
        <v>18.100000000000001</v>
      </c>
      <c r="D5">
        <v>0.5</v>
      </c>
      <c r="E5">
        <f>E4</f>
        <v>-0.75</v>
      </c>
      <c r="F5">
        <f>Table1[[#This Row],[weight]]*(Table1[[#This Row],[ypos]]^2+(Table1[[#This Row],[zpos]]-H16)^2)</f>
        <v>0.1062303979936825</v>
      </c>
      <c r="G5">
        <f>Table1[[#This Row],[weight]]*((Table1[[#This Row],[xpos]]-H17)^2+(Table1[[#This Row],[zpos]]-H16)^2)</f>
        <v>0.81916765827351656</v>
      </c>
      <c r="H5">
        <f>Table1[[#This Row],[weight]]*((Table1[[#This Row],[xpos]]-H17)^2+Table1[[#This Row],[ypos]]^2)</f>
        <v>0.90043726027983406</v>
      </c>
      <c r="J5" t="s">
        <v>25</v>
      </c>
      <c r="K5">
        <f>((K24/2)^2+1*K24)*K25*P13</f>
        <v>3.2351888020833337E-2</v>
      </c>
      <c r="L5">
        <f>2*K23/3+K26</f>
        <v>9.8416666666666668</v>
      </c>
      <c r="M5">
        <v>0</v>
      </c>
      <c r="N5">
        <v>1.625</v>
      </c>
      <c r="O5">
        <f>SUM(Table69[Ix])*K25*P13</f>
        <v>1.236809769580099</v>
      </c>
      <c r="P5">
        <f>SUM(Table69[Iy])*K25*P13</f>
        <v>2.4923518702002831</v>
      </c>
      <c r="Q5">
        <v>92.953100000000006</v>
      </c>
      <c r="T5" s="36">
        <v>3.59375</v>
      </c>
      <c r="U5" s="36">
        <v>4.4375</v>
      </c>
      <c r="V5" s="36">
        <v>-0.625</v>
      </c>
      <c r="W5" s="36">
        <f>Table5[[#This Row],[A]]*(Table5[[#This Row],[zT]]-H16)^2+0.46794</f>
        <v>0.80759898862482271</v>
      </c>
      <c r="X5" s="36">
        <f>Table5[[#This Row],[A]]*(Table5[[#This Row],[xT]]-T11)^2+2.4754</f>
        <v>939.98410827561429</v>
      </c>
      <c r="Y5" s="36">
        <f>Table5[[#This Row],[A]]*((Table5[[#This Row],[zT]]-U11)^2+(Table5[[#This Row],[xT]]-H17)^2)</f>
        <v>535.33116220594582</v>
      </c>
    </row>
    <row r="6" spans="1:25" x14ac:dyDescent="0.25">
      <c r="A6" t="s">
        <v>26</v>
      </c>
      <c r="B6">
        <f>B4</f>
        <v>0.375</v>
      </c>
      <c r="C6">
        <f>C5+3</f>
        <v>21.1</v>
      </c>
      <c r="D6">
        <v>0.5</v>
      </c>
      <c r="E6">
        <f>E4</f>
        <v>-0.75</v>
      </c>
      <c r="F6">
        <f>Table1[[#This Row],[weight]]*(Table1[[#This Row],[ypos]]^2+(Table1[[#This Row],[zpos]]-H16)^2)</f>
        <v>0.1062303979936825</v>
      </c>
      <c r="G6">
        <f>Table1[[#This Row],[weight]]*((Table1[[#This Row],[xpos]]-H17)^2+(Table1[[#This Row],[zpos]]-H16)^2)</f>
        <v>7.4942097813043365</v>
      </c>
      <c r="H6">
        <f>Table1[[#This Row],[weight]]*((Table1[[#This Row],[xpos]]-H17)^2+Table1[[#This Row],[ypos]]^2)</f>
        <v>7.575479383310654</v>
      </c>
      <c r="J6" t="s">
        <v>27</v>
      </c>
      <c r="M6">
        <v>0</v>
      </c>
      <c r="T6" s="36">
        <v>4.75</v>
      </c>
      <c r="U6" s="36">
        <f>28/3</f>
        <v>9.3333333333333339</v>
      </c>
      <c r="V6" s="36">
        <v>-1.583</v>
      </c>
      <c r="W6" s="36">
        <f>Table5[[#This Row],[A]]*(Table5[[#This Row],[zT]]-H16)^2+9.5/36</f>
        <v>2.2742791447954489</v>
      </c>
      <c r="X6" s="36">
        <f>Table5[[#This Row],[A]]*(H17-Table5[[#This Row],[xT]])^2+23.81597</f>
        <v>276.94217167624828</v>
      </c>
      <c r="Y6" s="36">
        <f>Table5[[#This Row],[A]]*((Table5[[#This Row],[zT]]-U11)^2+(Table5[[#This Row],[xT]]-H17)^2)</f>
        <v>262.85438340513139</v>
      </c>
    </row>
    <row r="7" spans="1:25" x14ac:dyDescent="0.25">
      <c r="A7" t="s">
        <v>28</v>
      </c>
      <c r="B7">
        <v>0.375</v>
      </c>
      <c r="C7">
        <f>C5</f>
        <v>18.100000000000001</v>
      </c>
      <c r="D7">
        <v>0.5</v>
      </c>
      <c r="E7">
        <f>E4</f>
        <v>-0.75</v>
      </c>
      <c r="F7">
        <f>Table1[[#This Row],[weight]]*(Table1[[#This Row],[ypos]]^2+(Table1[[#This Row],[zpos]]-H16)^2)</f>
        <v>0.1062303979936825</v>
      </c>
      <c r="G7">
        <f>Table1[[#This Row],[weight]]*((Table1[[#This Row],[xpos]]-H17)^2+(Table1[[#This Row],[zpos]]-H16)^2)</f>
        <v>0.81916765827351656</v>
      </c>
      <c r="H7">
        <f>Table1[[#This Row],[weight]]*((Table1[[#This Row],[xpos]]-H17)^2+Table1[[#This Row],[ypos]]^2)</f>
        <v>0.90043726027983406</v>
      </c>
      <c r="J7" t="s">
        <v>29</v>
      </c>
      <c r="M7">
        <v>0</v>
      </c>
      <c r="T7" s="36">
        <v>7.515625</v>
      </c>
      <c r="U7" s="36">
        <f>59/12</f>
        <v>4.916666666666667</v>
      </c>
      <c r="V7" s="36">
        <v>0.58299999999999996</v>
      </c>
      <c r="W7" s="36">
        <f>Table5[[#This Row],[A]]*(Table5[[#This Row],[zT]]-H16)^2+0.428</f>
        <v>17.687866139688982</v>
      </c>
      <c r="X7" s="36">
        <f>Table5[[#This Row],[A]]*(H17-Table5[[#This Row],[xT]])^2+1.15518</f>
        <v>1032.8989705447614</v>
      </c>
      <c r="Y7" s="36">
        <f>Table5[[#This Row],[A]]*((Table5[[#This Row],[zT]]-U11)^2+(Table5[[#This Row],[xT]]-H17)^2)</f>
        <v>1035.8028488856635</v>
      </c>
    </row>
    <row r="8" spans="1:25" x14ac:dyDescent="0.25">
      <c r="A8" t="s">
        <v>30</v>
      </c>
      <c r="B8">
        <f>B7</f>
        <v>0.375</v>
      </c>
      <c r="C8">
        <f>C5</f>
        <v>18.100000000000001</v>
      </c>
      <c r="D8">
        <v>0.5</v>
      </c>
      <c r="E8">
        <f>E4</f>
        <v>-0.75</v>
      </c>
      <c r="F8">
        <f>Table1[[#This Row],[weight]]*(Table1[[#This Row],[ypos]]^2+(Table1[[#This Row],[zpos]]-H16)^2)</f>
        <v>0.1062303979936825</v>
      </c>
      <c r="G8">
        <f>Table1[[#This Row],[weight]]*((Table1[[#This Row],[xpos]]-H17)^2+(Table1[[#This Row],[zpos]]-H16)^2)</f>
        <v>0.81916765827351656</v>
      </c>
      <c r="H8">
        <f>Table1[[#This Row],[weight]]*((Table1[[#This Row],[xpos]]-H17)^2+Table1[[#This Row],[ypos]]^2)</f>
        <v>0.90043726027983406</v>
      </c>
      <c r="J8" t="s">
        <v>31</v>
      </c>
      <c r="K8">
        <f>K19*1*K21*P13</f>
        <v>4.7019675925925927E-3</v>
      </c>
      <c r="L8">
        <v>36</v>
      </c>
      <c r="M8">
        <v>0</v>
      </c>
      <c r="N8">
        <f>K19/2+1.75</f>
        <v>4.25</v>
      </c>
      <c r="O8">
        <f>W16*K21*P13</f>
        <v>0.13607928751507337</v>
      </c>
      <c r="P8">
        <f>Y16*K21*P13</f>
        <v>1.8898434674212541</v>
      </c>
      <c r="Q8">
        <f>X16*K21*P13</f>
        <v>1.763951776356798</v>
      </c>
      <c r="T8" s="36">
        <v>7.3</v>
      </c>
      <c r="U8" s="36">
        <v>37.076999999999998</v>
      </c>
      <c r="V8" s="36">
        <v>0.41699999999999998</v>
      </c>
      <c r="W8" s="36">
        <f>Table5[[#This Row],[A]]*(Table5[[#This Row],[zT]]-H16)^2+6.489</f>
        <v>19.782036917471352</v>
      </c>
      <c r="X8" s="36">
        <f>Table5[[#This Row],[A]]*(Table5[[#This Row],[xT]]-H17)^2+5.40301</f>
        <v>3056.3961973818177</v>
      </c>
      <c r="Y8" s="36">
        <f>Table5[[#This Row],[A]]*((Table5[[#This Row],[zT]]-U11)^2+(Table5[[#This Row],[xT]]-H17)^2)</f>
        <v>3053.3558379910405</v>
      </c>
    </row>
    <row r="9" spans="1:25" x14ac:dyDescent="0.25">
      <c r="A9" t="s">
        <v>32</v>
      </c>
      <c r="B9">
        <v>0.01</v>
      </c>
      <c r="C9">
        <v>9.5</v>
      </c>
      <c r="E9">
        <v>0</v>
      </c>
      <c r="F9">
        <f>Table1[[#This Row],[weight]]*(Table1[[#This Row],[ypos]]^2+(Table1[[#This Row],[zpos]]-H16)^2)</f>
        <v>8.694275265998792E-3</v>
      </c>
      <c r="G9">
        <f>Table1[[#This Row],[weight]]*((Table1[[#This Row],[xpos]]-H17)^2+(Table1[[#This Row],[zpos]]-H16)^2)</f>
        <v>0.51753604880177195</v>
      </c>
      <c r="H9">
        <f>Table1[[#This Row],[weight]]*((Table1[[#This Row],[xpos]]-H17)^2+Table1[[#This Row],[ypos]]^2)</f>
        <v>0.5088417735357732</v>
      </c>
      <c r="J9" t="s">
        <v>33</v>
      </c>
      <c r="M9">
        <v>0</v>
      </c>
      <c r="T9" s="36"/>
      <c r="U9" s="36"/>
      <c r="V9" s="36"/>
      <c r="W9" s="36"/>
      <c r="X9" s="36"/>
      <c r="Y9" s="36"/>
    </row>
    <row r="10" spans="1:25" x14ac:dyDescent="0.25">
      <c r="A10" t="s">
        <v>34</v>
      </c>
      <c r="B10">
        <f>B9</f>
        <v>0.01</v>
      </c>
      <c r="C10">
        <v>31</v>
      </c>
      <c r="E10">
        <v>-0.75</v>
      </c>
      <c r="F10">
        <f>Table1[[#This Row],[weight]]*(Table1[[#This Row],[ypos]]^2+(Table1[[#This Row],[zpos]]-H16)^2)</f>
        <v>3.3281061316486665E-4</v>
      </c>
      <c r="G10">
        <f>Table1[[#This Row],[weight]]*((Table1[[#This Row],[xpos]]-H17)^2+(Table1[[#This Row],[zpos]]-H16)^2)</f>
        <v>2.0643493009948277</v>
      </c>
      <c r="H10">
        <f>Table1[[#This Row],[weight]]*((Table1[[#This Row],[xpos]]-H17)^2+Table1[[#This Row],[ypos]]^2)</f>
        <v>2.0640164903816625</v>
      </c>
      <c r="J10" t="s">
        <v>35</v>
      </c>
      <c r="K10">
        <v>0</v>
      </c>
      <c r="L10">
        <v>30.5</v>
      </c>
      <c r="M10">
        <v>0</v>
      </c>
      <c r="N10">
        <v>0</v>
      </c>
      <c r="T10" s="36" t="s">
        <v>36</v>
      </c>
      <c r="U10" s="36" t="s">
        <v>37</v>
      </c>
      <c r="V10" s="36"/>
      <c r="W10" s="36"/>
      <c r="X10" s="36"/>
      <c r="Y10" s="36"/>
    </row>
    <row r="11" spans="1:25" x14ac:dyDescent="0.25">
      <c r="A11" t="s">
        <v>38</v>
      </c>
      <c r="C11">
        <f>11+5/16</f>
        <v>11.3125</v>
      </c>
      <c r="D11">
        <v>0</v>
      </c>
      <c r="E11">
        <v>0.5</v>
      </c>
      <c r="F11">
        <f>Table1[[#This Row],[weight]]*(Table1[[#This Row],[ypos]]^2+(Table1[[#This Row],[zpos]]-H16)^2)</f>
        <v>0</v>
      </c>
      <c r="G11">
        <f>Table1[[#This Row],[weight]]*((Table1[[#This Row],[xpos]]-H17)^2+(Table1[[#This Row],[zpos]]-H16)^2)</f>
        <v>0</v>
      </c>
      <c r="H11">
        <f>Table1[[#This Row],[weight]]*((Table1[[#This Row],[xpos]]-H17)^2+Table1[[#This Row],[ypos]]^2)</f>
        <v>0</v>
      </c>
      <c r="T11" s="36">
        <f>SUM(T3*U3+T4*U4+T5*U5+T6*U6+T7*U7+T8*U8)/SUM(Table5[A])</f>
        <v>20.58903207561859</v>
      </c>
      <c r="U11" s="36">
        <f>SUM(T3*V3+T4*V4+T5*V5+T6*V6+T7*V7+T8*V8)/SUM(Table5[A])</f>
        <v>-0.15190312741860879</v>
      </c>
      <c r="V11" s="36"/>
      <c r="W11" s="36"/>
      <c r="X11" s="36"/>
      <c r="Y11" s="36"/>
    </row>
    <row r="12" spans="1:25" ht="15.75" thickBot="1" x14ac:dyDescent="0.3">
      <c r="F12">
        <f>Table1[[#This Row],[weight]]*(Table1[[#This Row],[ypos]]^2+(Table1[[#This Row],[zpos]]-H16)^2)</f>
        <v>0</v>
      </c>
      <c r="G12">
        <f>Table1[[#This Row],[weight]]*((Table1[[#This Row],[xpos]]-H17)^2+(Table1[[#This Row],[zpos]]-H16)^2)</f>
        <v>0</v>
      </c>
      <c r="H12">
        <f>Table1[[#This Row],[weight]]*((Table1[[#This Row],[xpos]]-H17)^2+Table1[[#This Row],[ypos]]^2)</f>
        <v>0</v>
      </c>
      <c r="T12" s="36" t="s">
        <v>23</v>
      </c>
      <c r="U12" s="36"/>
      <c r="V12" s="36"/>
      <c r="W12" s="36"/>
      <c r="X12" s="36"/>
      <c r="Y12" s="36"/>
    </row>
    <row r="13" spans="1:25" ht="15.75" thickBot="1" x14ac:dyDescent="0.3">
      <c r="A13" t="s">
        <v>39</v>
      </c>
      <c r="F13">
        <f>Table1[[#This Row],[weight]]*(Table1[[#This Row],[ypos]]^2+(Table1[[#This Row],[zpos]]-H16)^2)</f>
        <v>0</v>
      </c>
      <c r="G13">
        <f>Table1[[#This Row],[weight]]*((Table1[[#This Row],[xpos]]-H17)^2+(Table1[[#This Row],[zpos]]-H16)^2)</f>
        <v>0</v>
      </c>
      <c r="H13">
        <f>Table1[[#This Row],[weight]]*((Table1[[#This Row],[xpos]]-H17)^2+Table1[[#This Row],[ypos]]^2)</f>
        <v>0</v>
      </c>
      <c r="J13" s="1" t="s">
        <v>40</v>
      </c>
      <c r="K13" s="10">
        <v>36.51</v>
      </c>
      <c r="M13" s="6" t="s">
        <v>41</v>
      </c>
      <c r="N13" s="20"/>
      <c r="O13" s="19" t="s">
        <v>42</v>
      </c>
      <c r="P13" s="21">
        <f>13/3456</f>
        <v>3.7615740740740739E-3</v>
      </c>
      <c r="Q13" s="16" t="s">
        <v>43</v>
      </c>
      <c r="T13" s="36" t="s">
        <v>14</v>
      </c>
      <c r="U13" s="36" t="s">
        <v>15</v>
      </c>
      <c r="V13" s="36" t="s">
        <v>16</v>
      </c>
      <c r="W13" s="36" t="s">
        <v>17</v>
      </c>
      <c r="X13" s="36" t="s">
        <v>18</v>
      </c>
      <c r="Y13" s="36" t="s">
        <v>19</v>
      </c>
    </row>
    <row r="14" spans="1:25" x14ac:dyDescent="0.25">
      <c r="A14" t="s">
        <v>44</v>
      </c>
      <c r="B14">
        <v>8.7499999999999994E-2</v>
      </c>
      <c r="C14">
        <v>-1</v>
      </c>
      <c r="D14">
        <v>0</v>
      </c>
      <c r="E14">
        <v>0</v>
      </c>
      <c r="F14">
        <f>Table1[[#This Row],[weight]]*(Table1[[#This Row],[ypos]]^2+(Table1[[#This Row],[zpos]]-H16)^2)</f>
        <v>7.6074908577489428E-2</v>
      </c>
      <c r="G14">
        <f>Table1[[#This Row],[weight]]*((Table1[[#This Row],[xpos]]-H17)^2+(Table1[[#This Row],[zpos]]-H16)^2)</f>
        <v>27.282781026540338</v>
      </c>
      <c r="H14">
        <f>Table1[[#This Row],[weight]]*((Table1[[#This Row],[xpos]]-H17)^2+Table1[[#This Row],[ypos]]^2)</f>
        <v>27.206706117962845</v>
      </c>
      <c r="J14" s="2" t="s">
        <v>45</v>
      </c>
      <c r="K14" s="8">
        <v>4</v>
      </c>
      <c r="T14" s="36">
        <f>K19/2*(K20-4.11)</f>
        <v>7.2249999999999996</v>
      </c>
      <c r="U14" s="36">
        <f>2/3*(K20-4.11)+K22</f>
        <v>30.436666666666664</v>
      </c>
      <c r="V14" s="36">
        <f>1/3*K19+1.75</f>
        <v>3.4166666666666665</v>
      </c>
      <c r="W14" s="36">
        <f>Table6[[#This Row],[A]]*(Table6[[#This Row],[zT]]-H16)^2+10.0347</f>
        <v>146.69304851063669</v>
      </c>
      <c r="X14" s="36">
        <f>Table6[[#This Row],[A]]*(Table6[[#This Row],[xT]]-H17)^2+3.3524</f>
        <v>1379.9499144058655</v>
      </c>
      <c r="Y14" s="36">
        <f>Table6[[#This Row],[A]]*((Table6[[#This Row],[zT]]-U11)^2+(Table6[[#This Row],[xT]]-H17)^2)</f>
        <v>1468.6056523671034</v>
      </c>
    </row>
    <row r="15" spans="1:25" ht="15.75" thickBot="1" x14ac:dyDescent="0.3">
      <c r="A15" t="s">
        <v>46</v>
      </c>
      <c r="G15" s="27"/>
      <c r="H15" s="27"/>
      <c r="I15" s="27"/>
      <c r="J15" s="3" t="s">
        <v>47</v>
      </c>
      <c r="K15" s="17">
        <v>0.25</v>
      </c>
      <c r="T15" s="36">
        <f>4.11*K19</f>
        <v>20.55</v>
      </c>
      <c r="U15" s="36">
        <f>K22+K20-4.11/2</f>
        <v>33.454999999999998</v>
      </c>
      <c r="V15" s="36">
        <f>K19/2+1.75</f>
        <v>4.25</v>
      </c>
      <c r="W15" s="36">
        <f>Table6[[#This Row],[A]]*(Table6[[#This Row],[zT]]-H16)^2+10.0347</f>
        <v>561.95819155387858</v>
      </c>
      <c r="X15" s="36">
        <f>Table6[[#This Row],[A]]*(Table6[[#This Row],[xT]]-H17)^2+28.9277</f>
        <v>5843.9426904775919</v>
      </c>
      <c r="Y15" s="36">
        <f>Table6[[#This Row],[A]]*((Table6[[#This Row],[zT]]-U11)^2+(Table6[[#This Row],[xT]]-H17)^2)</f>
        <v>6213.2072264698936</v>
      </c>
    </row>
    <row r="16" spans="1:25" ht="15.75" thickBot="1" x14ac:dyDescent="0.3">
      <c r="A16" s="5" t="s">
        <v>48</v>
      </c>
      <c r="G16" s="26" t="s">
        <v>11</v>
      </c>
      <c r="H16" s="24">
        <f>SUM(B2*E2,B3*E3,B4*E4,B5*E5,B6*E6,B7*E7,B8*E8,B9*E9,B10*E10,B11*E11,B12*E12,B13*E13,B14*E14,K2*N2,K3*N3,K4*N4,K5*N5,K6*N6,K7*N7,K8*N8,K9*N9,K10,N10)/SUM(Table1[weight],Table2[weight])</f>
        <v>-0.93243097685559506</v>
      </c>
      <c r="I16" s="12" t="s">
        <v>49</v>
      </c>
      <c r="J16" s="2" t="s">
        <v>50</v>
      </c>
      <c r="K16" s="8">
        <v>0.25</v>
      </c>
      <c r="L16" s="15" t="s">
        <v>51</v>
      </c>
      <c r="M16" s="16">
        <f>37.7-10.02-6</f>
        <v>21.680000000000003</v>
      </c>
      <c r="S16" t="s">
        <v>31</v>
      </c>
      <c r="T16" s="38">
        <f>M21*M22</f>
        <v>5</v>
      </c>
      <c r="U16" s="38">
        <f>L8</f>
        <v>36</v>
      </c>
      <c r="V16" s="38">
        <f>N8</f>
        <v>4.25</v>
      </c>
      <c r="W16" s="38">
        <f>Table6[[#This Row],[A]]*(Table6[[#This Row],[zT]]-H16)^2+5^3/12</f>
        <v>144.70462081602881</v>
      </c>
      <c r="X16" s="38">
        <f>Table6[[#This Row],[A]]*(Table6[[#This Row],[xT]]-H17)^2+5/12</f>
        <v>1875.7591812581829</v>
      </c>
      <c r="Y16" s="38">
        <f>Table6[[#This Row],[A]]*((Table6[[#This Row],[zT]]-H16)^2+(Table6[[#This Row],[xT]]-H17)^2)</f>
        <v>2009.6304687408783</v>
      </c>
    </row>
    <row r="17" spans="1:24" ht="15.75" thickBot="1" x14ac:dyDescent="0.3">
      <c r="G17" s="11" t="s">
        <v>9</v>
      </c>
      <c r="H17" s="24">
        <f>SUM(B2*C2,B3*C3,B4*C4,B5*C5,B6*C6,B7*C7,B8*C8,B9*C9,B10*C10,B11*C11,B12*C12,B13*C13,B14*C14,K2*L2,K3*L3,K4*L4,K5*L5,K6*L6,K7*L7,K8*L8,K9*L9,K10*L10)/SUM(Table1[weight],Table2[weight])</f>
        <v>16.633314611986304</v>
      </c>
      <c r="I17" s="12" t="s">
        <v>49</v>
      </c>
      <c r="J17" s="2" t="s">
        <v>52</v>
      </c>
      <c r="K17" s="8">
        <v>36</v>
      </c>
      <c r="L17" s="6" t="s">
        <v>53</v>
      </c>
      <c r="M17" s="7"/>
      <c r="T17" s="36" t="s">
        <v>54</v>
      </c>
      <c r="U17" s="36"/>
      <c r="V17" s="36"/>
      <c r="W17" s="36"/>
      <c r="X17" s="36"/>
    </row>
    <row r="18" spans="1:24" ht="15.75" thickBot="1" x14ac:dyDescent="0.3">
      <c r="G18" s="22" t="s">
        <v>55</v>
      </c>
      <c r="H18" s="32">
        <f>SUM(B2*C2,B3*C3,B4*C4,B5*C5,B6*C6,B7*C7,B8*C8,B9*C9,B10*C10,B11*C11,B12*C12,B13*C13,B14*C14)/SUM(B2:B14)</f>
        <v>15.500106157112532</v>
      </c>
      <c r="I18" s="33" t="s">
        <v>49</v>
      </c>
      <c r="J18" s="28" t="s">
        <v>56</v>
      </c>
      <c r="K18" s="9">
        <v>8.9499999999999993</v>
      </c>
      <c r="L18" s="2" t="s">
        <v>57</v>
      </c>
      <c r="M18" s="8"/>
      <c r="T18" s="36" t="s">
        <v>14</v>
      </c>
      <c r="U18" s="36" t="s">
        <v>15</v>
      </c>
      <c r="V18" s="36" t="s">
        <v>58</v>
      </c>
      <c r="W18" s="36" t="s">
        <v>17</v>
      </c>
      <c r="X18" s="36" t="s">
        <v>19</v>
      </c>
    </row>
    <row r="19" spans="1:24" ht="15.75" thickBot="1" x14ac:dyDescent="0.3">
      <c r="G19" s="23" t="s">
        <v>59</v>
      </c>
      <c r="H19" s="2">
        <v>20.5</v>
      </c>
      <c r="I19" s="14" t="s">
        <v>49</v>
      </c>
      <c r="J19" s="30" t="s">
        <v>60</v>
      </c>
      <c r="K19" s="10">
        <v>5</v>
      </c>
      <c r="L19" s="3" t="s">
        <v>61</v>
      </c>
      <c r="M19" s="9"/>
      <c r="S19" t="s">
        <v>62</v>
      </c>
      <c r="T19" s="36">
        <v>12.5</v>
      </c>
      <c r="U19" s="36">
        <f>2/3*5+K26</f>
        <v>9.2083333333333321</v>
      </c>
      <c r="V19" s="36">
        <f>1.1875+5/3</f>
        <v>2.854166666666667</v>
      </c>
      <c r="W19" s="36">
        <f>Table69[[#This Row],[A]]*((Table69[[#This Row],[yT]])^2+(H16-N8)^2)+625/36</f>
        <v>454.90933849840536</v>
      </c>
      <c r="X19" s="36">
        <f>Table69[[#This Row],[A]]*((Table69[[#This Row],[xT]]-H17)^2+(H16-N8)^2)+625/36</f>
        <v>1042.2103338388554</v>
      </c>
    </row>
    <row r="20" spans="1:24" ht="15.75" thickBot="1" x14ac:dyDescent="0.3">
      <c r="A20" t="s">
        <v>63</v>
      </c>
      <c r="B20" t="s">
        <v>64</v>
      </c>
      <c r="G20" s="22" t="s">
        <v>65</v>
      </c>
      <c r="H20" s="32">
        <f>SUM(Table1[Ixx],Table2[Ixx])</f>
        <v>26.823884611922626</v>
      </c>
      <c r="I20" s="33" t="s">
        <v>66</v>
      </c>
      <c r="J20" s="29" t="s">
        <v>67</v>
      </c>
      <c r="K20" s="8">
        <v>7</v>
      </c>
      <c r="L20" s="6" t="s">
        <v>68</v>
      </c>
      <c r="M20" s="7"/>
      <c r="O20" s="13"/>
      <c r="P20">
        <f>0.375*5</f>
        <v>1.875</v>
      </c>
      <c r="T20" s="36">
        <v>5</v>
      </c>
      <c r="U20" s="36">
        <f>0.5+5+K26</f>
        <v>11.375</v>
      </c>
      <c r="V20" s="36">
        <f>1.1875+2.5</f>
        <v>3.6875</v>
      </c>
      <c r="W20" s="36">
        <f>Table69[[#This Row],[A]]*((Table69[[#This Row],[yT]])^2+(H16-N8)^2)+5/12</f>
        <v>202.69290206602884</v>
      </c>
      <c r="X20" s="36">
        <f>Table69[[#This Row],[A]]*((Table69[[#This Row],[xT]]-H17)^2+(H16-N8)^2)+5^3/12</f>
        <v>282.95398360917221</v>
      </c>
    </row>
    <row r="21" spans="1:24" x14ac:dyDescent="0.25">
      <c r="G21" s="18" t="s">
        <v>69</v>
      </c>
      <c r="H21" s="31">
        <f>SUM(Table1[Iyy],Table2[Iyy])</f>
        <v>191.11086702614017</v>
      </c>
      <c r="I21" s="35" t="s">
        <v>66</v>
      </c>
      <c r="J21" s="29" t="s">
        <v>70</v>
      </c>
      <c r="K21" s="8">
        <v>0.25</v>
      </c>
      <c r="L21" s="2" t="s">
        <v>71</v>
      </c>
      <c r="M21" s="8">
        <v>5</v>
      </c>
      <c r="S21" t="s">
        <v>72</v>
      </c>
      <c r="T21" s="36">
        <v>12.5</v>
      </c>
      <c r="U21" s="36">
        <f>2/3*5+K26</f>
        <v>9.2083333333333321</v>
      </c>
      <c r="V21" s="36">
        <f>-5/3-1.1875</f>
        <v>-2.854166666666667</v>
      </c>
      <c r="W21" s="36">
        <f>Table69[[#This Row],[A]]*((Table69[[#This Row],[yT]])^2+(H16-N8)^2)+625/36</f>
        <v>454.90933849840536</v>
      </c>
      <c r="X21" s="36">
        <f>Table69[[#This Row],[A]]*((Table69[[#This Row],[xT]]-H17)^2+(H16-N8)^2)+625/36</f>
        <v>1042.2103338388554</v>
      </c>
    </row>
    <row r="22" spans="1:24" ht="15.75" thickBot="1" x14ac:dyDescent="0.3">
      <c r="A22" t="s">
        <v>73</v>
      </c>
      <c r="B22">
        <v>1</v>
      </c>
      <c r="G22" s="18" t="s">
        <v>74</v>
      </c>
      <c r="H22" s="34">
        <f>SUM(Table1[Izz],Table2[Izz])</f>
        <v>511.79647403614393</v>
      </c>
      <c r="I22" s="35" t="s">
        <v>66</v>
      </c>
      <c r="J22" s="28" t="s">
        <v>75</v>
      </c>
      <c r="K22" s="9">
        <f>K13-M22-K20</f>
        <v>28.509999999999998</v>
      </c>
      <c r="L22" s="2" t="s">
        <v>76</v>
      </c>
      <c r="M22" s="8">
        <v>1</v>
      </c>
      <c r="T22" s="36">
        <v>5</v>
      </c>
      <c r="U22" s="36">
        <f>0.5+5+K26</f>
        <v>11.375</v>
      </c>
      <c r="V22" s="36">
        <f>-1.1875-2.5</f>
        <v>-3.6875</v>
      </c>
      <c r="W22" s="36">
        <f>Table69[[#This Row],[A]]*((Table69[[#This Row],[yT]])^2+(H16-N8)^2)+5/12</f>
        <v>202.69290206602884</v>
      </c>
      <c r="X22" s="36">
        <f>Table69[[#This Row],[A]]*((Table69[[#This Row],[xT]]-H17)^2+(H16-N8)^2)+5^3/12</f>
        <v>282.95398360917221</v>
      </c>
    </row>
    <row r="23" spans="1:24" ht="16.5" thickTop="1" thickBot="1" x14ac:dyDescent="0.3">
      <c r="C23" s="37" t="s">
        <v>77</v>
      </c>
      <c r="G23" s="18" t="s">
        <v>78</v>
      </c>
      <c r="H23" s="34"/>
      <c r="I23" s="35" t="s">
        <v>66</v>
      </c>
      <c r="J23" s="30" t="s">
        <v>79</v>
      </c>
      <c r="K23" s="10">
        <v>5.95</v>
      </c>
      <c r="L23" s="1" t="s">
        <v>80</v>
      </c>
      <c r="M23" s="10"/>
      <c r="T23" s="36">
        <f>(T19*U19+T20*U20+T21*U21+T22*U22)/(T19+T20+T21+T22)</f>
        <v>9.8273809523809526</v>
      </c>
      <c r="U23" s="36"/>
      <c r="V23" s="36"/>
      <c r="W23" s="36"/>
      <c r="X23" s="36"/>
    </row>
    <row r="24" spans="1:24" ht="16.5" thickTop="1" thickBot="1" x14ac:dyDescent="0.3">
      <c r="B24" s="37" t="s">
        <v>81</v>
      </c>
      <c r="C24" s="37" t="s">
        <v>82</v>
      </c>
      <c r="D24" s="37" t="s">
        <v>83</v>
      </c>
      <c r="G24" s="18" t="s">
        <v>84</v>
      </c>
      <c r="H24" s="34"/>
      <c r="I24" s="35" t="s">
        <v>66</v>
      </c>
      <c r="J24" s="29" t="s">
        <v>85</v>
      </c>
      <c r="K24" s="8">
        <v>9.9</v>
      </c>
      <c r="L24" s="2" t="s">
        <v>86</v>
      </c>
      <c r="M24" s="8"/>
      <c r="T24" s="36" t="s">
        <v>21</v>
      </c>
      <c r="U24" s="36"/>
      <c r="V24" s="36"/>
      <c r="W24" s="36"/>
      <c r="X24" s="36"/>
    </row>
    <row r="25" spans="1:24" ht="16.5" thickTop="1" thickBot="1" x14ac:dyDescent="0.3">
      <c r="C25" s="37" t="s">
        <v>87</v>
      </c>
      <c r="G25" s="23" t="s">
        <v>88</v>
      </c>
      <c r="H25" s="2"/>
      <c r="I25" s="14" t="s">
        <v>66</v>
      </c>
      <c r="J25" s="29" t="s">
        <v>89</v>
      </c>
      <c r="K25" s="8">
        <v>0.25</v>
      </c>
      <c r="L25" s="2" t="s">
        <v>90</v>
      </c>
      <c r="M25" s="8"/>
      <c r="T25" s="36" t="s">
        <v>14</v>
      </c>
      <c r="U25" s="36" t="s">
        <v>15</v>
      </c>
      <c r="V25" s="36" t="s">
        <v>58</v>
      </c>
      <c r="W25" s="36" t="s">
        <v>17</v>
      </c>
      <c r="X25" s="36" t="s">
        <v>19</v>
      </c>
    </row>
    <row r="26" spans="1:24" ht="16.5" thickTop="1" thickBot="1" x14ac:dyDescent="0.3">
      <c r="B26">
        <v>2</v>
      </c>
      <c r="G26" s="25" t="s">
        <v>91</v>
      </c>
      <c r="H26" s="6">
        <f>SUM(Table1[weight],Table2[weight])</f>
        <v>3.5102158836082169</v>
      </c>
      <c r="I26" s="12" t="s">
        <v>92</v>
      </c>
      <c r="J26" s="4" t="s">
        <v>75</v>
      </c>
      <c r="K26" s="9">
        <f>3+2.875</f>
        <v>5.875</v>
      </c>
      <c r="L26" s="3" t="s">
        <v>75</v>
      </c>
      <c r="M26" s="9"/>
      <c r="T26" s="36">
        <f>17.84*18/2</f>
        <v>160.56</v>
      </c>
      <c r="U26" s="36">
        <f>K18+17.84*2/3</f>
        <v>20.843333333333334</v>
      </c>
      <c r="V26" s="36">
        <f>18/3</f>
        <v>6</v>
      </c>
      <c r="W26" s="36">
        <f>Table9[[#This Row],[A]]*((Table9[[#This Row],[yT]])^2+(H16-N3)^2)+(18^3)*17.84/36</f>
        <v>8898.5917836841545</v>
      </c>
      <c r="X26" s="36">
        <f>Table9[[#This Row],[A]]*((Table9[[#This Row],[xT]]-H17)^2+(H16-N3)^2)+18*17.84^3/36</f>
        <v>5913.087741414045</v>
      </c>
    </row>
    <row r="27" spans="1:24" ht="16.5" thickTop="1" thickBot="1" x14ac:dyDescent="0.3">
      <c r="C27" s="37" t="s">
        <v>81</v>
      </c>
      <c r="T27" s="36">
        <f>18*3.82/2</f>
        <v>34.379999999999995</v>
      </c>
      <c r="U27" s="36">
        <f>K18+17.84+3.82/3</f>
        <v>28.063333333333333</v>
      </c>
      <c r="V27" s="36">
        <f>18/3</f>
        <v>6</v>
      </c>
      <c r="W27" s="36">
        <f>Table9[[#This Row],[A]]*((Table9[[#This Row],[yT]])^2+(H16-N3)^2)+(18^3)*3.82/36</f>
        <v>1905.4159536812483</v>
      </c>
      <c r="X27" s="36">
        <f>Table9[[#This Row],[A]]*((Table9[[#This Row],[xT]]-H17)^2+(H16-N3)^2)+18*3.82^3/36</f>
        <v>4568.3538133016609</v>
      </c>
    </row>
    <row r="28" spans="1:24" ht="16.5" thickTop="1" thickBot="1" x14ac:dyDescent="0.3">
      <c r="C28" s="37" t="s">
        <v>77</v>
      </c>
      <c r="T28" s="36">
        <f>18*3.82/2</f>
        <v>34.379999999999995</v>
      </c>
      <c r="U28" s="36">
        <f>U27</f>
        <v>28.063333333333333</v>
      </c>
      <c r="V28" s="36">
        <f>-18/3</f>
        <v>-6</v>
      </c>
      <c r="W28" s="36">
        <f>Table9[[#This Row],[A]]*((Table9[[#This Row],[yT]])^2+(H16-N3)^2)+(18^3)*3.82/36</f>
        <v>1905.4159536812483</v>
      </c>
      <c r="X28" s="36">
        <f>Table9[[#This Row],[A]]*((Table9[[#This Row],[xT]]-H17)^2+(H16-N3)^2)+18*3.82^3/36</f>
        <v>4568.3538133016609</v>
      </c>
    </row>
    <row r="29" spans="1:24" ht="16.5" thickTop="1" thickBot="1" x14ac:dyDescent="0.3">
      <c r="C29" s="37" t="s">
        <v>82</v>
      </c>
      <c r="J29">
        <f>(17.84*18+18*3.82)*0.25*P13</f>
        <v>0.366640625</v>
      </c>
      <c r="T29" s="36">
        <f>17.84*18/2</f>
        <v>160.56</v>
      </c>
      <c r="U29" s="36">
        <f>U26</f>
        <v>20.843333333333334</v>
      </c>
      <c r="V29" s="36">
        <f>-18/3</f>
        <v>-6</v>
      </c>
      <c r="W29" s="36">
        <f>Table9[[#This Row],[A]]*((Table9[[#This Row],[yT]])^2+(H16-N3)^2)+(18^3)*17.84/36</f>
        <v>8898.5917836841545</v>
      </c>
      <c r="X29" s="36">
        <f>Table9[[#This Row],[A]]*((Table9[[#This Row],[xT]]-H17)^2+(H16-N3)^2)+18*17.84^3/36</f>
        <v>5913.087741414045</v>
      </c>
    </row>
    <row r="30" spans="1:24" ht="16.5" thickTop="1" thickBot="1" x14ac:dyDescent="0.3">
      <c r="C30" s="37" t="s">
        <v>87</v>
      </c>
    </row>
    <row r="31" spans="1:24" ht="16.5" thickTop="1" thickBot="1" x14ac:dyDescent="0.3">
      <c r="C31" s="37" t="s">
        <v>83</v>
      </c>
    </row>
    <row r="32" spans="1:24" ht="16.5" thickTop="1" thickBot="1" x14ac:dyDescent="0.3">
      <c r="B32">
        <v>3</v>
      </c>
    </row>
    <row r="33" spans="2:6" ht="16.5" thickTop="1" thickBot="1" x14ac:dyDescent="0.3">
      <c r="B33" s="37" t="s">
        <v>81</v>
      </c>
      <c r="C33" s="37" t="s">
        <v>77</v>
      </c>
      <c r="D33" s="37" t="s">
        <v>82</v>
      </c>
      <c r="E33" s="37" t="s">
        <v>87</v>
      </c>
      <c r="F33" s="37" t="s">
        <v>83</v>
      </c>
    </row>
    <row r="34" spans="2:6" ht="16.5" thickTop="1" thickBot="1" x14ac:dyDescent="0.3">
      <c r="B34">
        <v>4</v>
      </c>
    </row>
    <row r="35" spans="2:6" ht="16.5" thickTop="1" thickBot="1" x14ac:dyDescent="0.3">
      <c r="C35" s="37" t="s">
        <v>81</v>
      </c>
    </row>
    <row r="36" spans="2:6" ht="16.5" thickTop="1" thickBot="1" x14ac:dyDescent="0.3">
      <c r="B36" s="37" t="s">
        <v>77</v>
      </c>
      <c r="C36" s="37" t="s">
        <v>82</v>
      </c>
      <c r="D36" s="37" t="s">
        <v>87</v>
      </c>
    </row>
    <row r="37" spans="2:6" ht="16.5" thickTop="1" thickBot="1" x14ac:dyDescent="0.3">
      <c r="C37" s="37" t="s">
        <v>83</v>
      </c>
    </row>
    <row r="38" spans="2:6" ht="15.75" thickTop="1" x14ac:dyDescent="0.25"/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42"/>
  <sheetViews>
    <sheetView topLeftCell="N1" workbookViewId="0">
      <selection activeCell="B14" sqref="B14"/>
    </sheetView>
  </sheetViews>
  <sheetFormatPr defaultColWidth="8.85546875" defaultRowHeight="15" x14ac:dyDescent="0.25"/>
  <cols>
    <col min="1" max="1" width="17.28515625" customWidth="1"/>
    <col min="2" max="2" width="9.28515625" customWidth="1"/>
    <col min="6" max="6" width="9" customWidth="1"/>
    <col min="7" max="7" width="8.42578125" customWidth="1"/>
    <col min="8" max="8" width="9.42578125" customWidth="1"/>
    <col min="10" max="10" width="13.140625" customWidth="1"/>
    <col min="12" max="12" width="11.85546875" customWidth="1"/>
    <col min="20" max="20" width="11.85546875" customWidth="1"/>
    <col min="22" max="22" width="9.85546875" customWidth="1"/>
  </cols>
  <sheetData>
    <row r="1" spans="1:23" ht="15.75" thickBot="1" x14ac:dyDescent="0.3">
      <c r="A1" s="5" t="s">
        <v>118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s="36" t="s">
        <v>12</v>
      </c>
      <c r="K1" s="36"/>
      <c r="L1" s="36"/>
      <c r="M1" s="36"/>
      <c r="N1" s="36"/>
      <c r="O1" s="36"/>
      <c r="Q1" s="26" t="s">
        <v>11</v>
      </c>
      <c r="R1" s="24">
        <f>SUM(SUMPRODUCT(Table18420263236[weight],Table18420263236[zpos]),SUMPRODUCT(Table211521273338[weight],Table211521273338[Zcg]))/SUM(Table18420263236[weight],Table211521273338[weight])</f>
        <v>0.68190710138407939</v>
      </c>
      <c r="S1" s="12" t="s">
        <v>49</v>
      </c>
      <c r="T1" s="1" t="s">
        <v>40</v>
      </c>
      <c r="U1" s="10">
        <v>32.5</v>
      </c>
      <c r="V1" s="22" t="s">
        <v>119</v>
      </c>
      <c r="W1" s="56"/>
    </row>
    <row r="2" spans="1:23" ht="15.75" thickBot="1" x14ac:dyDescent="0.3">
      <c r="A2" s="5" t="s">
        <v>13</v>
      </c>
      <c r="B2">
        <f>4.65/16</f>
        <v>0.29062500000000002</v>
      </c>
      <c r="C2">
        <v>0.5</v>
      </c>
      <c r="D2">
        <v>0</v>
      </c>
      <c r="F2">
        <f>Table18420263236[[#This Row],[weight]]*(Table18420263236[[#This Row],[ypos]]^2+(Table18420263236[[#This Row],[zpos]]-R1)^2)</f>
        <v>0.13513983883555455</v>
      </c>
      <c r="G2">
        <f>Table18420263236[[#This Row],[weight]]*((Table18420263236[[#This Row],[xpos]]-R2)^2+(Table18420263236[[#This Row],[zpos]]-R1)^2)</f>
        <v>62.432336011186983</v>
      </c>
      <c r="H2">
        <f>Table18420263236[[#This Row],[weight]]*(Table18420263236[[#This Row],[xpos]]-R2)^2</f>
        <v>62.297196172351427</v>
      </c>
      <c r="J2" s="36" t="s">
        <v>120</v>
      </c>
      <c r="K2" s="36" t="s">
        <v>15</v>
      </c>
      <c r="L2" s="36" t="s">
        <v>16</v>
      </c>
      <c r="M2" s="36" t="s">
        <v>17</v>
      </c>
      <c r="N2" s="36" t="s">
        <v>18</v>
      </c>
      <c r="O2" s="36" t="s">
        <v>19</v>
      </c>
      <c r="Q2" s="11" t="s">
        <v>9</v>
      </c>
      <c r="R2" s="24">
        <f>SUM(SUMPRODUCT(Table18420263236[weight],Table18420263236[xpos]),SUMPRODUCT(Table211521273338[weight],Table211521273338[Xcg]))/SUM(Table18420263236[weight],Table211521273338[weight])</f>
        <v>15.14089969294386</v>
      </c>
      <c r="S2" s="12" t="s">
        <v>49</v>
      </c>
      <c r="T2" s="2" t="s">
        <v>45</v>
      </c>
      <c r="U2" s="54">
        <v>1.5</v>
      </c>
      <c r="V2" s="58" t="s">
        <v>121</v>
      </c>
      <c r="W2" s="56">
        <v>2</v>
      </c>
    </row>
    <row r="3" spans="1:23" ht="15.75" thickBot="1" x14ac:dyDescent="0.3">
      <c r="A3" s="5" t="s">
        <v>122</v>
      </c>
      <c r="B3">
        <f>1.02/16</f>
        <v>6.3750000000000001E-2</v>
      </c>
      <c r="C3">
        <f>3.49</f>
        <v>3.49</v>
      </c>
      <c r="D3">
        <v>0</v>
      </c>
      <c r="E3">
        <f>0.75</f>
        <v>0.75</v>
      </c>
      <c r="F3">
        <f>Table18420263236[[#This Row],[weight]]*(Table18420263236[[#This Row],[ypos]]^2+(Table18420263236[[#This Row],[zpos]]-R1)^2)</f>
        <v>2.9558598117227516E-4</v>
      </c>
      <c r="G3">
        <f>Table18420263236[[#This Row],[weight]]*((Table18420263236[[#This Row],[xpos]]-R2)^2+(Table18420263236[[#This Row],[zpos]]-R1)^2)</f>
        <v>8.6539413939899283</v>
      </c>
      <c r="H3">
        <f>Table18420263236[[#This Row],[weight]]*(Table18420263236[[#This Row],[xpos]]^2+Table18420263236[[#This Row],[ypos]]^2)</f>
        <v>0.77648137500000014</v>
      </c>
      <c r="J3" s="50">
        <f>U1*U3*V13</f>
        <v>22.34375</v>
      </c>
      <c r="K3" s="50">
        <f>U1/2</f>
        <v>16.25</v>
      </c>
      <c r="L3" s="50">
        <f>V13/2</f>
        <v>6.25E-2</v>
      </c>
      <c r="M3" s="36">
        <f>Table5121625313739[[#This Row],[V]]*V12*((Table5121625313739[[#This Row],[zT]]-R1)^2+(U3^2+U1^2)/12)</f>
        <v>11.742722463396248</v>
      </c>
      <c r="N3" s="36">
        <f>Table5121625313739[[#This Row],[V]]*V12*((Table5121625313739[[#This Row],[xT]]-R2)^2+(U3^2+U1^2)/12)</f>
        <v>11.852037329095376</v>
      </c>
      <c r="O3" s="36">
        <f>Table5121625313739[[#This Row],[V]]*((Table5121625313739[[#This Row],[zT]]-R1)^2+(Table5121625313739[[#This Row],[xT]]-R2)^2)</f>
        <v>36.057643236727877</v>
      </c>
      <c r="P3" t="s">
        <v>123</v>
      </c>
      <c r="Q3" s="23" t="s">
        <v>59</v>
      </c>
      <c r="R3" s="2">
        <v>15</v>
      </c>
      <c r="S3" s="14" t="s">
        <v>49</v>
      </c>
      <c r="T3" s="3" t="s">
        <v>47</v>
      </c>
      <c r="U3" s="55">
        <v>5.5</v>
      </c>
      <c r="V3" s="59" t="s">
        <v>124</v>
      </c>
      <c r="W3" s="57">
        <v>2.75</v>
      </c>
    </row>
    <row r="4" spans="1:23" ht="15.75" thickBot="1" x14ac:dyDescent="0.3">
      <c r="A4" s="5" t="s">
        <v>22</v>
      </c>
      <c r="B4">
        <f>6/16</f>
        <v>0.375</v>
      </c>
      <c r="C4">
        <f>C5-3</f>
        <v>12</v>
      </c>
      <c r="D4">
        <v>0</v>
      </c>
      <c r="E4">
        <f>E5</f>
        <v>0.75</v>
      </c>
      <c r="F4">
        <f>Table18420263236[[#This Row],[weight]]*(Table18420263236[[#This Row],[ypos]]^2+(Table18420263236[[#This Row],[zpos]]-R1)^2)</f>
        <v>1.7387410657192658E-3</v>
      </c>
      <c r="G4">
        <f>Table18420263236[[#This Row],[weight]]*((Table18420263236[[#This Row],[xpos]]-R2)^2+(Table18420263236[[#This Row],[zpos]]-R1)^2)</f>
        <v>3.7012078214912814</v>
      </c>
      <c r="H4">
        <f>Table18420263236[[#This Row],[weight]]*((Table18420263236[[#This Row],[xpos]]-R2)^2+Table18420263236[[#This Row],[ypos]]^2)</f>
        <v>3.6994690804255619</v>
      </c>
      <c r="J4" s="50">
        <f>(N29+N30+N31)*V13</f>
        <v>2.9644097222222223</v>
      </c>
      <c r="K4" s="50">
        <f>SUMPRODUCT(Table3440[X~],Table3440[A])/SUM(Table3440[A])</f>
        <v>19.855905319668128</v>
      </c>
      <c r="L4" s="50">
        <f>SUMPRODUCT(Table3440[Z~],Table3440[A])/SUM(Table3440[A])</f>
        <v>0.64555880917520725</v>
      </c>
      <c r="M4" s="36">
        <f>Table5121625313739[[#This Row],[V]]*(Table5121625313739[[#This Row],[zT]]-R1)^2</f>
        <v>3.9165732233531359E-3</v>
      </c>
      <c r="N4" s="36">
        <f>Table5121625313739[[#This Row],[V]]*(Table5121625313739[[#This Row],[xT]]-R2)^2</f>
        <v>65.902616818612657</v>
      </c>
      <c r="O4" s="36">
        <f>Table5121625313739[[#This Row],[V]]*((Table5121625313739[[#This Row],[zT]]-R1)^2+(Table5121625313739[[#This Row],[xT]]-R2)^2)</f>
        <v>65.906533391836007</v>
      </c>
      <c r="P4" t="s">
        <v>62</v>
      </c>
      <c r="Q4" s="42" t="s">
        <v>65</v>
      </c>
      <c r="R4" s="32">
        <f>SUM(Table18420263236[Ixx],Table211521273338[Ixx])</f>
        <v>109.82077384529993</v>
      </c>
      <c r="S4" s="33" t="s">
        <v>66</v>
      </c>
      <c r="T4" s="15" t="s">
        <v>125</v>
      </c>
      <c r="U4" s="16"/>
      <c r="V4" s="59" t="s">
        <v>126</v>
      </c>
      <c r="W4" s="8">
        <v>1.6</v>
      </c>
    </row>
    <row r="5" spans="1:23" ht="15.75" thickBot="1" x14ac:dyDescent="0.3">
      <c r="A5" s="5" t="s">
        <v>24</v>
      </c>
      <c r="B5">
        <f>6/16</f>
        <v>0.375</v>
      </c>
      <c r="C5">
        <f>R3</f>
        <v>15</v>
      </c>
      <c r="D5">
        <v>0</v>
      </c>
      <c r="E5">
        <v>0.75</v>
      </c>
      <c r="F5">
        <f>Table18420263236[[#This Row],[weight]]*(Table18420263236[[#This Row],[ypos]]^2+(Table18420263236[[#This Row],[zpos]]-R1)^2)</f>
        <v>1.7387410657192658E-3</v>
      </c>
      <c r="G5">
        <f>Table18420263236[[#This Row],[weight]]*((Table18420263236[[#This Row],[xpos]]-R2)^2+(Table18420263236[[#This Row],[zpos]]-R1)^2)</f>
        <v>9.1835123675969993E-3</v>
      </c>
      <c r="H5">
        <f>Table18420263236[[#This Row],[weight]]*((Table18420263236[[#This Row],[xpos]]-R2)^2+Table18420263236[[#This Row],[ypos]]^2)</f>
        <v>7.4447713018777339E-3</v>
      </c>
      <c r="J5" s="50">
        <f>J4</f>
        <v>2.9644097222222223</v>
      </c>
      <c r="K5" s="50">
        <f>K4</f>
        <v>19.855905319668128</v>
      </c>
      <c r="L5" s="50">
        <f>L4</f>
        <v>0.64555880917520725</v>
      </c>
      <c r="M5" s="36">
        <f>Table5121625313739[[#This Row],[V]]*(Table5121625313739[[#This Row],[zT]]-R1)^2</f>
        <v>3.9165732233531359E-3</v>
      </c>
      <c r="N5" s="36">
        <f>Table5121625313739[[#This Row],[V]]*(Table5121625313739[[#This Row],[xT]]-R2)^2</f>
        <v>65.902616818612657</v>
      </c>
      <c r="O5" s="36">
        <f>Table5121625313739[[#This Row],[V]]*((Table5121625313739[[#This Row],[zT]]-R1)^2+(Table5121625313739[[#This Row],[xT]]-R2)^2)</f>
        <v>65.906533391836007</v>
      </c>
      <c r="P5" t="s">
        <v>72</v>
      </c>
      <c r="Q5" s="43" t="s">
        <v>69</v>
      </c>
      <c r="R5" s="31">
        <f>SUM(Table18420263236[Iyy],Table211521273338[Iyy])</f>
        <v>284.15662325680154</v>
      </c>
      <c r="S5" s="35" t="s">
        <v>66</v>
      </c>
      <c r="T5" s="51" t="s">
        <v>121</v>
      </c>
      <c r="U5" s="8">
        <v>26.5</v>
      </c>
      <c r="V5" s="60" t="s">
        <v>127</v>
      </c>
      <c r="W5" s="57">
        <v>25</v>
      </c>
    </row>
    <row r="6" spans="1:23" ht="15.75" thickBot="1" x14ac:dyDescent="0.3">
      <c r="A6" s="5" t="s">
        <v>26</v>
      </c>
      <c r="B6">
        <f>B4</f>
        <v>0.375</v>
      </c>
      <c r="C6">
        <f>C5+3</f>
        <v>18</v>
      </c>
      <c r="D6">
        <v>0</v>
      </c>
      <c r="E6">
        <v>0.75</v>
      </c>
      <c r="F6">
        <f>Table18420263236[[#This Row],[weight]]*(Table18420263236[[#This Row],[ypos]]^2+(Table18420263236[[#This Row],[zpos]]-R1)^2)</f>
        <v>1.7387410657192658E-3</v>
      </c>
      <c r="G6">
        <f>Table18420263236[[#This Row],[weight]]*((Table18420263236[[#This Row],[xpos]]-R2)^2+(Table18420263236[[#This Row],[zpos]]-R1)^2)</f>
        <v>3.0671592032439126</v>
      </c>
      <c r="H6">
        <f>Table18420263236[[#This Row],[weight]]*((Table18420263236[[#This Row],[xpos]]-R2)^2+Table18420263236[[#This Row],[ypos]]^2)</f>
        <v>3.0654204621781931</v>
      </c>
      <c r="J6" s="50">
        <f>O21*U3*V13</f>
        <v>13.75</v>
      </c>
      <c r="K6" s="50">
        <f>O21/2</f>
        <v>10</v>
      </c>
      <c r="L6" s="50">
        <f>U2-V13/2</f>
        <v>1.4375</v>
      </c>
      <c r="M6" s="36">
        <f>Table5121625313739[[#This Row],[V]]*V12*((Table5121625313739[[#This Row],[zT]]-R1)^2+(U3^2+O21^2)/12)</f>
        <v>2.8948838127785073</v>
      </c>
      <c r="N6" s="36">
        <f>Table5121625313739[[#This Row],[V]]*(R2-Table5121625313739[[#This Row],[xT]])^2</f>
        <v>363.39668272751624</v>
      </c>
      <c r="O6" s="36">
        <f>Table5121625313739[[#This Row],[V]]*((Table5121625313739[[#This Row],[zT]]-R1)^2+(Table5121625313739[[#This Row],[xT]]-R2)^2)</f>
        <v>371.24684136854989</v>
      </c>
      <c r="P6" t="s">
        <v>128</v>
      </c>
      <c r="Q6" s="25" t="s">
        <v>74</v>
      </c>
      <c r="R6" s="39">
        <f>SUM(Table18420263236[Izz],Table211521273338[Izz])</f>
        <v>445.95352853406439</v>
      </c>
      <c r="S6" s="40" t="s">
        <v>66</v>
      </c>
      <c r="T6" s="51" t="s">
        <v>126</v>
      </c>
      <c r="U6" s="8">
        <v>1.5</v>
      </c>
      <c r="V6" s="11" t="s">
        <v>129</v>
      </c>
      <c r="W6" s="16"/>
    </row>
    <row r="7" spans="1:23" x14ac:dyDescent="0.25">
      <c r="A7" s="5" t="s">
        <v>28</v>
      </c>
      <c r="B7">
        <v>0</v>
      </c>
      <c r="C7">
        <f>C5-6</f>
        <v>9</v>
      </c>
      <c r="D7">
        <v>0</v>
      </c>
      <c r="E7">
        <v>0.75</v>
      </c>
      <c r="F7">
        <f>Table18420263236[[#This Row],[weight]]*(Table18420263236[[#This Row],[ypos]]^2+(Table18420263236[[#This Row],[zpos]]-R1)^2)</f>
        <v>0</v>
      </c>
      <c r="G7">
        <f>Table18420263236[[#This Row],[weight]]*((Table18420263236[[#This Row],[xpos]]-R2)^2+(Table18420263236[[#This Row],[zpos]]-R1)^2)</f>
        <v>0</v>
      </c>
      <c r="H7">
        <f>Table18420263236[[#This Row],[weight]]*((Table18420263236[[#This Row],[xpos]]-R2)^2+Table18420263236[[#This Row],[ypos]]^2)</f>
        <v>0</v>
      </c>
      <c r="J7" s="50">
        <f>U2*U3*V13</f>
        <v>1.03125</v>
      </c>
      <c r="K7" s="50">
        <f>U1</f>
        <v>32.5</v>
      </c>
      <c r="L7" s="50">
        <f>U2/2</f>
        <v>0.75</v>
      </c>
      <c r="M7" s="36">
        <f>Table5121625313739[[#This Row],[V]]*(Table5121625313739[[#This Row],[zT]]-R1)^2</f>
        <v>4.7815379307279806E-3</v>
      </c>
      <c r="N7" s="36">
        <f>Table5121625313739[[#This Row],[V]]*(R2-Table5121625313739[[#This Row],[xT]])^2</f>
        <v>310.7551873288877</v>
      </c>
      <c r="O7" s="36">
        <f>Table5121625313739[[#This Row],[V]]*((Table5121625313739[[#This Row],[zT]]-R1)^2+(Table5121625313739[[#This Row],[xT]]-R2)^2)</f>
        <v>310.75996886681844</v>
      </c>
      <c r="P7" t="s">
        <v>130</v>
      </c>
      <c r="Q7" s="18" t="s">
        <v>65</v>
      </c>
      <c r="R7" s="32">
        <f>R4/144</f>
        <v>0.76264426281458286</v>
      </c>
      <c r="S7" s="33" t="s">
        <v>101</v>
      </c>
      <c r="T7" s="59" t="s">
        <v>131</v>
      </c>
      <c r="U7" s="8">
        <v>7.75</v>
      </c>
      <c r="V7" s="59" t="s">
        <v>121</v>
      </c>
      <c r="W7" s="8">
        <v>30.5</v>
      </c>
    </row>
    <row r="8" spans="1:23" x14ac:dyDescent="0.25">
      <c r="A8" s="5" t="s">
        <v>30</v>
      </c>
      <c r="B8">
        <f>B7</f>
        <v>0</v>
      </c>
      <c r="C8">
        <f>C5+6</f>
        <v>21</v>
      </c>
      <c r="D8">
        <f>D7</f>
        <v>0</v>
      </c>
      <c r="E8">
        <v>0.75</v>
      </c>
      <c r="F8">
        <f>Table18420263236[[#This Row],[weight]]*(Table18420263236[[#This Row],[ypos]]^2+(Table18420263236[[#This Row],[zpos]]-R1)^2)</f>
        <v>0</v>
      </c>
      <c r="G8">
        <f>Table18420263236[[#This Row],[weight]]*((Table18420263236[[#This Row],[xpos]]-R2)^2+(Table18420263236[[#This Row],[zpos]]-R1)^2)</f>
        <v>0</v>
      </c>
      <c r="H8">
        <f>Table18420263236[[#This Row],[weight]]*((Table18420263236[[#This Row],[xpos]]-R2)^2+Table18420263236[[#This Row],[ypos]]^2)</f>
        <v>0</v>
      </c>
      <c r="J8" s="62">
        <f>X20*V23*V13</f>
        <v>6.567334528749087</v>
      </c>
      <c r="K8" s="62">
        <f>(P27-O21)/2</f>
        <v>6.25</v>
      </c>
      <c r="L8" s="62">
        <f>K25-T25/2+T25</f>
        <v>1.75</v>
      </c>
      <c r="M8" s="53">
        <f>Table5121625313739[[#This Row],[V]]*Table5121625313739[[#This Row],[zT]]^2</f>
        <v>20.11246199429408</v>
      </c>
      <c r="N8" s="53">
        <f>Table5121625313739[[#This Row],[V]]*Table5121625313739[[#This Row],[xT]]^2</f>
        <v>256.53650502926121</v>
      </c>
      <c r="O8" s="38">
        <f>Table5121625313739[[#This Row],[V]]*((Table5121625313739[[#This Row],[zT]]-R1)^2+(Table5121625313739[[#This Row],[xT]]-R2)^2)</f>
        <v>526.6274617603716</v>
      </c>
      <c r="P8" t="s">
        <v>132</v>
      </c>
      <c r="Q8" s="18" t="s">
        <v>69</v>
      </c>
      <c r="R8" s="34">
        <f>R5/144</f>
        <v>1.9733098837277885</v>
      </c>
      <c r="S8" s="35" t="s">
        <v>101</v>
      </c>
      <c r="T8" s="51" t="s">
        <v>133</v>
      </c>
      <c r="U8" s="8">
        <v>6</v>
      </c>
      <c r="V8" s="2" t="s">
        <v>124</v>
      </c>
      <c r="W8" s="8">
        <v>2.75</v>
      </c>
    </row>
    <row r="9" spans="1:23" ht="15.75" thickBot="1" x14ac:dyDescent="0.3">
      <c r="A9" s="5" t="s">
        <v>197</v>
      </c>
      <c r="B9">
        <f>0.01</f>
        <v>0.01</v>
      </c>
      <c r="C9">
        <f>W3+2</f>
        <v>4.75</v>
      </c>
      <c r="E9">
        <f>E34</f>
        <v>1.6625000000000001</v>
      </c>
      <c r="F9">
        <f>Table18420263236[[#This Row],[weight]]*(Table18420263236[[#This Row],[ypos]]^2+(Table18420263236[[#This Row],[zpos]]-R$1)^2)</f>
        <v>9.6156243281597335E-3</v>
      </c>
      <c r="G9">
        <f>Table18420263236[[#This Row],[weight]]*((Table18420263236[[#This Row],[xpos]]-R$2)^2+(Table18420263236[[#This Row],[zpos]]-R$1)^2)</f>
        <v>1.0893235886163677</v>
      </c>
      <c r="H9">
        <f>Table18420263236[[#This Row],[weight]]*((Table18420263236[[#This Row],[xpos]]-R$2)^2+Table18420263236[[#This Row],[ypos]]^2)</f>
        <v>1.0797079642882081</v>
      </c>
      <c r="J9" s="62">
        <f>T23*U3*V13</f>
        <v>2.0625</v>
      </c>
      <c r="K9" s="62">
        <f>P27-T23+T23/2</f>
        <v>31</v>
      </c>
      <c r="L9" s="62">
        <f>T25+V13/2</f>
        <v>0.5625</v>
      </c>
      <c r="M9" s="53">
        <f>Table5121625313739[[#This Row],[V]]*V12*((Table5121625313739[[#This Row],[zT]]-R1)^2+(U3^2+V13^2)/12)</f>
        <v>3.0236980684369825E-2</v>
      </c>
      <c r="N9" s="53">
        <f>Table5121625313739[[#This Row],[V]]*Table5121625313739[[#This Row],[xT]]^2</f>
        <v>1982.0625</v>
      </c>
      <c r="O9" s="38"/>
      <c r="P9" t="s">
        <v>135</v>
      </c>
      <c r="Q9" s="23" t="s">
        <v>74</v>
      </c>
      <c r="R9" s="3">
        <f>R6/144</f>
        <v>3.0968995037087805</v>
      </c>
      <c r="S9" s="41" t="s">
        <v>101</v>
      </c>
      <c r="T9" s="61" t="s">
        <v>136</v>
      </c>
      <c r="U9" s="8">
        <v>32.5</v>
      </c>
      <c r="V9" s="2" t="s">
        <v>126</v>
      </c>
      <c r="W9" s="8">
        <v>-0.1</v>
      </c>
    </row>
    <row r="10" spans="1:23" ht="15.75" thickBot="1" x14ac:dyDescent="0.3">
      <c r="A10" s="5" t="s">
        <v>198</v>
      </c>
      <c r="B10">
        <f>B9</f>
        <v>0.01</v>
      </c>
      <c r="C10">
        <f>C9</f>
        <v>4.75</v>
      </c>
      <c r="D10">
        <f>-D9</f>
        <v>0</v>
      </c>
      <c r="E10">
        <f>E9</f>
        <v>1.6625000000000001</v>
      </c>
      <c r="F10">
        <f>Table18420263236[[#This Row],[weight]]*(Table18420263236[[#This Row],[ypos]]^2+(Table18420263236[[#This Row],[zpos]]-R$1)^2)</f>
        <v>9.6156243281597335E-3</v>
      </c>
      <c r="G10">
        <f>Table18420263236[[#This Row],[weight]]*((Table18420263236[[#This Row],[xpos]]-R$2)^2+(Table18420263236[[#This Row],[zpos]]-R$1)^2)</f>
        <v>1.0893235886163677</v>
      </c>
      <c r="H10">
        <f>Table18420263236[[#This Row],[weight]]*((Table18420263236[[#This Row],[xpos]]-R$2)^2+Table18420263236[[#This Row],[ypos]]^2)</f>
        <v>1.0797079642882081</v>
      </c>
      <c r="J10" s="36" t="s">
        <v>23</v>
      </c>
      <c r="K10" s="36"/>
      <c r="L10" s="36"/>
      <c r="M10" s="36"/>
      <c r="N10" s="36"/>
      <c r="O10" s="36"/>
      <c r="Q10" s="25" t="s">
        <v>91</v>
      </c>
      <c r="R10" s="6">
        <f>SUM(Table18420263236[weight],Table211521273338[weight])</f>
        <v>4.0627750000000002</v>
      </c>
      <c r="S10" s="12" t="s">
        <v>92</v>
      </c>
      <c r="T10" s="51" t="s">
        <v>138</v>
      </c>
      <c r="U10" s="8">
        <v>1</v>
      </c>
      <c r="V10" s="2" t="s">
        <v>127</v>
      </c>
      <c r="W10" s="8">
        <v>30</v>
      </c>
    </row>
    <row r="11" spans="1:23" ht="15.75" thickBot="1" x14ac:dyDescent="0.3">
      <c r="A11" s="5" t="s">
        <v>137</v>
      </c>
      <c r="B11">
        <f>0.158/16</f>
        <v>9.8750000000000001E-3</v>
      </c>
      <c r="C11">
        <f>31.32</f>
        <v>31.32</v>
      </c>
      <c r="D11">
        <v>-0.24</v>
      </c>
      <c r="E11">
        <v>1.38</v>
      </c>
      <c r="F11">
        <f>Table18420263236[[#This Row],[weight]]*(Table18420263236[[#This Row],[ypos]]^2+(Table18420263236[[#This Row],[zpos]]-R1)^2)</f>
        <v>5.3812202390925313E-3</v>
      </c>
      <c r="G11">
        <f>Table18420263236[[#This Row],[weight]]*((Table18420263236[[#This Row],[xpos]]-R2)^2+(Table18420263236[[#This Row],[zpos]]-R1)^2)</f>
        <v>2.58972487685371</v>
      </c>
      <c r="H11">
        <f>Table18420263236[[#This Row],[weight]]*((Table18420263236[[#This Row],[xpos]]-R2)^2+Table18420263236[[#This Row],[ypos]]^2)</f>
        <v>2.5854812566146173</v>
      </c>
      <c r="J11" s="36" t="s">
        <v>120</v>
      </c>
      <c r="K11" s="36" t="s">
        <v>15</v>
      </c>
      <c r="L11" s="36" t="s">
        <v>16</v>
      </c>
      <c r="M11" s="36" t="s">
        <v>17</v>
      </c>
      <c r="N11" s="36" t="s">
        <v>18</v>
      </c>
      <c r="O11" s="36" t="s">
        <v>19</v>
      </c>
      <c r="T11" s="4" t="s">
        <v>139</v>
      </c>
      <c r="U11" s="9">
        <v>3.5</v>
      </c>
      <c r="V11" s="3" t="s">
        <v>140</v>
      </c>
      <c r="W11" s="9">
        <v>3</v>
      </c>
    </row>
    <row r="12" spans="1:23" ht="15.75" thickBot="1" x14ac:dyDescent="0.3">
      <c r="A12" s="5" t="s">
        <v>96</v>
      </c>
      <c r="B12">
        <f>0.49/16</f>
        <v>3.0624999999999999E-2</v>
      </c>
      <c r="C12">
        <v>10.87</v>
      </c>
      <c r="D12">
        <v>2.16</v>
      </c>
      <c r="E12">
        <v>1.01</v>
      </c>
      <c r="F12">
        <f>Table18420263236[[#This Row],[weight]]*(Table18420263236[[#This Row],[ypos]]^2+(Table18420263236[[#This Row],[zpos]]-R1)^2)</f>
        <v>0.14618062659749229</v>
      </c>
      <c r="G12">
        <f>Table18420263236[[#This Row],[weight]]*((Table18420263236[[#This Row],[xpos]]-R2)^2+(Table18420263236[[#This Row],[zpos]]-R1)^2)</f>
        <v>0.56191451733012365</v>
      </c>
      <c r="H12">
        <f>Table18420263236[[#This Row],[weight]]*((Table18420263236[[#This Row],[xpos]]-R2)^2+Table18420263236[[#This Row],[ypos]]^2)</f>
        <v>0.70150189073263136</v>
      </c>
      <c r="J12" s="50">
        <f>(U7-U6)*U8*V13</f>
        <v>4.6875</v>
      </c>
      <c r="K12" s="50">
        <f>U5+U8/2</f>
        <v>29.5</v>
      </c>
      <c r="L12" s="50">
        <f>U6+(U7-U6)/2</f>
        <v>4.625</v>
      </c>
      <c r="M12" s="36">
        <f>Table6131722283441[[#This Row],[V]]*V12*((Table6131722283441[[#This Row],[zT]]-R1)^2+((U7-U6)^2+V13^2)/12)</f>
        <v>0.50948420576934272</v>
      </c>
      <c r="N12" s="36">
        <f>Table6131722283441[[#This Row],[V]]*(Table6131722283441[[#This Row],[xT]]-R2)^2+(U5-4.11)^3*U4/36</f>
        <v>966.48638263171756</v>
      </c>
      <c r="O12" s="36">
        <f>Table6131722283441[[#This Row],[V]]*((Table6131722283441[[#This Row],[zT]]-R1)^2+(Table6131722283441[[#This Row],[xT]]-R2)^2)</f>
        <v>1039.3675464150706</v>
      </c>
      <c r="P12" t="s">
        <v>128</v>
      </c>
      <c r="T12" s="6" t="s">
        <v>142</v>
      </c>
      <c r="U12" s="20"/>
      <c r="V12" s="21">
        <v>5.7800000000000004E-3</v>
      </c>
      <c r="W12" s="16" t="s">
        <v>43</v>
      </c>
    </row>
    <row r="13" spans="1:23" ht="15.75" thickBot="1" x14ac:dyDescent="0.3">
      <c r="A13" s="5" t="s">
        <v>141</v>
      </c>
      <c r="C13">
        <v>8.1</v>
      </c>
      <c r="D13">
        <v>2.2400000000000002</v>
      </c>
      <c r="E13">
        <v>0.94</v>
      </c>
      <c r="F13">
        <f>Table18420263236[[#This Row],[weight]]*(Table18420263236[[#This Row],[ypos]]^2+(Table18420263236[[#This Row],[zpos]]-R1)^2)</f>
        <v>0</v>
      </c>
      <c r="G13">
        <f>Table18420263236[[#This Row],[weight]]*((Table18420263236[[#This Row],[xpos]]-R2)^2+(Table18420263236[[#This Row],[zpos]]-R1)^2)</f>
        <v>0</v>
      </c>
      <c r="H13">
        <f>Table18420263236[[#This Row],[weight]]*((Table18420263236[[#This Row],[xpos]]-R2)^2+Table18420263236[[#This Row],[ypos]]^2)</f>
        <v>0</v>
      </c>
      <c r="J13" s="50">
        <f>U11*U10*V13</f>
        <v>0.4375</v>
      </c>
      <c r="K13" s="50">
        <f>U9+U10/2</f>
        <v>33</v>
      </c>
      <c r="L13" s="50">
        <f>U11/2</f>
        <v>1.75</v>
      </c>
      <c r="M13" s="36">
        <f>Table6131722283441[[#This Row],[V]]*V12*((Table6131722283441[[#This Row],[zT]]-R1)^2+(U8^2+V13^2)/12)</f>
        <v>1.0474397388565686E-2</v>
      </c>
      <c r="N13" s="36">
        <f>Table6131722283441[[#This Row],[V]]*(Table6131722283441[[#This Row],[xT]]-R2)^2++(4.11^3*U4)/12</f>
        <v>139.53951540265302</v>
      </c>
      <c r="O13" s="36">
        <f>Table6131722283441[[#This Row],[V]]*((Table6131722283441[[#This Row],[zT]]-R1)^2+(Table6131722283441[[#This Row],[xT]]-R2)^2)</f>
        <v>140.03862522018531</v>
      </c>
      <c r="P13" t="s">
        <v>62</v>
      </c>
      <c r="T13" s="6" t="s">
        <v>143</v>
      </c>
      <c r="U13" s="20"/>
      <c r="V13" s="19">
        <f>1/8</f>
        <v>0.125</v>
      </c>
      <c r="W13" s="16" t="s">
        <v>144</v>
      </c>
    </row>
    <row r="14" spans="1:23" ht="15.75" thickBot="1" x14ac:dyDescent="0.3">
      <c r="A14" s="5" t="s">
        <v>39</v>
      </c>
      <c r="B14" s="47">
        <v>0.11899999999999999</v>
      </c>
      <c r="C14">
        <v>4.79</v>
      </c>
      <c r="D14">
        <v>-0.9</v>
      </c>
      <c r="E14">
        <v>0.52</v>
      </c>
      <c r="F14">
        <f>Table18420263236[[#This Row],[weight]]*(Table18420263236[[#This Row],[ypos]]^2+(Table18420263236[[#This Row],[zpos]]-R1)^2)</f>
        <v>9.9509455227952764E-2</v>
      </c>
      <c r="G14">
        <f>Table18420263236[[#This Row],[weight]]*((Table18420263236[[#This Row],[xpos]]-R2)^2+(Table18420263236[[#This Row],[zpos]]-R1)^2)</f>
        <v>12.752913265180799</v>
      </c>
      <c r="H14">
        <f>Table18420263236[[#This Row],[weight]]*((Table18420263236[[#This Row],[xpos]]-R2)^2+Table18420263236[[#This Row],[ypos]]^2)</f>
        <v>12.846183809952848</v>
      </c>
      <c r="J14" s="50"/>
      <c r="K14" s="50"/>
      <c r="L14" s="50"/>
      <c r="M14" s="38"/>
      <c r="N14" s="38"/>
      <c r="O14" s="38"/>
      <c r="T14" s="6" t="s">
        <v>41</v>
      </c>
      <c r="U14" s="20"/>
      <c r="V14" s="21">
        <f>13/3456</f>
        <v>3.7615740740740739E-3</v>
      </c>
      <c r="W14" s="16" t="s">
        <v>43</v>
      </c>
    </row>
    <row r="15" spans="1:23" x14ac:dyDescent="0.25">
      <c r="A15" s="5" t="s">
        <v>44</v>
      </c>
      <c r="B15">
        <f>1.4/16</f>
        <v>8.7499999999999994E-2</v>
      </c>
      <c r="C15">
        <v>0</v>
      </c>
      <c r="D15">
        <v>0</v>
      </c>
      <c r="E15">
        <f>0.75</f>
        <v>0.75</v>
      </c>
      <c r="F15">
        <f>Table18420263236[[#This Row],[weight]]*(Table18420263236[[#This Row],[ypos]]^2+(Table18420263236[[#This Row],[zpos]]-R$1)^2)</f>
        <v>4.0570624866782866E-4</v>
      </c>
      <c r="G15">
        <f>Table18420263236[[#This Row],[weight]]*((Table18420263236[[#This Row],[xpos]]-R$2)^2+(Table18420263236[[#This Row],[zpos]]-R$1)^2)</f>
        <v>20.059504513530069</v>
      </c>
      <c r="H15">
        <f>Table18420263236[[#This Row],[weight]]*((Table18420263236[[#This Row],[xpos]]-R$2)^2+Table18420263236[[#This Row],[ypos]]^2)</f>
        <v>20.059098807281401</v>
      </c>
      <c r="I15" s="27"/>
    </row>
    <row r="16" spans="1:23" x14ac:dyDescent="0.25">
      <c r="A16" s="5" t="s">
        <v>182</v>
      </c>
      <c r="B16">
        <v>6.0000000000000001E-3</v>
      </c>
      <c r="C16">
        <v>6.86</v>
      </c>
      <c r="D16">
        <f>2.75</f>
        <v>2.75</v>
      </c>
      <c r="E16">
        <f>U$2/2</f>
        <v>0.75</v>
      </c>
      <c r="F16">
        <f>Table18420263236[[#This Row],[weight]]*(Table18420263236[[#This Row],[ypos]]^2+(Table18420263236[[#This Row],[zpos]]-R$1)^2)</f>
        <v>4.540281985705151E-2</v>
      </c>
      <c r="G16">
        <f>Table18420263236[[#This Row],[weight]]*((Table18420263236[[#This Row],[xpos]]-R$2)^2+(Table18420263236[[#This Row],[zpos]]-R$1)^2)</f>
        <v>0.41146761820463762</v>
      </c>
      <c r="H16">
        <f>Table18420263236[[#This Row],[weight]]*((Table18420263236[[#This Row],[xpos]]-R$2)^2+Table18420263236[[#This Row],[ypos]]^2)</f>
        <v>0.45681479834758615</v>
      </c>
    </row>
    <row r="17" spans="1:24" x14ac:dyDescent="0.25">
      <c r="A17" s="5" t="s">
        <v>183</v>
      </c>
      <c r="B17">
        <v>6.0000000000000001E-3</v>
      </c>
      <c r="C17">
        <f>C16</f>
        <v>6.86</v>
      </c>
      <c r="D17">
        <f>-2.75</f>
        <v>-2.75</v>
      </c>
      <c r="E17">
        <f t="shared" ref="E17:E19" si="0">U$2/2</f>
        <v>0.75</v>
      </c>
      <c r="F17">
        <f>Table18420263236[[#This Row],[weight]]*(Table18420263236[[#This Row],[ypos]]^2+(Table18420263236[[#This Row],[zpos]]-R$1)^2)</f>
        <v>4.540281985705151E-2</v>
      </c>
      <c r="G17">
        <f>Table18420263236[[#This Row],[weight]]*((Table18420263236[[#This Row],[xpos]]-R$2)^2+(Table18420263236[[#This Row],[zpos]]-R$1)^2)</f>
        <v>0.41146761820463762</v>
      </c>
      <c r="H17">
        <f>Table18420263236[[#This Row],[weight]]*((Table18420263236[[#This Row],[xpos]]-R$2)^2+Table18420263236[[#This Row],[ypos]]^2)</f>
        <v>0.45681479834758615</v>
      </c>
    </row>
    <row r="18" spans="1:24" x14ac:dyDescent="0.25">
      <c r="A18" s="5" t="s">
        <v>184</v>
      </c>
      <c r="B18">
        <v>6.0000000000000001E-3</v>
      </c>
      <c r="C18">
        <v>21.11</v>
      </c>
      <c r="D18">
        <f t="shared" ref="D18" si="1">2.75</f>
        <v>2.75</v>
      </c>
      <c r="E18">
        <f t="shared" si="0"/>
        <v>0.75</v>
      </c>
      <c r="F18">
        <f>Table18420263236[[#This Row],[weight]]*(Table18420263236[[#This Row],[ypos]]^2+(Table18420263236[[#This Row],[zpos]]-R$1)^2)</f>
        <v>4.540281985705151E-2</v>
      </c>
      <c r="G18">
        <f>Table18420263236[[#This Row],[weight]]*((Table18420263236[[#This Row],[xpos]]-R$2)^2+(Table18420263236[[#This Row],[zpos]]-R$1)^2)</f>
        <v>0.21380877071123769</v>
      </c>
      <c r="H18">
        <f>Table18420263236[[#This Row],[weight]]*((Table18420263236[[#This Row],[xpos]]-R$2)^2+Table18420263236[[#This Row],[ypos]]^2)</f>
        <v>0.25915595085418619</v>
      </c>
    </row>
    <row r="19" spans="1:24" x14ac:dyDescent="0.25">
      <c r="A19" s="5" t="s">
        <v>185</v>
      </c>
      <c r="B19">
        <v>6.0000000000000001E-3</v>
      </c>
      <c r="C19">
        <f>C18</f>
        <v>21.11</v>
      </c>
      <c r="D19">
        <f>-2.75</f>
        <v>-2.75</v>
      </c>
      <c r="E19">
        <f t="shared" si="0"/>
        <v>0.75</v>
      </c>
      <c r="F19">
        <f>Table18420263236[[#This Row],[weight]]*(Table18420263236[[#This Row],[ypos]]^2+(Table18420263236[[#This Row],[zpos]]-R$1)^2)</f>
        <v>4.540281985705151E-2</v>
      </c>
      <c r="G19">
        <f>Table18420263236[[#This Row],[weight]]*((Table18420263236[[#This Row],[xpos]]-R$2)^2+(Table18420263236[[#This Row],[zpos]]-R$1)^2)</f>
        <v>0.21380877071123769</v>
      </c>
      <c r="H19">
        <f>Table18420263236[[#This Row],[weight]]*((Table18420263236[[#This Row],[xpos]]-R$2)^2+Table18420263236[[#This Row],[ypos]]^2)</f>
        <v>0.25915595085418619</v>
      </c>
      <c r="J19" t="s">
        <v>179</v>
      </c>
      <c r="K19">
        <f>0.56/16</f>
        <v>3.5000000000000003E-2</v>
      </c>
      <c r="L19" t="s">
        <v>181</v>
      </c>
    </row>
    <row r="20" spans="1:24" x14ac:dyDescent="0.25">
      <c r="A20" s="5" t="s">
        <v>186</v>
      </c>
      <c r="B20">
        <v>6.0499999999999998E-2</v>
      </c>
      <c r="C20">
        <v>3.49</v>
      </c>
      <c r="D20">
        <v>2.13</v>
      </c>
      <c r="E20">
        <v>0.92</v>
      </c>
      <c r="F20">
        <f>Table18420263236[[#This Row],[weight]]*(Table18420263236[[#This Row],[ypos]]^2+(Table18420263236[[#This Row],[zpos]]-R$1)^2)</f>
        <v>0.27791208781646548</v>
      </c>
      <c r="G20">
        <f>Table18420263236[[#This Row],[weight]]*((Table18420263236[[#This Row],[xpos]]-R$2)^2+(Table18420263236[[#This Row],[zpos]]-R$1)^2)</f>
        <v>8.2159091889463447</v>
      </c>
      <c r="H20">
        <f>Table18420263236[[#This Row],[weight]]*((Table18420263236[[#This Row],[xpos]]-R$2)^2+Table18420263236[[#This Row],[ypos]]^2)</f>
        <v>8.4869620011298785</v>
      </c>
      <c r="J20" t="s">
        <v>180</v>
      </c>
      <c r="K20">
        <f>0.96/16</f>
        <v>0.06</v>
      </c>
      <c r="L20" t="s">
        <v>181</v>
      </c>
      <c r="W20" s="63" t="s">
        <v>72</v>
      </c>
      <c r="X20" s="47">
        <f>U3</f>
        <v>5.5</v>
      </c>
    </row>
    <row r="21" spans="1:24" x14ac:dyDescent="0.25">
      <c r="A21" s="5" t="s">
        <v>187</v>
      </c>
      <c r="B21">
        <f>B20</f>
        <v>6.0499999999999998E-2</v>
      </c>
      <c r="C21">
        <f>C20</f>
        <v>3.49</v>
      </c>
      <c r="D21">
        <f>-D20</f>
        <v>-2.13</v>
      </c>
      <c r="E21">
        <f>E20</f>
        <v>0.92</v>
      </c>
      <c r="F21">
        <f>Table18420263236[[#This Row],[weight]]*(Table18420263236[[#This Row],[ypos]]^2+(Table18420263236[[#This Row],[zpos]]-R$1)^2)</f>
        <v>0.27791208781646548</v>
      </c>
      <c r="G21">
        <f>Table18420263236[[#This Row],[weight]]*((Table18420263236[[#This Row],[xpos]]-R$2)^2+(Table18420263236[[#This Row],[zpos]]-R$1)^2)</f>
        <v>8.2159091889463447</v>
      </c>
      <c r="H21">
        <f>Table18420263236[[#This Row],[weight]]*((Table18420263236[[#This Row],[xpos]]-R$2)^2+Table18420263236[[#This Row],[ypos]]^2)</f>
        <v>8.4869620011298785</v>
      </c>
      <c r="N21" t="s">
        <v>150</v>
      </c>
      <c r="O21">
        <f>20</f>
        <v>20</v>
      </c>
    </row>
    <row r="22" spans="1:24" x14ac:dyDescent="0.25">
      <c r="A22" s="5" t="s">
        <v>188</v>
      </c>
      <c r="B22">
        <v>3.5799999999999998E-2</v>
      </c>
      <c r="C22">
        <v>31.99</v>
      </c>
      <c r="D22">
        <v>1</v>
      </c>
      <c r="E22">
        <v>0.03</v>
      </c>
      <c r="F22">
        <f>Table18420263236[[#This Row],[weight]]*(Table18420263236[[#This Row],[ypos]]^2+(Table18420263236[[#This Row],[zpos]]-R$1)^2)</f>
        <v>5.1014386704292723E-2</v>
      </c>
      <c r="G22">
        <f>Table18420263236[[#This Row],[weight]]*((Table18420263236[[#This Row],[xpos]]-R$2)^2+(Table18420263236[[#This Row],[zpos]]-R$1)^2)</f>
        <v>10.178554472133461</v>
      </c>
      <c r="H22">
        <f>Table18420263236[[#This Row],[weight]]*((Table18420263236[[#This Row],[xpos]]-R$2)^2+Table18420263236[[#This Row],[ypos]]^2)</f>
        <v>10.199140085429168</v>
      </c>
      <c r="R22" t="s">
        <v>151</v>
      </c>
      <c r="S22">
        <f>V23</f>
        <v>9.5524865872713995</v>
      </c>
      <c r="V22" s="63" t="s">
        <v>151</v>
      </c>
    </row>
    <row r="23" spans="1:24" x14ac:dyDescent="0.25">
      <c r="A23" s="5" t="s">
        <v>189</v>
      </c>
      <c r="B23">
        <f>B22</f>
        <v>3.5799999999999998E-2</v>
      </c>
      <c r="C23">
        <f>C22</f>
        <v>31.99</v>
      </c>
      <c r="D23">
        <f>-D22</f>
        <v>-1</v>
      </c>
      <c r="E23">
        <f>E22</f>
        <v>0.03</v>
      </c>
      <c r="F23">
        <f>Table18420263236[[#This Row],[weight]]*(Table18420263236[[#This Row],[ypos]]^2+(Table18420263236[[#This Row],[zpos]]-R$1)^2)</f>
        <v>5.1014386704292723E-2</v>
      </c>
      <c r="G23">
        <f>Table18420263236[[#This Row],[weight]]*((Table18420263236[[#This Row],[xpos]]-R$2)^2+(Table18420263236[[#This Row],[zpos]]-R$1)^2)</f>
        <v>10.178554472133461</v>
      </c>
      <c r="H23">
        <f>Table18420263236[[#This Row],[weight]]*((Table18420263236[[#This Row],[xpos]]-R$2)^2+Table18420263236[[#This Row],[ypos]]^2)</f>
        <v>10.199140085429168</v>
      </c>
      <c r="S23" t="s">
        <v>135</v>
      </c>
      <c r="T23">
        <f>3</f>
        <v>3</v>
      </c>
      <c r="V23">
        <f>SQRT((K25-T25)^2+(P27-T23-O21)^2)</f>
        <v>9.5524865872713995</v>
      </c>
    </row>
    <row r="24" spans="1:24" x14ac:dyDescent="0.25">
      <c r="A24" s="5" t="s">
        <v>190</v>
      </c>
      <c r="B24">
        <v>7.4000000000000003E-3</v>
      </c>
      <c r="C24">
        <v>3.41</v>
      </c>
      <c r="D24">
        <v>0</v>
      </c>
      <c r="E24">
        <v>-0.33</v>
      </c>
      <c r="F24">
        <f>Table18420263236[[#This Row],[weight]]*(Table18420263236[[#This Row],[ypos]]^2+(Table18420263236[[#This Row],[zpos]]-R$1)^2)</f>
        <v>7.5772742655533191E-3</v>
      </c>
      <c r="G24">
        <f>Table18420263236[[#This Row],[weight]]*((Table18420263236[[#This Row],[xpos]]-R$2)^2+(Table18420263236[[#This Row],[zpos]]-R$1)^2)</f>
        <v>1.0259209305492898</v>
      </c>
      <c r="H24">
        <f>Table18420263236[[#This Row],[weight]]*((Table18420263236[[#This Row],[xpos]]-R$2)^2+Table18420263236[[#This Row],[ypos]]^2)</f>
        <v>1.0183436562837365</v>
      </c>
      <c r="K24" t="s">
        <v>154</v>
      </c>
      <c r="T24" t="s">
        <v>155</v>
      </c>
    </row>
    <row r="25" spans="1:24" x14ac:dyDescent="0.25">
      <c r="A25" s="5" t="s">
        <v>191</v>
      </c>
      <c r="B25">
        <v>1.7000000000000001E-2</v>
      </c>
      <c r="C25">
        <v>3.49</v>
      </c>
      <c r="D25">
        <f>D20</f>
        <v>2.13</v>
      </c>
      <c r="E25">
        <f>0.75</f>
        <v>0.75</v>
      </c>
      <c r="F25">
        <f>Table18420263236[[#This Row],[weight]]*(Table18420263236[[#This Row],[ypos]]^2+(Table18420263236[[#This Row],[zpos]]-R$1)^2)</f>
        <v>7.7206122928312595E-2</v>
      </c>
      <c r="G25">
        <f>Table18420263236[[#This Row],[weight]]*((Table18420263236[[#This Row],[xpos]]-R$2)^2+(Table18420263236[[#This Row],[zpos]]-R$1)^2)</f>
        <v>2.3077177050639808</v>
      </c>
      <c r="H25">
        <f>Table18420263236[[#This Row],[weight]]*((Table18420263236[[#This Row],[xpos]]-R$2)^2+Table18420263236[[#This Row],[ypos]]^2)</f>
        <v>2.3847661821356683</v>
      </c>
      <c r="K25">
        <f>U2</f>
        <v>1.5</v>
      </c>
      <c r="T25">
        <f>0.5</f>
        <v>0.5</v>
      </c>
    </row>
    <row r="26" spans="1:24" x14ac:dyDescent="0.25">
      <c r="A26" s="5" t="s">
        <v>192</v>
      </c>
      <c r="B26">
        <f>B25</f>
        <v>1.7000000000000001E-2</v>
      </c>
      <c r="C26">
        <f>C25</f>
        <v>3.49</v>
      </c>
      <c r="D26">
        <f>D21</f>
        <v>-2.13</v>
      </c>
      <c r="E26">
        <f>E25</f>
        <v>0.75</v>
      </c>
      <c r="F26">
        <f>Table18420263236[[#This Row],[weight]]*(Table18420263236[[#This Row],[ypos]]^2+(Table18420263236[[#This Row],[zpos]]-R$1)^2)</f>
        <v>7.7206122928312595E-2</v>
      </c>
      <c r="G26">
        <f>Table18420263236[[#This Row],[weight]]*((Table18420263236[[#This Row],[xpos]]-R$2)^2+(Table18420263236[[#This Row],[zpos]]-R$1)^2)</f>
        <v>2.3077177050639808</v>
      </c>
      <c r="H26">
        <f>Table18420263236[[#This Row],[weight]]*((Table18420263236[[#This Row],[xpos]]-R$2)^2+Table18420263236[[#This Row],[ypos]]^2)</f>
        <v>2.3847661821356683</v>
      </c>
    </row>
    <row r="27" spans="1:24" x14ac:dyDescent="0.25">
      <c r="A27" s="5" t="s">
        <v>193</v>
      </c>
      <c r="B27">
        <v>6.4999999999999997E-3</v>
      </c>
      <c r="C27">
        <f>C22</f>
        <v>31.99</v>
      </c>
      <c r="D27">
        <f>D22</f>
        <v>1</v>
      </c>
      <c r="E27">
        <v>0.28999999999999998</v>
      </c>
      <c r="F27">
        <f>Table18420263236[[#This Row],[weight]]*(Table18420263236[[#This Row],[ypos]]^2+(Table18420263236[[#This Row],[zpos]]-R$1)^2)</f>
        <v>7.4983426447492616E-3</v>
      </c>
      <c r="G27">
        <f>Table18420263236[[#This Row],[weight]]*((Table18420263236[[#This Row],[xpos]]-R$2)^2+(Table18420263236[[#This Row],[zpos]]-R$1)^2)</f>
        <v>1.846297520166805</v>
      </c>
      <c r="H27">
        <f>Table18420263236[[#This Row],[weight]]*((Table18420263236[[#This Row],[xpos]]-R$2)^2+Table18420263236[[#This Row],[ypos]]^2)</f>
        <v>1.8517991775220557</v>
      </c>
      <c r="O27" t="s">
        <v>156</v>
      </c>
      <c r="P27">
        <f>U1</f>
        <v>32.5</v>
      </c>
    </row>
    <row r="28" spans="1:24" x14ac:dyDescent="0.25">
      <c r="A28" s="5" t="s">
        <v>194</v>
      </c>
      <c r="B28">
        <f>B27</f>
        <v>6.4999999999999997E-3</v>
      </c>
      <c r="C28">
        <f>C27</f>
        <v>31.99</v>
      </c>
      <c r="D28">
        <f>D23</f>
        <v>-1</v>
      </c>
      <c r="E28">
        <f>E27</f>
        <v>0.28999999999999998</v>
      </c>
      <c r="F28">
        <f>Table18420263236[[#This Row],[weight]]*(Table18420263236[[#This Row],[ypos]]^2+(Table18420263236[[#This Row],[zpos]]-R$1)^2)</f>
        <v>7.4983426447492616E-3</v>
      </c>
      <c r="G28">
        <f>Table18420263236[[#This Row],[weight]]*((Table18420263236[[#This Row],[xpos]]-R$2)^2+(Table18420263236[[#This Row],[zpos]]-R$1)^2)</f>
        <v>1.846297520166805</v>
      </c>
      <c r="H28">
        <f>Table18420263236[[#This Row],[weight]]*((Table18420263236[[#This Row],[xpos]]-R$2)^2+Table18420263236[[#This Row],[ypos]]^2)</f>
        <v>1.8517991775220557</v>
      </c>
      <c r="L28" t="s">
        <v>157</v>
      </c>
      <c r="M28" t="s">
        <v>158</v>
      </c>
      <c r="N28" t="s">
        <v>14</v>
      </c>
    </row>
    <row r="29" spans="1:24" x14ac:dyDescent="0.25">
      <c r="A29" s="5" t="s">
        <v>195</v>
      </c>
      <c r="B29">
        <v>2.3E-2</v>
      </c>
      <c r="C29">
        <v>3.49</v>
      </c>
      <c r="D29">
        <v>0</v>
      </c>
      <c r="E29">
        <v>2.31</v>
      </c>
      <c r="F29">
        <f>Table18420263236[[#This Row],[weight]]*(Table18420263236[[#This Row],[ypos]]^2+(Table18420263236[[#This Row],[zpos]]-R$1)^2)</f>
        <v>6.0965789190042585E-2</v>
      </c>
      <c r="G29">
        <f>Table18420263236[[#This Row],[weight]]*((Table18420263236[[#This Row],[xpos]]-R$2)^2+(Table18420263236[[#This Row],[zpos]]-R$1)^2)</f>
        <v>3.1830654532559466</v>
      </c>
      <c r="H29">
        <f>Table18420263236[[#This Row],[weight]]*((Table18420263236[[#This Row],[xpos]]-R$2)^2+Table18420263236[[#This Row],[ypos]]^2)</f>
        <v>3.122099664065904</v>
      </c>
      <c r="L29">
        <f>O21/2</f>
        <v>10</v>
      </c>
      <c r="M29">
        <f>K25/2</f>
        <v>0.75</v>
      </c>
      <c r="N29">
        <f>Table3440[[#This Row],[X~]]*Table3440[[#This Row],[Z~]]</f>
        <v>7.5</v>
      </c>
    </row>
    <row r="30" spans="1:24" x14ac:dyDescent="0.25">
      <c r="A30" s="5" t="s">
        <v>196</v>
      </c>
      <c r="B30">
        <v>1.3299999999999999E-2</v>
      </c>
      <c r="C30">
        <v>32</v>
      </c>
      <c r="D30">
        <v>0</v>
      </c>
      <c r="E30">
        <v>-0.91</v>
      </c>
      <c r="F30">
        <f>Table18420263236[[#This Row],[weight]]*(Table18420263236[[#This Row],[ypos]]^2+(Table18420263236[[#This Row],[zpos]]-R$1)^2)</f>
        <v>3.3704437318512914E-2</v>
      </c>
      <c r="G30">
        <f>Table18420263236[[#This Row],[weight]]*((Table18420263236[[#This Row],[xpos]]-R$2)^2+(Table18420263236[[#This Row],[zpos]]-R$1)^2)</f>
        <v>3.8139536373914718</v>
      </c>
      <c r="H30">
        <f>Table18420263236[[#This Row],[weight]]*((Table18420263236[[#This Row],[xpos]]-R$2)^2+Table18420263236[[#This Row],[ypos]]^2)</f>
        <v>3.7802492000729591</v>
      </c>
      <c r="L30">
        <f>O21+(P27-O21-T23)/3</f>
        <v>23.166666666666668</v>
      </c>
      <c r="M30">
        <f>T25+(K25-T25)/3</f>
        <v>0.83333333333333326</v>
      </c>
      <c r="N30">
        <f>Table3440[[#This Row],[X~]]*Table3440[[#This Row],[Z~]]/2</f>
        <v>9.6527777777777768</v>
      </c>
    </row>
    <row r="31" spans="1:24" x14ac:dyDescent="0.25">
      <c r="A31" s="5"/>
      <c r="L31">
        <f>O21+(P27-O21)/2</f>
        <v>26.25</v>
      </c>
      <c r="M31">
        <f>T25/2</f>
        <v>0.25</v>
      </c>
      <c r="N31">
        <f>Table3440[[#This Row],[X~]]*Table3440[[#This Row],[Z~]]</f>
        <v>6.5625</v>
      </c>
    </row>
    <row r="32" spans="1:24" x14ac:dyDescent="0.25">
      <c r="A32" s="5" t="s">
        <v>145</v>
      </c>
      <c r="B32" s="5" t="s">
        <v>1</v>
      </c>
      <c r="C32" s="5" t="s">
        <v>9</v>
      </c>
      <c r="D32" s="5" t="s">
        <v>10</v>
      </c>
      <c r="E32" s="5" t="s">
        <v>11</v>
      </c>
      <c r="F32" s="5" t="s">
        <v>5</v>
      </c>
      <c r="G32" s="5" t="s">
        <v>6</v>
      </c>
      <c r="H32" s="5" t="s">
        <v>7</v>
      </c>
    </row>
    <row r="33" spans="1:8" x14ac:dyDescent="0.25">
      <c r="A33" s="5" t="s">
        <v>12</v>
      </c>
      <c r="B33">
        <f>0.3486</f>
        <v>0.34860000000000002</v>
      </c>
      <c r="C33">
        <f>17.87</f>
        <v>17.87</v>
      </c>
      <c r="D33">
        <f>0</f>
        <v>0</v>
      </c>
      <c r="E33">
        <f>SUMPRODUCT(Table5121625313739[V],Table5121625313739[zT])/SUM(Table5121625313739[V])</f>
        <v>0.74328994212766486</v>
      </c>
      <c r="F33">
        <f>Table211521273338[[#This Row],[weight]]*(Table211521273338[[#This Row],[Zcg]]-R1)^2+U1*U2^3/12*U3*V12</f>
        <v>0.29189394235382055</v>
      </c>
      <c r="G33">
        <f>Table211521273338[[#This Row],[weight]]*(((Table211521273338[[#This Row],[Zcg]]-R1)^2+(Table211521273338[[#This Row],[Xcg]]-R2)^2)+U3*U2^3/12)</f>
        <v>3.1369228848143309</v>
      </c>
      <c r="H33">
        <f>Table211521273338[[#This Row],[weight]]*(Table211521273338[[#This Row],[Xcg]]-R2)^2+U1^3*U2/12*U3*V12</f>
        <v>139.00775550496053</v>
      </c>
    </row>
    <row r="34" spans="1:8" x14ac:dyDescent="0.25">
      <c r="A34" s="5" t="s">
        <v>146</v>
      </c>
      <c r="B34">
        <f>0.02+0.053</f>
        <v>7.2999999999999995E-2</v>
      </c>
      <c r="C34">
        <f>W2+1.5</f>
        <v>3.5</v>
      </c>
      <c r="D34">
        <f>(W5-W3)/2+W3</f>
        <v>13.875</v>
      </c>
      <c r="E34">
        <f>W4+V13/2</f>
        <v>1.6625000000000001</v>
      </c>
      <c r="F34">
        <f>Table211521273338[[#This Row],[weight]]*(Table211521273338[[#This Row],[Ycg]]^2+(Table211521273338[[#This Row],[Zcg]]-R$1)^2)</f>
        <v>14.123834682595566</v>
      </c>
      <c r="H34">
        <v>34.130000000000003</v>
      </c>
    </row>
    <row r="35" spans="1:8" x14ac:dyDescent="0.25">
      <c r="A35" s="5" t="s">
        <v>147</v>
      </c>
      <c r="B35">
        <f>B34</f>
        <v>7.2999999999999995E-2</v>
      </c>
      <c r="C35">
        <f>C34</f>
        <v>3.5</v>
      </c>
      <c r="D35">
        <f>-D34</f>
        <v>-13.875</v>
      </c>
      <c r="E35">
        <f>E34</f>
        <v>1.6625000000000001</v>
      </c>
      <c r="F35">
        <f>Table211521273338[[#This Row],[weight]]*(Table211521273338[[#This Row],[Ycg]]^2+(Table211521273338[[#This Row],[Zcg]]-R$1)^2)</f>
        <v>14.123834682595566</v>
      </c>
      <c r="G35">
        <f>SUM(Table6131722283441[Iy])*U6*V12</f>
        <v>10.22545150807767</v>
      </c>
      <c r="H35">
        <f>SUM(Table6131722283441[Iz])*U6*V12</f>
        <v>9.5892445359579934</v>
      </c>
    </row>
    <row r="36" spans="1:8" x14ac:dyDescent="0.25">
      <c r="A36" s="5" t="s">
        <v>148</v>
      </c>
      <c r="B36">
        <f>0.026+0.11</f>
        <v>0.13600000000000001</v>
      </c>
      <c r="C36">
        <f>W7+W11/2</f>
        <v>32</v>
      </c>
      <c r="D36">
        <f>(W10-W8)/2+W8</f>
        <v>16.375</v>
      </c>
      <c r="E36">
        <f>W9+V13/2</f>
        <v>-3.7500000000000006E-2</v>
      </c>
      <c r="F36">
        <f>Table211521273338[[#This Row],[weight]]*(Table211521273338[[#This Row],[Ycg]]^2+(Table211521273338[[#This Row],[Zcg]]-R$1)^2)</f>
        <v>36.53751133454297</v>
      </c>
      <c r="G36">
        <f>Table211521273338[[#This Row],[weight]]*((Table211521273338[[#This Row],[Xcg]]-R$2)^2+(Table211521273338[[#This Row],[Zcg]]-R$1)^2)</f>
        <v>38.725566124762707</v>
      </c>
      <c r="H36">
        <f>Table211521273338[[#This Row],[weight]]*(Table211521273338[[#This Row],[Xcg]]-R$2)^2</f>
        <v>38.655179790219734</v>
      </c>
    </row>
    <row r="37" spans="1:8" x14ac:dyDescent="0.25">
      <c r="A37" s="5" t="s">
        <v>149</v>
      </c>
      <c r="B37">
        <f>B36</f>
        <v>0.13600000000000001</v>
      </c>
      <c r="C37">
        <f>C36</f>
        <v>32</v>
      </c>
      <c r="D37">
        <f>-D36</f>
        <v>-16.375</v>
      </c>
      <c r="E37">
        <f>E36</f>
        <v>-3.7500000000000006E-2</v>
      </c>
      <c r="F37">
        <f>Table211521273338[[#This Row],[weight]]*(Table211521273338[[#This Row],[Ycg]]^2+(Table211521273338[[#This Row],[Zcg]]-R$1)^2)</f>
        <v>36.53751133454297</v>
      </c>
      <c r="G37">
        <f>Table211521273338[[#This Row],[weight]]*((Table211521273338[[#This Row],[Xcg]]-R$2)^2+(Table211521273338[[#This Row],[Zcg]]-R$1)^2)</f>
        <v>38.725566124762707</v>
      </c>
      <c r="H37">
        <f>Table211521273338[[#This Row],[weight]]*(Table211521273338[[#This Row],[Xcg]]-R$2)^2</f>
        <v>38.655179790219734</v>
      </c>
    </row>
    <row r="38" spans="1:8" x14ac:dyDescent="0.25">
      <c r="A38" s="5" t="s">
        <v>125</v>
      </c>
      <c r="B38">
        <f>0.0425</f>
        <v>4.2500000000000003E-2</v>
      </c>
      <c r="C38">
        <v>30.06</v>
      </c>
      <c r="D38">
        <v>0</v>
      </c>
      <c r="E38">
        <v>3.92</v>
      </c>
      <c r="F38">
        <f>Table211521273338[[#This Row],[weight]]*(Table211521273338[[#This Row],[Ycg]]^2+(Table211521273338[[#This Row],[Zcg]]-R1)^2)</f>
        <v>0.44562293885284127</v>
      </c>
      <c r="G38">
        <f>Table211521273338[[#This Row],[weight]]*((Table211521273338[[#This Row],[Xcg]]-R2)^2+(Table211521273338[[#This Row],[Zcg]]-R1)^2)</f>
        <v>9.9052539826629502</v>
      </c>
      <c r="H38">
        <f>Table211521273338[[#This Row],[weight]]*(Table211521273338[[#This Row],[Xcg]]-R2)^2</f>
        <v>9.4596310438101092</v>
      </c>
    </row>
    <row r="39" spans="1:8" x14ac:dyDescent="0.25">
      <c r="A39" s="5" t="s">
        <v>152</v>
      </c>
      <c r="B39">
        <v>0.6</v>
      </c>
      <c r="C39">
        <v>18.440000000000001</v>
      </c>
      <c r="D39">
        <v>2.2799999999999998</v>
      </c>
      <c r="E39">
        <v>0.68</v>
      </c>
      <c r="F39">
        <f>Table211521273338[[#This Row],[weight]]*(Table211521273338[[#This Row],[Ycg]]^2+(Table211521273338[[#This Row],[Zcg]]-R1)^2)</f>
        <v>3.1190421822214134</v>
      </c>
      <c r="G39">
        <f>Table211521273338[[#This Row],[weight]]*((Table211521273338[[#This Row],[Xcg]]-R2)^2+(Table211521273338[[#This Row],[Zcg]]-R1)^2)</f>
        <v>6.5304398838321696</v>
      </c>
      <c r="H39">
        <f>Table211521273338[[#This Row],[weight]]*(Table211521273338[[#This Row],[Xcg]]-R2)^2</f>
        <v>6.5304377016107562</v>
      </c>
    </row>
    <row r="40" spans="1:8" x14ac:dyDescent="0.25">
      <c r="A40" s="5" t="s">
        <v>153</v>
      </c>
      <c r="B40">
        <f>B39</f>
        <v>0.6</v>
      </c>
      <c r="C40">
        <f>C39</f>
        <v>18.440000000000001</v>
      </c>
      <c r="D40">
        <f>-D39</f>
        <v>-2.2799999999999998</v>
      </c>
      <c r="E40">
        <f>E39</f>
        <v>0.68</v>
      </c>
      <c r="F40">
        <f>Table211521273338[[#This Row],[weight]]*(Table211521273338[[#This Row],[Ycg]]^2+(Table211521273338[[#This Row],[Zcg]]-R1)^2)</f>
        <v>3.1190421822214134</v>
      </c>
      <c r="G40">
        <f>Table211521273338[[#This Row],[weight]]*((Table211521273338[[#This Row],[Xcg]]-R2)^2+(Table211521273338[[#This Row],[Zcg]]-R1)^2)</f>
        <v>6.5304398838321696</v>
      </c>
      <c r="H40">
        <f>Table211521273338[[#This Row],[weight]]*(Table211521273338[[#This Row],[Xcg]]-R2)^2</f>
        <v>6.5304377016107562</v>
      </c>
    </row>
    <row r="41" spans="1:8" x14ac:dyDescent="0.25">
      <c r="A41" s="5"/>
      <c r="C41" s="52"/>
      <c r="E41" s="52"/>
      <c r="F41" s="52"/>
    </row>
    <row r="42" spans="1:8" x14ac:dyDescent="0.25">
      <c r="A42" s="5"/>
      <c r="C42" s="52"/>
      <c r="E42" s="52"/>
      <c r="F42" s="52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42"/>
  <sheetViews>
    <sheetView tabSelected="1" topLeftCell="K1" workbookViewId="0">
      <selection activeCell="B13" sqref="B13"/>
    </sheetView>
  </sheetViews>
  <sheetFormatPr defaultColWidth="8.85546875" defaultRowHeight="15" x14ac:dyDescent="0.25"/>
  <cols>
    <col min="1" max="1" width="17.28515625" customWidth="1"/>
    <col min="2" max="2" width="9.28515625" customWidth="1"/>
    <col min="6" max="6" width="9" customWidth="1"/>
    <col min="7" max="7" width="8.42578125" customWidth="1"/>
    <col min="8" max="8" width="9.42578125" customWidth="1"/>
    <col min="10" max="10" width="13.140625" customWidth="1"/>
    <col min="12" max="12" width="11.85546875" customWidth="1"/>
    <col min="20" max="20" width="11.85546875" customWidth="1"/>
    <col min="22" max="22" width="9.85546875" customWidth="1"/>
  </cols>
  <sheetData>
    <row r="1" spans="1:23" ht="15.75" thickBot="1" x14ac:dyDescent="0.3">
      <c r="A1" s="5" t="s">
        <v>118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s="36" t="s">
        <v>12</v>
      </c>
      <c r="K1" s="36"/>
      <c r="L1" s="36"/>
      <c r="M1" s="36"/>
      <c r="N1" s="36"/>
      <c r="O1" s="36"/>
      <c r="Q1" s="26" t="s">
        <v>11</v>
      </c>
      <c r="R1" s="83">
        <f>SUM(SUMPRODUCT(Table18420263242[weight],Table18420263242[zpos]),SUMPRODUCT(Table211521273343[weight],Table211521273343[Zcg]))/SUM(Table18420263242[weight],Table211521273343[weight])</f>
        <v>0.68141265760925041</v>
      </c>
      <c r="S1" s="12" t="s">
        <v>49</v>
      </c>
      <c r="T1" s="1" t="s">
        <v>40</v>
      </c>
      <c r="U1" s="50">
        <v>32.5</v>
      </c>
      <c r="V1" s="22" t="s">
        <v>119</v>
      </c>
      <c r="W1" s="56"/>
    </row>
    <row r="2" spans="1:23" ht="15.75" thickBot="1" x14ac:dyDescent="0.3">
      <c r="A2" s="5" t="s">
        <v>13</v>
      </c>
      <c r="B2">
        <f>4.65/16</f>
        <v>0.29062500000000002</v>
      </c>
      <c r="C2">
        <v>0.5</v>
      </c>
      <c r="D2">
        <v>0</v>
      </c>
      <c r="F2">
        <f>Table18420263242[[#This Row],[weight]]*(Table18420263242[[#This Row],[ypos]]^2+(Table18420263242[[#This Row],[zpos]]-R1)^2)</f>
        <v>0.13494393289174827</v>
      </c>
      <c r="G2">
        <f>Table18420263242[[#This Row],[weight]]*((Table18420263242[[#This Row],[xpos]]-R2)^2+(Table18420263242[[#This Row],[zpos]]-R1)^2)</f>
        <v>57.555424059776719</v>
      </c>
      <c r="H2">
        <f>Table18420263242[[#This Row],[weight]]*(Table18420263242[[#This Row],[xpos]]-R2)^2</f>
        <v>57.420480126884968</v>
      </c>
      <c r="J2" s="36" t="s">
        <v>120</v>
      </c>
      <c r="K2" s="36" t="s">
        <v>15</v>
      </c>
      <c r="L2" s="36" t="s">
        <v>16</v>
      </c>
      <c r="M2" s="36" t="s">
        <v>17</v>
      </c>
      <c r="N2" s="36" t="s">
        <v>18</v>
      </c>
      <c r="O2" s="36" t="s">
        <v>19</v>
      </c>
      <c r="Q2" s="11" t="s">
        <v>9</v>
      </c>
      <c r="R2" s="83">
        <f>SUM(SUMPRODUCT(Table18420263242[weight],Table18420263242[xpos]),SUMPRODUCT(Table211521273343[weight],Table211521273343[Xcg]))/SUM(Table18420263242[weight],Table211521273343[weight])</f>
        <v>14.556167528806839</v>
      </c>
      <c r="S2" s="12" t="s">
        <v>49</v>
      </c>
      <c r="T2" s="2" t="s">
        <v>45</v>
      </c>
      <c r="U2" s="50">
        <v>1.5</v>
      </c>
      <c r="V2" s="58" t="s">
        <v>121</v>
      </c>
      <c r="W2" s="50">
        <v>2</v>
      </c>
    </row>
    <row r="3" spans="1:23" ht="15.75" thickBot="1" x14ac:dyDescent="0.3">
      <c r="A3" s="5" t="s">
        <v>122</v>
      </c>
      <c r="B3">
        <f>1.02/16</f>
        <v>6.3750000000000001E-2</v>
      </c>
      <c r="C3">
        <f>3.49</f>
        <v>3.49</v>
      </c>
      <c r="D3">
        <v>0</v>
      </c>
      <c r="E3">
        <f>0.75</f>
        <v>0.75</v>
      </c>
      <c r="F3">
        <f>Table18420263242[[#This Row],[weight]]*(Table18420263242[[#This Row],[ypos]]^2+(Table18420263242[[#This Row],[zpos]]-R1)^2)</f>
        <v>2.998942504344022E-4</v>
      </c>
      <c r="G3">
        <f>Table18420263242[[#This Row],[weight]]*((Table18420263242[[#This Row],[xpos]]-R2)^2+(Table18420263242[[#This Row],[zpos]]-R1)^2)</f>
        <v>7.8071289599461355</v>
      </c>
      <c r="H3">
        <f>Table18420263242[[#This Row],[weight]]*(Table18420263242[[#This Row],[xpos]]^2+Table18420263242[[#This Row],[ypos]]^2)</f>
        <v>0.77648137500000014</v>
      </c>
      <c r="J3" s="50">
        <f>U1*U3*V13</f>
        <v>22.34375</v>
      </c>
      <c r="K3" s="50">
        <f>U1/2</f>
        <v>16.25</v>
      </c>
      <c r="L3" s="50">
        <f>V13/2</f>
        <v>6.25E-2</v>
      </c>
      <c r="M3" s="36">
        <f>Table5121625313744[[#This Row],[V]]*V12*((Table5121625313744[[#This Row],[zT]]-R1)^2+(U3^2+U1^2)/12)</f>
        <v>11.742643389412704</v>
      </c>
      <c r="N3" s="36">
        <f>Table5121625313744[[#This Row],[V]]*V12*((Table5121625313744[[#This Row],[xT]]-R2)^2+(U3^2+U1^2)/12)</f>
        <v>12.063704530539278</v>
      </c>
      <c r="O3" s="36">
        <f>Table5121625313744[[#This Row],[V]]*((Table5121625313744[[#This Row],[zT]]-R1)^2+(Table5121625313744[[#This Row],[xT]]-R2)^2)</f>
        <v>72.664585703917282</v>
      </c>
      <c r="P3" t="s">
        <v>123</v>
      </c>
      <c r="Q3" s="23" t="s">
        <v>59</v>
      </c>
      <c r="R3" s="84">
        <v>15</v>
      </c>
      <c r="S3" s="14" t="s">
        <v>49</v>
      </c>
      <c r="T3" s="3" t="s">
        <v>47</v>
      </c>
      <c r="U3" s="82">
        <v>5.5</v>
      </c>
      <c r="V3" s="59" t="s">
        <v>124</v>
      </c>
      <c r="W3" s="50">
        <v>2.75</v>
      </c>
    </row>
    <row r="4" spans="1:23" ht="15.75" thickBot="1" x14ac:dyDescent="0.3">
      <c r="A4" s="5" t="s">
        <v>22</v>
      </c>
      <c r="B4">
        <v>0</v>
      </c>
      <c r="C4">
        <f>C5-3</f>
        <v>12</v>
      </c>
      <c r="D4">
        <v>0</v>
      </c>
      <c r="E4">
        <f>E5</f>
        <v>0.75</v>
      </c>
      <c r="F4">
        <f>Table18420263242[[#This Row],[weight]]*(Table18420263242[[#This Row],[ypos]]^2+(Table18420263242[[#This Row],[zpos]]-R1)^2)</f>
        <v>0</v>
      </c>
      <c r="G4">
        <f>Table18420263242[[#This Row],[weight]]*((Table18420263242[[#This Row],[xpos]]-R2)^2+(Table18420263242[[#This Row],[zpos]]-R1)^2)</f>
        <v>0</v>
      </c>
      <c r="H4">
        <f>Table18420263242[[#This Row],[weight]]*((Table18420263242[[#This Row],[xpos]]-R2)^2+Table18420263242[[#This Row],[ypos]]^2)</f>
        <v>0</v>
      </c>
      <c r="J4" s="50">
        <f>(N29+N30+N31)*V13</f>
        <v>2.9644097222222223</v>
      </c>
      <c r="K4" s="50">
        <f>SUMPRODUCT(Table3445[X~],Table3445[A])/SUM(Table3445[A])</f>
        <v>19.855905319668128</v>
      </c>
      <c r="L4" s="50">
        <f>SUMPRODUCT(Table3445[Z~],Table3445[A])/SUM(Table3445[A])</f>
        <v>0.64555880917520725</v>
      </c>
      <c r="M4" s="36">
        <f>Table5121625313744[[#This Row],[V]]*(Table5121625313744[[#This Row],[zT]]-R1)^2</f>
        <v>3.8107440957634744E-3</v>
      </c>
      <c r="N4" s="36">
        <f>Table5121625313744[[#This Row],[V]]*(Table5121625313744[[#This Row],[xT]]-R2)^2</f>
        <v>83.262029970643653</v>
      </c>
      <c r="O4" s="36">
        <f>Table5121625313744[[#This Row],[V]]*((Table5121625313744[[#This Row],[zT]]-R1)^2+(Table5121625313744[[#This Row],[xT]]-R2)^2)</f>
        <v>83.265840714739412</v>
      </c>
      <c r="P4" t="s">
        <v>62</v>
      </c>
      <c r="Q4" s="42" t="s">
        <v>65</v>
      </c>
      <c r="R4" s="83">
        <f>SUM(Table18420263242[Ixx],Table211521273343[Ixx])</f>
        <v>111.29315592915766</v>
      </c>
      <c r="S4" s="33" t="s">
        <v>66</v>
      </c>
      <c r="T4" s="15" t="s">
        <v>125</v>
      </c>
      <c r="U4" s="16"/>
      <c r="V4" s="59" t="s">
        <v>126</v>
      </c>
      <c r="W4" s="50">
        <v>1.6</v>
      </c>
    </row>
    <row r="5" spans="1:23" ht="15.75" thickBot="1" x14ac:dyDescent="0.3">
      <c r="A5" s="5" t="s">
        <v>24</v>
      </c>
      <c r="B5">
        <v>0</v>
      </c>
      <c r="C5">
        <f>R3</f>
        <v>15</v>
      </c>
      <c r="D5">
        <v>0</v>
      </c>
      <c r="E5">
        <v>0.75</v>
      </c>
      <c r="F5">
        <f>Table18420263242[[#This Row],[weight]]*(Table18420263242[[#This Row],[ypos]]^2+(Table18420263242[[#This Row],[zpos]]-R1)^2)</f>
        <v>0</v>
      </c>
      <c r="G5">
        <f>Table18420263242[[#This Row],[weight]]*((Table18420263242[[#This Row],[xpos]]-R2)^2+(Table18420263242[[#This Row],[zpos]]-R1)^2)</f>
        <v>0</v>
      </c>
      <c r="H5">
        <f>Table18420263242[[#This Row],[weight]]*((Table18420263242[[#This Row],[xpos]]-R2)^2+Table18420263242[[#This Row],[ypos]]^2)</f>
        <v>0</v>
      </c>
      <c r="J5" s="50">
        <f>J4</f>
        <v>2.9644097222222223</v>
      </c>
      <c r="K5" s="50">
        <f>K4</f>
        <v>19.855905319668128</v>
      </c>
      <c r="L5" s="50">
        <f>L4</f>
        <v>0.64555880917520725</v>
      </c>
      <c r="M5" s="36">
        <f>Table5121625313744[[#This Row],[V]]*(Table5121625313744[[#This Row],[zT]]-R1)^2</f>
        <v>3.8107440957634744E-3</v>
      </c>
      <c r="N5" s="36">
        <f>Table5121625313744[[#This Row],[V]]*(Table5121625313744[[#This Row],[xT]]-R2)^2</f>
        <v>83.262029970643653</v>
      </c>
      <c r="O5" s="36">
        <f>Table5121625313744[[#This Row],[V]]*((Table5121625313744[[#This Row],[zT]]-R1)^2+(Table5121625313744[[#This Row],[xT]]-R2)^2)</f>
        <v>83.265840714739412</v>
      </c>
      <c r="P5" t="s">
        <v>72</v>
      </c>
      <c r="Q5" s="43" t="s">
        <v>69</v>
      </c>
      <c r="R5" s="83">
        <f>SUM(Table18420263242[Iyy],Table211521273343[Iyy])</f>
        <v>293.41668482875093</v>
      </c>
      <c r="S5" s="35" t="s">
        <v>66</v>
      </c>
      <c r="T5" s="51" t="s">
        <v>121</v>
      </c>
      <c r="U5" s="50">
        <v>26.5</v>
      </c>
      <c r="V5" s="60" t="s">
        <v>127</v>
      </c>
      <c r="W5" s="50">
        <v>25</v>
      </c>
    </row>
    <row r="6" spans="1:23" ht="15.75" thickBot="1" x14ac:dyDescent="0.3">
      <c r="A6" s="5" t="s">
        <v>26</v>
      </c>
      <c r="B6">
        <f>B4</f>
        <v>0</v>
      </c>
      <c r="C6">
        <f>C5+3</f>
        <v>18</v>
      </c>
      <c r="D6">
        <v>0</v>
      </c>
      <c r="E6">
        <v>0.75</v>
      </c>
      <c r="F6">
        <f>Table18420263242[[#This Row],[weight]]*(Table18420263242[[#This Row],[ypos]]^2+(Table18420263242[[#This Row],[zpos]]-R1)^2)</f>
        <v>0</v>
      </c>
      <c r="G6">
        <f>Table18420263242[[#This Row],[weight]]*((Table18420263242[[#This Row],[xpos]]-R2)^2+(Table18420263242[[#This Row],[zpos]]-R1)^2)</f>
        <v>0</v>
      </c>
      <c r="H6">
        <f>Table18420263242[[#This Row],[weight]]*((Table18420263242[[#This Row],[xpos]]-R2)^2+Table18420263242[[#This Row],[ypos]]^2)</f>
        <v>0</v>
      </c>
      <c r="J6" s="50">
        <f>O21*U3*V13</f>
        <v>13.75</v>
      </c>
      <c r="K6" s="50">
        <f>O21/2</f>
        <v>10</v>
      </c>
      <c r="L6" s="50">
        <f>U2-V13/2</f>
        <v>1.4375</v>
      </c>
      <c r="M6" s="36">
        <f>Table5121625313744[[#This Row],[V]]*V12*((Table5121625313744[[#This Row],[zT]]-R1)^2+(U3^2+O21^2)/12)</f>
        <v>2.8949432156428192</v>
      </c>
      <c r="N6" s="36">
        <f>Table5121625313744[[#This Row],[V]]*(R2-Table5121625313744[[#This Row],[xT]])^2</f>
        <v>285.43161007011497</v>
      </c>
      <c r="O6" s="36">
        <f>Table5121625313744[[#This Row],[V]]*((Table5121625313744[[#This Row],[zT]]-R1)^2+(Table5121625313744[[#This Row],[xT]]-R2)^2)</f>
        <v>293.29204602331316</v>
      </c>
      <c r="P6" t="s">
        <v>128</v>
      </c>
      <c r="Q6" s="25" t="s">
        <v>74</v>
      </c>
      <c r="R6" s="83">
        <f>SUM(Table18420263242[Izz],Table211521273343[Izz])</f>
        <v>457.50448388955004</v>
      </c>
      <c r="S6" s="40" t="s">
        <v>66</v>
      </c>
      <c r="T6" s="51" t="s">
        <v>126</v>
      </c>
      <c r="U6" s="50">
        <v>1.5</v>
      </c>
      <c r="V6" s="11" t="s">
        <v>129</v>
      </c>
      <c r="W6" s="16"/>
    </row>
    <row r="7" spans="1:23" x14ac:dyDescent="0.25">
      <c r="A7" s="5" t="s">
        <v>28</v>
      </c>
      <c r="B7">
        <v>0</v>
      </c>
      <c r="C7">
        <f>C5-6</f>
        <v>9</v>
      </c>
      <c r="D7">
        <v>0</v>
      </c>
      <c r="E7">
        <v>0.75</v>
      </c>
      <c r="F7">
        <f>Table18420263242[[#This Row],[weight]]*(Table18420263242[[#This Row],[ypos]]^2+(Table18420263242[[#This Row],[zpos]]-R1)^2)</f>
        <v>0</v>
      </c>
      <c r="G7">
        <f>Table18420263242[[#This Row],[weight]]*((Table18420263242[[#This Row],[xpos]]-R2)^2+(Table18420263242[[#This Row],[zpos]]-R1)^2)</f>
        <v>0</v>
      </c>
      <c r="H7">
        <f>Table18420263242[[#This Row],[weight]]*((Table18420263242[[#This Row],[xpos]]-R2)^2+Table18420263242[[#This Row],[ypos]]^2)</f>
        <v>0</v>
      </c>
      <c r="J7" s="50">
        <f>U2*U3*V13</f>
        <v>1.03125</v>
      </c>
      <c r="K7" s="50">
        <f>U1</f>
        <v>32.5</v>
      </c>
      <c r="L7" s="50">
        <f>U2/2</f>
        <v>0.75</v>
      </c>
      <c r="M7" s="36">
        <f>Table5121625313744[[#This Row],[V]]*(Table5121625313744[[#This Row],[zT]]-R1)^2</f>
        <v>4.851230521732976E-3</v>
      </c>
      <c r="N7" s="36">
        <f>Table5121625313744[[#This Row],[V]]*(R2-Table5121625313744[[#This Row],[xT]])^2</f>
        <v>332.04303387156625</v>
      </c>
      <c r="O7" s="36">
        <f>Table5121625313744[[#This Row],[V]]*((Table5121625313744[[#This Row],[zT]]-R1)^2+(Table5121625313744[[#This Row],[xT]]-R2)^2)</f>
        <v>332.047885102088</v>
      </c>
      <c r="P7" t="s">
        <v>130</v>
      </c>
      <c r="Q7" s="18" t="s">
        <v>65</v>
      </c>
      <c r="R7" s="83">
        <f>R4/144</f>
        <v>0.77286913839692817</v>
      </c>
      <c r="S7" s="33" t="s">
        <v>101</v>
      </c>
      <c r="T7" s="59" t="s">
        <v>131</v>
      </c>
      <c r="U7" s="50">
        <v>7.75</v>
      </c>
      <c r="V7" s="59" t="s">
        <v>121</v>
      </c>
      <c r="W7" s="50">
        <v>30.5</v>
      </c>
    </row>
    <row r="8" spans="1:23" x14ac:dyDescent="0.25">
      <c r="A8" s="5" t="s">
        <v>30</v>
      </c>
      <c r="B8">
        <f>B7</f>
        <v>0</v>
      </c>
      <c r="C8">
        <f>C5+6</f>
        <v>21</v>
      </c>
      <c r="D8">
        <v>0</v>
      </c>
      <c r="E8">
        <v>0.75</v>
      </c>
      <c r="F8">
        <f>Table18420263242[[#This Row],[weight]]*(Table18420263242[[#This Row],[ypos]]^2+(Table18420263242[[#This Row],[zpos]]-R1)^2)</f>
        <v>0</v>
      </c>
      <c r="G8">
        <f>Table18420263242[[#This Row],[weight]]*((Table18420263242[[#This Row],[xpos]]-R2)^2+(Table18420263242[[#This Row],[zpos]]-R1)^2)</f>
        <v>0</v>
      </c>
      <c r="H8">
        <f>Table18420263242[[#This Row],[weight]]*((Table18420263242[[#This Row],[xpos]]-R2)^2+Table18420263242[[#This Row],[ypos]]^2)</f>
        <v>0</v>
      </c>
      <c r="J8" s="62">
        <f>X20*V23*V13</f>
        <v>6.567334528749087</v>
      </c>
      <c r="K8" s="62">
        <f>(P27-O21)/2</f>
        <v>6.25</v>
      </c>
      <c r="L8" s="62">
        <f>K25-T25/2+T25</f>
        <v>1.75</v>
      </c>
      <c r="M8" s="53">
        <f>Table5121625313744[[#This Row],[V]]*Table5121625313744[[#This Row],[zT]]^2</f>
        <v>20.11246199429408</v>
      </c>
      <c r="N8" s="53">
        <f>Table5121625313744[[#This Row],[V]]*Table5121625313744[[#This Row],[xT]]^2</f>
        <v>256.53650502926121</v>
      </c>
      <c r="O8" s="38">
        <f>Table5121625313744[[#This Row],[V]]*((Table5121625313744[[#This Row],[zT]]-R1)^2+(Table5121625313744[[#This Row],[xT]]-R2)^2)</f>
        <v>460.59539641192106</v>
      </c>
      <c r="P8" t="s">
        <v>132</v>
      </c>
      <c r="Q8" s="18" t="s">
        <v>69</v>
      </c>
      <c r="R8" s="83">
        <f>R5/144</f>
        <v>2.037615866866326</v>
      </c>
      <c r="S8" s="35" t="s">
        <v>101</v>
      </c>
      <c r="T8" s="51" t="s">
        <v>133</v>
      </c>
      <c r="U8" s="50">
        <v>6</v>
      </c>
      <c r="V8" s="2" t="s">
        <v>124</v>
      </c>
      <c r="W8" s="50">
        <v>2.75</v>
      </c>
    </row>
    <row r="9" spans="1:23" ht="15.75" thickBot="1" x14ac:dyDescent="0.3">
      <c r="A9" s="5" t="s">
        <v>197</v>
      </c>
      <c r="B9">
        <f>0.01</f>
        <v>0.01</v>
      </c>
      <c r="C9">
        <f>W3+2</f>
        <v>4.75</v>
      </c>
      <c r="E9">
        <f>E34</f>
        <v>1.6625000000000001</v>
      </c>
      <c r="F9">
        <f>Table18420263242[[#This Row],[weight]]*(Table18420263242[[#This Row],[ypos]]^2+(Table18420263242[[#This Row],[zpos]]-R$1)^2)</f>
        <v>9.6253237339934405E-3</v>
      </c>
      <c r="G9">
        <f>Table18420263242[[#This Row],[weight]]*((Table18420263242[[#This Row],[xpos]]-R$2)^2+(Table18420263242[[#This Row],[zpos]]-R$1)^2)</f>
        <v>0.97123453976424956</v>
      </c>
      <c r="H9">
        <f>Table18420263242[[#This Row],[weight]]*((Table18420263242[[#This Row],[xpos]]-R$2)^2+Table18420263242[[#This Row],[ypos]]^2)</f>
        <v>0.96160921603025618</v>
      </c>
      <c r="J9" s="62">
        <f>T23*U3*V13</f>
        <v>2.0625</v>
      </c>
      <c r="K9" s="62">
        <f>P27-T23+T23/2</f>
        <v>31</v>
      </c>
      <c r="L9" s="62">
        <f>T25+V13/2</f>
        <v>0.5625</v>
      </c>
      <c r="M9" s="53">
        <f>Table5121625313744[[#This Row],[V]]*V12*((Table5121625313744[[#This Row],[zT]]-R1)^2+(U3^2+V13^2)/12)</f>
        <v>3.0235575935277838E-2</v>
      </c>
      <c r="N9" s="53">
        <f>Table5121625313744[[#This Row],[V]]*Table5121625313744[[#This Row],[xT]]^2</f>
        <v>1982.0625</v>
      </c>
      <c r="O9" s="38"/>
      <c r="P9" t="s">
        <v>135</v>
      </c>
      <c r="Q9" s="23" t="s">
        <v>74</v>
      </c>
      <c r="R9" s="83">
        <f>R6/144</f>
        <v>3.1771144714552086</v>
      </c>
      <c r="S9" s="41" t="s">
        <v>101</v>
      </c>
      <c r="T9" s="61" t="s">
        <v>136</v>
      </c>
      <c r="U9" s="50">
        <v>32.5</v>
      </c>
      <c r="V9" s="2" t="s">
        <v>126</v>
      </c>
      <c r="W9" s="50">
        <v>-0.1</v>
      </c>
    </row>
    <row r="10" spans="1:23" ht="15.75" thickBot="1" x14ac:dyDescent="0.3">
      <c r="A10" s="5" t="s">
        <v>198</v>
      </c>
      <c r="B10">
        <f>B9</f>
        <v>0.01</v>
      </c>
      <c r="C10">
        <f>C9</f>
        <v>4.75</v>
      </c>
      <c r="D10">
        <f>-D9</f>
        <v>0</v>
      </c>
      <c r="E10">
        <f>E9</f>
        <v>1.6625000000000001</v>
      </c>
      <c r="F10">
        <f>Table18420263242[[#This Row],[weight]]*(Table18420263242[[#This Row],[ypos]]^2+(Table18420263242[[#This Row],[zpos]]-R$1)^2)</f>
        <v>9.6253237339934405E-3</v>
      </c>
      <c r="G10">
        <f>Table18420263242[[#This Row],[weight]]*((Table18420263242[[#This Row],[xpos]]-R$2)^2+(Table18420263242[[#This Row],[zpos]]-R$1)^2)</f>
        <v>0.97123453976424956</v>
      </c>
      <c r="H10">
        <f>Table18420263242[[#This Row],[weight]]*((Table18420263242[[#This Row],[xpos]]-R$2)^2+Table18420263242[[#This Row],[ypos]]^2)</f>
        <v>0.96160921603025618</v>
      </c>
      <c r="J10" s="36" t="s">
        <v>23</v>
      </c>
      <c r="K10" s="36"/>
      <c r="L10" s="36"/>
      <c r="M10" s="36"/>
      <c r="N10" s="36"/>
      <c r="O10" s="36"/>
      <c r="Q10" s="25" t="s">
        <v>91</v>
      </c>
      <c r="R10" s="85">
        <f>SUM(Table18420263242[weight],Table211521273343[weight])</f>
        <v>3.2284000000000002</v>
      </c>
      <c r="S10" s="12" t="s">
        <v>92</v>
      </c>
      <c r="T10" s="51" t="s">
        <v>138</v>
      </c>
      <c r="U10" s="50">
        <v>1</v>
      </c>
      <c r="V10" s="2" t="s">
        <v>127</v>
      </c>
      <c r="W10" s="50">
        <v>30</v>
      </c>
    </row>
    <row r="11" spans="1:23" ht="15.75" thickBot="1" x14ac:dyDescent="0.3">
      <c r="A11" s="5" t="s">
        <v>137</v>
      </c>
      <c r="B11">
        <f>0.158/16</f>
        <v>9.8750000000000001E-3</v>
      </c>
      <c r="C11">
        <f>31.32</f>
        <v>31.32</v>
      </c>
      <c r="D11">
        <v>-0.24</v>
      </c>
      <c r="E11">
        <v>1.38</v>
      </c>
      <c r="F11">
        <f>Table18420263242[[#This Row],[weight]]*(Table18420263242[[#This Row],[ypos]]^2+(Table18420263242[[#This Row],[zpos]]-R1)^2)</f>
        <v>5.3880397151171312E-3</v>
      </c>
      <c r="G11">
        <f>Table18420263242[[#This Row],[weight]]*((Table18420263242[[#This Row],[xpos]]-R2)^2+(Table18420263242[[#This Row],[zpos]]-R1)^2)</f>
        <v>2.7799517710471404</v>
      </c>
      <c r="H11">
        <f>Table18420263242[[#This Row],[weight]]*((Table18420263242[[#This Row],[xpos]]-R2)^2+Table18420263242[[#This Row],[ypos]]^2)</f>
        <v>2.7757013313320233</v>
      </c>
      <c r="J11" s="36" t="s">
        <v>120</v>
      </c>
      <c r="K11" s="36" t="s">
        <v>15</v>
      </c>
      <c r="L11" s="36" t="s">
        <v>16</v>
      </c>
      <c r="M11" s="36" t="s">
        <v>17</v>
      </c>
      <c r="N11" s="36" t="s">
        <v>18</v>
      </c>
      <c r="O11" s="36" t="s">
        <v>19</v>
      </c>
      <c r="T11" s="4" t="s">
        <v>139</v>
      </c>
      <c r="U11" s="50">
        <v>3.5</v>
      </c>
      <c r="V11" s="3" t="s">
        <v>140</v>
      </c>
      <c r="W11" s="50">
        <v>3</v>
      </c>
    </row>
    <row r="12" spans="1:23" ht="15.75" thickBot="1" x14ac:dyDescent="0.3">
      <c r="A12" s="5" t="s">
        <v>96</v>
      </c>
      <c r="B12">
        <f>0.49/16</f>
        <v>3.0624999999999999E-2</v>
      </c>
      <c r="C12">
        <v>10.87</v>
      </c>
      <c r="D12">
        <v>2.16</v>
      </c>
      <c r="E12">
        <v>1.01</v>
      </c>
      <c r="F12">
        <f>Table18420263242[[#This Row],[weight]]*(Table18420263242[[#This Row],[ypos]]^2+(Table18420263242[[#This Row],[zpos]]-R1)^2)</f>
        <v>0.14619057027336962</v>
      </c>
      <c r="G12">
        <f>Table18420263242[[#This Row],[weight]]*((Table18420263242[[#This Row],[xpos]]-R2)^2+(Table18420263242[[#This Row],[zpos]]-R1)^2)</f>
        <v>0.41943389619278593</v>
      </c>
      <c r="H12">
        <f>Table18420263242[[#This Row],[weight]]*((Table18420263242[[#This Row],[xpos]]-R2)^2+Table18420263242[[#This Row],[ypos]]^2)</f>
        <v>0.55901132591941627</v>
      </c>
      <c r="J12" s="50">
        <f>(U7-U6)*U8*V13</f>
        <v>4.6875</v>
      </c>
      <c r="K12" s="50">
        <f>U5+U8/2</f>
        <v>29.5</v>
      </c>
      <c r="L12" s="50">
        <f>U6+(U7-U6)/2</f>
        <v>4.625</v>
      </c>
      <c r="M12" s="36">
        <f>Table6131722283446[[#This Row],[V]]*V12*((Table6131722283446[[#This Row],[zT]]-R1)^2+((U7-U6)^2+V13^2)/12)</f>
        <v>0.50958985838796733</v>
      </c>
      <c r="N12" s="36">
        <f>Table6131722283446[[#This Row],[V]]*(Table6131722283446[[#This Row],[xT]]-R2)^2+(U5-4.11)^3*U4/36</f>
        <v>1046.803729345721</v>
      </c>
      <c r="O12" s="36">
        <f>Table6131722283446[[#This Row],[V]]*((Table6131722283446[[#This Row],[zT]]-R1)^2+(Table6131722283446[[#This Row],[xT]]-R2)^2)</f>
        <v>1119.7031721288358</v>
      </c>
      <c r="P12" t="s">
        <v>128</v>
      </c>
      <c r="T12" s="6" t="s">
        <v>142</v>
      </c>
      <c r="U12" s="20"/>
      <c r="V12" s="21">
        <v>5.7800000000000004E-3</v>
      </c>
      <c r="W12" s="16" t="s">
        <v>43</v>
      </c>
    </row>
    <row r="13" spans="1:23" ht="15.75" thickBot="1" x14ac:dyDescent="0.3">
      <c r="A13" s="5" t="s">
        <v>141</v>
      </c>
      <c r="B13">
        <f>B2</f>
        <v>0.29062500000000002</v>
      </c>
      <c r="C13">
        <v>8.1</v>
      </c>
      <c r="D13">
        <v>2.2400000000000002</v>
      </c>
      <c r="E13">
        <v>0.94</v>
      </c>
      <c r="F13">
        <f>Table18420263242[[#This Row],[weight]]*(Table18420263242[[#This Row],[ypos]]^2+(Table18420263242[[#This Row],[zpos]]-R1)^2)</f>
        <v>1.4776733420904944</v>
      </c>
      <c r="G13">
        <f>Table18420263242[[#This Row],[weight]]*((Table18420263242[[#This Row],[xpos]]-R2)^2+(Table18420263242[[#This Row],[zpos]]-R1)^2)</f>
        <v>12.13329341047125</v>
      </c>
      <c r="H13">
        <f>Table18420263242[[#This Row],[weight]]*((Table18420263242[[#This Row],[xpos]]-R2)^2+Table18420263242[[#This Row],[ypos]]^2)</f>
        <v>13.572100068380756</v>
      </c>
      <c r="J13" s="50">
        <f>U11*U10*V13</f>
        <v>0.4375</v>
      </c>
      <c r="K13" s="50">
        <f>U9+U10/2</f>
        <v>33</v>
      </c>
      <c r="L13" s="50">
        <f>U11/2</f>
        <v>1.75</v>
      </c>
      <c r="M13" s="36">
        <f>Table6131722283446[[#This Row],[V]]*V12*((Table6131722283446[[#This Row],[zT]]-R1)^2+(U8^2+V13^2)/12)</f>
        <v>1.0477068932637614E-2</v>
      </c>
      <c r="N13" s="36">
        <f>Table6131722283446[[#This Row],[V]]*(Table6131722283446[[#This Row],[xT]]-R2)^2++(4.11^3*U4)/12</f>
        <v>148.82654334862968</v>
      </c>
      <c r="O13" s="36">
        <f>Table6131722283446[[#This Row],[V]]*((Table6131722283446[[#This Row],[zT]]-R1)^2+(Table6131722283446[[#This Row],[xT]]-R2)^2)</f>
        <v>149.32611537101866</v>
      </c>
      <c r="P13" t="s">
        <v>62</v>
      </c>
      <c r="T13" s="6" t="s">
        <v>143</v>
      </c>
      <c r="U13" s="20"/>
      <c r="V13" s="19">
        <f>1/8</f>
        <v>0.125</v>
      </c>
      <c r="W13" s="16" t="s">
        <v>144</v>
      </c>
    </row>
    <row r="14" spans="1:23" ht="15.75" thickBot="1" x14ac:dyDescent="0.3">
      <c r="A14" s="5" t="s">
        <v>39</v>
      </c>
      <c r="B14" s="47">
        <v>0.11899999999999999</v>
      </c>
      <c r="C14">
        <v>4.79</v>
      </c>
      <c r="D14">
        <v>-0.9</v>
      </c>
      <c r="E14">
        <v>0.52</v>
      </c>
      <c r="F14">
        <f>Table18420263242[[#This Row],[weight]]*(Table18420263242[[#This Row],[ypos]]^2+(Table18420263242[[#This Row],[zpos]]-R1)^2)</f>
        <v>9.9490431478341246E-2</v>
      </c>
      <c r="G14">
        <f>Table18420263242[[#This Row],[weight]]*((Table18420263242[[#This Row],[xpos]]-R2)^2+(Table18420263242[[#This Row],[zpos]]-R1)^2)</f>
        <v>11.353085787364151</v>
      </c>
      <c r="H14">
        <f>Table18420263242[[#This Row],[weight]]*((Table18420263242[[#This Row],[xpos]]-R2)^2+Table18420263242[[#This Row],[ypos]]^2)</f>
        <v>11.446375355885809</v>
      </c>
      <c r="J14" s="50"/>
      <c r="K14" s="50"/>
      <c r="L14" s="50"/>
      <c r="M14" s="38"/>
      <c r="N14" s="38"/>
      <c r="O14" s="38"/>
      <c r="T14" s="6" t="s">
        <v>41</v>
      </c>
      <c r="U14" s="20"/>
      <c r="V14" s="21">
        <f>13/3456</f>
        <v>3.7615740740740739E-3</v>
      </c>
      <c r="W14" s="16" t="s">
        <v>43</v>
      </c>
    </row>
    <row r="15" spans="1:23" x14ac:dyDescent="0.25">
      <c r="A15" s="5" t="s">
        <v>44</v>
      </c>
      <c r="B15">
        <f>1.4/16</f>
        <v>8.7499999999999994E-2</v>
      </c>
      <c r="C15">
        <v>0</v>
      </c>
      <c r="D15">
        <v>0</v>
      </c>
      <c r="E15">
        <f>0.75</f>
        <v>0.75</v>
      </c>
      <c r="F15">
        <f>Table18420263242[[#This Row],[weight]]*(Table18420263242[[#This Row],[ypos]]^2+(Table18420263242[[#This Row],[zpos]]-R$1)^2)</f>
        <v>4.1161955941976767E-4</v>
      </c>
      <c r="G15">
        <f>Table18420263242[[#This Row],[weight]]*((Table18420263242[[#This Row],[xpos]]-R$2)^2+(Table18420263242[[#This Row],[zpos]]-R$1)^2)</f>
        <v>18.540087768144847</v>
      </c>
      <c r="H15">
        <f>Table18420263242[[#This Row],[weight]]*((Table18420263242[[#This Row],[xpos]]-R$2)^2+Table18420263242[[#This Row],[ypos]]^2)</f>
        <v>18.539676148585425</v>
      </c>
      <c r="I15" s="27"/>
    </row>
    <row r="16" spans="1:23" x14ac:dyDescent="0.25">
      <c r="A16" s="5" t="s">
        <v>182</v>
      </c>
      <c r="B16">
        <v>6.0000000000000001E-3</v>
      </c>
      <c r="C16">
        <v>6.86</v>
      </c>
      <c r="D16">
        <f>2.75</f>
        <v>2.75</v>
      </c>
      <c r="E16">
        <f>U$2/2</f>
        <v>0.75</v>
      </c>
      <c r="F16">
        <f>Table18420263242[[#This Row],[weight]]*(Table18420263242[[#This Row],[ypos]]^2+(Table18420263242[[#This Row],[zpos]]-R$1)^2)</f>
        <v>4.5403225341217358E-2</v>
      </c>
      <c r="G16">
        <f>Table18420263242[[#This Row],[weight]]*((Table18420263242[[#This Row],[xpos]]-R$2)^2+(Table18420263242[[#This Row],[zpos]]-R$1)^2)</f>
        <v>0.35541419312998185</v>
      </c>
      <c r="H16">
        <f>Table18420263242[[#This Row],[weight]]*((Table18420263242[[#This Row],[xpos]]-R$2)^2+Table18420263242[[#This Row],[ypos]]^2)</f>
        <v>0.40076096778876458</v>
      </c>
    </row>
    <row r="17" spans="1:24" x14ac:dyDescent="0.25">
      <c r="A17" s="5" t="s">
        <v>183</v>
      </c>
      <c r="B17">
        <v>6.0000000000000001E-3</v>
      </c>
      <c r="C17">
        <f>C16</f>
        <v>6.86</v>
      </c>
      <c r="D17">
        <f>-2.75</f>
        <v>-2.75</v>
      </c>
      <c r="E17">
        <f t="shared" ref="E17:E19" si="0">U$2/2</f>
        <v>0.75</v>
      </c>
      <c r="F17">
        <f>Table18420263242[[#This Row],[weight]]*(Table18420263242[[#This Row],[ypos]]^2+(Table18420263242[[#This Row],[zpos]]-R$1)^2)</f>
        <v>4.5403225341217358E-2</v>
      </c>
      <c r="G17">
        <f>Table18420263242[[#This Row],[weight]]*((Table18420263242[[#This Row],[xpos]]-R$2)^2+(Table18420263242[[#This Row],[zpos]]-R$1)^2)</f>
        <v>0.35541419312998185</v>
      </c>
      <c r="H17">
        <f>Table18420263242[[#This Row],[weight]]*((Table18420263242[[#This Row],[xpos]]-R$2)^2+Table18420263242[[#This Row],[ypos]]^2)</f>
        <v>0.40076096778876458</v>
      </c>
    </row>
    <row r="18" spans="1:24" x14ac:dyDescent="0.25">
      <c r="A18" s="5" t="s">
        <v>184</v>
      </c>
      <c r="B18">
        <v>6.0000000000000001E-3</v>
      </c>
      <c r="C18">
        <v>21.11</v>
      </c>
      <c r="D18">
        <f t="shared" ref="D18" si="1">2.75</f>
        <v>2.75</v>
      </c>
      <c r="E18">
        <f t="shared" si="0"/>
        <v>0.75</v>
      </c>
      <c r="F18">
        <f>Table18420263242[[#This Row],[weight]]*(Table18420263242[[#This Row],[ypos]]^2+(Table18420263242[[#This Row],[zpos]]-R$1)^2)</f>
        <v>4.5403225341217358E-2</v>
      </c>
      <c r="G18">
        <f>Table18420263242[[#This Row],[weight]]*((Table18420263242[[#This Row],[xpos]]-R$2)^2+(Table18420263242[[#This Row],[zpos]]-R$1)^2)</f>
        <v>0.25774454570401245</v>
      </c>
      <c r="H18">
        <f>Table18420263242[[#This Row],[weight]]*((Table18420263242[[#This Row],[xpos]]-R$2)^2+Table18420263242[[#This Row],[ypos]]^2)</f>
        <v>0.30309132036279512</v>
      </c>
    </row>
    <row r="19" spans="1:24" x14ac:dyDescent="0.25">
      <c r="A19" s="5" t="s">
        <v>185</v>
      </c>
      <c r="B19">
        <v>6.0000000000000001E-3</v>
      </c>
      <c r="C19">
        <f>C18</f>
        <v>21.11</v>
      </c>
      <c r="D19">
        <f>-2.75</f>
        <v>-2.75</v>
      </c>
      <c r="E19">
        <f t="shared" si="0"/>
        <v>0.75</v>
      </c>
      <c r="F19">
        <f>Table18420263242[[#This Row],[weight]]*(Table18420263242[[#This Row],[ypos]]^2+(Table18420263242[[#This Row],[zpos]]-R$1)^2)</f>
        <v>4.5403225341217358E-2</v>
      </c>
      <c r="G19">
        <f>Table18420263242[[#This Row],[weight]]*((Table18420263242[[#This Row],[xpos]]-R$2)^2+(Table18420263242[[#This Row],[zpos]]-R$1)^2)</f>
        <v>0.25774454570401245</v>
      </c>
      <c r="H19">
        <f>Table18420263242[[#This Row],[weight]]*((Table18420263242[[#This Row],[xpos]]-R$2)^2+Table18420263242[[#This Row],[ypos]]^2)</f>
        <v>0.30309132036279512</v>
      </c>
      <c r="J19" t="s">
        <v>179</v>
      </c>
      <c r="K19">
        <f>0.56/16</f>
        <v>3.5000000000000003E-2</v>
      </c>
      <c r="L19" t="s">
        <v>181</v>
      </c>
    </row>
    <row r="20" spans="1:24" x14ac:dyDescent="0.25">
      <c r="A20" s="5" t="s">
        <v>186</v>
      </c>
      <c r="B20">
        <v>6.0499999999999998E-2</v>
      </c>
      <c r="C20">
        <v>3.49</v>
      </c>
      <c r="D20">
        <v>2.13</v>
      </c>
      <c r="E20">
        <v>0.92</v>
      </c>
      <c r="F20">
        <f>Table18420263242[[#This Row],[weight]]*(Table18420263242[[#This Row],[ypos]]^2+(Table18420263242[[#This Row],[zpos]]-R$1)^2)</f>
        <v>0.27792634715691933</v>
      </c>
      <c r="G20">
        <f>Table18420263242[[#This Row],[weight]]*((Table18420263242[[#This Row],[xpos]]-R$2)^2+(Table18420263242[[#This Row],[zpos]]-R$1)^2)</f>
        <v>7.4122777555818598</v>
      </c>
      <c r="H20">
        <f>Table18420263242[[#This Row],[weight]]*((Table18420263242[[#This Row],[xpos]]-R$2)^2+Table18420263242[[#This Row],[ypos]]^2)</f>
        <v>7.6833163084249403</v>
      </c>
      <c r="J20" t="s">
        <v>180</v>
      </c>
      <c r="K20">
        <f>0.96/16</f>
        <v>0.06</v>
      </c>
      <c r="L20" t="s">
        <v>181</v>
      </c>
      <c r="W20" s="63" t="s">
        <v>72</v>
      </c>
      <c r="X20" s="47">
        <f>U3</f>
        <v>5.5</v>
      </c>
    </row>
    <row r="21" spans="1:24" x14ac:dyDescent="0.25">
      <c r="A21" s="5" t="s">
        <v>187</v>
      </c>
      <c r="B21">
        <f>B20</f>
        <v>6.0499999999999998E-2</v>
      </c>
      <c r="C21">
        <f>C20</f>
        <v>3.49</v>
      </c>
      <c r="D21">
        <f>-D20</f>
        <v>-2.13</v>
      </c>
      <c r="E21">
        <f>E20</f>
        <v>0.92</v>
      </c>
      <c r="F21">
        <f>Table18420263242[[#This Row],[weight]]*(Table18420263242[[#This Row],[ypos]]^2+(Table18420263242[[#This Row],[zpos]]-R$1)^2)</f>
        <v>0.27792634715691933</v>
      </c>
      <c r="G21">
        <f>Table18420263242[[#This Row],[weight]]*((Table18420263242[[#This Row],[xpos]]-R$2)^2+(Table18420263242[[#This Row],[zpos]]-R$1)^2)</f>
        <v>7.4122777555818598</v>
      </c>
      <c r="H21">
        <f>Table18420263242[[#This Row],[weight]]*((Table18420263242[[#This Row],[xpos]]-R$2)^2+Table18420263242[[#This Row],[ypos]]^2)</f>
        <v>7.6833163084249403</v>
      </c>
      <c r="N21" t="s">
        <v>150</v>
      </c>
      <c r="O21">
        <f>20</f>
        <v>20</v>
      </c>
    </row>
    <row r="22" spans="1:24" x14ac:dyDescent="0.25">
      <c r="A22" s="5" t="s">
        <v>188</v>
      </c>
      <c r="B22">
        <v>3.5799999999999998E-2</v>
      </c>
      <c r="C22">
        <v>31.99</v>
      </c>
      <c r="D22">
        <v>1</v>
      </c>
      <c r="E22">
        <v>0.03</v>
      </c>
      <c r="F22">
        <f>Table18420263242[[#This Row],[weight]]*(Table18420263242[[#This Row],[ypos]]^2+(Table18420263242[[#This Row],[zpos]]-R$1)^2)</f>
        <v>5.0991316527668966E-2</v>
      </c>
      <c r="G22">
        <f>Table18420263242[[#This Row],[weight]]*((Table18420263242[[#This Row],[xpos]]-R$2)^2+(Table18420263242[[#This Row],[zpos]]-R$1)^2)</f>
        <v>10.896190140411587</v>
      </c>
      <c r="H22">
        <f>Table18420263242[[#This Row],[weight]]*((Table18420263242[[#This Row],[xpos]]-R$2)^2+Table18420263242[[#This Row],[ypos]]^2)</f>
        <v>10.916798823883918</v>
      </c>
      <c r="R22" t="s">
        <v>151</v>
      </c>
      <c r="S22">
        <f>V23</f>
        <v>9.5524865872713995</v>
      </c>
      <c r="V22" s="63" t="s">
        <v>151</v>
      </c>
    </row>
    <row r="23" spans="1:24" x14ac:dyDescent="0.25">
      <c r="A23" s="5" t="s">
        <v>189</v>
      </c>
      <c r="B23">
        <f>B22</f>
        <v>3.5799999999999998E-2</v>
      </c>
      <c r="C23">
        <f>C22</f>
        <v>31.99</v>
      </c>
      <c r="D23">
        <f>-D22</f>
        <v>-1</v>
      </c>
      <c r="E23">
        <f>E22</f>
        <v>0.03</v>
      </c>
      <c r="F23">
        <f>Table18420263242[[#This Row],[weight]]*(Table18420263242[[#This Row],[ypos]]^2+(Table18420263242[[#This Row],[zpos]]-R$1)^2)</f>
        <v>5.0991316527668966E-2</v>
      </c>
      <c r="G23">
        <f>Table18420263242[[#This Row],[weight]]*((Table18420263242[[#This Row],[xpos]]-R$2)^2+(Table18420263242[[#This Row],[zpos]]-R$1)^2)</f>
        <v>10.896190140411587</v>
      </c>
      <c r="H23">
        <f>Table18420263242[[#This Row],[weight]]*((Table18420263242[[#This Row],[xpos]]-R$2)^2+Table18420263242[[#This Row],[ypos]]^2)</f>
        <v>10.916798823883918</v>
      </c>
      <c r="S23" t="s">
        <v>135</v>
      </c>
      <c r="T23">
        <f>3</f>
        <v>3</v>
      </c>
      <c r="V23">
        <f>SQRT((K25-T25)^2+(P27-T23-O21)^2)</f>
        <v>9.5524865872713995</v>
      </c>
    </row>
    <row r="24" spans="1:24" x14ac:dyDescent="0.25">
      <c r="A24" s="5" t="s">
        <v>190</v>
      </c>
      <c r="B24">
        <v>7.4000000000000003E-3</v>
      </c>
      <c r="C24">
        <v>3.41</v>
      </c>
      <c r="D24">
        <v>0</v>
      </c>
      <c r="E24">
        <v>-0.33</v>
      </c>
      <c r="F24">
        <f>Table18420263242[[#This Row],[weight]]*(Table18420263242[[#This Row],[ypos]]^2+(Table18420263242[[#This Row],[zpos]]-R$1)^2)</f>
        <v>7.5698711733943307E-3</v>
      </c>
      <c r="G24">
        <f>Table18420263242[[#This Row],[weight]]*((Table18420263242[[#This Row],[xpos]]-R$2)^2+(Table18420263242[[#This Row],[zpos]]-R$1)^2)</f>
        <v>0.92692404546708118</v>
      </c>
      <c r="H24">
        <f>Table18420263242[[#This Row],[weight]]*((Table18420263242[[#This Row],[xpos]]-R$2)^2+Table18420263242[[#This Row],[ypos]]^2)</f>
        <v>0.91935417429368682</v>
      </c>
      <c r="K24" t="s">
        <v>154</v>
      </c>
      <c r="T24" t="s">
        <v>155</v>
      </c>
    </row>
    <row r="25" spans="1:24" x14ac:dyDescent="0.25">
      <c r="A25" s="5" t="s">
        <v>191</v>
      </c>
      <c r="B25">
        <v>1.7000000000000001E-2</v>
      </c>
      <c r="C25">
        <v>3.49</v>
      </c>
      <c r="D25">
        <f>D20</f>
        <v>2.13</v>
      </c>
      <c r="E25">
        <f>0.75</f>
        <v>0.75</v>
      </c>
      <c r="F25">
        <f>Table18420263242[[#This Row],[weight]]*(Table18420263242[[#This Row],[ypos]]^2+(Table18420263242[[#This Row],[zpos]]-R$1)^2)</f>
        <v>7.7207271800115843E-2</v>
      </c>
      <c r="G25">
        <f>Table18420263242[[#This Row],[weight]]*((Table18420263242[[#This Row],[xpos]]-R$2)^2+(Table18420263242[[#This Row],[zpos]]-R$1)^2)</f>
        <v>2.0819010559856364</v>
      </c>
      <c r="H25">
        <f>Table18420263242[[#This Row],[weight]]*((Table18420263242[[#This Row],[xpos]]-R$2)^2+Table18420263242[[#This Row],[ypos]]^2)</f>
        <v>2.1589483841855208</v>
      </c>
      <c r="K25">
        <f>U2</f>
        <v>1.5</v>
      </c>
      <c r="T25">
        <f>0.5</f>
        <v>0.5</v>
      </c>
    </row>
    <row r="26" spans="1:24" x14ac:dyDescent="0.25">
      <c r="A26" s="5" t="s">
        <v>192</v>
      </c>
      <c r="B26">
        <f>B25</f>
        <v>1.7000000000000001E-2</v>
      </c>
      <c r="C26">
        <f>C25</f>
        <v>3.49</v>
      </c>
      <c r="D26">
        <f>D21</f>
        <v>-2.13</v>
      </c>
      <c r="E26">
        <f>E25</f>
        <v>0.75</v>
      </c>
      <c r="F26">
        <f>Table18420263242[[#This Row],[weight]]*(Table18420263242[[#This Row],[ypos]]^2+(Table18420263242[[#This Row],[zpos]]-R$1)^2)</f>
        <v>7.7207271800115843E-2</v>
      </c>
      <c r="G26">
        <f>Table18420263242[[#This Row],[weight]]*((Table18420263242[[#This Row],[xpos]]-R$2)^2+(Table18420263242[[#This Row],[zpos]]-R$1)^2)</f>
        <v>2.0819010559856364</v>
      </c>
      <c r="H26">
        <f>Table18420263242[[#This Row],[weight]]*((Table18420263242[[#This Row],[xpos]]-R$2)^2+Table18420263242[[#This Row],[ypos]]^2)</f>
        <v>2.1589483841855208</v>
      </c>
    </row>
    <row r="27" spans="1:24" x14ac:dyDescent="0.25">
      <c r="A27" s="5" t="s">
        <v>193</v>
      </c>
      <c r="B27">
        <v>6.4999999999999997E-3</v>
      </c>
      <c r="C27">
        <f>C22</f>
        <v>31.99</v>
      </c>
      <c r="D27">
        <f>D22</f>
        <v>1</v>
      </c>
      <c r="E27">
        <v>0.28999999999999998</v>
      </c>
      <c r="F27">
        <f>Table18420263242[[#This Row],[weight]]*(Table18420263242[[#This Row],[ypos]]^2+(Table18420263242[[#This Row],[zpos]]-R$1)^2)</f>
        <v>7.4958251454887853E-3</v>
      </c>
      <c r="G27">
        <f>Table18420263242[[#This Row],[weight]]*((Table18420263242[[#This Row],[xpos]]-R$2)^2+(Table18420263242[[#This Row],[zpos]]-R$1)^2)</f>
        <v>1.9765961702640773</v>
      </c>
      <c r="H27">
        <f>Table18420263242[[#This Row],[weight]]*((Table18420263242[[#This Row],[xpos]]-R$2)^2+Table18420263242[[#This Row],[ypos]]^2)</f>
        <v>1.9821003451185883</v>
      </c>
      <c r="O27" t="s">
        <v>156</v>
      </c>
      <c r="P27">
        <f>U1</f>
        <v>32.5</v>
      </c>
    </row>
    <row r="28" spans="1:24" x14ac:dyDescent="0.25">
      <c r="A28" s="5" t="s">
        <v>194</v>
      </c>
      <c r="B28">
        <f>B27</f>
        <v>6.4999999999999997E-3</v>
      </c>
      <c r="C28">
        <f>C27</f>
        <v>31.99</v>
      </c>
      <c r="D28">
        <f>D23</f>
        <v>-1</v>
      </c>
      <c r="E28">
        <f>E27</f>
        <v>0.28999999999999998</v>
      </c>
      <c r="F28">
        <f>Table18420263242[[#This Row],[weight]]*(Table18420263242[[#This Row],[ypos]]^2+(Table18420263242[[#This Row],[zpos]]-R$1)^2)</f>
        <v>7.4958251454887853E-3</v>
      </c>
      <c r="G28">
        <f>Table18420263242[[#This Row],[weight]]*((Table18420263242[[#This Row],[xpos]]-R$2)^2+(Table18420263242[[#This Row],[zpos]]-R$1)^2)</f>
        <v>1.9765961702640773</v>
      </c>
      <c r="H28">
        <f>Table18420263242[[#This Row],[weight]]*((Table18420263242[[#This Row],[xpos]]-R$2)^2+Table18420263242[[#This Row],[ypos]]^2)</f>
        <v>1.9821003451185883</v>
      </c>
      <c r="L28" t="s">
        <v>157</v>
      </c>
      <c r="M28" t="s">
        <v>158</v>
      </c>
      <c r="N28" t="s">
        <v>14</v>
      </c>
    </row>
    <row r="29" spans="1:24" x14ac:dyDescent="0.25">
      <c r="A29" s="5" t="s">
        <v>195</v>
      </c>
      <c r="B29">
        <v>2.3E-2</v>
      </c>
      <c r="C29">
        <v>3.49</v>
      </c>
      <c r="D29">
        <v>0</v>
      </c>
      <c r="E29">
        <v>2.31</v>
      </c>
      <c r="F29">
        <f>Table18420263242[[#This Row],[weight]]*(Table18420263242[[#This Row],[ypos]]^2+(Table18420263242[[#This Row],[zpos]]-R$1)^2)</f>
        <v>6.1002824831293385E-2</v>
      </c>
      <c r="G29">
        <f>Table18420263242[[#This Row],[weight]]*((Table18420263242[[#This Row],[xpos]]-R$2)^2+(Table18420263242[[#This Row],[zpos]]-R$1)^2)</f>
        <v>2.8775842916705265</v>
      </c>
      <c r="H29">
        <f>Table18420263242[[#This Row],[weight]]*((Table18420263242[[#This Row],[xpos]]-R$2)^2+Table18420263242[[#This Row],[ypos]]^2)</f>
        <v>2.8165814668392333</v>
      </c>
      <c r="L29">
        <f>O21/2</f>
        <v>10</v>
      </c>
      <c r="M29">
        <f>K25/2</f>
        <v>0.75</v>
      </c>
      <c r="N29">
        <f>Table3445[[#This Row],[X~]]*Table3445[[#This Row],[Z~]]</f>
        <v>7.5</v>
      </c>
    </row>
    <row r="30" spans="1:24" x14ac:dyDescent="0.25">
      <c r="A30" s="5" t="s">
        <v>196</v>
      </c>
      <c r="B30">
        <v>1.3299999999999999E-2</v>
      </c>
      <c r="C30">
        <v>32</v>
      </c>
      <c r="D30">
        <v>0</v>
      </c>
      <c r="E30">
        <v>-0.91</v>
      </c>
      <c r="F30">
        <f>Table18420263242[[#This Row],[weight]]*(Table18420263242[[#This Row],[ypos]]^2+(Table18420263242[[#This Row],[zpos]]-R$1)^2)</f>
        <v>3.3683503482425867E-2</v>
      </c>
      <c r="G30">
        <f>Table18420263242[[#This Row],[weight]]*((Table18420263242[[#This Row],[xpos]]-R$2)^2+(Table18420263242[[#This Row],[zpos]]-R$1)^2)</f>
        <v>4.0807044775470303</v>
      </c>
      <c r="H30">
        <f>Table18420263242[[#This Row],[weight]]*((Table18420263242[[#This Row],[xpos]]-R$2)^2+Table18420263242[[#This Row],[ypos]]^2)</f>
        <v>4.0470209740646039</v>
      </c>
      <c r="L30">
        <f>O21+(P27-O21-T23)/3</f>
        <v>23.166666666666668</v>
      </c>
      <c r="M30">
        <f>T25+(K25-T25)/3</f>
        <v>0.83333333333333326</v>
      </c>
      <c r="N30">
        <f>Table3445[[#This Row],[X~]]*Table3445[[#This Row],[Z~]]/2</f>
        <v>9.6527777777777768</v>
      </c>
    </row>
    <row r="31" spans="1:24" x14ac:dyDescent="0.25">
      <c r="A31" s="5"/>
      <c r="L31">
        <f>O21+(P27-O21)/2</f>
        <v>26.25</v>
      </c>
      <c r="M31">
        <f>T25/2</f>
        <v>0.25</v>
      </c>
      <c r="N31">
        <f>Table3445[[#This Row],[X~]]*Table3445[[#This Row],[Z~]]</f>
        <v>6.5625</v>
      </c>
    </row>
    <row r="32" spans="1:24" x14ac:dyDescent="0.25">
      <c r="A32" s="5" t="s">
        <v>145</v>
      </c>
      <c r="B32" s="5" t="s">
        <v>1</v>
      </c>
      <c r="C32" s="5" t="s">
        <v>9</v>
      </c>
      <c r="D32" s="5" t="s">
        <v>10</v>
      </c>
      <c r="E32" s="5" t="s">
        <v>11</v>
      </c>
      <c r="F32" s="5" t="s">
        <v>5</v>
      </c>
      <c r="G32" s="5" t="s">
        <v>6</v>
      </c>
      <c r="H32" s="5" t="s">
        <v>7</v>
      </c>
    </row>
    <row r="33" spans="1:8" x14ac:dyDescent="0.25">
      <c r="A33" s="5" t="s">
        <v>12</v>
      </c>
      <c r="B33">
        <v>0.34860000000000002</v>
      </c>
      <c r="C33">
        <v>17.87</v>
      </c>
      <c r="D33">
        <f>0</f>
        <v>0</v>
      </c>
      <c r="E33">
        <f>SUMPRODUCT(Table5121625313744[V],Table5121625313744[zT])/SUM(Table5121625313744[V])</f>
        <v>0.74328994212766486</v>
      </c>
      <c r="F33">
        <f>Table211521273343[[#This Row],[weight]]*(Table211521273343[[#This Row],[Zcg]]-R1)^2+U1*U2^3/12*U3*V12</f>
        <v>0.29191518785110543</v>
      </c>
      <c r="G33">
        <f>Table211521273343[[#This Row],[weight]]*(((Table211521273343[[#This Row],[Zcg]]-R1)^2+(Table211521273343[[#This Row],[Xcg]]-R2)^2)+U3*U2^3/12)</f>
        <v>4.3687212406920821</v>
      </c>
      <c r="H33">
        <f>Table211521273343[[#This Row],[weight]]*(Table211521273343[[#This Row],[Xcg]]-R2)^2+U1^3*U2/12*U3*V12</f>
        <v>140.23953261534098</v>
      </c>
    </row>
    <row r="34" spans="1:8" x14ac:dyDescent="0.25">
      <c r="A34" s="5" t="s">
        <v>146</v>
      </c>
      <c r="B34">
        <f>0.02+0.053</f>
        <v>7.2999999999999995E-2</v>
      </c>
      <c r="C34">
        <f>W2+1.5</f>
        <v>3.5</v>
      </c>
      <c r="D34">
        <f>(W5-W3)/2+W3</f>
        <v>13.875</v>
      </c>
      <c r="E34">
        <f>W4+V13/2</f>
        <v>1.6625000000000001</v>
      </c>
      <c r="F34">
        <f>Table211521273343[[#This Row],[weight]]*(Table211521273343[[#This Row],[Ycg]]^2+(Table211521273343[[#This Row],[Zcg]]-R$1)^2)</f>
        <v>14.123905488258151</v>
      </c>
      <c r="H34">
        <v>34.130000000000003</v>
      </c>
    </row>
    <row r="35" spans="1:8" x14ac:dyDescent="0.25">
      <c r="A35" s="5" t="s">
        <v>147</v>
      </c>
      <c r="B35">
        <f>B34</f>
        <v>7.2999999999999995E-2</v>
      </c>
      <c r="C35">
        <f>C34</f>
        <v>3.5</v>
      </c>
      <c r="D35">
        <f>-D34</f>
        <v>-13.875</v>
      </c>
      <c r="E35">
        <f>E34</f>
        <v>1.6625000000000001</v>
      </c>
      <c r="F35">
        <f>Table211521273343[[#This Row],[weight]]*(Table211521273343[[#This Row],[Ycg]]^2+(Table211521273343[[#This Row],[Zcg]]-R$1)^2)</f>
        <v>14.123905488258151</v>
      </c>
      <c r="G35">
        <f>SUM(Table6131722283446[Iy])*U6*V12</f>
        <v>11.002483922623739</v>
      </c>
      <c r="H35">
        <f>SUM(Table6131722283446[Iz])*U6*V12</f>
        <v>10.366114464260022</v>
      </c>
    </row>
    <row r="36" spans="1:8" x14ac:dyDescent="0.25">
      <c r="A36" s="5" t="s">
        <v>148</v>
      </c>
      <c r="B36">
        <f>0.026+0.11</f>
        <v>0.13600000000000001</v>
      </c>
      <c r="C36">
        <f>W7+W11/2</f>
        <v>32</v>
      </c>
      <c r="D36">
        <f>(W10-W8)/2+W8</f>
        <v>16.375</v>
      </c>
      <c r="E36">
        <f>W9+V13/2</f>
        <v>-3.7500000000000006E-2</v>
      </c>
      <c r="F36">
        <f>Table211521273343[[#This Row],[weight]]*(Table211521273343[[#This Row],[Ycg]]^2+(Table211521273343[[#This Row],[Zcg]]-R$1)^2)</f>
        <v>36.537414615660836</v>
      </c>
      <c r="G36">
        <f>Table211521273343[[#This Row],[weight]]*((Table211521273343[[#This Row],[Xcg]]-R$2)^2+(Table211521273343[[#This Row],[Zcg]]-R$1)^2)</f>
        <v>41.453361230156034</v>
      </c>
      <c r="H36">
        <f>Table211521273343[[#This Row],[weight]]*(Table211521273343[[#This Row],[Xcg]]-R$2)^2</f>
        <v>41.383071614495201</v>
      </c>
    </row>
    <row r="37" spans="1:8" x14ac:dyDescent="0.25">
      <c r="A37" s="5" t="s">
        <v>149</v>
      </c>
      <c r="B37">
        <f>B36</f>
        <v>0.13600000000000001</v>
      </c>
      <c r="C37">
        <f>C36</f>
        <v>32</v>
      </c>
      <c r="D37">
        <f>-D36</f>
        <v>-16.375</v>
      </c>
      <c r="E37">
        <f>E36</f>
        <v>-3.7500000000000006E-2</v>
      </c>
      <c r="F37">
        <f>Table211521273343[[#This Row],[weight]]*(Table211521273343[[#This Row],[Ycg]]^2+(Table211521273343[[#This Row],[Zcg]]-R$1)^2)</f>
        <v>36.537414615660836</v>
      </c>
      <c r="G37">
        <f>Table211521273343[[#This Row],[weight]]*((Table211521273343[[#This Row],[Xcg]]-R$2)^2+(Table211521273343[[#This Row],[Zcg]]-R$1)^2)</f>
        <v>41.453361230156034</v>
      </c>
      <c r="H37">
        <f>Table211521273343[[#This Row],[weight]]*(Table211521273343[[#This Row],[Xcg]]-R$2)^2</f>
        <v>41.383071614495201</v>
      </c>
    </row>
    <row r="38" spans="1:8" x14ac:dyDescent="0.25">
      <c r="A38" s="5" t="s">
        <v>125</v>
      </c>
      <c r="B38">
        <f>0.0425</f>
        <v>4.2500000000000003E-2</v>
      </c>
      <c r="C38">
        <v>30.06</v>
      </c>
      <c r="D38">
        <v>0</v>
      </c>
      <c r="E38">
        <v>3.92</v>
      </c>
      <c r="F38">
        <f>Table211521273343[[#This Row],[weight]]*(Table211521273343[[#This Row],[Ycg]]^2+(Table211521273343[[#This Row],[Zcg]]-R1)^2)</f>
        <v>0.44575903890747703</v>
      </c>
      <c r="G38">
        <f>Table211521273343[[#This Row],[weight]]*((Table211521273343[[#This Row],[Xcg]]-R2)^2+(Table211521273343[[#This Row],[Zcg]]-R1)^2)</f>
        <v>10.661433943937473</v>
      </c>
      <c r="H38">
        <f>Table211521273343[[#This Row],[weight]]*(Table211521273343[[#This Row],[Xcg]]-R2)^2</f>
        <v>10.215674905029996</v>
      </c>
    </row>
    <row r="39" spans="1:8" x14ac:dyDescent="0.25">
      <c r="A39" s="5" t="s">
        <v>152</v>
      </c>
      <c r="B39">
        <v>0.6</v>
      </c>
      <c r="C39">
        <v>18.440000000000001</v>
      </c>
      <c r="D39">
        <v>2.2799999999999998</v>
      </c>
      <c r="E39">
        <v>0.68</v>
      </c>
      <c r="F39">
        <f>Table211521273343[[#This Row],[weight]]*(Table211521273343[[#This Row],[Ycg]]^2+(Table211521273343[[#This Row],[Zcg]]-R1)^2)</f>
        <v>3.1190411973609122</v>
      </c>
      <c r="G39">
        <f>Table211521273343[[#This Row],[weight]]*((Table211521273343[[#This Row],[Xcg]]-R2)^2+(Table211521273343[[#This Row],[Zcg]]-R1)^2)</f>
        <v>9.0504939959375452</v>
      </c>
      <c r="H39">
        <f>Table211521273343[[#This Row],[weight]]*(Table211521273343[[#This Row],[Xcg]]-R2)^2</f>
        <v>9.0504927985766326</v>
      </c>
    </row>
    <row r="40" spans="1:8" x14ac:dyDescent="0.25">
      <c r="A40" s="5" t="s">
        <v>153</v>
      </c>
      <c r="B40">
        <f>B39</f>
        <v>0.6</v>
      </c>
      <c r="C40">
        <f>C39</f>
        <v>18.440000000000001</v>
      </c>
      <c r="D40">
        <f>-D39</f>
        <v>-2.2799999999999998</v>
      </c>
      <c r="E40">
        <f>E39</f>
        <v>0.68</v>
      </c>
      <c r="F40">
        <f>Table211521273343[[#This Row],[weight]]*(Table211521273343[[#This Row],[Ycg]]^2+(Table211521273343[[#This Row],[Zcg]]-R1)^2)</f>
        <v>3.1190411973609122</v>
      </c>
      <c r="G40">
        <f>Table211521273343[[#This Row],[weight]]*((Table211521273343[[#This Row],[Xcg]]-R2)^2+(Table211521273343[[#This Row],[Zcg]]-R1)^2)</f>
        <v>9.0504939959375452</v>
      </c>
      <c r="H40">
        <f>Table211521273343[[#This Row],[weight]]*(Table211521273343[[#This Row],[Xcg]]-R2)^2</f>
        <v>9.0504927985766326</v>
      </c>
    </row>
    <row r="41" spans="1:8" x14ac:dyDescent="0.25">
      <c r="A41" s="5"/>
      <c r="C41" s="52"/>
      <c r="E41" s="52"/>
      <c r="F41" s="52"/>
    </row>
    <row r="42" spans="1:8" x14ac:dyDescent="0.25">
      <c r="A42" s="5"/>
      <c r="C42" s="52"/>
      <c r="E42" s="52"/>
      <c r="F42" s="52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Y38"/>
  <sheetViews>
    <sheetView workbookViewId="0">
      <selection activeCell="T8" sqref="T8"/>
    </sheetView>
  </sheetViews>
  <sheetFormatPr defaultColWidth="8.85546875" defaultRowHeight="15" x14ac:dyDescent="0.25"/>
  <cols>
    <col min="1" max="1" width="14.42578125" customWidth="1"/>
    <col min="10" max="10" width="13.140625" customWidth="1"/>
    <col min="12" max="12" width="11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</v>
      </c>
      <c r="L1" t="s">
        <v>9</v>
      </c>
      <c r="M1" t="s">
        <v>10</v>
      </c>
      <c r="N1" t="s">
        <v>11</v>
      </c>
      <c r="O1" t="s">
        <v>5</v>
      </c>
      <c r="P1" t="s">
        <v>6</v>
      </c>
      <c r="Q1" t="s">
        <v>7</v>
      </c>
      <c r="T1" s="36" t="s">
        <v>12</v>
      </c>
      <c r="U1" s="36"/>
      <c r="V1" s="36"/>
      <c r="W1" s="36"/>
      <c r="X1" s="36"/>
      <c r="Y1" s="36"/>
    </row>
    <row r="2" spans="1:25" x14ac:dyDescent="0.25">
      <c r="A2" t="s">
        <v>13</v>
      </c>
      <c r="B2">
        <f>6.7/16</f>
        <v>0.41875000000000001</v>
      </c>
      <c r="C2">
        <f>K13-0.25</f>
        <v>36.26</v>
      </c>
      <c r="D2">
        <v>0</v>
      </c>
      <c r="E2">
        <v>0.75</v>
      </c>
      <c r="F2">
        <f>Table18[[#This Row],[weight]]*(Table18[[#This Row],[ypos]]^2+(Table18[[#This Row],[zpos]]-H16)^2)</f>
        <v>1.4562637424552889</v>
      </c>
      <c r="G2">
        <f>Table18[[#This Row],[weight]]*((Table18[[#This Row],[xpos]]-H17)^2+(Table18[[#This Row],[zpos]]-H16)^2)</f>
        <v>74.325298092773707</v>
      </c>
      <c r="H2">
        <f>Table18[[#This Row],[weight]]*(Table18[[#This Row],[xpos]]-H17)^2</f>
        <v>72.869034350318415</v>
      </c>
      <c r="J2" t="s">
        <v>12</v>
      </c>
      <c r="K2">
        <f>SUM(Table512[A])*K15*P13</f>
        <v>0.12833961769386573</v>
      </c>
      <c r="L2">
        <f>T11</f>
        <v>20.58903207561859</v>
      </c>
      <c r="N2">
        <f>U11</f>
        <v>-0.15190312741860879</v>
      </c>
      <c r="O2">
        <f>SUM(Table512[Ix])*P13*K15</f>
        <v>0.27718334693935875</v>
      </c>
      <c r="P2">
        <f>SUM(Table512[Iy])*K15*P13</f>
        <v>9.4213025194729543</v>
      </c>
      <c r="Q2">
        <f>SUM(Table512[Iz])*P13*K15</f>
        <v>13.205113568686972</v>
      </c>
      <c r="T2" s="36" t="s">
        <v>14</v>
      </c>
      <c r="U2" s="36" t="s">
        <v>15</v>
      </c>
      <c r="V2" s="36" t="s">
        <v>16</v>
      </c>
      <c r="W2" s="36" t="s">
        <v>17</v>
      </c>
      <c r="X2" s="36" t="s">
        <v>18</v>
      </c>
      <c r="Y2" s="36" t="s">
        <v>19</v>
      </c>
    </row>
    <row r="3" spans="1:25" x14ac:dyDescent="0.25">
      <c r="A3" t="s">
        <v>20</v>
      </c>
      <c r="B3">
        <v>1.2</v>
      </c>
      <c r="C3">
        <v>22.375</v>
      </c>
      <c r="D3">
        <v>-2</v>
      </c>
      <c r="E3">
        <v>-2.25</v>
      </c>
      <c r="F3">
        <f>Table18[[#This Row],[weight]]*(Table18[[#This Row],[ypos]]^2+(Table18[[#This Row],[zpos]]-H16)^2)</f>
        <v>6.3462937944177558</v>
      </c>
      <c r="G3">
        <f>Table18[[#This Row],[weight]]*((Table18[[#This Row],[xpos]]-H17)^2+(Table18[[#This Row],[zpos]]-H16)^2)</f>
        <v>2.1234287736386337</v>
      </c>
      <c r="H3">
        <f>Table18[[#This Row],[weight]]*(Table18[[#This Row],[xpos]]^2+Table18[[#This Row],[ypos]]^2)</f>
        <v>605.56875000000002</v>
      </c>
      <c r="J3" t="s">
        <v>21</v>
      </c>
      <c r="K3">
        <v>0.375</v>
      </c>
      <c r="L3">
        <f>2*M16/3+K18</f>
        <v>23.403333333333336</v>
      </c>
      <c r="M3">
        <v>0</v>
      </c>
      <c r="N3">
        <v>-2.125</v>
      </c>
      <c r="O3">
        <f>SUM(Table915[Ix])*K16*P13</f>
        <v>20.172719075779586</v>
      </c>
      <c r="P3">
        <f>SUM(Table915[Iy])*K16*P13</f>
        <v>8.8743755248870269</v>
      </c>
      <c r="Q3">
        <v>34.130000000000003</v>
      </c>
      <c r="T3" s="36">
        <v>93.44</v>
      </c>
      <c r="U3" s="36">
        <v>24.18</v>
      </c>
      <c r="V3" s="36">
        <v>-0.25</v>
      </c>
      <c r="W3" s="36">
        <f>Table512[[#This Row],[A]]*(Table512[[#This Row],[zT]]-H16)^2+124.587</f>
        <v>194.47599861759949</v>
      </c>
      <c r="X3" s="36">
        <f>Table512[[#This Row],[A]]*(Table512[[#This Row],[xT]]-H17)^2+4249.1</f>
        <v>4364.5382553948421</v>
      </c>
      <c r="Y3" s="36">
        <f>Table512[[#This Row],[A]]*((Table512[[#This Row],[zT]]-U11)^2+(Table512[[#This Row],[xT]]-H17)^2)</f>
        <v>116.33742817941565</v>
      </c>
    </row>
    <row r="4" spans="1:25" x14ac:dyDescent="0.25">
      <c r="A4" t="s">
        <v>22</v>
      </c>
      <c r="B4">
        <v>0.375</v>
      </c>
      <c r="C4">
        <f>C5-3</f>
        <v>15.100000000000001</v>
      </c>
      <c r="D4">
        <v>0</v>
      </c>
      <c r="E4">
        <v>-0.75</v>
      </c>
      <c r="F4">
        <f>Table18[[#This Row],[weight]]*(Table18[[#This Row],[ypos]]^2+(Table18[[#This Row],[zpos]]-H16)^2)</f>
        <v>4.9916797521933495E-2</v>
      </c>
      <c r="G4">
        <f>Table18[[#This Row],[weight]]*((Table18[[#This Row],[xpos]]-H17)^2+(Table18[[#This Row],[zpos]]-H16)^2)</f>
        <v>23.861304256680118</v>
      </c>
      <c r="H4">
        <f>Table18[[#This Row],[weight]]*((Table18[[#This Row],[xpos]]-H17)^2+Table18[[#This Row],[ypos]]^2)</f>
        <v>23.811387459158183</v>
      </c>
      <c r="J4" t="s">
        <v>23</v>
      </c>
      <c r="K4">
        <f>((K20-4.11)*K19/2+K19*4.1)*K21*P13</f>
        <v>2.6072410300925927E-2</v>
      </c>
      <c r="L4">
        <f>(T14*U14+T15*U15)/(T14+T15)</f>
        <v>32.669852985298526</v>
      </c>
      <c r="M4">
        <v>0</v>
      </c>
      <c r="N4">
        <f>(T14*V14+T15*V15)/(T14+T15)</f>
        <v>4.0332283228322838</v>
      </c>
      <c r="O4">
        <f>SUM(Table613[Ix])*K21*P13</f>
        <v>0.85972397671461076</v>
      </c>
      <c r="P4">
        <f>SUM(Table613[Iy])*K21*P13</f>
        <v>4.070976358850614</v>
      </c>
      <c r="Q4">
        <f>SUM(Table613[Iz])*K21*P13</f>
        <v>3.270669109084305</v>
      </c>
      <c r="T4" s="36">
        <v>19.875</v>
      </c>
      <c r="U4" s="36">
        <v>9.1875</v>
      </c>
      <c r="V4" s="36">
        <v>0.25</v>
      </c>
      <c r="W4" s="36">
        <f>Table512[[#This Row],[A]]*(Table512[[#This Row],[zT]]-H16)^2+14.90625</f>
        <v>51.929406467741408</v>
      </c>
      <c r="X4" s="36">
        <f>Table512[[#This Row],[A]]*(Table512[[#This Row],[xT]]-H17)^2+72.6938</f>
        <v>3902.2531684886003</v>
      </c>
      <c r="Y4" s="36">
        <f>Table512[[#This Row],[A]]*((Table512[[#This Row],[zT]]-U11)^2+(Table512[[#This Row],[xT]]-H17)^2)</f>
        <v>3832.7697001996989</v>
      </c>
    </row>
    <row r="5" spans="1:25" x14ac:dyDescent="0.25">
      <c r="A5" t="s">
        <v>24</v>
      </c>
      <c r="B5">
        <f>B4</f>
        <v>0.375</v>
      </c>
      <c r="C5">
        <v>18.100000000000001</v>
      </c>
      <c r="D5">
        <v>0</v>
      </c>
      <c r="E5">
        <f>E4</f>
        <v>-0.75</v>
      </c>
      <c r="F5">
        <f>Table18[[#This Row],[weight]]*(Table18[[#This Row],[ypos]]^2+(Table18[[#This Row],[zpos]]-H16)^2)</f>
        <v>4.9916797521933495E-2</v>
      </c>
      <c r="G5">
        <f>Table18[[#This Row],[weight]]*((Table18[[#This Row],[xpos]]-H17)^2+(Table18[[#This Row],[zpos]]-H16)^2)</f>
        <v>9.3071734718753092</v>
      </c>
      <c r="H5">
        <f>Table18[[#This Row],[weight]]*((Table18[[#This Row],[xpos]]-H17)^2+Table18[[#This Row],[ypos]]^2)</f>
        <v>9.2572566743533748</v>
      </c>
      <c r="J5" t="s">
        <v>93</v>
      </c>
      <c r="K5">
        <f>((K24/2)^2+1*K24)*K25*P13</f>
        <v>3.2351888020833337E-2</v>
      </c>
      <c r="L5">
        <f>2*K23/3+K26</f>
        <v>9.8416666666666668</v>
      </c>
      <c r="M5">
        <v>0</v>
      </c>
      <c r="N5">
        <v>1.625</v>
      </c>
      <c r="O5">
        <f>SUM(Table6914[Ix])*K25*P13</f>
        <v>1.3001347157197298</v>
      </c>
      <c r="P5">
        <f>SUM(Table6914[Iy])*K25*P13</f>
        <v>6.8017697544941615</v>
      </c>
      <c r="Q5">
        <v>92.953100000000006</v>
      </c>
      <c r="T5" s="36">
        <v>3.59375</v>
      </c>
      <c r="U5" s="36">
        <v>4.4375</v>
      </c>
      <c r="V5" s="36">
        <v>-0.625</v>
      </c>
      <c r="W5" s="36">
        <f>Table512[[#This Row],[A]]*(Table512[[#This Row],[zT]]-H16)^2+0.46794</f>
        <v>1.3302515733222395</v>
      </c>
      <c r="X5" s="36">
        <f>Table512[[#This Row],[A]]*(Table512[[#This Row],[xT]]-T11)^2+2.4754</f>
        <v>939.98410827561429</v>
      </c>
      <c r="Y5" s="36">
        <f>Table512[[#This Row],[A]]*((Table512[[#This Row],[zT]]-U11)^2+(Table512[[#This Row],[xT]]-H17)^2)</f>
        <v>1248.246215844428</v>
      </c>
    </row>
    <row r="6" spans="1:25" x14ac:dyDescent="0.25">
      <c r="A6" t="s">
        <v>26</v>
      </c>
      <c r="B6">
        <f>B4</f>
        <v>0.375</v>
      </c>
      <c r="C6">
        <f>C5+3</f>
        <v>21.1</v>
      </c>
      <c r="D6">
        <v>0</v>
      </c>
      <c r="E6">
        <f>E4</f>
        <v>-0.75</v>
      </c>
      <c r="F6">
        <f>Table18[[#This Row],[weight]]*(Table18[[#This Row],[ypos]]^2+(Table18[[#This Row],[zpos]]-H16)^2)</f>
        <v>4.9916797521933495E-2</v>
      </c>
      <c r="G6">
        <f>Table18[[#This Row],[weight]]*((Table18[[#This Row],[xpos]]-H17)^2+(Table18[[#This Row],[zpos]]-H16)^2)</f>
        <v>1.5030426870705007</v>
      </c>
      <c r="H6">
        <f>Table18[[#This Row],[weight]]*((Table18[[#This Row],[xpos]]-H17)^2+Table18[[#This Row],[ypos]]^2)</f>
        <v>1.4531258895485673</v>
      </c>
      <c r="J6" t="s">
        <v>27</v>
      </c>
      <c r="M6">
        <v>0</v>
      </c>
      <c r="T6" s="36">
        <v>4.75</v>
      </c>
      <c r="U6" s="36">
        <f>28/3</f>
        <v>9.3333333333333339</v>
      </c>
      <c r="V6" s="36">
        <v>-1.583</v>
      </c>
      <c r="W6" s="36">
        <f>Table512[[#This Row],[A]]*(Table512[[#This Row],[zT]]-H16)^2+9.5/36</f>
        <v>1.3049446561437912</v>
      </c>
      <c r="X6" s="36">
        <f>Table512[[#This Row],[A]]*(H17-Table512[[#This Row],[xT]])^2+23.81597</f>
        <v>919.92662144306598</v>
      </c>
      <c r="Y6" s="36">
        <f>Table512[[#This Row],[A]]*((Table512[[#This Row],[zT]]-U11)^2+(Table512[[#This Row],[xT]]-H17)^2)</f>
        <v>905.83883317194909</v>
      </c>
    </row>
    <row r="7" spans="1:25" x14ac:dyDescent="0.25">
      <c r="A7" t="s">
        <v>28</v>
      </c>
      <c r="B7">
        <v>0</v>
      </c>
      <c r="C7">
        <f>C5</f>
        <v>18.100000000000001</v>
      </c>
      <c r="D7">
        <v>-3</v>
      </c>
      <c r="E7">
        <f>E4</f>
        <v>-0.75</v>
      </c>
      <c r="F7">
        <f>Table18[[#This Row],[weight]]*(Table18[[#This Row],[ypos]]^2+(Table18[[#This Row],[zpos]]-H16)^2)</f>
        <v>0</v>
      </c>
      <c r="G7">
        <f>Table18[[#This Row],[weight]]*((Table18[[#This Row],[xpos]]-H17)^2+(Table18[[#This Row],[zpos]]-H16)^2)</f>
        <v>0</v>
      </c>
      <c r="H7">
        <f>Table18[[#This Row],[weight]]*((Table18[[#This Row],[xpos]]-H17)^2+Table18[[#This Row],[ypos]]^2)</f>
        <v>0</v>
      </c>
      <c r="J7" t="s">
        <v>29</v>
      </c>
      <c r="M7">
        <v>0</v>
      </c>
      <c r="T7" s="36">
        <v>7.515625</v>
      </c>
      <c r="U7" s="36">
        <f>59/12</f>
        <v>4.916666666666667</v>
      </c>
      <c r="V7" s="36">
        <v>0.58299999999999996</v>
      </c>
      <c r="W7" s="36">
        <f>Table512[[#This Row],[A]]*(Table512[[#This Row],[zT]]-H16)^2+0.428</f>
        <v>22.093109689987173</v>
      </c>
      <c r="X7" s="36">
        <f>Table512[[#This Row],[A]]*(H17-Table512[[#This Row],[xT]])^2+1.15518</f>
        <v>2477.472048157636</v>
      </c>
      <c r="Y7" s="36">
        <f>Table512[[#This Row],[A]]*((Table512[[#This Row],[zT]]-U11)^2+(Table512[[#This Row],[xT]]-H17)^2)</f>
        <v>2480.3759264985379</v>
      </c>
    </row>
    <row r="8" spans="1:25" x14ac:dyDescent="0.25">
      <c r="A8" t="s">
        <v>30</v>
      </c>
      <c r="B8">
        <f>B7</f>
        <v>0</v>
      </c>
      <c r="C8">
        <f>C5</f>
        <v>18.100000000000001</v>
      </c>
      <c r="D8">
        <v>3</v>
      </c>
      <c r="E8">
        <f>E4</f>
        <v>-0.75</v>
      </c>
      <c r="F8">
        <f>Table18[[#This Row],[weight]]*(Table18[[#This Row],[ypos]]^2+(Table18[[#This Row],[zpos]]-H16)^2)</f>
        <v>0</v>
      </c>
      <c r="G8">
        <f>Table18[[#This Row],[weight]]*((Table18[[#This Row],[xpos]]-H17)^2+(Table18[[#This Row],[zpos]]-H16)^2)</f>
        <v>0</v>
      </c>
      <c r="H8">
        <f>Table18[[#This Row],[weight]]*((Table18[[#This Row],[xpos]]-H17)^2+Table18[[#This Row],[ypos]]^2)</f>
        <v>0</v>
      </c>
      <c r="J8" t="s">
        <v>31</v>
      </c>
      <c r="K8">
        <f>K19*1*K21*P13</f>
        <v>4.7019675925925927E-3</v>
      </c>
      <c r="L8">
        <v>36</v>
      </c>
      <c r="M8">
        <v>0</v>
      </c>
      <c r="N8">
        <f>K19/2+1.75</f>
        <v>4.25</v>
      </c>
      <c r="O8">
        <f>W16*K21*P13</f>
        <v>0.14512570839216352</v>
      </c>
      <c r="P8">
        <f>Y16*K21*P13</f>
        <v>0.9216100115929422</v>
      </c>
      <c r="Q8">
        <f>X16*K21*P13</f>
        <v>0.78667189965139583</v>
      </c>
      <c r="T8" s="36">
        <v>7.3</v>
      </c>
      <c r="U8" s="36">
        <v>37.076999999999998</v>
      </c>
      <c r="V8" s="36">
        <v>0.41699999999999998</v>
      </c>
      <c r="W8" s="36">
        <f>Table512[[#This Row],[A]]*(Table512[[#This Row],[zT]]-H16)^2+6.489</f>
        <v>23.618795771336323</v>
      </c>
      <c r="X8" s="36">
        <f>Table512[[#This Row],[A]]*(Table512[[#This Row],[xT]]-H17)^2+5.40301</f>
        <v>1437.9404115886043</v>
      </c>
      <c r="Y8" s="36">
        <f>Table512[[#This Row],[A]]*((Table512[[#This Row],[zT]]-U11)^2+(Table512[[#This Row],[xT]]-H17)^2)</f>
        <v>1434.9000521978271</v>
      </c>
    </row>
    <row r="9" spans="1:25" x14ac:dyDescent="0.25">
      <c r="A9" t="s">
        <v>32</v>
      </c>
      <c r="B9">
        <v>0.01</v>
      </c>
      <c r="C9">
        <v>9.5</v>
      </c>
      <c r="E9">
        <v>0</v>
      </c>
      <c r="F9">
        <f>Table18[[#This Row],[weight]]*(Table18[[#This Row],[ypos]]^2+(Table18[[#This Row],[zpos]]-H16)^2)</f>
        <v>1.2428781090803358E-2</v>
      </c>
      <c r="G9">
        <f>Table18[[#This Row],[weight]]*((Table18[[#This Row],[xpos]]-H17)^2+(Table18[[#This Row],[zpos]]-H16)^2)</f>
        <v>1.8534714012897502</v>
      </c>
      <c r="H9">
        <f>Table18[[#This Row],[weight]]*((Table18[[#This Row],[xpos]]-H17)^2+Table18[[#This Row],[ypos]]^2)</f>
        <v>1.8410426201989469</v>
      </c>
      <c r="J9" t="s">
        <v>33</v>
      </c>
      <c r="M9">
        <v>0</v>
      </c>
      <c r="T9" s="36"/>
      <c r="U9" s="36"/>
      <c r="V9" s="36"/>
      <c r="W9" s="36"/>
      <c r="X9" s="36"/>
      <c r="Y9" s="36"/>
    </row>
    <row r="10" spans="1:25" x14ac:dyDescent="0.25">
      <c r="A10" t="s">
        <v>34</v>
      </c>
      <c r="B10">
        <f>B9</f>
        <v>0.01</v>
      </c>
      <c r="C10">
        <v>31</v>
      </c>
      <c r="E10">
        <v>-0.75</v>
      </c>
      <c r="F10">
        <f>Table18[[#This Row],[weight]]*(Table18[[#This Row],[ypos]]^2+(Table18[[#This Row],[zpos]]-H16)^2)</f>
        <v>1.3311146005848932E-3</v>
      </c>
      <c r="G10">
        <f>Table18[[#This Row],[weight]]*((Table18[[#This Row],[xpos]]-H17)^2+(Table18[[#This Row],[zpos]]-H16)^2)</f>
        <v>0.63041762925905664</v>
      </c>
      <c r="H10">
        <f>Table18[[#This Row],[weight]]*((Table18[[#This Row],[xpos]]-H17)^2+Table18[[#This Row],[ypos]]^2)</f>
        <v>0.62908651465847176</v>
      </c>
      <c r="T10" s="36" t="s">
        <v>36</v>
      </c>
      <c r="U10" s="36" t="s">
        <v>37</v>
      </c>
      <c r="V10" s="36"/>
      <c r="W10" s="36"/>
      <c r="X10" s="36"/>
      <c r="Y10" s="36"/>
    </row>
    <row r="11" spans="1:25" x14ac:dyDescent="0.25">
      <c r="A11" t="s">
        <v>38</v>
      </c>
      <c r="C11">
        <f>11+5/16</f>
        <v>11.3125</v>
      </c>
      <c r="D11">
        <v>0</v>
      </c>
      <c r="E11">
        <v>0.5</v>
      </c>
      <c r="F11">
        <f>Table18[[#This Row],[weight]]*(Table18[[#This Row],[ypos]]^2+(Table18[[#This Row],[zpos]]-H16)^2)</f>
        <v>0</v>
      </c>
      <c r="G11">
        <f>Table18[[#This Row],[weight]]*((Table18[[#This Row],[xpos]]-H17)^2+(Table18[[#This Row],[zpos]]-H16)^2)</f>
        <v>0</v>
      </c>
      <c r="H11">
        <f>Table18[[#This Row],[weight]]*((Table18[[#This Row],[xpos]]-H17)^2+Table18[[#This Row],[ypos]]^2)</f>
        <v>0</v>
      </c>
      <c r="T11" s="36">
        <f>SUM(T3*U3+T4*U4+T5*U5+T6*U6+T7*U7+T8*U8)/SUM(Table512[A])</f>
        <v>20.58903207561859</v>
      </c>
      <c r="U11" s="36">
        <f>SUM(T3*V3+T4*V4+T5*V5+T6*V6+T7*V7+T8*V8)/SUM(Table512[A])</f>
        <v>-0.15190312741860879</v>
      </c>
      <c r="V11" s="36"/>
      <c r="W11" s="36"/>
      <c r="X11" s="36"/>
      <c r="Y11" s="36"/>
    </row>
    <row r="12" spans="1:25" ht="15.75" thickBot="1" x14ac:dyDescent="0.3">
      <c r="F12">
        <f>Table18[[#This Row],[weight]]*(Table18[[#This Row],[ypos]]^2+(Table18[[#This Row],[zpos]]-H16)^2)</f>
        <v>0</v>
      </c>
      <c r="G12">
        <f>Table18[[#This Row],[weight]]*((Table18[[#This Row],[xpos]]-H17)^2+(Table18[[#This Row],[zpos]]-H16)^2)</f>
        <v>0</v>
      </c>
      <c r="H12">
        <f>Table18[[#This Row],[weight]]*((Table18[[#This Row],[xpos]]-H17)^2+Table18[[#This Row],[ypos]]^2)</f>
        <v>0</v>
      </c>
      <c r="T12" s="36" t="s">
        <v>23</v>
      </c>
      <c r="U12" s="36"/>
      <c r="V12" s="36"/>
      <c r="W12" s="36"/>
      <c r="X12" s="36"/>
      <c r="Y12" s="36"/>
    </row>
    <row r="13" spans="1:25" ht="15.75" thickBot="1" x14ac:dyDescent="0.3">
      <c r="A13" t="s">
        <v>39</v>
      </c>
      <c r="F13">
        <f>Table18[[#This Row],[weight]]*(Table18[[#This Row],[ypos]]^2+(Table18[[#This Row],[zpos]]-H16)^2)</f>
        <v>0</v>
      </c>
      <c r="G13">
        <f>Table18[[#This Row],[weight]]*((Table18[[#This Row],[xpos]]-H17)^2+(Table18[[#This Row],[zpos]]-H16)^2)</f>
        <v>0</v>
      </c>
      <c r="H13">
        <f>Table18[[#This Row],[weight]]*((Table18[[#This Row],[xpos]]-H17)^2+Table18[[#This Row],[ypos]]^2)</f>
        <v>0</v>
      </c>
      <c r="J13" s="1" t="s">
        <v>40</v>
      </c>
      <c r="K13" s="10">
        <v>36.51</v>
      </c>
      <c r="M13" s="6" t="s">
        <v>41</v>
      </c>
      <c r="N13" s="20"/>
      <c r="O13" s="19" t="s">
        <v>42</v>
      </c>
      <c r="P13" s="21">
        <f>13/3456</f>
        <v>3.7615740740740739E-3</v>
      </c>
      <c r="Q13" s="16" t="s">
        <v>43</v>
      </c>
      <c r="T13" s="36" t="s">
        <v>14</v>
      </c>
      <c r="U13" s="36" t="s">
        <v>15</v>
      </c>
      <c r="V13" s="36" t="s">
        <v>16</v>
      </c>
      <c r="W13" s="36" t="s">
        <v>17</v>
      </c>
      <c r="X13" s="36" t="s">
        <v>18</v>
      </c>
      <c r="Y13" s="36" t="s">
        <v>19</v>
      </c>
    </row>
    <row r="14" spans="1:25" x14ac:dyDescent="0.25">
      <c r="A14" t="s">
        <v>44</v>
      </c>
      <c r="B14">
        <v>8.7499999999999994E-2</v>
      </c>
      <c r="C14">
        <v>37.51</v>
      </c>
      <c r="D14">
        <v>0</v>
      </c>
      <c r="E14">
        <v>0.75</v>
      </c>
      <c r="F14">
        <f>Table18[[#This Row],[weight]]*(Table18[[#This Row],[ypos]]^2+(Table18[[#This Row],[zpos]]-H16)^2)</f>
        <v>0.30429391633394093</v>
      </c>
      <c r="G14">
        <f>Table18[[#This Row],[weight]]*((Table18[[#This Row],[xpos]]-H17)^2+(Table18[[#This Row],[zpos]]-H16)^2)</f>
        <v>18.553018115556061</v>
      </c>
      <c r="H14">
        <f>Table18[[#This Row],[weight]]*((Table18[[#This Row],[xpos]]-H17)^2+Table18[[#This Row],[ypos]]^2)</f>
        <v>18.248724199222121</v>
      </c>
      <c r="J14" s="2" t="s">
        <v>45</v>
      </c>
      <c r="K14" s="8">
        <v>4</v>
      </c>
      <c r="T14" s="36">
        <f>K19/2*(K20-4.11)</f>
        <v>7.2249999999999996</v>
      </c>
      <c r="U14" s="36">
        <f>2/3*(K20-4.11)+K22</f>
        <v>30.436666666666664</v>
      </c>
      <c r="V14" s="36">
        <f>1/3*K19+1.75</f>
        <v>3.4166666666666665</v>
      </c>
      <c r="W14" s="36">
        <f>Table613[[#This Row],[A]]*(Table613[[#This Row],[zT]]-H16)^2+10.0347</f>
        <v>158.3971332943828</v>
      </c>
      <c r="X14" s="36">
        <f>Table613[[#This Row],[A]]*(Table613[[#This Row],[xT]]-H17)^2+3.3524</f>
        <v>395.59650946375677</v>
      </c>
      <c r="Y14" s="36">
        <f>Table613[[#This Row],[A]]*((Table613[[#This Row],[zT]]-H16)^2+(Table613[[#This Row],[xT]]-H17)^2)</f>
        <v>540.60654275813954</v>
      </c>
    </row>
    <row r="15" spans="1:25" ht="15.75" thickBot="1" x14ac:dyDescent="0.3">
      <c r="A15" t="s">
        <v>46</v>
      </c>
      <c r="G15" s="27"/>
      <c r="H15" s="27"/>
      <c r="I15" s="27"/>
      <c r="J15" s="3" t="s">
        <v>47</v>
      </c>
      <c r="K15" s="17">
        <v>0.25</v>
      </c>
      <c r="T15" s="36">
        <f>4.11*K19</f>
        <v>20.55</v>
      </c>
      <c r="U15" s="36">
        <f>K22+K20-4.11/2</f>
        <v>33.454999999999998</v>
      </c>
      <c r="V15" s="36">
        <f>K19/2+1.75</f>
        <v>4.25</v>
      </c>
      <c r="W15" s="36">
        <f>Table613[[#This Row],[A]]*(Table613[[#This Row],[zT]]-H16)^2+10.0347</f>
        <v>601.49567142019498</v>
      </c>
      <c r="X15" s="36">
        <f>Table613[[#This Row],[A]]*(Table613[[#This Row],[xT]]-H17)^2+28.9277</f>
        <v>2245.8479077055154</v>
      </c>
      <c r="Y15" s="36">
        <f>Table613[[#This Row],[A]]*((Table613[[#This Row],[zT]]-H16)^2+(Table613[[#This Row],[xT]]-H17)^2)</f>
        <v>2808.3811791257103</v>
      </c>
    </row>
    <row r="16" spans="1:25" ht="15.75" thickBot="1" x14ac:dyDescent="0.3">
      <c r="A16" s="5" t="s">
        <v>48</v>
      </c>
      <c r="G16" s="26" t="s">
        <v>11</v>
      </c>
      <c r="H16" s="24">
        <f>SUM(B2*E2,B3*E3,B4*E4,B5*E5,B6*E6,B7*E7,B8*E8,B9*E9,B10*E10,B11*E11,B12*E12,B13*E13,B14*E14,K2*N2,K3*N3,K4*N4,K5*N5,K6*N6,K7*N7,K8*N8,K9*N9,K10,N10)/SUM(Table18[weight],Table211[weight])</f>
        <v>-1.114844432681231</v>
      </c>
      <c r="I16" s="12" t="s">
        <v>49</v>
      </c>
      <c r="J16" s="2" t="s">
        <v>50</v>
      </c>
      <c r="K16" s="8">
        <v>0.25</v>
      </c>
      <c r="L16" s="15" t="s">
        <v>51</v>
      </c>
      <c r="M16" s="16">
        <f>37.7-10.02-6</f>
        <v>21.680000000000003</v>
      </c>
      <c r="S16" t="s">
        <v>31</v>
      </c>
      <c r="T16" s="38">
        <f>M21*M22</f>
        <v>5</v>
      </c>
      <c r="U16" s="38">
        <f>L8</f>
        <v>36</v>
      </c>
      <c r="V16" s="38">
        <f>N8</f>
        <v>4.25</v>
      </c>
      <c r="W16" s="38">
        <f>Table613[[#This Row],[A]]*(Table613[[#This Row],[zT]]-H16)^2+5^3/12</f>
        <v>154.32444560102067</v>
      </c>
      <c r="X16" s="38">
        <f>Table613[[#This Row],[A]]*(Table613[[#This Row],[xT]]-H17)^2+5/12</f>
        <v>836.53479544468439</v>
      </c>
      <c r="Y16" s="38">
        <f>Table613[[#This Row],[A]]*((Table613[[#This Row],[zT]]-H16)^2+(Table613[[#This Row],[xT]]-H17)^2)</f>
        <v>980.0259077123718</v>
      </c>
    </row>
    <row r="17" spans="1:24" ht="15.75" thickBot="1" x14ac:dyDescent="0.3">
      <c r="G17" s="11" t="s">
        <v>9</v>
      </c>
      <c r="H17" s="24">
        <f>SUM(B2*C2,B3*C3,B4*C4,B5*C5,B6*C6,B7*C7,B8*C8,B9*C9,B10*C10,B11*C11,B12*C12,B13*C13,B14*C14,K2*L2,K3*L3,K4*L4,K5*L5,K6*L6,K7*L7,K8*L8,K9*L9,K10*L10)/SUM(Table18[weight],Table211[weight])</f>
        <v>23.068502571024361</v>
      </c>
      <c r="I17" s="12" t="s">
        <v>49</v>
      </c>
      <c r="J17" s="2" t="s">
        <v>52</v>
      </c>
      <c r="K17" s="8">
        <v>36</v>
      </c>
      <c r="L17" s="6" t="s">
        <v>53</v>
      </c>
      <c r="M17" s="7"/>
      <c r="T17" s="36" t="s">
        <v>54</v>
      </c>
      <c r="U17" s="36"/>
      <c r="V17" s="36"/>
      <c r="W17" s="36"/>
      <c r="X17" s="36"/>
    </row>
    <row r="18" spans="1:24" ht="15.75" thickBot="1" x14ac:dyDescent="0.3">
      <c r="G18" s="22" t="s">
        <v>55</v>
      </c>
      <c r="H18" s="32">
        <f>SUM(B2*C2,B3*C3,B4*C4,B5*C5,B6*C6,B7*C7,B8*C8,B9*C9,B10*C10,B11*C11,B12*C12,B13*C13,B14*C14)/SUM(B2:B14)</f>
        <v>23.177027619465154</v>
      </c>
      <c r="I18" s="33" t="s">
        <v>49</v>
      </c>
      <c r="J18" s="28" t="s">
        <v>56</v>
      </c>
      <c r="K18" s="9">
        <v>8.9499999999999993</v>
      </c>
      <c r="L18" s="2" t="s">
        <v>57</v>
      </c>
      <c r="M18" s="8"/>
      <c r="T18" s="36" t="s">
        <v>14</v>
      </c>
      <c r="U18" s="36" t="s">
        <v>15</v>
      </c>
      <c r="V18" s="36" t="s">
        <v>58</v>
      </c>
      <c r="W18" s="36" t="s">
        <v>17</v>
      </c>
      <c r="X18" s="36" t="s">
        <v>19</v>
      </c>
    </row>
    <row r="19" spans="1:24" ht="15.75" thickBot="1" x14ac:dyDescent="0.3">
      <c r="G19" s="23" t="s">
        <v>59</v>
      </c>
      <c r="H19" s="2">
        <v>23</v>
      </c>
      <c r="I19" s="14" t="s">
        <v>49</v>
      </c>
      <c r="J19" s="30" t="s">
        <v>60</v>
      </c>
      <c r="K19" s="10">
        <v>5</v>
      </c>
      <c r="L19" s="3" t="s">
        <v>61</v>
      </c>
      <c r="M19" s="9"/>
      <c r="S19" t="s">
        <v>62</v>
      </c>
      <c r="T19" s="36">
        <v>12.5</v>
      </c>
      <c r="U19" s="36">
        <f>2/3*5+K26</f>
        <v>9.2083333333333321</v>
      </c>
      <c r="V19" s="36">
        <f>1.1875+5/3</f>
        <v>2.854166666666667</v>
      </c>
      <c r="W19" s="36">
        <f>Table6914[[#This Row],[A]]*((Table6914[[#This Row],[yT]])^2+(H16-N8)^2)+625/36</f>
        <v>478.95890046088499</v>
      </c>
      <c r="X19" s="36">
        <f>Table6914[[#This Row],[A]]*((Table6914[[#This Row],[xT]]-H17)^2+(H16-N8)^2)+625/36</f>
        <v>2778.434199664955</v>
      </c>
    </row>
    <row r="20" spans="1:24" ht="15.75" thickBot="1" x14ac:dyDescent="0.3">
      <c r="A20" t="s">
        <v>63</v>
      </c>
      <c r="B20" t="s">
        <v>64</v>
      </c>
      <c r="G20" s="22" t="s">
        <v>65</v>
      </c>
      <c r="H20" s="32">
        <f>SUM(Table18[Ixx],Table211[Ixx])</f>
        <v>31.025248565009626</v>
      </c>
      <c r="I20" s="33" t="s">
        <v>66</v>
      </c>
      <c r="J20" s="29" t="s">
        <v>67</v>
      </c>
      <c r="K20" s="8">
        <v>7</v>
      </c>
      <c r="L20" s="6" t="s">
        <v>68</v>
      </c>
      <c r="M20" s="7"/>
      <c r="O20" s="13"/>
      <c r="T20" s="36">
        <v>5</v>
      </c>
      <c r="U20" s="36">
        <f>0.5+5+K26</f>
        <v>11.375</v>
      </c>
      <c r="V20" s="36">
        <f>1.1875+2.5</f>
        <v>3.6875</v>
      </c>
      <c r="W20" s="36">
        <f>Table6914[[#This Row],[A]]*((Table6914[[#This Row],[yT]])^2+(H16-N8)^2)+5/12</f>
        <v>212.31272685102064</v>
      </c>
      <c r="X20" s="36">
        <f>Table6914[[#This Row],[A]]*((Table6914[[#This Row],[xT]]-H17)^2+(H16-N8)^2)+5^3/12</f>
        <v>838.01445749378729</v>
      </c>
    </row>
    <row r="21" spans="1:24" x14ac:dyDescent="0.25">
      <c r="G21" s="18" t="s">
        <v>69</v>
      </c>
      <c r="H21" s="31">
        <f>SUM(Table18[Iyy],Table211[Iyy])</f>
        <v>162.24718859744084</v>
      </c>
      <c r="I21" s="35" t="s">
        <v>66</v>
      </c>
      <c r="J21" s="29" t="s">
        <v>70</v>
      </c>
      <c r="K21" s="8">
        <v>0.25</v>
      </c>
      <c r="L21" s="2" t="s">
        <v>71</v>
      </c>
      <c r="M21" s="8">
        <v>5</v>
      </c>
      <c r="S21" t="s">
        <v>72</v>
      </c>
      <c r="T21" s="36">
        <v>12.5</v>
      </c>
      <c r="U21" s="36">
        <f>2/3*5+K26</f>
        <v>9.2083333333333321</v>
      </c>
      <c r="V21" s="36">
        <f>-5/3-1.1875</f>
        <v>-2.854166666666667</v>
      </c>
      <c r="W21" s="36">
        <f>Table6914[[#This Row],[A]]*((Table6914[[#This Row],[yT]])^2+(H16-N8)^2)+625/36</f>
        <v>478.95890046088499</v>
      </c>
      <c r="X21" s="36">
        <f>Table6914[[#This Row],[A]]*((Table6914[[#This Row],[xT]]-H17)^2+(H16-N8)^2)+625/36</f>
        <v>2778.434199664955</v>
      </c>
    </row>
    <row r="22" spans="1:24" ht="15.75" thickBot="1" x14ac:dyDescent="0.3">
      <c r="A22" t="s">
        <v>73</v>
      </c>
      <c r="B22">
        <v>1</v>
      </c>
      <c r="G22" s="18" t="s">
        <v>74</v>
      </c>
      <c r="H22" s="34">
        <f>SUM(Table18[Izz],Table211[Izz])</f>
        <v>878.02396228488089</v>
      </c>
      <c r="I22" s="35" t="s">
        <v>66</v>
      </c>
      <c r="J22" s="28" t="s">
        <v>75</v>
      </c>
      <c r="K22" s="9">
        <f>K13-M22-K20</f>
        <v>28.509999999999998</v>
      </c>
      <c r="L22" s="2" t="s">
        <v>76</v>
      </c>
      <c r="M22" s="8">
        <v>1</v>
      </c>
      <c r="T22" s="36">
        <v>5</v>
      </c>
      <c r="U22" s="36">
        <f>0.5+5+K26</f>
        <v>11.375</v>
      </c>
      <c r="V22" s="36">
        <f>-1.1875-2.5</f>
        <v>-3.6875</v>
      </c>
      <c r="W22" s="36">
        <f>Table6914[[#This Row],[A]]*((Table6914[[#This Row],[yT]])^2+(H16-N8)^2)+5/12</f>
        <v>212.31272685102064</v>
      </c>
      <c r="X22" s="36">
        <f>Table6914[[#This Row],[A]]*((Table6914[[#This Row],[xT]]-H17)^2+(H16-N8)^2)+5^3/12</f>
        <v>838.01445749378729</v>
      </c>
    </row>
    <row r="23" spans="1:24" ht="16.5" thickTop="1" thickBot="1" x14ac:dyDescent="0.3">
      <c r="C23" s="37" t="s">
        <v>77</v>
      </c>
      <c r="G23" s="18" t="s">
        <v>78</v>
      </c>
      <c r="H23" s="34"/>
      <c r="I23" s="35" t="s">
        <v>66</v>
      </c>
      <c r="J23" s="30" t="s">
        <v>79</v>
      </c>
      <c r="K23" s="10">
        <v>5.95</v>
      </c>
      <c r="L23" s="1" t="s">
        <v>80</v>
      </c>
      <c r="M23" s="10"/>
      <c r="T23" s="36">
        <f>(T19*U19+T20*U20+T21*U21+T22*U22)/(T19+T20+T21+T22)</f>
        <v>9.8273809523809526</v>
      </c>
      <c r="U23" s="36"/>
      <c r="V23" s="36"/>
      <c r="W23" s="36"/>
      <c r="X23" s="36"/>
    </row>
    <row r="24" spans="1:24" ht="16.5" thickTop="1" thickBot="1" x14ac:dyDescent="0.3">
      <c r="B24" s="37" t="s">
        <v>81</v>
      </c>
      <c r="C24" s="37" t="s">
        <v>82</v>
      </c>
      <c r="D24" s="37" t="s">
        <v>83</v>
      </c>
      <c r="G24" s="18" t="s">
        <v>84</v>
      </c>
      <c r="H24" s="34"/>
      <c r="I24" s="35" t="s">
        <v>66</v>
      </c>
      <c r="J24" s="29" t="s">
        <v>85</v>
      </c>
      <c r="K24" s="8">
        <v>9.9</v>
      </c>
      <c r="L24" s="2" t="s">
        <v>86</v>
      </c>
      <c r="M24" s="8"/>
      <c r="T24" s="36" t="s">
        <v>21</v>
      </c>
      <c r="U24" s="36"/>
      <c r="V24" s="36"/>
      <c r="W24" s="36"/>
      <c r="X24" s="36"/>
    </row>
    <row r="25" spans="1:24" ht="16.5" thickTop="1" thickBot="1" x14ac:dyDescent="0.3">
      <c r="C25" s="37" t="s">
        <v>87</v>
      </c>
      <c r="G25" s="23" t="s">
        <v>88</v>
      </c>
      <c r="H25" s="2"/>
      <c r="I25" s="14" t="s">
        <v>66</v>
      </c>
      <c r="J25" s="29" t="s">
        <v>89</v>
      </c>
      <c r="K25" s="8">
        <v>0.25</v>
      </c>
      <c r="L25" s="2" t="s">
        <v>90</v>
      </c>
      <c r="M25" s="8"/>
      <c r="T25" s="36" t="s">
        <v>14</v>
      </c>
      <c r="U25" s="36" t="s">
        <v>15</v>
      </c>
      <c r="V25" s="36" t="s">
        <v>58</v>
      </c>
      <c r="W25" s="36" t="s">
        <v>17</v>
      </c>
      <c r="X25" s="36" t="s">
        <v>19</v>
      </c>
    </row>
    <row r="26" spans="1:24" ht="16.5" thickTop="1" thickBot="1" x14ac:dyDescent="0.3">
      <c r="B26">
        <v>2</v>
      </c>
      <c r="G26" s="25" t="s">
        <v>91</v>
      </c>
      <c r="H26" s="6">
        <f>SUM(Table18[weight],Table211[weight])</f>
        <v>3.4177158836082171</v>
      </c>
      <c r="I26" s="12" t="s">
        <v>92</v>
      </c>
      <c r="J26" s="4" t="s">
        <v>75</v>
      </c>
      <c r="K26" s="9">
        <f>3+2.875</f>
        <v>5.875</v>
      </c>
      <c r="L26" s="3" t="s">
        <v>75</v>
      </c>
      <c r="M26" s="9"/>
      <c r="T26" s="36">
        <f>17.84*18/2</f>
        <v>160.56</v>
      </c>
      <c r="U26" s="36">
        <f>K18+17.84*2/3</f>
        <v>20.843333333333334</v>
      </c>
      <c r="V26" s="36">
        <f>18/3</f>
        <v>6</v>
      </c>
      <c r="W26" s="36">
        <f>Table915[[#This Row],[A]]*((Table915[[#This Row],[yT]])^2+(H16-N3)^2)+(18^3)*17.84/36</f>
        <v>8834.0777152209212</v>
      </c>
      <c r="X26" s="36">
        <f>Table915[[#This Row],[A]]*((Table915[[#This Row],[xT]]-H17)^2+(H16-N3)^2)+18*17.84^3/36</f>
        <v>3797.7601407959205</v>
      </c>
    </row>
    <row r="27" spans="1:24" ht="16.5" thickTop="1" thickBot="1" x14ac:dyDescent="0.3">
      <c r="C27" s="37" t="s">
        <v>81</v>
      </c>
      <c r="T27" s="36">
        <f>18*3.82/2</f>
        <v>34.379999999999995</v>
      </c>
      <c r="U27" s="36">
        <f>K18+17.84+3.82/3</f>
        <v>28.063333333333333</v>
      </c>
      <c r="V27" s="36">
        <f>18/3</f>
        <v>6</v>
      </c>
      <c r="W27" s="36">
        <f>Table915[[#This Row],[A]]*((Table915[[#This Row],[yT]])^2+(H16-N3)^2)+(18^3)*3.82/36</f>
        <v>1891.6018426089638</v>
      </c>
      <c r="X27" s="36">
        <f>Table915[[#This Row],[A]]*((Table915[[#This Row],[xT]]-H17)^2+(H16-N3)^2)+18*3.82^3/36</f>
        <v>920.67706135939761</v>
      </c>
    </row>
    <row r="28" spans="1:24" ht="16.5" thickTop="1" thickBot="1" x14ac:dyDescent="0.3">
      <c r="C28" s="37" t="s">
        <v>77</v>
      </c>
      <c r="T28" s="36">
        <f>18*3.82/2</f>
        <v>34.379999999999995</v>
      </c>
      <c r="U28" s="36">
        <f>U27</f>
        <v>28.063333333333333</v>
      </c>
      <c r="V28" s="36">
        <f>-18/3</f>
        <v>-6</v>
      </c>
      <c r="W28" s="36">
        <f>Table915[[#This Row],[A]]*((Table915[[#This Row],[yT]])^2+(H16-N3)^2)+(18^3)*3.82/36</f>
        <v>1891.6018426089638</v>
      </c>
      <c r="X28" s="36">
        <f>Table915[[#This Row],[A]]*((Table915[[#This Row],[xT]]-H17)^2+(H16-N3)^2)+18*3.82^3/36</f>
        <v>920.67706135939761</v>
      </c>
    </row>
    <row r="29" spans="1:24" ht="16.5" thickTop="1" thickBot="1" x14ac:dyDescent="0.3">
      <c r="C29" s="37" t="s">
        <v>82</v>
      </c>
      <c r="J29">
        <f>(17.84*18+18*3.82)*0.25*P13</f>
        <v>0.366640625</v>
      </c>
      <c r="T29" s="36">
        <f>17.84*18/2</f>
        <v>160.56</v>
      </c>
      <c r="U29" s="36">
        <f>U26</f>
        <v>20.843333333333334</v>
      </c>
      <c r="V29" s="36">
        <f>-18/3</f>
        <v>-6</v>
      </c>
      <c r="W29" s="36">
        <f>Table915[[#This Row],[A]]*((Table915[[#This Row],[yT]])^2+(H16-N3)^2)+(18^3)*17.84/36</f>
        <v>8834.0777152209212</v>
      </c>
      <c r="X29" s="36">
        <f>Table915[[#This Row],[A]]*((Table915[[#This Row],[xT]]-H17)^2+(H16-N3)^2)+18*17.84^3/36</f>
        <v>3797.7601407959205</v>
      </c>
    </row>
    <row r="30" spans="1:24" ht="16.5" thickTop="1" thickBot="1" x14ac:dyDescent="0.3">
      <c r="C30" s="37" t="s">
        <v>87</v>
      </c>
    </row>
    <row r="31" spans="1:24" ht="16.5" thickTop="1" thickBot="1" x14ac:dyDescent="0.3">
      <c r="C31" s="37" t="s">
        <v>83</v>
      </c>
    </row>
    <row r="32" spans="1:24" ht="16.5" thickTop="1" thickBot="1" x14ac:dyDescent="0.3">
      <c r="B32">
        <v>3</v>
      </c>
    </row>
    <row r="33" spans="2:6" ht="16.5" thickTop="1" thickBot="1" x14ac:dyDescent="0.3">
      <c r="B33" s="37" t="s">
        <v>81</v>
      </c>
      <c r="C33" s="37" t="s">
        <v>77</v>
      </c>
      <c r="D33" s="37" t="s">
        <v>82</v>
      </c>
      <c r="E33" s="37" t="s">
        <v>87</v>
      </c>
      <c r="F33" s="37" t="s">
        <v>83</v>
      </c>
    </row>
    <row r="34" spans="2:6" ht="16.5" thickTop="1" thickBot="1" x14ac:dyDescent="0.3">
      <c r="B34">
        <v>4</v>
      </c>
    </row>
    <row r="35" spans="2:6" ht="16.5" thickTop="1" thickBot="1" x14ac:dyDescent="0.3">
      <c r="C35" s="37" t="s">
        <v>81</v>
      </c>
    </row>
    <row r="36" spans="2:6" ht="16.5" thickTop="1" thickBot="1" x14ac:dyDescent="0.3">
      <c r="B36" s="37" t="s">
        <v>77</v>
      </c>
      <c r="C36" s="37" t="s">
        <v>82</v>
      </c>
      <c r="D36" s="37" t="s">
        <v>87</v>
      </c>
    </row>
    <row r="37" spans="2:6" ht="16.5" thickTop="1" thickBot="1" x14ac:dyDescent="0.3">
      <c r="C37" s="37" t="s">
        <v>83</v>
      </c>
    </row>
    <row r="38" spans="2:6" ht="15.75" thickTop="1" x14ac:dyDescent="0.25"/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38"/>
  <sheetViews>
    <sheetView topLeftCell="I1" workbookViewId="0">
      <selection activeCell="P25" sqref="P25"/>
    </sheetView>
  </sheetViews>
  <sheetFormatPr defaultColWidth="8.85546875" defaultRowHeight="15" x14ac:dyDescent="0.25"/>
  <cols>
    <col min="1" max="1" width="14.42578125" customWidth="1"/>
    <col min="6" max="6" width="9" customWidth="1"/>
    <col min="7" max="7" width="8.42578125" customWidth="1"/>
    <col min="10" max="10" width="13.140625" customWidth="1"/>
    <col min="12" max="12" width="11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</v>
      </c>
      <c r="L1" t="s">
        <v>9</v>
      </c>
      <c r="M1" t="s">
        <v>10</v>
      </c>
      <c r="N1" t="s">
        <v>11</v>
      </c>
      <c r="O1" t="s">
        <v>5</v>
      </c>
      <c r="P1" t="s">
        <v>6</v>
      </c>
      <c r="Q1" t="s">
        <v>7</v>
      </c>
      <c r="T1" s="36" t="s">
        <v>12</v>
      </c>
      <c r="U1" s="36"/>
      <c r="V1" s="36"/>
      <c r="W1" s="36"/>
      <c r="X1" s="36"/>
      <c r="Y1" s="36"/>
    </row>
    <row r="2" spans="1:25" x14ac:dyDescent="0.25">
      <c r="A2" t="s">
        <v>94</v>
      </c>
      <c r="B2">
        <f>6.7/16</f>
        <v>0.41875000000000001</v>
      </c>
      <c r="C2">
        <v>31</v>
      </c>
      <c r="D2">
        <v>0</v>
      </c>
      <c r="E2">
        <f>2</f>
        <v>2</v>
      </c>
      <c r="F2">
        <f>Table184[[#This Row],[weight]]*(Table184[[#This Row],[ypos]]^2+(Table184[[#This Row],[zpos]]-H16)^2)</f>
        <v>6.1561409899477747E-2</v>
      </c>
      <c r="G2">
        <f>Table184[[#This Row],[weight]]*((Table184[[#This Row],[xpos]]-H17)^2+(Table184[[#This Row],[zpos]]-H16)^2)</f>
        <v>70.253544028415121</v>
      </c>
      <c r="H2">
        <f>Table184[[#This Row],[weight]]*(Table184[[#This Row],[xpos]]-H17)^2</f>
        <v>70.191982618515638</v>
      </c>
      <c r="J2" t="s">
        <v>12</v>
      </c>
      <c r="K2">
        <f>K14*K13*K15*P13</f>
        <v>0.12006944444444445</v>
      </c>
      <c r="L2">
        <f>K13/2</f>
        <v>15.96</v>
      </c>
      <c r="M2">
        <f>0</f>
        <v>0</v>
      </c>
      <c r="N2">
        <f>K14/2</f>
        <v>2</v>
      </c>
      <c r="O2">
        <f>Table2115[[#This Row],[weight]]*(Table2115[[#This Row],[Zcg]]-H16)^2+K13*K14^3/12*K15*P13</f>
        <v>0.17774428043939144</v>
      </c>
      <c r="P2">
        <f>Table2115[[#This Row],[weight]]*(((Table2115[[#This Row],[Zcg]]-H16)^2+(Table2115[[#This Row],[Xcg]]-H17)^2)+K15*K14^3/12)</f>
        <v>0.70376837592312635</v>
      </c>
      <c r="Q2">
        <f>Table2115[[#This Row],[weight]]*(Table2115[[#This Row],[Xcg]]-H17)^2+K13^3*K14/12*K15*P13</f>
        <v>10.720784428817067</v>
      </c>
      <c r="T2" s="36" t="s">
        <v>14</v>
      </c>
      <c r="U2" s="36" t="s">
        <v>15</v>
      </c>
      <c r="V2" s="36" t="s">
        <v>16</v>
      </c>
      <c r="W2" s="36" t="s">
        <v>17</v>
      </c>
      <c r="X2" s="36" t="s">
        <v>18</v>
      </c>
      <c r="Y2" s="36" t="s">
        <v>19</v>
      </c>
    </row>
    <row r="3" spans="1:25" x14ac:dyDescent="0.25">
      <c r="A3" t="s">
        <v>20</v>
      </c>
      <c r="B3">
        <f>8.68/16</f>
        <v>0.54249999999999998</v>
      </c>
      <c r="C3">
        <v>12</v>
      </c>
      <c r="D3">
        <v>0</v>
      </c>
      <c r="E3">
        <v>2</v>
      </c>
      <c r="F3">
        <f>Table184[[#This Row],[weight]]*(Table184[[#This Row],[ypos]]^2+(Table184[[#This Row],[zpos]]-H16)^2)</f>
        <v>7.9754184765293556E-2</v>
      </c>
      <c r="G3">
        <f>Table184[[#This Row],[weight]]*((Table184[[#This Row],[xpos]]-H17)^2+(Table184[[#This Row],[zpos]]-H16)^2)</f>
        <v>19.956856913962518</v>
      </c>
      <c r="H3">
        <f>Table184[[#This Row],[weight]]*(Table184[[#This Row],[xpos]]^2+Table184[[#This Row],[ypos]]^2)</f>
        <v>78.12</v>
      </c>
      <c r="J3" t="s">
        <v>21</v>
      </c>
      <c r="K3">
        <f>0.375</f>
        <v>0.375</v>
      </c>
      <c r="L3">
        <f>SUM(T26*U26,T27*U27,T28*U28,T29*U29)/SUM(Table91519[A])</f>
        <v>23.303333333333335</v>
      </c>
      <c r="M3">
        <v>0</v>
      </c>
      <c r="N3">
        <v>0.125</v>
      </c>
      <c r="O3">
        <f>SUM(Table91519[Ix])*K16*P13</f>
        <v>20.759817992225557</v>
      </c>
      <c r="P3">
        <f>SUM(Table91519[Iy])*K16*P13</f>
        <v>19.35215322890749</v>
      </c>
      <c r="Q3">
        <v>34.130000000000003</v>
      </c>
      <c r="T3" s="36"/>
      <c r="U3" s="36"/>
      <c r="V3" s="36"/>
      <c r="W3" s="36">
        <f>Table51216[[#This Row],[A]]*(Table51216[[#This Row],[zT]]-H16)^2+124.587</f>
        <v>124.587</v>
      </c>
      <c r="X3" s="36">
        <f>Table51216[[#This Row],[A]]*(Table51216[[#This Row],[xT]]-H17)^2+4249.1</f>
        <v>4249.1000000000004</v>
      </c>
      <c r="Y3" s="36" t="e">
        <f>Table51216[[#This Row],[A]]*((Table51216[[#This Row],[zT]]-U11)^2+(Table51216[[#This Row],[xT]]-H17)^2)</f>
        <v>#DIV/0!</v>
      </c>
    </row>
    <row r="4" spans="1:25" x14ac:dyDescent="0.25">
      <c r="A4" t="s">
        <v>22</v>
      </c>
      <c r="B4">
        <v>0</v>
      </c>
      <c r="C4">
        <f>C5-3</f>
        <v>15</v>
      </c>
      <c r="D4">
        <v>0</v>
      </c>
      <c r="E4">
        <v>0.75</v>
      </c>
      <c r="F4">
        <f>Table184[[#This Row],[weight]]*(Table184[[#This Row],[ypos]]^2+(Table184[[#This Row],[zpos]]-H16)^2)</f>
        <v>0</v>
      </c>
      <c r="G4">
        <f>Table184[[#This Row],[weight]]*((Table184[[#This Row],[xpos]]-H17)^2+(Table184[[#This Row],[zpos]]-H16)^2)</f>
        <v>0</v>
      </c>
      <c r="H4">
        <f>Table184[[#This Row],[weight]]*((Table184[[#This Row],[xpos]]-H17)^2+Table184[[#This Row],[ypos]]^2)</f>
        <v>0</v>
      </c>
      <c r="J4" t="s">
        <v>23</v>
      </c>
      <c r="K4">
        <f>((K20-4.11)*K19/2+K19*4.1)*K21*P13</f>
        <v>2.6750292968749995E-2</v>
      </c>
      <c r="L4">
        <f>(T14*U14+T15*U15)/(T14+T15)</f>
        <v>29.079852985298533</v>
      </c>
      <c r="M4">
        <v>0</v>
      </c>
      <c r="N4">
        <f>(T14*V14+T15*V15)/(T14+T15)</f>
        <v>6.3425922592259223</v>
      </c>
      <c r="O4">
        <f>SUM(Table61317[Ix])*K21*P13</f>
        <v>0.65599649811644078</v>
      </c>
      <c r="P4">
        <f>SUM(Table61317[Iy])*K21*P13</f>
        <v>3.9077336197996786</v>
      </c>
      <c r="Q4">
        <f>SUM(Table61317[Iz])*K21*P13</f>
        <v>3.3365576587166577</v>
      </c>
      <c r="T4" s="36"/>
      <c r="U4" s="36"/>
      <c r="V4" s="36"/>
      <c r="W4" s="36">
        <f>Table51216[[#This Row],[A]]*(Table51216[[#This Row],[zT]]-H16)^2+14.90625</f>
        <v>14.90625</v>
      </c>
      <c r="X4" s="36">
        <f>Table51216[[#This Row],[A]]*(Table51216[[#This Row],[xT]]-H17)^2+72.6938</f>
        <v>72.693799999999996</v>
      </c>
      <c r="Y4" s="36" t="e">
        <f>Table51216[[#This Row],[A]]*((Table51216[[#This Row],[zT]]-U11)^2+(Table51216[[#This Row],[xT]]-H17)^2)</f>
        <v>#DIV/0!</v>
      </c>
    </row>
    <row r="5" spans="1:25" x14ac:dyDescent="0.25">
      <c r="A5" t="s">
        <v>24</v>
      </c>
      <c r="B5">
        <f>B4</f>
        <v>0</v>
      </c>
      <c r="C5">
        <v>18</v>
      </c>
      <c r="D5">
        <v>0</v>
      </c>
      <c r="E5">
        <f>E4</f>
        <v>0.75</v>
      </c>
      <c r="F5">
        <f>Table184[[#This Row],[weight]]*(Table184[[#This Row],[ypos]]^2+(Table184[[#This Row],[zpos]]-H16)^2)</f>
        <v>0</v>
      </c>
      <c r="G5">
        <f>Table184[[#This Row],[weight]]*((Table184[[#This Row],[xpos]]-H17)^2+(Table184[[#This Row],[zpos]]-H16)^2)</f>
        <v>0</v>
      </c>
      <c r="H5">
        <f>Table184[[#This Row],[weight]]*((Table184[[#This Row],[xpos]]-H17)^2+Table184[[#This Row],[ypos]]^2)</f>
        <v>0</v>
      </c>
      <c r="J5" t="s">
        <v>93</v>
      </c>
      <c r="K5">
        <f>0.94/16</f>
        <v>5.8749999999999997E-2</v>
      </c>
      <c r="L5">
        <f>2*K23/3+K26</f>
        <v>2.9166666666666665</v>
      </c>
      <c r="M5">
        <v>0</v>
      </c>
      <c r="N5">
        <v>4.125</v>
      </c>
      <c r="O5">
        <f>SUM(Table691418[Ix])*K25*P13*2</f>
        <v>0.46064405391476215</v>
      </c>
      <c r="P5">
        <f>SUM(Table691418[Iy])*K25*P13*2</f>
        <v>7.8266259272586227</v>
      </c>
      <c r="Q5">
        <f>SUM(Table691418[Iz])*2*P13*K25</f>
        <v>7.8451684465886489</v>
      </c>
      <c r="T5" s="36"/>
      <c r="U5" s="36"/>
      <c r="V5" s="36"/>
      <c r="W5" s="36">
        <f>Table51216[[#This Row],[A]]*(Table51216[[#This Row],[zT]]-H16)^2+0.46794</f>
        <v>0.46794000000000002</v>
      </c>
      <c r="X5" s="36" t="e">
        <f>Table51216[[#This Row],[A]]*(Table51216[[#This Row],[xT]]-T11)^2+2.4754</f>
        <v>#DIV/0!</v>
      </c>
      <c r="Y5" s="36" t="e">
        <f>Table51216[[#This Row],[A]]*((Table51216[[#This Row],[zT]]-U11)^2+(Table51216[[#This Row],[xT]]-H17)^2)</f>
        <v>#DIV/0!</v>
      </c>
    </row>
    <row r="6" spans="1:25" x14ac:dyDescent="0.25">
      <c r="A6" t="s">
        <v>26</v>
      </c>
      <c r="B6">
        <f>B4</f>
        <v>0</v>
      </c>
      <c r="C6">
        <f>C5+3</f>
        <v>21</v>
      </c>
      <c r="D6">
        <v>0</v>
      </c>
      <c r="E6">
        <f>E4</f>
        <v>0.75</v>
      </c>
      <c r="F6">
        <f>Table184[[#This Row],[weight]]*(Table184[[#This Row],[ypos]]^2+(Table184[[#This Row],[zpos]]-H16)^2)</f>
        <v>0</v>
      </c>
      <c r="G6">
        <f>Table184[[#This Row],[weight]]*((Table184[[#This Row],[xpos]]-H17)^2+(Table184[[#This Row],[zpos]]-H16)^2)</f>
        <v>0</v>
      </c>
      <c r="H6">
        <f>Table184[[#This Row],[weight]]*((Table184[[#This Row],[xpos]]-H17)^2+Table184[[#This Row],[ypos]]^2)</f>
        <v>0</v>
      </c>
      <c r="T6" s="36"/>
      <c r="U6" s="36"/>
      <c r="V6" s="36"/>
      <c r="W6" s="36">
        <f>Table51216[[#This Row],[A]]*(Table51216[[#This Row],[zT]]-H16)^2+9.5/36</f>
        <v>0.2638888888888889</v>
      </c>
      <c r="X6" s="36">
        <f>Table51216[[#This Row],[A]]*(H17-Table51216[[#This Row],[xT]])^2+23.81597</f>
        <v>23.81597</v>
      </c>
      <c r="Y6" s="36" t="e">
        <f>Table51216[[#This Row],[A]]*((Table51216[[#This Row],[zT]]-U11)^2+(Table51216[[#This Row],[xT]]-H17)^2)</f>
        <v>#DIV/0!</v>
      </c>
    </row>
    <row r="7" spans="1:25" x14ac:dyDescent="0.25">
      <c r="A7" t="s">
        <v>28</v>
      </c>
      <c r="B7">
        <v>0</v>
      </c>
      <c r="C7">
        <f>C5</f>
        <v>18</v>
      </c>
      <c r="D7">
        <v>-3</v>
      </c>
      <c r="E7">
        <f>E4</f>
        <v>0.75</v>
      </c>
      <c r="F7">
        <f>Table184[[#This Row],[weight]]*(Table184[[#This Row],[ypos]]^2+(Table184[[#This Row],[zpos]]-H16)^2)</f>
        <v>0</v>
      </c>
      <c r="G7">
        <f>Table184[[#This Row],[weight]]*((Table184[[#This Row],[xpos]]-H17)^2+(Table184[[#This Row],[zpos]]-H16)^2)</f>
        <v>0</v>
      </c>
      <c r="H7">
        <f>Table184[[#This Row],[weight]]*((Table184[[#This Row],[xpos]]-H17)^2+Table184[[#This Row],[ypos]]^2)</f>
        <v>0</v>
      </c>
      <c r="J7" t="s">
        <v>95</v>
      </c>
      <c r="K7">
        <f>4/16</f>
        <v>0.25</v>
      </c>
      <c r="L7">
        <v>1</v>
      </c>
      <c r="N7">
        <v>2</v>
      </c>
      <c r="T7" s="36"/>
      <c r="U7" s="36"/>
      <c r="V7" s="36"/>
      <c r="W7" s="36">
        <f>Table51216[[#This Row],[A]]*(Table51216[[#This Row],[zT]]-H16)^2+0.428</f>
        <v>0.42799999999999999</v>
      </c>
      <c r="X7" s="36">
        <f>Table51216[[#This Row],[A]]*(H17-Table51216[[#This Row],[xT]])^2+1.15518</f>
        <v>1.1551800000000001</v>
      </c>
      <c r="Y7" s="36" t="e">
        <f>Table51216[[#This Row],[A]]*((Table51216[[#This Row],[zT]]-U11)^2+(Table51216[[#This Row],[xT]]-H17)^2)</f>
        <v>#DIV/0!</v>
      </c>
    </row>
    <row r="8" spans="1:25" x14ac:dyDescent="0.25">
      <c r="A8" t="s">
        <v>30</v>
      </c>
      <c r="B8">
        <f>B7</f>
        <v>0</v>
      </c>
      <c r="C8">
        <f>C5</f>
        <v>18</v>
      </c>
      <c r="D8">
        <v>3</v>
      </c>
      <c r="E8">
        <f>E4</f>
        <v>0.75</v>
      </c>
      <c r="F8">
        <f>Table184[[#This Row],[weight]]*(Table184[[#This Row],[ypos]]^2+(Table184[[#This Row],[zpos]]-H16)^2)</f>
        <v>0</v>
      </c>
      <c r="G8">
        <f>Table184[[#This Row],[weight]]*((Table184[[#This Row],[xpos]]-H17)^2+(Table184[[#This Row],[zpos]]-H16)^2)</f>
        <v>0</v>
      </c>
      <c r="H8">
        <f>Table184[[#This Row],[weight]]*((Table184[[#This Row],[xpos]]-H17)^2+Table184[[#This Row],[ypos]]^2)</f>
        <v>0</v>
      </c>
      <c r="T8" s="36"/>
      <c r="U8" s="36"/>
      <c r="V8" s="36"/>
      <c r="W8" s="36">
        <f>Table51216[[#This Row],[A]]*(Table51216[[#This Row],[zT]]-H16)^2+6.489</f>
        <v>6.4889999999999999</v>
      </c>
      <c r="X8" s="36">
        <f>Table51216[[#This Row],[A]]*(Table51216[[#This Row],[xT]]-H17)^2+5.40301</f>
        <v>5.4030100000000001</v>
      </c>
      <c r="Y8" s="36" t="e">
        <f>Table51216[[#This Row],[A]]*((Table51216[[#This Row],[zT]]-U11)^2+(Table51216[[#This Row],[xT]]-H17)^2)</f>
        <v>#DIV/0!</v>
      </c>
    </row>
    <row r="9" spans="1:25" x14ac:dyDescent="0.25">
      <c r="A9" t="s">
        <v>32</v>
      </c>
      <c r="B9">
        <v>0.01</v>
      </c>
      <c r="C9">
        <v>4</v>
      </c>
      <c r="E9">
        <v>1.25</v>
      </c>
      <c r="F9">
        <f>Table184[[#This Row],[weight]]*(Table184[[#This Row],[ypos]]^2+(Table184[[#This Row],[zpos]]-H16)^2)</f>
        <v>1.3437953327832756E-3</v>
      </c>
      <c r="G9">
        <f>Table184[[#This Row],[weight]]*((Table184[[#This Row],[xpos]]-H17)^2+(Table184[[#This Row],[zpos]]-H16)^2)</f>
        <v>1.9762353734377065</v>
      </c>
      <c r="H9">
        <f>Table184[[#This Row],[weight]]*((Table184[[#This Row],[xpos]]-H17)^2+Table184[[#This Row],[ypos]]^2)</f>
        <v>1.9748915781049232</v>
      </c>
      <c r="T9" s="36"/>
      <c r="U9" s="36"/>
      <c r="V9" s="36"/>
      <c r="W9" s="36"/>
      <c r="X9" s="36"/>
      <c r="Y9" s="36"/>
    </row>
    <row r="10" spans="1:25" x14ac:dyDescent="0.25">
      <c r="A10" t="s">
        <v>34</v>
      </c>
      <c r="B10">
        <f>B9</f>
        <v>0.01</v>
      </c>
      <c r="C10">
        <v>27</v>
      </c>
      <c r="E10">
        <v>1.25</v>
      </c>
      <c r="F10">
        <f>Table184[[#This Row],[weight]]*(Table184[[#This Row],[ypos]]^2+(Table184[[#This Row],[zpos]]-H16)^2)</f>
        <v>1.3437953327832756E-3</v>
      </c>
      <c r="G10">
        <f>Table184[[#This Row],[weight]]*((Table184[[#This Row],[xpos]]-H17)^2+(Table184[[#This Row],[zpos]]-H16)^2)</f>
        <v>0.80181693148175781</v>
      </c>
      <c r="H10">
        <f>Table184[[#This Row],[weight]]*((Table184[[#This Row],[xpos]]-H17)^2+Table184[[#This Row],[ypos]]^2)</f>
        <v>0.80047313614897453</v>
      </c>
      <c r="T10" s="36" t="s">
        <v>36</v>
      </c>
      <c r="U10" s="36" t="s">
        <v>37</v>
      </c>
      <c r="V10" s="36"/>
      <c r="W10" s="36"/>
      <c r="X10" s="36"/>
      <c r="Y10" s="36"/>
    </row>
    <row r="11" spans="1:25" x14ac:dyDescent="0.25">
      <c r="A11" t="s">
        <v>96</v>
      </c>
      <c r="B11">
        <f>0.49/16</f>
        <v>3.0624999999999999E-2</v>
      </c>
      <c r="C11">
        <v>18</v>
      </c>
      <c r="D11">
        <v>0</v>
      </c>
      <c r="E11">
        <v>0.5</v>
      </c>
      <c r="F11">
        <f>Table184[[#This Row],[weight]]*(Table184[[#This Row],[ypos]]^2+(Table184[[#This Row],[zpos]]-H16)^2)</f>
        <v>3.8181619047514867E-2</v>
      </c>
      <c r="G11">
        <f>Table184[[#This Row],[weight]]*((Table184[[#This Row],[xpos]]-H17)^2+(Table184[[#This Row],[zpos]]-H16)^2)</f>
        <v>3.8267916173785672E-2</v>
      </c>
      <c r="H11">
        <f>Table184[[#This Row],[weight]]*((Table184[[#This Row],[xpos]]-H17)^2+Table184[[#This Row],[ypos]]^2)</f>
        <v>8.6297126270811302E-5</v>
      </c>
      <c r="T11" s="36" t="e">
        <f>SUM(T3*U3+T4*U4+T5*U5+T6*U6+T7*U7+T8*U8)/SUM(Table51216[A])</f>
        <v>#DIV/0!</v>
      </c>
      <c r="U11" s="36" t="e">
        <f>SUM(T3*V3+T4*V4+T5*V5+T6*V6+T7*V7+T8*V8)/SUM(Table51216[A])</f>
        <v>#DIV/0!</v>
      </c>
      <c r="V11" s="36"/>
      <c r="W11" s="36"/>
      <c r="X11" s="36"/>
      <c r="Y11" s="36"/>
    </row>
    <row r="12" spans="1:25" ht="15.75" thickBot="1" x14ac:dyDescent="0.3">
      <c r="F12">
        <f>Table184[[#This Row],[weight]]*(Table184[[#This Row],[ypos]]^2+(Table184[[#This Row],[zpos]]-H16)^2)</f>
        <v>0</v>
      </c>
      <c r="G12">
        <f>Table184[[#This Row],[weight]]*((Table184[[#This Row],[xpos]]-H17)^2+(Table184[[#This Row],[zpos]]-H16)^2)</f>
        <v>0</v>
      </c>
      <c r="H12">
        <f>Table184[[#This Row],[weight]]*((Table184[[#This Row],[xpos]]-H17)^2+Table184[[#This Row],[ypos]]^2)</f>
        <v>0</v>
      </c>
      <c r="S12" t="s">
        <v>97</v>
      </c>
      <c r="T12" s="36" t="s">
        <v>23</v>
      </c>
      <c r="U12" s="36"/>
      <c r="V12" s="36"/>
      <c r="W12" s="36"/>
      <c r="X12" s="36"/>
      <c r="Y12" s="36"/>
    </row>
    <row r="13" spans="1:25" ht="15.75" thickBot="1" x14ac:dyDescent="0.3">
      <c r="A13" t="s">
        <v>39</v>
      </c>
      <c r="B13" s="47">
        <f>2/16</f>
        <v>0.125</v>
      </c>
      <c r="C13">
        <v>20.5</v>
      </c>
      <c r="F13">
        <f>Table184[[#This Row],[weight]]*(Table184[[#This Row],[ypos]]^2+(Table184[[#This Row],[zpos]]-H16)^2)</f>
        <v>0.3266656106452745</v>
      </c>
      <c r="G13">
        <f>Table184[[#This Row],[weight]]*((Table184[[#This Row],[xpos]]-H17)^2+(Table184[[#This Row],[zpos]]-H16)^2)</f>
        <v>1.0750906128953182</v>
      </c>
      <c r="H13">
        <f>Table184[[#This Row],[weight]]*((Table184[[#This Row],[xpos]]-H17)^2+Table184[[#This Row],[ypos]]^2)</f>
        <v>0.74842500225004371</v>
      </c>
      <c r="J13" s="1" t="s">
        <v>40</v>
      </c>
      <c r="K13" s="10">
        <v>31.92</v>
      </c>
      <c r="M13" s="6" t="s">
        <v>41</v>
      </c>
      <c r="N13" s="20"/>
      <c r="O13" s="19" t="s">
        <v>42</v>
      </c>
      <c r="P13" s="21">
        <f>13/3456</f>
        <v>3.7615740740740739E-3</v>
      </c>
      <c r="Q13" s="16" t="s">
        <v>43</v>
      </c>
      <c r="T13" s="36" t="s">
        <v>14</v>
      </c>
      <c r="U13" s="36" t="s">
        <v>15</v>
      </c>
      <c r="V13" s="36" t="s">
        <v>16</v>
      </c>
      <c r="W13" s="36" t="s">
        <v>17</v>
      </c>
      <c r="X13" s="36" t="s">
        <v>18</v>
      </c>
      <c r="Y13" s="36" t="s">
        <v>19</v>
      </c>
    </row>
    <row r="14" spans="1:25" x14ac:dyDescent="0.25">
      <c r="A14" t="s">
        <v>44</v>
      </c>
      <c r="B14">
        <f>0.78/16</f>
        <v>4.8750000000000002E-2</v>
      </c>
      <c r="C14">
        <f>K13+1.5</f>
        <v>33.42</v>
      </c>
      <c r="D14">
        <v>0</v>
      </c>
      <c r="E14">
        <f>E2</f>
        <v>2</v>
      </c>
      <c r="F14">
        <f>Table184[[#This Row],[weight]]*(Table184[[#This Row],[ypos]]^2+(Table184[[#This Row],[zpos]]-H16)^2)</f>
        <v>7.1668507047153197E-3</v>
      </c>
      <c r="G14">
        <f>Table184[[#This Row],[weight]]*((Table184[[#This Row],[xpos]]-H17)^2+(Table184[[#This Row],[zpos]]-H16)^2)</f>
        <v>11.519095229121564</v>
      </c>
      <c r="H14">
        <f>Table184[[#This Row],[weight]]*((Table184[[#This Row],[xpos]]-H17)^2+Table184[[#This Row],[ypos]]^2)</f>
        <v>11.511928378416849</v>
      </c>
      <c r="J14" s="2" t="s">
        <v>45</v>
      </c>
      <c r="K14" s="8">
        <v>4</v>
      </c>
      <c r="T14" s="36">
        <f>K19/2*(K20-4.11)</f>
        <v>7.4128499999999988</v>
      </c>
      <c r="U14" s="36">
        <f>2/3*(K20-4.11)+K22</f>
        <v>26.846666666666668</v>
      </c>
      <c r="V14" s="36">
        <f>1/3*K19+K14</f>
        <v>5.71</v>
      </c>
      <c r="W14" s="36">
        <f>Table61317[[#This Row],[A]]*(Table61317[[#This Row],[zT]]-H16)^2+(K20-4.11)*K19^3/36</f>
        <v>135.04843189125265</v>
      </c>
      <c r="X14" s="36">
        <f>Table61317[[#This Row],[A]]*(Table61317[[#This Row],[xT]]-H17)^2+(K20-4.11)^3*K19/36</f>
        <v>576.65382415099475</v>
      </c>
      <c r="Y14" s="36">
        <f>Table61317[[#This Row],[A]]*((Table61317[[#This Row],[zT]]-H16)^2+(Table61317[[#This Row],[xT]]-H17)^2)</f>
        <v>697.42469511724732</v>
      </c>
    </row>
    <row r="15" spans="1:25" ht="15.75" thickBot="1" x14ac:dyDescent="0.3">
      <c r="A15" t="s">
        <v>46</v>
      </c>
      <c r="G15" s="27"/>
      <c r="H15" s="27"/>
      <c r="I15" s="27"/>
      <c r="J15" s="3" t="s">
        <v>47</v>
      </c>
      <c r="K15" s="17">
        <v>0.25</v>
      </c>
      <c r="T15" s="36">
        <f>4.11*K19</f>
        <v>21.084300000000002</v>
      </c>
      <c r="U15" s="36">
        <f>K22+K20-4.11/2</f>
        <v>29.865000000000002</v>
      </c>
      <c r="V15" s="36">
        <f>K19/2+K14</f>
        <v>6.5649999999999995</v>
      </c>
      <c r="W15" s="36">
        <f>Table61317[[#This Row],[A]]*(Table61317[[#This Row],[zT]]-H16)^2+(4.11*K19^3)/12</f>
        <v>562.5281519519533</v>
      </c>
      <c r="X15" s="36">
        <f>Table61317[[#This Row],[A]]*(Table61317[[#This Row],[xT]]-H17)^2++(4.11^3*K19)/12</f>
        <v>2971.3902584720113</v>
      </c>
      <c r="Y15" s="36">
        <f>Table61317[[#This Row],[A]]*((Table61317[[#This Row],[zT]]-H16)^2+(Table61317[[#This Row],[xT]]-H17)^2)</f>
        <v>3457.9991171989645</v>
      </c>
    </row>
    <row r="16" spans="1:25" ht="15.75" thickBot="1" x14ac:dyDescent="0.3">
      <c r="A16" s="5" t="s">
        <v>48</v>
      </c>
      <c r="G16" s="26" t="s">
        <v>11</v>
      </c>
      <c r="H16" s="24">
        <f>SUM(B2*E2,B3*E3,B4*E4,B5*E5,B6*E6,B7*E7,B8*E8,B9*E9,B10*E10,B11*E11,B12*E12,B13*E13,B14*E14,K2*N2,K3*N3,K4*N4,K5*N5,K6*N6,K7*N7,K8*N8,K9*N9,K10,N10)/SUM(Table184[weight],Table2115[weight])</f>
        <v>1.6165781407535473</v>
      </c>
      <c r="I16" s="12" t="s">
        <v>49</v>
      </c>
      <c r="J16" s="2" t="s">
        <v>50</v>
      </c>
      <c r="K16" s="8">
        <v>0.25</v>
      </c>
      <c r="L16" s="15" t="s">
        <v>51</v>
      </c>
      <c r="M16" s="16">
        <f>37.7-10.02-6</f>
        <v>21.680000000000003</v>
      </c>
      <c r="S16" t="s">
        <v>31</v>
      </c>
      <c r="T16" s="38"/>
      <c r="U16" s="38"/>
      <c r="V16" s="38"/>
      <c r="W16" s="38"/>
      <c r="X16" s="38"/>
      <c r="Y16" s="38"/>
    </row>
    <row r="17" spans="1:25" ht="15.75" thickBot="1" x14ac:dyDescent="0.3">
      <c r="G17" s="11" t="s">
        <v>9</v>
      </c>
      <c r="H17" s="24">
        <f>SUM(B2*C2,B3*C3,B4*C4,B5*C5,B6*C6,B7*C7,B8*C8,B9*C9,B10*C10,B11*C11,B12*C12,B13*C13,B14*C14,K2*L2,K3*L3,K4*L4,K5*L5,K6*L6,K7*L7,K8*L8,K9*L9,K10*L10)/SUM(Table184[weight],Table2115[weight])</f>
        <v>18.053083569469454</v>
      </c>
      <c r="I17" s="12" t="s">
        <v>49</v>
      </c>
      <c r="J17" s="2" t="s">
        <v>52</v>
      </c>
      <c r="K17" s="8">
        <v>35.979999999999997</v>
      </c>
      <c r="L17" s="6" t="s">
        <v>53</v>
      </c>
      <c r="M17" s="7"/>
      <c r="S17" t="s">
        <v>97</v>
      </c>
      <c r="T17" s="38" t="s">
        <v>93</v>
      </c>
      <c r="U17" s="38"/>
      <c r="V17" s="38"/>
      <c r="W17" s="38"/>
      <c r="X17" s="38"/>
      <c r="Y17" s="38"/>
    </row>
    <row r="18" spans="1:25" ht="15.75" thickBot="1" x14ac:dyDescent="0.3">
      <c r="G18" s="22" t="s">
        <v>98</v>
      </c>
      <c r="H18" s="32">
        <f>SUM(B2*C2,B3*C3,B4*C4,B5*C5,B6*C6,B7*C7,B8*C8,B9*C9,B10*C10,B11*C11,B12*C12,B13*C13,B14*C14)/SUM(B2:B14)</f>
        <v>20.701507643647869</v>
      </c>
      <c r="I18" s="33" t="s">
        <v>49</v>
      </c>
      <c r="J18" s="28" t="s">
        <v>56</v>
      </c>
      <c r="K18" s="9">
        <v>10</v>
      </c>
      <c r="L18" s="2" t="s">
        <v>57</v>
      </c>
      <c r="M18" s="8"/>
      <c r="T18" s="36" t="s">
        <v>14</v>
      </c>
      <c r="U18" s="36" t="s">
        <v>15</v>
      </c>
      <c r="V18" s="36" t="s">
        <v>58</v>
      </c>
      <c r="W18" s="36" t="s">
        <v>17</v>
      </c>
      <c r="X18" s="36" t="s">
        <v>19</v>
      </c>
      <c r="Y18" s="36" t="s">
        <v>18</v>
      </c>
    </row>
    <row r="19" spans="1:25" ht="15.75" thickBot="1" x14ac:dyDescent="0.3">
      <c r="G19" s="23" t="s">
        <v>59</v>
      </c>
      <c r="H19" s="2">
        <v>18</v>
      </c>
      <c r="I19" s="14" t="s">
        <v>49</v>
      </c>
      <c r="J19" s="30" t="s">
        <v>60</v>
      </c>
      <c r="K19" s="10">
        <v>5.13</v>
      </c>
      <c r="L19" s="3" t="s">
        <v>61</v>
      </c>
      <c r="M19" s="9"/>
      <c r="S19" t="s">
        <v>62</v>
      </c>
      <c r="T19" s="36">
        <f>0.625*7.38</f>
        <v>4.6124999999999998</v>
      </c>
      <c r="U19" s="36">
        <f>7.38/2</f>
        <v>3.69</v>
      </c>
      <c r="V19" s="36">
        <f>0.625/2</f>
        <v>0.3125</v>
      </c>
      <c r="W19" s="36">
        <f>Table691418[[#This Row],[A]]*((Table691418[[#This Row],[yT]])^2+(H16-N5)^2)+7.38*0.625^3/12</f>
        <v>29.623267220448302</v>
      </c>
      <c r="X19" s="36">
        <f>Table691418[[#This Row],[A]]*((Table691418[[#This Row],[xT]]-H17)^2+(H16-N8)^2)+7.38^3*0.625/12</f>
        <v>984.53902217149687</v>
      </c>
      <c r="Y19" s="36">
        <f>Table691418[[#This Row],[A]]*((Table691418[[#This Row],[yT]])^2+(Table691418[[#This Row],[xT]]-H17)^2)</f>
        <v>952.00074684181118</v>
      </c>
    </row>
    <row r="20" spans="1:25" ht="15.75" thickBot="1" x14ac:dyDescent="0.3">
      <c r="A20" t="s">
        <v>63</v>
      </c>
      <c r="B20" t="s">
        <v>64</v>
      </c>
      <c r="G20" s="42" t="s">
        <v>65</v>
      </c>
      <c r="H20" s="32">
        <f>SUM(Table184[Ixx],Table2115[Ixx])</f>
        <v>22.570220090423994</v>
      </c>
      <c r="I20" s="33" t="s">
        <v>66</v>
      </c>
      <c r="J20" s="29" t="s">
        <v>67</v>
      </c>
      <c r="K20" s="8">
        <v>7</v>
      </c>
      <c r="L20" s="6" t="s">
        <v>68</v>
      </c>
      <c r="M20" s="7"/>
      <c r="O20" s="13"/>
      <c r="T20" s="36">
        <f>4.375*2.005</f>
        <v>8.7718749999999996</v>
      </c>
      <c r="U20" s="36">
        <f>0.5*2.005+5.375</f>
        <v>6.3774999999999995</v>
      </c>
      <c r="V20" s="36">
        <f>4.375/2+0.625</f>
        <v>2.8125</v>
      </c>
      <c r="W20" s="36">
        <f>Table691418[[#This Row],[A]]*((Table691418[[#This Row],[yT]])^2+(H16-N5)^2)+2.005*4.375^3/12</f>
        <v>138.57271775087966</v>
      </c>
      <c r="X20" s="36">
        <f>Table691418[[#This Row],[A]]*((Table691418[[#This Row],[xT]]-H17)^2+(H16-N8)^2)+5^3/12</f>
        <v>1229.1158617914361</v>
      </c>
      <c r="Y20" s="36">
        <f>Table691418[[#This Row],[A]]*((Table691418[[#This Row],[yT]])^2+(Table691418[[#This Row],[xT]]-H17)^2)</f>
        <v>1265.162337753206</v>
      </c>
    </row>
    <row r="21" spans="1:25" x14ac:dyDescent="0.25">
      <c r="G21" s="43" t="s">
        <v>69</v>
      </c>
      <c r="H21" s="31">
        <f>SUM(Table184[Iyy],Table2115[Iyy])</f>
        <v>137.41118815737667</v>
      </c>
      <c r="I21" s="35" t="s">
        <v>66</v>
      </c>
      <c r="J21" s="29" t="s">
        <v>70</v>
      </c>
      <c r="K21" s="8">
        <v>0.25</v>
      </c>
      <c r="L21" s="2" t="s">
        <v>71</v>
      </c>
      <c r="M21" s="8">
        <v>5</v>
      </c>
      <c r="T21" s="36">
        <f>(4.375^2)/2</f>
        <v>9.5703125</v>
      </c>
      <c r="U21" s="36">
        <f>2/3*4.375+1</f>
        <v>3.9166666666666665</v>
      </c>
      <c r="V21" s="36">
        <f>4.375/3+0.625</f>
        <v>2.083333333333333</v>
      </c>
      <c r="W21" s="36">
        <f>Table691418[[#This Row],[A]]*((Table691418[[#This Row],[yT]])^2+(H16-N8)^2)+(4.375^4)/36</f>
        <v>76.724915079351746</v>
      </c>
      <c r="X21" s="36">
        <f>Table691418[[#This Row],[A]]*((Table691418[[#This Row],[xT]]-H17)^2+(H16-N8)^2)+(4.375^4)/36</f>
        <v>1947.7019167456522</v>
      </c>
      <c r="Y21" s="36">
        <f>Table691418[[#This Row],[A]]*((Table691418[[#This Row],[yT]])^2+(Table691418[[#This Row],[xT]]-H17)^2)</f>
        <v>1954.0526310065782</v>
      </c>
    </row>
    <row r="22" spans="1:25" ht="15.75" thickBot="1" x14ac:dyDescent="0.3">
      <c r="A22" t="s">
        <v>73</v>
      </c>
      <c r="B22" s="44">
        <v>1</v>
      </c>
      <c r="G22" s="25" t="s">
        <v>74</v>
      </c>
      <c r="H22" s="39">
        <f>SUM(Table184[Izz],Table2115[Izz])</f>
        <v>219.38029754468505</v>
      </c>
      <c r="I22" s="40" t="s">
        <v>66</v>
      </c>
      <c r="J22" s="28" t="s">
        <v>75</v>
      </c>
      <c r="K22" s="9">
        <f>K13-K20</f>
        <v>24.92</v>
      </c>
      <c r="L22" s="2" t="s">
        <v>76</v>
      </c>
      <c r="M22" s="8">
        <v>1</v>
      </c>
      <c r="P22">
        <f>0.36/40</f>
        <v>8.9999999999999993E-3</v>
      </c>
      <c r="Q22" t="s">
        <v>99</v>
      </c>
      <c r="T22" s="36"/>
      <c r="U22" s="36"/>
      <c r="V22" s="36"/>
      <c r="W22" s="36"/>
      <c r="X22" s="36"/>
      <c r="Y22" s="36"/>
    </row>
    <row r="23" spans="1:25" ht="16.5" thickTop="1" thickBot="1" x14ac:dyDescent="0.3">
      <c r="C23" s="37" t="s">
        <v>77</v>
      </c>
      <c r="F23" t="s">
        <v>100</v>
      </c>
      <c r="G23" s="18" t="s">
        <v>65</v>
      </c>
      <c r="H23" s="32">
        <f>H20/144</f>
        <v>0.15673763951683328</v>
      </c>
      <c r="I23" s="33" t="s">
        <v>101</v>
      </c>
      <c r="J23" s="30" t="s">
        <v>79</v>
      </c>
      <c r="K23" s="10">
        <v>4.375</v>
      </c>
      <c r="L23" s="1" t="s">
        <v>80</v>
      </c>
      <c r="M23" s="10"/>
      <c r="P23">
        <f>0.61/33.5</f>
        <v>1.8208955223880597E-2</v>
      </c>
      <c r="Q23" t="s">
        <v>99</v>
      </c>
      <c r="T23" s="36">
        <f>(T19*U19+T20*U20+T21*U21+T22*U22)/(T19+T20+T21+T22)</f>
        <v>4.811500124792957</v>
      </c>
      <c r="U23" s="36"/>
      <c r="V23" s="36"/>
      <c r="W23" s="36"/>
      <c r="X23" s="36"/>
      <c r="Y23" s="36"/>
    </row>
    <row r="24" spans="1:25" ht="16.5" thickTop="1" thickBot="1" x14ac:dyDescent="0.3">
      <c r="B24" s="37" t="s">
        <v>81</v>
      </c>
      <c r="C24" s="37" t="s">
        <v>82</v>
      </c>
      <c r="D24" s="37" t="s">
        <v>83</v>
      </c>
      <c r="F24" s="49" t="s">
        <v>102</v>
      </c>
      <c r="G24" s="18" t="s">
        <v>69</v>
      </c>
      <c r="H24" s="34">
        <f>H21/144</f>
        <v>0.95424436220400466</v>
      </c>
      <c r="I24" s="35" t="s">
        <v>101</v>
      </c>
      <c r="J24" s="29" t="s">
        <v>85</v>
      </c>
      <c r="K24" s="8">
        <v>9.9</v>
      </c>
      <c r="L24" s="2" t="s">
        <v>86</v>
      </c>
      <c r="M24" s="8"/>
      <c r="O24" t="s">
        <v>103</v>
      </c>
      <c r="P24">
        <f>29.375*P23</f>
        <v>0.53488805970149256</v>
      </c>
      <c r="S24" t="s">
        <v>97</v>
      </c>
      <c r="T24" s="36" t="s">
        <v>21</v>
      </c>
      <c r="U24" s="36"/>
      <c r="V24" s="36"/>
      <c r="W24" s="36"/>
      <c r="X24" s="36"/>
      <c r="Y24" s="36"/>
    </row>
    <row r="25" spans="1:25" ht="16.5" thickTop="1" thickBot="1" x14ac:dyDescent="0.3">
      <c r="C25" s="37" t="s">
        <v>87</v>
      </c>
      <c r="F25" t="s">
        <v>104</v>
      </c>
      <c r="G25" s="23" t="s">
        <v>74</v>
      </c>
      <c r="H25" s="3">
        <f>H22/144</f>
        <v>1.5234742885047572</v>
      </c>
      <c r="I25" s="41" t="s">
        <v>101</v>
      </c>
      <c r="J25" s="29" t="s">
        <v>89</v>
      </c>
      <c r="K25" s="8">
        <v>0.25</v>
      </c>
      <c r="L25" s="2" t="s">
        <v>90</v>
      </c>
      <c r="M25" s="8"/>
      <c r="O25" t="s">
        <v>105</v>
      </c>
      <c r="P25">
        <f>26*2*P22</f>
        <v>0.46799999999999997</v>
      </c>
      <c r="T25" s="36" t="s">
        <v>14</v>
      </c>
      <c r="U25" s="36" t="s">
        <v>15</v>
      </c>
      <c r="V25" s="36" t="s">
        <v>58</v>
      </c>
      <c r="W25" s="36" t="s">
        <v>17</v>
      </c>
      <c r="X25" s="36" t="s">
        <v>19</v>
      </c>
      <c r="Y25" s="36" t="s">
        <v>18</v>
      </c>
    </row>
    <row r="26" spans="1:25" ht="16.5" thickTop="1" thickBot="1" x14ac:dyDescent="0.3">
      <c r="B26">
        <v>2</v>
      </c>
      <c r="G26" s="25" t="s">
        <v>91</v>
      </c>
      <c r="H26" s="6">
        <f>SUM(Table184[weight],Table2115[weight])</f>
        <v>2.0161947374131941</v>
      </c>
      <c r="I26" s="12" t="s">
        <v>92</v>
      </c>
      <c r="J26" s="4" t="s">
        <v>75</v>
      </c>
      <c r="K26" s="9">
        <v>0</v>
      </c>
      <c r="L26" s="3" t="s">
        <v>75</v>
      </c>
      <c r="M26" s="9"/>
      <c r="S26" t="s">
        <v>62</v>
      </c>
      <c r="T26" s="36">
        <f>K17/2*K17/2/2</f>
        <v>161.82004999999998</v>
      </c>
      <c r="U26" s="36">
        <f>K18+K17/2*2/3</f>
        <v>21.993333333333332</v>
      </c>
      <c r="V26" s="36">
        <f>K17/2/3</f>
        <v>5.9966666666666661</v>
      </c>
      <c r="W26" s="36">
        <f>Table91519[[#This Row],[A]]*((Table91519[[#This Row],[yT]])^2+(H16-N3)^2)+(18^3)*17.84/36</f>
        <v>9069.1489089735842</v>
      </c>
      <c r="X26" s="36">
        <f>Table91519[[#This Row],[A]]*((Table91519[[#This Row],[xT]]-H17)^2+(H16-N3)^2)+18*17.84^3/36</f>
        <v>5711.2954876391004</v>
      </c>
      <c r="Y26" s="36"/>
    </row>
    <row r="27" spans="1:25" ht="16.5" thickTop="1" thickBot="1" x14ac:dyDescent="0.3">
      <c r="C27" s="37" t="s">
        <v>81</v>
      </c>
      <c r="S27" t="s">
        <v>62</v>
      </c>
      <c r="T27" s="36">
        <f>K17/2*(K13-K17/2-K18)/2</f>
        <v>35.350350000000027</v>
      </c>
      <c r="U27" s="36">
        <f>K18+K17/2+(K13-K18-K17/2)/3</f>
        <v>29.3</v>
      </c>
      <c r="V27" s="36">
        <f>V26</f>
        <v>5.9966666666666661</v>
      </c>
      <c r="W27" s="36">
        <f>Table91519[[#This Row],[A]]*((Table91519[[#This Row],[yT]])^2+(H16-N3)^2)+(18^3)*3.82/36</f>
        <v>1968.686626585114</v>
      </c>
      <c r="X27" s="36">
        <f>Table91519[[#This Row],[A]]*((Table91519[[#This Row],[xT]]-H17)^2+(H16-N3)^2)+18*3.82^3/36</f>
        <v>4578.0955214538662</v>
      </c>
      <c r="Y27" s="36"/>
    </row>
    <row r="28" spans="1:25" ht="16.5" thickTop="1" thickBot="1" x14ac:dyDescent="0.3">
      <c r="C28" s="37" t="s">
        <v>77</v>
      </c>
      <c r="F28" t="s">
        <v>106</v>
      </c>
      <c r="G28">
        <f>H25/H23</f>
        <v>9.7199006773426575</v>
      </c>
      <c r="S28" t="s">
        <v>72</v>
      </c>
      <c r="T28" s="36">
        <f>K17/2*(K13-K17/2-K18)/2</f>
        <v>35.350350000000027</v>
      </c>
      <c r="U28" s="36">
        <f>U27</f>
        <v>29.3</v>
      </c>
      <c r="V28" s="36">
        <f>-1*V26</f>
        <v>-5.9966666666666661</v>
      </c>
      <c r="W28" s="36">
        <f>Table91519[[#This Row],[A]]*((Table91519[[#This Row],[yT]])^2+(H16-N3)^2)+(18^3)*3.82/36</f>
        <v>1968.686626585114</v>
      </c>
      <c r="X28" s="36">
        <f>Table91519[[#This Row],[A]]*((Table91519[[#This Row],[xT]]-H17)^2+(H16-N3)^2)+18*3.82^3/36</f>
        <v>4578.0955214538662</v>
      </c>
      <c r="Y28" s="36"/>
    </row>
    <row r="29" spans="1:25" ht="16.5" thickTop="1" thickBot="1" x14ac:dyDescent="0.3">
      <c r="C29" s="37" t="s">
        <v>82</v>
      </c>
      <c r="J29">
        <f>(17.84*18+18*3.82)*0.25*P13</f>
        <v>0.366640625</v>
      </c>
      <c r="S29" t="s">
        <v>72</v>
      </c>
      <c r="T29" s="36">
        <f>K17/2*K17/2/2</f>
        <v>161.82004999999998</v>
      </c>
      <c r="U29" s="36">
        <f>U26</f>
        <v>21.993333333333332</v>
      </c>
      <c r="V29" s="36">
        <f>-1*V27</f>
        <v>-5.9966666666666661</v>
      </c>
      <c r="W29" s="36">
        <f>Table91519[[#This Row],[A]]*((Table91519[[#This Row],[yT]])^2+(H16-N3)^2)+(18^3)*17.84/36</f>
        <v>9069.1489089735842</v>
      </c>
      <c r="X29" s="36">
        <f>Table91519[[#This Row],[A]]*((Table91519[[#This Row],[xT]]-H17)^2+(H16-N3)^2)+18*17.84^3/36</f>
        <v>5711.2954876391004</v>
      </c>
      <c r="Y29" s="36"/>
    </row>
    <row r="30" spans="1:25" ht="16.5" thickTop="1" thickBot="1" x14ac:dyDescent="0.3">
      <c r="C30" s="37" t="s">
        <v>87</v>
      </c>
    </row>
    <row r="31" spans="1:25" ht="16.5" thickTop="1" thickBot="1" x14ac:dyDescent="0.3">
      <c r="C31" s="37" t="s">
        <v>83</v>
      </c>
    </row>
    <row r="32" spans="1:25" ht="16.5" thickTop="1" thickBot="1" x14ac:dyDescent="0.3">
      <c r="B32" s="46">
        <v>3</v>
      </c>
    </row>
    <row r="33" spans="2:6" ht="16.5" thickTop="1" thickBot="1" x14ac:dyDescent="0.3">
      <c r="B33" s="45" t="s">
        <v>81</v>
      </c>
      <c r="C33" s="37" t="s">
        <v>77</v>
      </c>
      <c r="D33" s="37" t="s">
        <v>82</v>
      </c>
      <c r="E33" s="37" t="s">
        <v>87</v>
      </c>
      <c r="F33" s="37" t="s">
        <v>83</v>
      </c>
    </row>
    <row r="34" spans="2:6" ht="16.5" thickTop="1" thickBot="1" x14ac:dyDescent="0.3">
      <c r="B34">
        <v>4</v>
      </c>
    </row>
    <row r="35" spans="2:6" ht="16.5" thickTop="1" thickBot="1" x14ac:dyDescent="0.3">
      <c r="C35" s="37" t="s">
        <v>81</v>
      </c>
    </row>
    <row r="36" spans="2:6" ht="16.5" thickTop="1" thickBot="1" x14ac:dyDescent="0.3">
      <c r="B36" s="37" t="s">
        <v>77</v>
      </c>
      <c r="C36" s="37" t="s">
        <v>82</v>
      </c>
      <c r="D36" s="37" t="s">
        <v>87</v>
      </c>
    </row>
    <row r="37" spans="2:6" ht="16.5" thickTop="1" thickBot="1" x14ac:dyDescent="0.3">
      <c r="C37" s="37" t="s">
        <v>83</v>
      </c>
    </row>
    <row r="38" spans="2:6" ht="15.75" thickTop="1" x14ac:dyDescent="0.25"/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Y38"/>
  <sheetViews>
    <sheetView topLeftCell="F1" workbookViewId="0">
      <selection activeCell="P24" sqref="P24"/>
    </sheetView>
  </sheetViews>
  <sheetFormatPr defaultColWidth="8.85546875" defaultRowHeight="15" x14ac:dyDescent="0.25"/>
  <cols>
    <col min="1" max="1" width="14.42578125" customWidth="1"/>
    <col min="6" max="6" width="9" customWidth="1"/>
    <col min="7" max="7" width="8.42578125" customWidth="1"/>
    <col min="10" max="10" width="13.140625" customWidth="1"/>
    <col min="12" max="12" width="11.855468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</v>
      </c>
      <c r="L1" t="s">
        <v>9</v>
      </c>
      <c r="M1" t="s">
        <v>10</v>
      </c>
      <c r="N1" t="s">
        <v>11</v>
      </c>
      <c r="O1" t="s">
        <v>5</v>
      </c>
      <c r="P1" t="s">
        <v>6</v>
      </c>
      <c r="Q1" t="s">
        <v>7</v>
      </c>
      <c r="T1" s="36" t="s">
        <v>12</v>
      </c>
      <c r="U1" s="36"/>
      <c r="V1" s="36"/>
      <c r="W1" s="36"/>
      <c r="X1" s="36"/>
      <c r="Y1" s="36"/>
    </row>
    <row r="2" spans="1:25" x14ac:dyDescent="0.25">
      <c r="A2" t="s">
        <v>94</v>
      </c>
      <c r="B2">
        <f>1.77/16</f>
        <v>0.110625</v>
      </c>
      <c r="C2">
        <v>-0.5</v>
      </c>
      <c r="D2">
        <v>0</v>
      </c>
      <c r="E2">
        <f>2</f>
        <v>2</v>
      </c>
      <c r="F2">
        <f>Table18420[[#This Row],[weight]]*(Table18420[[#This Row],[ypos]]^2+(Table18420[[#This Row],[zpos]]-H16)^2)</f>
        <v>9.6011393523923166E-3</v>
      </c>
      <c r="G2">
        <f>Table18420[[#This Row],[weight]]*((Table18420[[#This Row],[xpos]]-H17)^2+(Table18420[[#This Row],[zpos]]-H16)^2)</f>
        <v>20.94820395105457</v>
      </c>
      <c r="H2">
        <f>Table18420[[#This Row],[weight]]*(Table18420[[#This Row],[xpos]]-H17)^2</f>
        <v>20.938602811702175</v>
      </c>
      <c r="J2" t="s">
        <v>12</v>
      </c>
      <c r="K2">
        <f>K14*K13*K15*P13*3</f>
        <v>0.36020833333333335</v>
      </c>
      <c r="L2">
        <f>K13/2</f>
        <v>15.96</v>
      </c>
      <c r="M2">
        <f>0</f>
        <v>0</v>
      </c>
      <c r="N2">
        <f>K14/2</f>
        <v>2</v>
      </c>
      <c r="O2">
        <f>Table211521[[#This Row],[weight]]*(Table211521[[#This Row],[Zcg]]-H16)^2+K13*K14^3/12*K15*P13</f>
        <v>0.19135505952345194</v>
      </c>
      <c r="P2">
        <f>Table211521[[#This Row],[weight]]*(((Table211521[[#This Row],[Zcg]]-H16)^2+(Table211521[[#This Row],[Xcg]]-H17)^2)+K15*K14^3/12)</f>
        <v>3.141850043654792</v>
      </c>
      <c r="Q2">
        <f>Table211521[[#This Row],[weight]]*(Table211521[[#This Row],[Xcg]]-H17)^2+K13^3*K14/12*K15*P13</f>
        <v>12.825070132279487</v>
      </c>
      <c r="T2" s="36" t="s">
        <v>14</v>
      </c>
      <c r="U2" s="36" t="s">
        <v>15</v>
      </c>
      <c r="V2" s="36" t="s">
        <v>16</v>
      </c>
      <c r="W2" s="36" t="s">
        <v>17</v>
      </c>
      <c r="X2" s="36" t="s">
        <v>18</v>
      </c>
      <c r="Y2" s="36" t="s">
        <v>19</v>
      </c>
    </row>
    <row r="3" spans="1:25" x14ac:dyDescent="0.25">
      <c r="A3" t="s">
        <v>20</v>
      </c>
      <c r="B3">
        <f>8.68/16</f>
        <v>0.54249999999999998</v>
      </c>
      <c r="C3">
        <v>2</v>
      </c>
      <c r="D3">
        <v>0</v>
      </c>
      <c r="E3">
        <v>2</v>
      </c>
      <c r="F3">
        <f>Table18420[[#This Row],[weight]]*(Table18420[[#This Row],[ypos]]^2+(Table18420[[#This Row],[zpos]]-H16)^2)</f>
        <v>4.7083553434330683E-2</v>
      </c>
      <c r="G3">
        <f>Table18420[[#This Row],[weight]]*((Table18420[[#This Row],[xpos]]-H17)^2+(Table18420[[#This Row],[zpos]]-H16)^2)</f>
        <v>68.801791176864356</v>
      </c>
      <c r="H3">
        <f>Table18420[[#This Row],[weight]]*(Table18420[[#This Row],[xpos]]^2+Table18420[[#This Row],[ypos]]^2)</f>
        <v>2.17</v>
      </c>
      <c r="J3" t="s">
        <v>21</v>
      </c>
      <c r="K3">
        <f>0.375</f>
        <v>0.375</v>
      </c>
      <c r="L3">
        <f>SUM(T26*U26,T27*U27,T28*U28,T29*U29)/SUM(Table9151924[A])</f>
        <v>23.303333333333335</v>
      </c>
      <c r="M3">
        <v>0</v>
      </c>
      <c r="N3">
        <v>1.125</v>
      </c>
      <c r="O3">
        <f>SUM(Table9151924[Ix])*K16*P13</f>
        <v>20.059701731233812</v>
      </c>
      <c r="P3">
        <f>SUM(Table9151924[Iy])*K16*P13</f>
        <v>45.85236081298364</v>
      </c>
      <c r="Q3">
        <v>34.130000000000003</v>
      </c>
      <c r="T3" s="36"/>
      <c r="U3" s="36"/>
      <c r="V3" s="36"/>
      <c r="W3" s="36">
        <f>Table5121625[[#This Row],[A]]*(Table5121625[[#This Row],[zT]]-H16)^2+124.587</f>
        <v>124.587</v>
      </c>
      <c r="X3" s="36">
        <f>Table5121625[[#This Row],[A]]*(Table5121625[[#This Row],[xT]]-H17)^2+4249.1</f>
        <v>4249.1000000000004</v>
      </c>
      <c r="Y3" s="36" t="e">
        <f>Table5121625[[#This Row],[A]]*((Table5121625[[#This Row],[zT]]-U11)^2+(Table5121625[[#This Row],[xT]]-H17)^2)</f>
        <v>#DIV/0!</v>
      </c>
    </row>
    <row r="4" spans="1:25" x14ac:dyDescent="0.25">
      <c r="A4" t="s">
        <v>22</v>
      </c>
      <c r="B4">
        <v>0</v>
      </c>
      <c r="C4">
        <f>C5-3</f>
        <v>15</v>
      </c>
      <c r="D4">
        <v>0</v>
      </c>
      <c r="E4">
        <v>0.75</v>
      </c>
      <c r="F4">
        <f>Table18420[[#This Row],[weight]]*(Table18420[[#This Row],[ypos]]^2+(Table18420[[#This Row],[zpos]]-H16)^2)</f>
        <v>0</v>
      </c>
      <c r="G4">
        <f>Table18420[[#This Row],[weight]]*((Table18420[[#This Row],[xpos]]-H17)^2+(Table18420[[#This Row],[zpos]]-H16)^2)</f>
        <v>0</v>
      </c>
      <c r="H4">
        <f>Table18420[[#This Row],[weight]]*((Table18420[[#This Row],[xpos]]-H17)^2+Table18420[[#This Row],[ypos]]^2)</f>
        <v>0</v>
      </c>
      <c r="J4" t="s">
        <v>23</v>
      </c>
      <c r="K4">
        <f>((K20-4.11)*K19/2+K19*4.1)*K21*P13</f>
        <v>2.6750292968749995E-2</v>
      </c>
      <c r="L4">
        <f>(T14*U14+T15*U15)/(T14+T15)</f>
        <v>29.079852985298533</v>
      </c>
      <c r="M4">
        <v>0</v>
      </c>
      <c r="N4">
        <f>(T14*V14+T15*V15)/(T14+T15)</f>
        <v>6.3425922592259223</v>
      </c>
      <c r="O4">
        <f>SUM(Table6131722[Ix])*K21*P13</f>
        <v>0.6337096356366192</v>
      </c>
      <c r="P4">
        <f>SUM(Table6131722[Iy])*K21*P13</f>
        <v>7.3357449059972453</v>
      </c>
      <c r="Q4">
        <f>SUM(Table6131722[Iz])*K21*P13</f>
        <v>6.7868558073940459</v>
      </c>
      <c r="T4" s="36"/>
      <c r="U4" s="36"/>
      <c r="V4" s="36"/>
      <c r="W4" s="36">
        <f>Table5121625[[#This Row],[A]]*(Table5121625[[#This Row],[zT]]-H16)^2+14.90625</f>
        <v>14.90625</v>
      </c>
      <c r="X4" s="36">
        <f>Table5121625[[#This Row],[A]]*(Table5121625[[#This Row],[xT]]-H17)^2+72.6938</f>
        <v>72.693799999999996</v>
      </c>
      <c r="Y4" s="36" t="e">
        <f>Table5121625[[#This Row],[A]]*((Table5121625[[#This Row],[zT]]-U11)^2+(Table5121625[[#This Row],[xT]]-H17)^2)</f>
        <v>#DIV/0!</v>
      </c>
    </row>
    <row r="5" spans="1:25" x14ac:dyDescent="0.25">
      <c r="A5" t="s">
        <v>24</v>
      </c>
      <c r="B5">
        <f>B4</f>
        <v>0</v>
      </c>
      <c r="C5">
        <v>18</v>
      </c>
      <c r="D5">
        <v>0</v>
      </c>
      <c r="E5">
        <f>E4</f>
        <v>0.75</v>
      </c>
      <c r="F5">
        <f>Table18420[[#This Row],[weight]]*(Table18420[[#This Row],[ypos]]^2+(Table18420[[#This Row],[zpos]]-H16)^2)</f>
        <v>0</v>
      </c>
      <c r="G5">
        <f>Table18420[[#This Row],[weight]]*((Table18420[[#This Row],[xpos]]-H17)^2+(Table18420[[#This Row],[zpos]]-H16)^2)</f>
        <v>0</v>
      </c>
      <c r="H5">
        <f>Table18420[[#This Row],[weight]]*((Table18420[[#This Row],[xpos]]-H17)^2+Table18420[[#This Row],[ypos]]^2)</f>
        <v>0</v>
      </c>
      <c r="J5" t="s">
        <v>93</v>
      </c>
      <c r="K5">
        <f>0.94/16</f>
        <v>5.8749999999999997E-2</v>
      </c>
      <c r="L5">
        <f>2*K23/3+K26</f>
        <v>2.9166666666666665</v>
      </c>
      <c r="M5">
        <v>0</v>
      </c>
      <c r="N5">
        <v>2</v>
      </c>
      <c r="O5">
        <f>SUM(Table69141823[Ix])*K25*P13*2</f>
        <v>0.89710205253031183</v>
      </c>
      <c r="P5">
        <f>SUM(Table69141823[Iy])*K25*P13*2</f>
        <v>1.1336242760046957</v>
      </c>
      <c r="Q5">
        <f>SUM(Table69141823[Iz])*2*P13*K25</f>
        <v>5.7080114936085753</v>
      </c>
      <c r="T5" s="36"/>
      <c r="U5" s="36"/>
      <c r="V5" s="36"/>
      <c r="W5" s="36">
        <f>Table5121625[[#This Row],[A]]*(Table5121625[[#This Row],[zT]]-H16)^2+0.46794</f>
        <v>0.46794000000000002</v>
      </c>
      <c r="X5" s="36" t="e">
        <f>Table5121625[[#This Row],[A]]*(Table5121625[[#This Row],[xT]]-T11)^2+2.4754</f>
        <v>#DIV/0!</v>
      </c>
      <c r="Y5" s="36" t="e">
        <f>Table5121625[[#This Row],[A]]*((Table5121625[[#This Row],[zT]]-U11)^2+(Table5121625[[#This Row],[xT]]-H17)^2)</f>
        <v>#DIV/0!</v>
      </c>
    </row>
    <row r="6" spans="1:25" x14ac:dyDescent="0.25">
      <c r="A6" t="s">
        <v>26</v>
      </c>
      <c r="B6">
        <f>B4</f>
        <v>0</v>
      </c>
      <c r="C6">
        <f>C5+3</f>
        <v>21</v>
      </c>
      <c r="D6">
        <v>0</v>
      </c>
      <c r="E6">
        <f>E4</f>
        <v>0.75</v>
      </c>
      <c r="F6">
        <f>Table18420[[#This Row],[weight]]*(Table18420[[#This Row],[ypos]]^2+(Table18420[[#This Row],[zpos]]-H16)^2)</f>
        <v>0</v>
      </c>
      <c r="G6">
        <f>Table18420[[#This Row],[weight]]*((Table18420[[#This Row],[xpos]]-H17)^2+(Table18420[[#This Row],[zpos]]-H16)^2)</f>
        <v>0</v>
      </c>
      <c r="H6">
        <f>Table18420[[#This Row],[weight]]*((Table18420[[#This Row],[xpos]]-H17)^2+Table18420[[#This Row],[ypos]]^2)</f>
        <v>0</v>
      </c>
      <c r="T6" s="36"/>
      <c r="U6" s="36"/>
      <c r="V6" s="36"/>
      <c r="W6" s="36">
        <f>Table5121625[[#This Row],[A]]*(Table5121625[[#This Row],[zT]]-H16)^2+9.5/36</f>
        <v>0.2638888888888889</v>
      </c>
      <c r="X6" s="36">
        <f>Table5121625[[#This Row],[A]]*(H17-Table5121625[[#This Row],[xT]])^2+23.81597</f>
        <v>23.81597</v>
      </c>
      <c r="Y6" s="36" t="e">
        <f>Table5121625[[#This Row],[A]]*((Table5121625[[#This Row],[zT]]-U11)^2+(Table5121625[[#This Row],[xT]]-H17)^2)</f>
        <v>#DIV/0!</v>
      </c>
    </row>
    <row r="7" spans="1:25" x14ac:dyDescent="0.25">
      <c r="A7" t="s">
        <v>28</v>
      </c>
      <c r="B7">
        <v>0</v>
      </c>
      <c r="C7">
        <f>C5</f>
        <v>18</v>
      </c>
      <c r="D7">
        <v>-3</v>
      </c>
      <c r="E7">
        <f>E4</f>
        <v>0.75</v>
      </c>
      <c r="F7">
        <f>Table18420[[#This Row],[weight]]*(Table18420[[#This Row],[ypos]]^2+(Table18420[[#This Row],[zpos]]-H16)^2)</f>
        <v>0</v>
      </c>
      <c r="G7">
        <f>Table18420[[#This Row],[weight]]*((Table18420[[#This Row],[xpos]]-H17)^2+(Table18420[[#This Row],[zpos]]-H16)^2)</f>
        <v>0</v>
      </c>
      <c r="H7">
        <f>Table18420[[#This Row],[weight]]*((Table18420[[#This Row],[xpos]]-H17)^2+Table18420[[#This Row],[ypos]]^2)</f>
        <v>0</v>
      </c>
      <c r="J7" t="s">
        <v>107</v>
      </c>
      <c r="K7">
        <v>1.4846699999999999E-2</v>
      </c>
      <c r="L7">
        <v>3.6875</v>
      </c>
      <c r="M7">
        <v>0</v>
      </c>
      <c r="N7">
        <v>2</v>
      </c>
      <c r="T7" s="36"/>
      <c r="U7" s="36"/>
      <c r="V7" s="36"/>
      <c r="W7" s="36">
        <f>Table5121625[[#This Row],[A]]*(Table5121625[[#This Row],[zT]]-H16)^2+0.428</f>
        <v>0.42799999999999999</v>
      </c>
      <c r="X7" s="36">
        <f>Table5121625[[#This Row],[A]]*(H17-Table5121625[[#This Row],[xT]])^2+1.15518</f>
        <v>1.1551800000000001</v>
      </c>
      <c r="Y7" s="36" t="e">
        <f>Table5121625[[#This Row],[A]]*((Table5121625[[#This Row],[zT]]-U11)^2+(Table5121625[[#This Row],[xT]]-H17)^2)</f>
        <v>#DIV/0!</v>
      </c>
    </row>
    <row r="8" spans="1:25" x14ac:dyDescent="0.25">
      <c r="A8" t="s">
        <v>30</v>
      </c>
      <c r="B8">
        <f>B7</f>
        <v>0</v>
      </c>
      <c r="C8">
        <f>C5</f>
        <v>18</v>
      </c>
      <c r="D8">
        <v>3</v>
      </c>
      <c r="E8">
        <f>E4</f>
        <v>0.75</v>
      </c>
      <c r="F8">
        <f>Table18420[[#This Row],[weight]]*(Table18420[[#This Row],[ypos]]^2+(Table18420[[#This Row],[zpos]]-H16)^2)</f>
        <v>0</v>
      </c>
      <c r="G8">
        <f>Table18420[[#This Row],[weight]]*((Table18420[[#This Row],[xpos]]-H17)^2+(Table18420[[#This Row],[zpos]]-H16)^2)</f>
        <v>0</v>
      </c>
      <c r="H8">
        <f>Table18420[[#This Row],[weight]]*((Table18420[[#This Row],[xpos]]-H17)^2+Table18420[[#This Row],[ypos]]^2)</f>
        <v>0</v>
      </c>
      <c r="J8" t="s">
        <v>108</v>
      </c>
      <c r="T8" s="36"/>
      <c r="U8" s="36"/>
      <c r="V8" s="36"/>
      <c r="W8" s="36">
        <f>Table5121625[[#This Row],[A]]*(Table5121625[[#This Row],[zT]]-H16)^2+6.489</f>
        <v>6.4889999999999999</v>
      </c>
      <c r="X8" s="36">
        <f>Table5121625[[#This Row],[A]]*(Table5121625[[#This Row],[xT]]-H17)^2+5.40301</f>
        <v>5.4030100000000001</v>
      </c>
      <c r="Y8" s="36" t="e">
        <f>Table5121625[[#This Row],[A]]*((Table5121625[[#This Row],[zT]]-U11)^2+(Table5121625[[#This Row],[xT]]-H17)^2)</f>
        <v>#DIV/0!</v>
      </c>
    </row>
    <row r="9" spans="1:25" x14ac:dyDescent="0.25">
      <c r="A9" t="s">
        <v>32</v>
      </c>
      <c r="B9">
        <v>0.01</v>
      </c>
      <c r="C9">
        <v>4</v>
      </c>
      <c r="E9">
        <v>1.25</v>
      </c>
      <c r="F9">
        <f>Table18420[[#This Row],[weight]]*(Table18420[[#This Row],[ypos]]^2+(Table18420[[#This Row],[zpos]]-H16)^2)</f>
        <v>2.073879229620503E-3</v>
      </c>
      <c r="G9">
        <f>Table18420[[#This Row],[weight]]*((Table18420[[#This Row],[xpos]]-H17)^2+(Table18420[[#This Row],[zpos]]-H16)^2)</f>
        <v>0.85913202251674758</v>
      </c>
      <c r="H9">
        <f>Table18420[[#This Row],[weight]]*((Table18420[[#This Row],[xpos]]-H17)^2+Table18420[[#This Row],[ypos]]^2)</f>
        <v>0.85705814328712704</v>
      </c>
      <c r="J9" t="s">
        <v>109</v>
      </c>
      <c r="T9" s="36"/>
      <c r="U9" s="36"/>
      <c r="V9" s="36"/>
      <c r="W9" s="36"/>
      <c r="X9" s="36"/>
      <c r="Y9" s="36"/>
    </row>
    <row r="10" spans="1:25" x14ac:dyDescent="0.25">
      <c r="A10" t="s">
        <v>34</v>
      </c>
      <c r="B10">
        <f>B9</f>
        <v>0.01</v>
      </c>
      <c r="C10">
        <v>27</v>
      </c>
      <c r="E10">
        <v>1.25</v>
      </c>
      <c r="F10">
        <f>Table18420[[#This Row],[weight]]*(Table18420[[#This Row],[ypos]]^2+(Table18420[[#This Row],[zpos]]-H16)^2)</f>
        <v>2.073879229620503E-3</v>
      </c>
      <c r="G10">
        <f>Table18420[[#This Row],[weight]]*((Table18420[[#This Row],[xpos]]-H17)^2+(Table18420[[#This Row],[zpos]]-H16)^2)</f>
        <v>1.8905700220340018</v>
      </c>
      <c r="H10">
        <f>Table18420[[#This Row],[weight]]*((Table18420[[#This Row],[xpos]]-H17)^2+Table18420[[#This Row],[ypos]]^2)</f>
        <v>1.8884961428043812</v>
      </c>
      <c r="T10" s="36" t="s">
        <v>36</v>
      </c>
      <c r="U10" s="36" t="s">
        <v>37</v>
      </c>
      <c r="V10" s="36"/>
      <c r="W10" s="36"/>
      <c r="X10" s="36"/>
      <c r="Y10" s="36"/>
    </row>
    <row r="11" spans="1:25" x14ac:dyDescent="0.25">
      <c r="A11" t="s">
        <v>96</v>
      </c>
      <c r="B11">
        <f>0.49/16</f>
        <v>3.0624999999999999E-2</v>
      </c>
      <c r="C11">
        <v>18</v>
      </c>
      <c r="D11">
        <v>0</v>
      </c>
      <c r="E11">
        <v>0.5</v>
      </c>
      <c r="F11">
        <f>Table18420[[#This Row],[weight]]*(Table18420[[#This Row],[ypos]]^2+(Table18420[[#This Row],[zpos]]-H16)^2)</f>
        <v>4.4497692748842396E-2</v>
      </c>
      <c r="G11">
        <f>Table18420[[#This Row],[weight]]*((Table18420[[#This Row],[xpos]]-H17)^2+(Table18420[[#This Row],[zpos]]-H16)^2)</f>
        <v>0.73322322305707177</v>
      </c>
      <c r="H11">
        <f>Table18420[[#This Row],[weight]]*((Table18420[[#This Row],[xpos]]-H17)^2+Table18420[[#This Row],[ypos]]^2)</f>
        <v>0.68872553030822936</v>
      </c>
      <c r="T11" s="36" t="e">
        <f>SUM(T3*U3+T4*U4+T5*U5+T6*U6+T7*U7+T8*U8)/SUM(Table5121625[A])</f>
        <v>#DIV/0!</v>
      </c>
      <c r="U11" s="36" t="e">
        <f>SUM(T3*V3+T4*V4+T5*V5+T6*V6+T7*V7+T8*V8)/SUM(Table5121625[A])</f>
        <v>#DIV/0!</v>
      </c>
      <c r="V11" s="36"/>
      <c r="W11" s="36"/>
      <c r="X11" s="36"/>
      <c r="Y11" s="36"/>
    </row>
    <row r="12" spans="1:25" ht="15.75" thickBot="1" x14ac:dyDescent="0.3">
      <c r="A12" t="s">
        <v>110</v>
      </c>
      <c r="B12">
        <f>B2</f>
        <v>0.110625</v>
      </c>
      <c r="C12">
        <f>0.5+K13</f>
        <v>32.42</v>
      </c>
      <c r="E12">
        <v>2</v>
      </c>
      <c r="F12">
        <f>Table18420[[#This Row],[weight]]*(Table18420[[#This Row],[ypos]]^2+(Table18420[[#This Row],[zpos]]-H16)^2)</f>
        <v>9.6011393523923166E-3</v>
      </c>
      <c r="G12">
        <f>Table18420[[#This Row],[weight]]*((Table18420[[#This Row],[xpos]]-H17)^2+(Table18420[[#This Row],[zpos]]-H16)^2)</f>
        <v>40.630224432323914</v>
      </c>
      <c r="H12">
        <f>Table18420[[#This Row],[weight]]*((Table18420[[#This Row],[xpos]]-H17)^2+Table18420[[#This Row],[ypos]]^2)</f>
        <v>40.620623292971523</v>
      </c>
      <c r="S12" t="s">
        <v>97</v>
      </c>
      <c r="T12" s="36" t="s">
        <v>23</v>
      </c>
      <c r="U12" s="36"/>
      <c r="V12" s="36"/>
      <c r="W12" s="36"/>
      <c r="X12" s="36"/>
      <c r="Y12" s="36"/>
    </row>
    <row r="13" spans="1:25" ht="15.75" thickBot="1" x14ac:dyDescent="0.3">
      <c r="A13" t="s">
        <v>39</v>
      </c>
      <c r="B13" s="47">
        <f>2/16</f>
        <v>0.125</v>
      </c>
      <c r="C13">
        <v>20.5</v>
      </c>
      <c r="F13">
        <f>Table18420[[#This Row],[weight]]*(Table18420[[#This Row],[ypos]]^2+(Table18420[[#This Row],[zpos]]-H16)^2)</f>
        <v>0.36354806593576383</v>
      </c>
      <c r="G13">
        <f>Table18420[[#This Row],[weight]]*((Table18420[[#This Row],[xpos]]-H17)^2+(Table18420[[#This Row],[zpos]]-H16)^2)</f>
        <v>6.9198330048697931</v>
      </c>
      <c r="H13">
        <f>Table18420[[#This Row],[weight]]*((Table18420[[#This Row],[xpos]]-H17)^2+Table18420[[#This Row],[ypos]]^2)</f>
        <v>6.556284938934029</v>
      </c>
      <c r="J13" s="1" t="s">
        <v>40</v>
      </c>
      <c r="K13" s="10">
        <v>31.92</v>
      </c>
      <c r="M13" s="6" t="s">
        <v>41</v>
      </c>
      <c r="N13" s="20"/>
      <c r="O13" s="19" t="s">
        <v>42</v>
      </c>
      <c r="P13" s="21">
        <f>13/3456</f>
        <v>3.7615740740740739E-3</v>
      </c>
      <c r="Q13" s="16" t="s">
        <v>43</v>
      </c>
      <c r="T13" s="36" t="s">
        <v>14</v>
      </c>
      <c r="U13" s="36" t="s">
        <v>15</v>
      </c>
      <c r="V13" s="36" t="s">
        <v>16</v>
      </c>
      <c r="W13" s="36" t="s">
        <v>17</v>
      </c>
      <c r="X13" s="36" t="s">
        <v>18</v>
      </c>
      <c r="Y13" s="36" t="s">
        <v>19</v>
      </c>
    </row>
    <row r="14" spans="1:25" x14ac:dyDescent="0.25">
      <c r="A14" t="s">
        <v>44</v>
      </c>
      <c r="B14">
        <f>0</f>
        <v>0</v>
      </c>
      <c r="C14">
        <f>K13+1.5</f>
        <v>33.42</v>
      </c>
      <c r="D14">
        <v>0</v>
      </c>
      <c r="E14">
        <f>E2</f>
        <v>2</v>
      </c>
      <c r="F14">
        <f>Table18420[[#This Row],[weight]]*(Table18420[[#This Row],[ypos]]^2+(Table18420[[#This Row],[zpos]]-H16)^2)</f>
        <v>0</v>
      </c>
      <c r="G14">
        <f>Table18420[[#This Row],[weight]]*((Table18420[[#This Row],[xpos]]-H17)^2+(Table18420[[#This Row],[zpos]]-H16)^2)</f>
        <v>0</v>
      </c>
      <c r="H14">
        <f>Table18420[[#This Row],[weight]]*((Table18420[[#This Row],[xpos]]-H17)^2+Table18420[[#This Row],[ypos]]^2)</f>
        <v>0</v>
      </c>
      <c r="J14" s="2" t="s">
        <v>45</v>
      </c>
      <c r="K14" s="8">
        <v>4</v>
      </c>
      <c r="T14" s="36">
        <f>K19/2*(K20-4.11)</f>
        <v>7.4128499999999988</v>
      </c>
      <c r="U14" s="36">
        <f>2/3*(K20-4.11)+K22</f>
        <v>26.846666666666668</v>
      </c>
      <c r="V14" s="36">
        <f>1/3*K19+K14</f>
        <v>5.71</v>
      </c>
      <c r="W14" s="36">
        <f>Table6131722[[#This Row],[A]]*(Table6131722[[#This Row],[zT]]-H16)^2+(K20-4.11)*K19^3/36</f>
        <v>129.71658771553805</v>
      </c>
      <c r="X14" s="36">
        <f>Table6131722[[#This Row],[A]]*(Table6131722[[#This Row],[xT]]-H17)^2+(K20-4.11)^3*K19/36</f>
        <v>1372.2878366914313</v>
      </c>
      <c r="Y14" s="36">
        <f>Table6131722[[#This Row],[A]]*((Table6131722[[#This Row],[zT]]-H16)^2+(Table6131722[[#This Row],[xT]]-H17)^2)</f>
        <v>1487.7268634819693</v>
      </c>
    </row>
    <row r="15" spans="1:25" ht="15.75" thickBot="1" x14ac:dyDescent="0.3">
      <c r="A15" t="s">
        <v>46</v>
      </c>
      <c r="G15" s="27"/>
      <c r="H15" s="27"/>
      <c r="I15" s="27"/>
      <c r="J15" s="3" t="s">
        <v>47</v>
      </c>
      <c r="K15" s="17">
        <v>0.25</v>
      </c>
      <c r="T15" s="36">
        <f>4.11*K19</f>
        <v>21.084300000000002</v>
      </c>
      <c r="U15" s="36">
        <f>K22+K20-4.11/2</f>
        <v>29.865000000000002</v>
      </c>
      <c r="V15" s="36">
        <f>K19/2+K14</f>
        <v>6.5649999999999995</v>
      </c>
      <c r="W15" s="36">
        <f>Table6131722[[#This Row],[A]]*(Table6131722[[#This Row],[zT]]-H16)^2+(4.11*K19^3)/12</f>
        <v>544.16048944143301</v>
      </c>
      <c r="X15" s="36">
        <f>Table6131722[[#This Row],[A]]*(Table6131722[[#This Row],[xT]]-H17)^2++(4.11^3*K19)/12</f>
        <v>5844.7502157251301</v>
      </c>
      <c r="Y15" s="36">
        <f>Table6131722[[#This Row],[A]]*((Table6131722[[#This Row],[zT]]-H16)^2+(Table6131722[[#This Row],[xT]]-H17)^2)</f>
        <v>6312.9914119415635</v>
      </c>
    </row>
    <row r="16" spans="1:25" ht="15.75" thickBot="1" x14ac:dyDescent="0.3">
      <c r="A16" s="5" t="s">
        <v>48</v>
      </c>
      <c r="G16" s="26" t="s">
        <v>11</v>
      </c>
      <c r="H16" s="24">
        <f>SUM(B2*E2,B3*E3,B4*E4,B5*E5,B6*E6,B7*E7,B8*E8,B9*E9,B10*E10,B11*E11,B12*E12,B13*E13,B14*E14,K2*N2,K3*N3,K4*N4,K5*N5,K6*N6,K7*N7,K8*N8,K9*N9,K10,N10)/SUM(Table18420[weight],Table211521[weight])</f>
        <v>1.7053986418096241</v>
      </c>
      <c r="I16" s="12" t="s">
        <v>49</v>
      </c>
      <c r="J16" s="2" t="s">
        <v>50</v>
      </c>
      <c r="K16" s="8">
        <v>0.25</v>
      </c>
      <c r="L16" s="15" t="s">
        <v>51</v>
      </c>
      <c r="M16" s="16">
        <f>37.7-10.02-6</f>
        <v>21.680000000000003</v>
      </c>
      <c r="S16" t="s">
        <v>31</v>
      </c>
      <c r="T16" s="38"/>
      <c r="U16" s="38"/>
      <c r="V16" s="38"/>
      <c r="W16" s="38"/>
      <c r="X16" s="38"/>
      <c r="Y16" s="38"/>
    </row>
    <row r="17" spans="1:25" ht="15.75" thickBot="1" x14ac:dyDescent="0.3">
      <c r="G17" s="11" t="s">
        <v>9</v>
      </c>
      <c r="H17" s="24">
        <f>SUM(B2*C2,B3*C3,B4*C4,B5*C5,B6*C6,B7*C7,B8*C8,B9*C9,B10*C10,B11*C11,B12*C12,B13*C13,B14*C14,K2*L2,K3*L3,K4*L4,K5*L5,K6*L6,K7*L7,K8*L8,K9*L9,K10*L10)/SUM(Table18420[weight],Table211521[weight])</f>
        <v>13.257743479310317</v>
      </c>
      <c r="I17" s="12" t="s">
        <v>49</v>
      </c>
      <c r="J17" s="2" t="s">
        <v>52</v>
      </c>
      <c r="K17" s="8">
        <v>35.979999999999997</v>
      </c>
      <c r="L17" s="6" t="s">
        <v>53</v>
      </c>
      <c r="M17" s="7"/>
      <c r="S17" t="s">
        <v>97</v>
      </c>
      <c r="T17" s="38" t="s">
        <v>93</v>
      </c>
      <c r="U17" s="38"/>
      <c r="V17" s="38"/>
      <c r="W17" s="38"/>
      <c r="X17" s="38"/>
      <c r="Y17" s="38"/>
    </row>
    <row r="18" spans="1:25" ht="15.75" thickBot="1" x14ac:dyDescent="0.3">
      <c r="G18" s="22" t="s">
        <v>98</v>
      </c>
      <c r="H18" s="32">
        <f>SUM(B2*C2,B3*C3,B4*C4,B5*C5,B6*C6,B7*C7,B8*C8,B9*C9,B10*C10,B11*C11,B12*C12,B13*C13,B14*C14)/SUM(B2:B14)</f>
        <v>8.5587757817697927</v>
      </c>
      <c r="I18" s="33" t="s">
        <v>49</v>
      </c>
      <c r="J18" s="28" t="s">
        <v>56</v>
      </c>
      <c r="K18" s="9">
        <v>10</v>
      </c>
      <c r="L18" s="2" t="s">
        <v>57</v>
      </c>
      <c r="M18" s="8"/>
      <c r="T18" s="36" t="s">
        <v>14</v>
      </c>
      <c r="U18" s="36" t="s">
        <v>15</v>
      </c>
      <c r="V18" s="36" t="s">
        <v>58</v>
      </c>
      <c r="W18" s="36" t="s">
        <v>17</v>
      </c>
      <c r="X18" s="36" t="s">
        <v>19</v>
      </c>
      <c r="Y18" s="36" t="s">
        <v>18</v>
      </c>
    </row>
    <row r="19" spans="1:25" ht="15.75" thickBot="1" x14ac:dyDescent="0.3">
      <c r="G19" s="23" t="s">
        <v>59</v>
      </c>
      <c r="H19" s="2">
        <v>18</v>
      </c>
      <c r="I19" s="14" t="s">
        <v>49</v>
      </c>
      <c r="J19" s="30" t="s">
        <v>60</v>
      </c>
      <c r="K19" s="10">
        <v>5.13</v>
      </c>
      <c r="L19" s="3" t="s">
        <v>61</v>
      </c>
      <c r="M19" s="9"/>
      <c r="S19" t="s">
        <v>62</v>
      </c>
      <c r="T19" s="36">
        <v>12.5</v>
      </c>
      <c r="U19" s="36">
        <f>2/3*5+K26</f>
        <v>3.333333333333333</v>
      </c>
      <c r="V19" s="36">
        <f>1.1875+5/3</f>
        <v>2.854166666666667</v>
      </c>
      <c r="W19" s="36">
        <f>Table69[[#This Row],[A]]*((Table69[[#This Row],[yT]])^2+(H16-N8)^2)+625/36</f>
        <v>155.54425971857643</v>
      </c>
      <c r="X19" s="36">
        <f>Table69[[#This Row],[A]]*((Table69[[#This Row],[xT]]-H17)^2+(H16-N8)^2)+625/36</f>
        <v>258.68744933395431</v>
      </c>
      <c r="Y19" s="36">
        <f>Table69141823[[#This Row],[A]]*((Table69141823[[#This Row],[yT]])^2+(Table69141823[[#This Row],[xT]]-H17)^2)</f>
        <v>1333.0023013335256</v>
      </c>
    </row>
    <row r="20" spans="1:25" ht="15.75" thickBot="1" x14ac:dyDescent="0.3">
      <c r="A20" t="s">
        <v>63</v>
      </c>
      <c r="B20" t="s">
        <v>64</v>
      </c>
      <c r="G20" s="42" t="s">
        <v>65</v>
      </c>
      <c r="H20" s="32">
        <f>SUM(Table18420[Ixx],Table211521[Ixx])</f>
        <v>22.260347828207159</v>
      </c>
      <c r="I20" s="33" t="s">
        <v>66</v>
      </c>
      <c r="J20" s="29" t="s">
        <v>67</v>
      </c>
      <c r="K20" s="8">
        <v>7</v>
      </c>
      <c r="L20" s="6" t="s">
        <v>68</v>
      </c>
      <c r="M20" s="7"/>
      <c r="O20" s="13"/>
      <c r="T20" s="36">
        <v>5</v>
      </c>
      <c r="U20" s="36">
        <f>0.5+5+K26</f>
        <v>5.5</v>
      </c>
      <c r="V20" s="36">
        <f>1.1875+2.5</f>
        <v>3.6875</v>
      </c>
      <c r="W20" s="36">
        <f>Table69[[#This Row],[A]]*((Table69[[#This Row],[yT]])^2+(H16-N8)^2)+5/12</f>
        <v>82.946870554097217</v>
      </c>
      <c r="X20" s="36">
        <f>Table69[[#This Row],[A]]*((Table69[[#This Row],[xT]]-H17)^2+(H16-N8)^2)+5^3/12</f>
        <v>42.682204348524813</v>
      </c>
      <c r="Y20" s="36">
        <f>Table69141823[[#This Row],[A]]*((Table69141823[[#This Row],[yT]])^2+(Table69141823[[#This Row],[xT]]-H17)^2)</f>
        <v>368.90120070390878</v>
      </c>
    </row>
    <row r="21" spans="1:25" x14ac:dyDescent="0.25">
      <c r="G21" s="43" t="s">
        <v>69</v>
      </c>
      <c r="H21" s="31">
        <f>SUM(Table18420[Iyy],Table211521[Iyy])</f>
        <v>198.24655787136081</v>
      </c>
      <c r="I21" s="35" t="s">
        <v>66</v>
      </c>
      <c r="J21" s="29" t="s">
        <v>70</v>
      </c>
      <c r="K21" s="8">
        <v>0.25</v>
      </c>
      <c r="L21" s="2" t="s">
        <v>71</v>
      </c>
      <c r="M21" s="8">
        <v>5</v>
      </c>
      <c r="T21" s="36">
        <v>12.5</v>
      </c>
      <c r="U21" s="36">
        <f>2/3*5+K26</f>
        <v>3.333333333333333</v>
      </c>
      <c r="V21" s="36">
        <f>-5/3-1.1875</f>
        <v>-2.854166666666667</v>
      </c>
      <c r="W21" s="36">
        <f>Table69[[#This Row],[A]]*((Table69[[#This Row],[yT]])^2+(H16-N8)^2)+625/36</f>
        <v>155.54425971857643</v>
      </c>
      <c r="X21" s="36">
        <f>Table69[[#This Row],[A]]*((Table69[[#This Row],[xT]]-H17)^2+(H16-N8)^2)+625/36</f>
        <v>258.68744933395431</v>
      </c>
      <c r="Y21" s="36">
        <f>Table69141823[[#This Row],[A]]*((Table69141823[[#This Row],[yT]])^2+(Table69141823[[#This Row],[xT]]-H17)^2)</f>
        <v>1333.0023013335256</v>
      </c>
    </row>
    <row r="22" spans="1:25" ht="15.75" thickBot="1" x14ac:dyDescent="0.3">
      <c r="A22" t="s">
        <v>73</v>
      </c>
      <c r="B22" s="44">
        <v>1</v>
      </c>
      <c r="G22" s="25" t="s">
        <v>74</v>
      </c>
      <c r="H22" s="39">
        <f>SUM(Table18420[Izz],Table211521[Izz])</f>
        <v>133.16972829328958</v>
      </c>
      <c r="I22" s="40" t="s">
        <v>66</v>
      </c>
      <c r="J22" s="28" t="s">
        <v>75</v>
      </c>
      <c r="K22" s="9">
        <f>K13-K20</f>
        <v>24.92</v>
      </c>
      <c r="L22" s="2" t="s">
        <v>76</v>
      </c>
      <c r="M22" s="8">
        <v>1</v>
      </c>
      <c r="P22">
        <f>0.36/40</f>
        <v>8.9999999999999993E-3</v>
      </c>
      <c r="Q22" t="s">
        <v>99</v>
      </c>
      <c r="T22" s="36">
        <v>5</v>
      </c>
      <c r="U22" s="36">
        <f>0.5+5+K26</f>
        <v>5.5</v>
      </c>
      <c r="V22" s="36">
        <f>-1.1875-2.5</f>
        <v>-3.6875</v>
      </c>
      <c r="W22" s="36">
        <f>Table69[[#This Row],[A]]*((Table69[[#This Row],[yT]])^2+(H16-N8)^2)+5/12</f>
        <v>82.946870554097217</v>
      </c>
      <c r="X22" s="36">
        <f>Table69[[#This Row],[A]]*((Table69[[#This Row],[xT]]-H17)^2+(H16-N8)^2)+5^3/12</f>
        <v>42.682204348524813</v>
      </c>
      <c r="Y22" s="36"/>
    </row>
    <row r="23" spans="1:25" ht="16.5" thickTop="1" thickBot="1" x14ac:dyDescent="0.3">
      <c r="C23" s="37" t="s">
        <v>77</v>
      </c>
      <c r="G23" s="18" t="s">
        <v>65</v>
      </c>
      <c r="H23" s="32">
        <f>H20/144</f>
        <v>0.15458574880699416</v>
      </c>
      <c r="I23" s="33" t="s">
        <v>101</v>
      </c>
      <c r="J23" s="30" t="s">
        <v>79</v>
      </c>
      <c r="K23" s="10">
        <v>4.375</v>
      </c>
      <c r="L23" s="1" t="s">
        <v>80</v>
      </c>
      <c r="M23" s="10"/>
      <c r="P23">
        <f>0.61/33.5</f>
        <v>1.8208955223880597E-2</v>
      </c>
      <c r="Q23" t="s">
        <v>99</v>
      </c>
      <c r="T23" s="48">
        <f>(T19*U19+T20*U20+T21*U21+T22*U22)/(T19+T20+T21+T22)</f>
        <v>3.9523809523809517</v>
      </c>
      <c r="U23" s="48"/>
      <c r="V23" s="48"/>
      <c r="W23" s="48"/>
      <c r="X23" s="48"/>
      <c r="Y23" s="48"/>
    </row>
    <row r="24" spans="1:25" ht="16.5" thickTop="1" thickBot="1" x14ac:dyDescent="0.3">
      <c r="B24" s="37" t="s">
        <v>81</v>
      </c>
      <c r="C24" s="37" t="s">
        <v>82</v>
      </c>
      <c r="D24" s="37" t="s">
        <v>83</v>
      </c>
      <c r="G24" s="18" t="s">
        <v>69</v>
      </c>
      <c r="H24" s="34">
        <f>H21/144</f>
        <v>1.3767122074400056</v>
      </c>
      <c r="I24" s="35" t="s">
        <v>101</v>
      </c>
      <c r="J24" s="29" t="s">
        <v>85</v>
      </c>
      <c r="K24" s="8">
        <v>9.9</v>
      </c>
      <c r="L24" s="2" t="s">
        <v>86</v>
      </c>
      <c r="M24" s="8"/>
      <c r="O24" t="s">
        <v>103</v>
      </c>
      <c r="P24">
        <f>29.375*P23</f>
        <v>0.53488805970149256</v>
      </c>
      <c r="S24" t="s">
        <v>97</v>
      </c>
      <c r="T24" s="36" t="s">
        <v>21</v>
      </c>
      <c r="U24" s="36"/>
      <c r="V24" s="36"/>
      <c r="W24" s="36"/>
      <c r="X24" s="36"/>
      <c r="Y24" s="36"/>
    </row>
    <row r="25" spans="1:25" ht="16.5" thickTop="1" thickBot="1" x14ac:dyDescent="0.3">
      <c r="C25" s="37" t="s">
        <v>87</v>
      </c>
      <c r="G25" s="23" t="s">
        <v>74</v>
      </c>
      <c r="H25" s="3">
        <f>H22/144</f>
        <v>0.92478977981451094</v>
      </c>
      <c r="I25" s="41" t="s">
        <v>101</v>
      </c>
      <c r="J25" s="29" t="s">
        <v>89</v>
      </c>
      <c r="K25" s="8">
        <v>0.25</v>
      </c>
      <c r="L25" s="2" t="s">
        <v>90</v>
      </c>
      <c r="M25" s="8"/>
      <c r="O25" t="s">
        <v>105</v>
      </c>
      <c r="P25">
        <f>26*2*P22</f>
        <v>0.46799999999999997</v>
      </c>
      <c r="T25" s="36" t="s">
        <v>14</v>
      </c>
      <c r="U25" s="36" t="s">
        <v>15</v>
      </c>
      <c r="V25" s="36" t="s">
        <v>58</v>
      </c>
      <c r="W25" s="36" t="s">
        <v>17</v>
      </c>
      <c r="X25" s="36" t="s">
        <v>19</v>
      </c>
      <c r="Y25" s="36" t="s">
        <v>18</v>
      </c>
    </row>
    <row r="26" spans="1:25" ht="16.5" thickTop="1" thickBot="1" x14ac:dyDescent="0.3">
      <c r="B26">
        <v>2</v>
      </c>
      <c r="G26" s="25" t="s">
        <v>91</v>
      </c>
      <c r="H26" s="6">
        <f>SUM(Table18420[weight],Table211521[weight])</f>
        <v>1.7749303263020835</v>
      </c>
      <c r="I26" s="12" t="s">
        <v>92</v>
      </c>
      <c r="J26" s="4" t="s">
        <v>75</v>
      </c>
      <c r="K26" s="9">
        <v>0</v>
      </c>
      <c r="L26" s="3" t="s">
        <v>75</v>
      </c>
      <c r="M26" s="9"/>
      <c r="S26" t="s">
        <v>62</v>
      </c>
      <c r="T26" s="36">
        <f>K17/2*K17/2/2</f>
        <v>161.82004999999998</v>
      </c>
      <c r="U26" s="36">
        <f>K18+K17/2*2/3</f>
        <v>21.993333333333332</v>
      </c>
      <c r="V26" s="36">
        <f>K17/2/3</f>
        <v>5.9966666666666661</v>
      </c>
      <c r="W26" s="36">
        <f>Table9151924[[#This Row],[A]]*((Table9151924[[#This Row],[yT]])^2+(H16-N3)^2)+(18^3)*17.84/36</f>
        <v>8763.6419160918122</v>
      </c>
      <c r="X26" s="36">
        <f>Table9151924[[#This Row],[A]]*((Table9151924[[#This Row],[xT]]-H17)^2+(H16-N3)^2)+18*17.84^3/36</f>
        <v>15242.014068029168</v>
      </c>
      <c r="Y26" s="36"/>
    </row>
    <row r="27" spans="1:25" ht="16.5" thickTop="1" thickBot="1" x14ac:dyDescent="0.3">
      <c r="C27" s="37" t="s">
        <v>81</v>
      </c>
      <c r="S27" t="s">
        <v>62</v>
      </c>
      <c r="T27" s="36">
        <f>K17/2*(K13-K17/2-K18)/2</f>
        <v>35.350350000000027</v>
      </c>
      <c r="U27" s="36">
        <f>K18+K17/2+(K13-K18-K17/2)/3</f>
        <v>29.3</v>
      </c>
      <c r="V27" s="36">
        <f>V26</f>
        <v>5.9966666666666661</v>
      </c>
      <c r="W27" s="36">
        <f>Table9151924[[#This Row],[A]]*((Table9151924[[#This Row],[yT]])^2+(H16-N3)^2)+(18^3)*3.82/36</f>
        <v>1901.9471890072728</v>
      </c>
      <c r="X27" s="36">
        <f>Table9151924[[#This Row],[A]]*((Table9151924[[#This Row],[xT]]-H17)^2+(H16-N3)^2)+18*3.82^3/36</f>
        <v>9137.3334657664454</v>
      </c>
      <c r="Y27" s="36"/>
    </row>
    <row r="28" spans="1:25" ht="16.5" thickTop="1" thickBot="1" x14ac:dyDescent="0.3">
      <c r="C28" s="37" t="s">
        <v>77</v>
      </c>
      <c r="S28" t="s">
        <v>72</v>
      </c>
      <c r="T28" s="36">
        <f>K17/2*(K13-K17/2-K18)/2</f>
        <v>35.350350000000027</v>
      </c>
      <c r="U28" s="36">
        <f>U27</f>
        <v>29.3</v>
      </c>
      <c r="V28" s="36">
        <f>-1*V26</f>
        <v>-5.9966666666666661</v>
      </c>
      <c r="W28" s="36">
        <f>Table9151924[[#This Row],[A]]*((Table9151924[[#This Row],[yT]])^2+(H16-N3)^2)+(18^3)*3.82/36</f>
        <v>1901.9471890072728</v>
      </c>
      <c r="X28" s="36">
        <f>Table9151924[[#This Row],[A]]*((Table9151924[[#This Row],[xT]]-H17)^2+(H16-N3)^2)+18*3.82^3/36</f>
        <v>9137.3334657664454</v>
      </c>
      <c r="Y28" s="36"/>
    </row>
    <row r="29" spans="1:25" ht="16.5" thickTop="1" thickBot="1" x14ac:dyDescent="0.3">
      <c r="C29" s="37" t="s">
        <v>82</v>
      </c>
      <c r="J29">
        <f>(17.84*18+18*3.82)*0.25*P13</f>
        <v>0.366640625</v>
      </c>
      <c r="S29" t="s">
        <v>72</v>
      </c>
      <c r="T29" s="36">
        <f>K17/2*K17/2/2</f>
        <v>161.82004999999998</v>
      </c>
      <c r="U29" s="36">
        <f>U26</f>
        <v>21.993333333333332</v>
      </c>
      <c r="V29" s="36">
        <f>-1*V27</f>
        <v>-5.9966666666666661</v>
      </c>
      <c r="W29" s="36">
        <f>Table9151924[[#This Row],[A]]*((Table9151924[[#This Row],[yT]])^2+(H16-N3)^2)+(18^3)*17.84/36</f>
        <v>8763.6419160918122</v>
      </c>
      <c r="X29" s="36">
        <f>Table9151924[[#This Row],[A]]*((Table9151924[[#This Row],[xT]]-H17)^2+(H16-N3)^2)+18*17.84^3/36</f>
        <v>15242.014068029168</v>
      </c>
      <c r="Y29" s="36"/>
    </row>
    <row r="30" spans="1:25" ht="16.5" thickTop="1" thickBot="1" x14ac:dyDescent="0.3">
      <c r="C30" s="37" t="s">
        <v>87</v>
      </c>
    </row>
    <row r="31" spans="1:25" ht="16.5" thickTop="1" thickBot="1" x14ac:dyDescent="0.3">
      <c r="C31" s="37" t="s">
        <v>83</v>
      </c>
    </row>
    <row r="32" spans="1:25" ht="16.5" thickTop="1" thickBot="1" x14ac:dyDescent="0.3">
      <c r="B32" s="46">
        <v>3</v>
      </c>
    </row>
    <row r="33" spans="2:6" ht="16.5" thickTop="1" thickBot="1" x14ac:dyDescent="0.3">
      <c r="B33" s="45" t="s">
        <v>81</v>
      </c>
      <c r="C33" s="37" t="s">
        <v>77</v>
      </c>
      <c r="D33" s="37" t="s">
        <v>82</v>
      </c>
      <c r="E33" s="37" t="s">
        <v>87</v>
      </c>
      <c r="F33" s="37" t="s">
        <v>83</v>
      </c>
    </row>
    <row r="34" spans="2:6" ht="16.5" thickTop="1" thickBot="1" x14ac:dyDescent="0.3">
      <c r="B34">
        <v>4</v>
      </c>
    </row>
    <row r="35" spans="2:6" ht="16.5" thickTop="1" thickBot="1" x14ac:dyDescent="0.3">
      <c r="C35" s="37" t="s">
        <v>81</v>
      </c>
    </row>
    <row r="36" spans="2:6" ht="16.5" thickTop="1" thickBot="1" x14ac:dyDescent="0.3">
      <c r="B36" s="37" t="s">
        <v>77</v>
      </c>
      <c r="C36" s="37" t="s">
        <v>82</v>
      </c>
      <c r="D36" s="37" t="s">
        <v>87</v>
      </c>
    </row>
    <row r="37" spans="2:6" ht="16.5" thickTop="1" thickBot="1" x14ac:dyDescent="0.3">
      <c r="C37" s="37" t="s">
        <v>83</v>
      </c>
    </row>
    <row r="38" spans="2:6" ht="15.75" thickTop="1" x14ac:dyDescent="0.25"/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Y38"/>
  <sheetViews>
    <sheetView topLeftCell="H1" workbookViewId="0">
      <selection activeCell="K3" sqref="K3"/>
    </sheetView>
  </sheetViews>
  <sheetFormatPr defaultColWidth="8.85546875" defaultRowHeight="15" x14ac:dyDescent="0.25"/>
  <cols>
    <col min="1" max="1" width="14.42578125" customWidth="1"/>
    <col min="6" max="6" width="9" customWidth="1"/>
    <col min="7" max="7" width="8.42578125" customWidth="1"/>
    <col min="10" max="10" width="13.140625" customWidth="1"/>
    <col min="12" max="12" width="11.855468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1</v>
      </c>
      <c r="L1" t="s">
        <v>9</v>
      </c>
      <c r="M1" t="s">
        <v>10</v>
      </c>
      <c r="N1" t="s">
        <v>11</v>
      </c>
      <c r="O1" t="s">
        <v>5</v>
      </c>
      <c r="P1" t="s">
        <v>6</v>
      </c>
      <c r="Q1" t="s">
        <v>7</v>
      </c>
      <c r="T1" s="36" t="s">
        <v>12</v>
      </c>
      <c r="U1" s="36"/>
      <c r="V1" s="36"/>
      <c r="W1" s="36"/>
      <c r="X1" s="36"/>
      <c r="Y1" s="36"/>
    </row>
    <row r="2" spans="1:25" x14ac:dyDescent="0.25">
      <c r="A2" t="s">
        <v>94</v>
      </c>
      <c r="B2">
        <f>1.77/16</f>
        <v>0.110625</v>
      </c>
      <c r="C2">
        <v>-0.5</v>
      </c>
      <c r="D2">
        <v>0</v>
      </c>
      <c r="E2">
        <f>2</f>
        <v>2</v>
      </c>
      <c r="F2">
        <f>Table1842026[[#This Row],[weight]]*(Table1842026[[#This Row],[ypos]]^2+(Table1842026[[#This Row],[zpos]]-H16)^2)</f>
        <v>1.1381304433440003E-2</v>
      </c>
      <c r="G2">
        <f>Table1842026[[#This Row],[weight]]*((Table1842026[[#This Row],[xpos]]-H17)^2+(Table1842026[[#This Row],[zpos]]-H16)^2)</f>
        <v>38.448921538302884</v>
      </c>
      <c r="H2">
        <f>Table1842026[[#This Row],[weight]]*(Table1842026[[#This Row],[xpos]]-H17)^2</f>
        <v>38.437540233869449</v>
      </c>
      <c r="J2" t="s">
        <v>12</v>
      </c>
      <c r="K2">
        <f>K14*K13*K15*P13*3</f>
        <v>0.36020833333333335</v>
      </c>
      <c r="L2">
        <f>K13/2</f>
        <v>15.96</v>
      </c>
      <c r="M2">
        <f>0</f>
        <v>0</v>
      </c>
      <c r="N2">
        <f>K14/2</f>
        <v>2</v>
      </c>
      <c r="O2">
        <f>Table21152127[[#This Row],[weight]]*(Table21152127[[#This Row],[Zcg]]-H16)^2+K13*K14^3/12*K15*P13</f>
        <v>0.19715149158584638</v>
      </c>
      <c r="P2">
        <f>Table21152127[[#This Row],[weight]]*(((Table21152127[[#This Row],[Zcg]]-H16)^2+(Table21152127[[#This Row],[Xcg]]-H17)^2)+K15*K14^3/12)</f>
        <v>2.2295442591661674</v>
      </c>
      <c r="Q2">
        <f>Table21152127[[#This Row],[weight]]*(Table21152127[[#This Row],[Xcg]]-H17)^2+K13^3*K14/12*K15*P13</f>
        <v>11.906967915728469</v>
      </c>
      <c r="T2" s="36" t="s">
        <v>14</v>
      </c>
      <c r="U2" s="36" t="s">
        <v>15</v>
      </c>
      <c r="V2" s="36" t="s">
        <v>16</v>
      </c>
      <c r="W2" s="36" t="s">
        <v>17</v>
      </c>
      <c r="X2" s="36" t="s">
        <v>18</v>
      </c>
      <c r="Y2" s="36" t="s">
        <v>19</v>
      </c>
    </row>
    <row r="3" spans="1:25" x14ac:dyDescent="0.25">
      <c r="A3" t="s">
        <v>20</v>
      </c>
      <c r="B3">
        <v>1.2</v>
      </c>
      <c r="C3">
        <v>18</v>
      </c>
      <c r="D3">
        <v>0</v>
      </c>
      <c r="E3">
        <v>2</v>
      </c>
      <c r="F3">
        <f>Table1842026[[#This Row],[weight]]*(Table1842026[[#This Row],[ypos]]^2+(Table1842026[[#This Row],[zpos]]-H16)^2)</f>
        <v>0.123458217583078</v>
      </c>
      <c r="G3">
        <f>Table1842026[[#This Row],[weight]]*((Table1842026[[#This Row],[xpos]]-H17)^2+(Table1842026[[#This Row],[zpos]]-H16)^2)</f>
        <v>0.14705390328453502</v>
      </c>
      <c r="H3">
        <f>Table1842026[[#This Row],[weight]]*(Table1842026[[#This Row],[xpos]]^2+Table1842026[[#This Row],[ypos]]^2)</f>
        <v>388.8</v>
      </c>
      <c r="J3" t="s">
        <v>21</v>
      </c>
      <c r="K3">
        <f>0.375</f>
        <v>0.375</v>
      </c>
      <c r="L3">
        <f>SUM(T26*U26,T27*U27,T28*U28,T29*U29)/SUM(Table915192430[A])</f>
        <v>23.303333333333335</v>
      </c>
      <c r="M3">
        <v>0</v>
      </c>
      <c r="N3">
        <v>1.125</v>
      </c>
      <c r="O3">
        <f>SUM(Table915192430[Ix])*K16*P13</f>
        <v>20.048698394917956</v>
      </c>
      <c r="P3">
        <f>SUM(Table915192430[Iy])*K16*P13</f>
        <v>18.304524235554801</v>
      </c>
      <c r="Q3">
        <v>34.130000000000003</v>
      </c>
      <c r="T3" s="36"/>
      <c r="U3" s="36"/>
      <c r="V3" s="36"/>
      <c r="W3" s="36">
        <f>Table512162531[[#This Row],[A]]*(Table512162531[[#This Row],[zT]]-H16)^2+124.587</f>
        <v>124.587</v>
      </c>
      <c r="X3" s="36">
        <f>Table512162531[[#This Row],[A]]*(Table512162531[[#This Row],[xT]]-H17)^2+4249.1</f>
        <v>4249.1000000000004</v>
      </c>
      <c r="Y3" s="36" t="e">
        <f>Table512162531[[#This Row],[A]]*((Table512162531[[#This Row],[zT]]-U11)^2+(Table512162531[[#This Row],[xT]]-H17)^2)</f>
        <v>#DIV/0!</v>
      </c>
    </row>
    <row r="4" spans="1:25" x14ac:dyDescent="0.25">
      <c r="A4" t="s">
        <v>22</v>
      </c>
      <c r="B4">
        <f>6/16</f>
        <v>0.375</v>
      </c>
      <c r="C4">
        <f>C5-3</f>
        <v>15</v>
      </c>
      <c r="D4">
        <v>0</v>
      </c>
      <c r="E4">
        <v>0.75</v>
      </c>
      <c r="F4">
        <f>Table1842026[[#This Row],[weight]]*(Table1842026[[#This Row],[ypos]]^2+(Table1842026[[#This Row],[zpos]]-H16)^2)</f>
        <v>0.32381318936764225</v>
      </c>
      <c r="G4">
        <f>Table1842026[[#This Row],[weight]]*((Table1842026[[#This Row],[xpos]]-H17)^2+(Table1842026[[#This Row],[zpos]]-H16)^2)</f>
        <v>4.0216932579668541</v>
      </c>
      <c r="H4">
        <f>Table1842026[[#This Row],[weight]]*((Table1842026[[#This Row],[xpos]]-H17)^2+Table1842026[[#This Row],[ypos]]^2)</f>
        <v>3.6978800685992113</v>
      </c>
      <c r="J4" t="s">
        <v>23</v>
      </c>
      <c r="K4">
        <f>((K20-4.11)*K19/2+K19*4.1)*K21*P13</f>
        <v>2.6750292968749995E-2</v>
      </c>
      <c r="L4">
        <f>(T14*U14+T15*U15)/(T14+T15)</f>
        <v>29.079852985298533</v>
      </c>
      <c r="M4">
        <v>0</v>
      </c>
      <c r="N4">
        <f>(T14*V14+T15*V15)/(T14+T15)</f>
        <v>6.3425922592259223</v>
      </c>
      <c r="O4">
        <f>SUM(Table613172228[Ix])*K21*P13</f>
        <v>0.64022744326017911</v>
      </c>
      <c r="P4">
        <f>SUM(Table613172228[Iy])*K21*P13</f>
        <v>3.8406672131954771</v>
      </c>
      <c r="Q4">
        <f>SUM(Table613172228[Iz])*K21*P13</f>
        <v>3.2852603069687185</v>
      </c>
      <c r="T4" s="36"/>
      <c r="U4" s="36"/>
      <c r="V4" s="36"/>
      <c r="W4" s="36">
        <f>Table512162531[[#This Row],[A]]*(Table512162531[[#This Row],[zT]]-H16)^2+14.90625</f>
        <v>14.90625</v>
      </c>
      <c r="X4" s="36">
        <f>Table512162531[[#This Row],[A]]*(Table512162531[[#This Row],[xT]]-H17)^2+72.6938</f>
        <v>72.693799999999996</v>
      </c>
      <c r="Y4" s="36" t="e">
        <f>Table512162531[[#This Row],[A]]*((Table512162531[[#This Row],[zT]]-U11)^2+(Table512162531[[#This Row],[xT]]-H17)^2)</f>
        <v>#DIV/0!</v>
      </c>
    </row>
    <row r="5" spans="1:25" x14ac:dyDescent="0.25">
      <c r="A5" t="s">
        <v>24</v>
      </c>
      <c r="B5">
        <f>B4</f>
        <v>0.375</v>
      </c>
      <c r="C5">
        <v>18</v>
      </c>
      <c r="D5">
        <v>0</v>
      </c>
      <c r="E5">
        <f>E4</f>
        <v>0.75</v>
      </c>
      <c r="F5">
        <f>Table1842026[[#This Row],[weight]]*(Table1842026[[#This Row],[ypos]]^2+(Table1842026[[#This Row],[zpos]]-H16)^2)</f>
        <v>0.32381318936764225</v>
      </c>
      <c r="G5">
        <f>Table1842026[[#This Row],[weight]]*((Table1842026[[#This Row],[xpos]]-H17)^2+(Table1842026[[#This Row],[zpos]]-H16)^2)</f>
        <v>0.33118684114934754</v>
      </c>
      <c r="H5">
        <f>Table1842026[[#This Row],[weight]]*((Table1842026[[#This Row],[xpos]]-H17)^2+Table1842026[[#This Row],[ypos]]^2)</f>
        <v>7.373651781705317E-3</v>
      </c>
      <c r="J5" t="s">
        <v>93</v>
      </c>
      <c r="K5">
        <f>0.94/16</f>
        <v>5.8749999999999997E-2</v>
      </c>
      <c r="L5">
        <f>2*K23/3+K26</f>
        <v>2.9166666666666665</v>
      </c>
      <c r="M5">
        <v>0</v>
      </c>
      <c r="N5">
        <v>2</v>
      </c>
      <c r="O5">
        <f>SUM(Table6914182329[Ix])*K25*P13*2</f>
        <v>0.8912756106590809</v>
      </c>
      <c r="P5">
        <f>SUM(Table6914182329[Iy])*K25*P13*2</f>
        <v>4.9020853917965388</v>
      </c>
      <c r="Q5">
        <f>SUM(Table6914182329[Iz])*2*P13*K25</f>
        <v>12.322206651697501</v>
      </c>
      <c r="T5" s="36"/>
      <c r="U5" s="36"/>
      <c r="V5" s="36"/>
      <c r="W5" s="36">
        <f>Table512162531[[#This Row],[A]]*(Table512162531[[#This Row],[zT]]-H16)^2+0.46794</f>
        <v>0.46794000000000002</v>
      </c>
      <c r="X5" s="36" t="e">
        <f>Table512162531[[#This Row],[A]]*(Table512162531[[#This Row],[xT]]-T11)^2+2.4754</f>
        <v>#DIV/0!</v>
      </c>
      <c r="Y5" s="36" t="e">
        <f>Table512162531[[#This Row],[A]]*((Table512162531[[#This Row],[zT]]-U11)^2+(Table512162531[[#This Row],[xT]]-H17)^2)</f>
        <v>#DIV/0!</v>
      </c>
    </row>
    <row r="6" spans="1:25" x14ac:dyDescent="0.25">
      <c r="A6" t="s">
        <v>26</v>
      </c>
      <c r="B6">
        <f>B4</f>
        <v>0.375</v>
      </c>
      <c r="C6">
        <f>C5+3</f>
        <v>21</v>
      </c>
      <c r="D6">
        <v>0</v>
      </c>
      <c r="E6">
        <f>E4</f>
        <v>0.75</v>
      </c>
      <c r="F6">
        <f>Table1842026[[#This Row],[weight]]*(Table1842026[[#This Row],[ypos]]^2+(Table1842026[[#This Row],[zpos]]-H16)^2)</f>
        <v>0.32381318936764225</v>
      </c>
      <c r="G6">
        <f>Table1842026[[#This Row],[weight]]*((Table1842026[[#This Row],[xpos]]-H17)^2+(Table1842026[[#This Row],[zpos]]-H16)^2)</f>
        <v>3.3906804243318418</v>
      </c>
      <c r="H6">
        <f>Table1842026[[#This Row],[weight]]*((Table1842026[[#This Row],[xpos]]-H17)^2+Table1842026[[#This Row],[ypos]]^2)</f>
        <v>3.0668672349641994</v>
      </c>
      <c r="J6" t="s">
        <v>111</v>
      </c>
      <c r="K6">
        <f>0.28/16</f>
        <v>1.7500000000000002E-2</v>
      </c>
      <c r="L6">
        <f>K13-4</f>
        <v>27.92</v>
      </c>
      <c r="M6">
        <v>4.75</v>
      </c>
      <c r="N6">
        <v>1.5</v>
      </c>
      <c r="O6">
        <f>Table21152127[[#This Row],[weight]]*(Table21152127[[#This Row],[Ycg]]^2+(Table21152127[[#This Row],[Zcg]]-H16)^2)</f>
        <v>0.39540602227204796</v>
      </c>
      <c r="P6">
        <f>Table21152127[[#This Row],[weight]]*((Table21152127[[#This Row],[Xcg]]-H17)^2+(Table21152127[[#This Row],[Zcg]]-H16)^2)</f>
        <v>1.6743322302800669</v>
      </c>
      <c r="Q6">
        <f>Table21152127[[#This Row],[weight]]*(Table21152127[[#This Row],[Xcg]]-H17)^2</f>
        <v>1.673769958008019</v>
      </c>
      <c r="T6" s="36"/>
      <c r="U6" s="36"/>
      <c r="V6" s="36"/>
      <c r="W6" s="36">
        <f>Table512162531[[#This Row],[A]]*(Table512162531[[#This Row],[zT]]-H16)^2+9.5/36</f>
        <v>0.2638888888888889</v>
      </c>
      <c r="X6" s="36">
        <f>Table512162531[[#This Row],[A]]*(H17-Table512162531[[#This Row],[xT]])^2+23.81597</f>
        <v>23.81597</v>
      </c>
      <c r="Y6" s="36" t="e">
        <f>Table512162531[[#This Row],[A]]*((Table512162531[[#This Row],[zT]]-U11)^2+(Table512162531[[#This Row],[xT]]-H17)^2)</f>
        <v>#DIV/0!</v>
      </c>
    </row>
    <row r="7" spans="1:25" x14ac:dyDescent="0.25">
      <c r="A7" t="s">
        <v>28</v>
      </c>
      <c r="B7">
        <f>6/16</f>
        <v>0.375</v>
      </c>
      <c r="C7">
        <f>C5</f>
        <v>18</v>
      </c>
      <c r="D7">
        <v>-3</v>
      </c>
      <c r="E7">
        <f>E4</f>
        <v>0.75</v>
      </c>
      <c r="F7">
        <f>Table1842026[[#This Row],[weight]]*(Table1842026[[#This Row],[ypos]]^2+(Table1842026[[#This Row],[zpos]]-H16)^2)</f>
        <v>3.6988131893676424</v>
      </c>
      <c r="G7">
        <f>Table1842026[[#This Row],[weight]]*((Table1842026[[#This Row],[xpos]]-H17)^2+(Table1842026[[#This Row],[zpos]]-H16)^2)</f>
        <v>0.33118684114934754</v>
      </c>
      <c r="H7">
        <f>Table1842026[[#This Row],[weight]]*((Table1842026[[#This Row],[xpos]]-H17)^2+Table1842026[[#This Row],[ypos]]^2)</f>
        <v>3.3823736517817053</v>
      </c>
      <c r="J7" t="s">
        <v>107</v>
      </c>
      <c r="K7">
        <v>1.4846699999999999E-2</v>
      </c>
      <c r="L7">
        <v>3.6875</v>
      </c>
      <c r="M7">
        <v>0</v>
      </c>
      <c r="N7">
        <v>2</v>
      </c>
      <c r="O7">
        <f>Table21152127[[#This Row],[weight]]*(Table21152127[[#This Row],[Ycg]]^2+(Table21152127[[#This Row],[Zcg]]-H16)^2)</f>
        <v>1.5274559324922367E-3</v>
      </c>
      <c r="P7">
        <f>Table21152127[[#This Row],[weight]]*((Table21152127[[#This Row],[Xcg]]-H17)^2+(Table21152127[[#This Row],[Zcg]]-H16)^2)</f>
        <v>3.102724889487968</v>
      </c>
      <c r="Q7">
        <f>Table21152127[[#This Row],[weight]]*(Table21152127[[#This Row],[Xcg]]-H17)^2</f>
        <v>3.1011974335554759</v>
      </c>
      <c r="T7" s="36"/>
      <c r="U7" s="36"/>
      <c r="V7" s="36"/>
      <c r="W7" s="36">
        <f>Table512162531[[#This Row],[A]]*(Table512162531[[#This Row],[zT]]-H16)^2+0.428</f>
        <v>0.42799999999999999</v>
      </c>
      <c r="X7" s="36">
        <f>Table512162531[[#This Row],[A]]*(H17-Table512162531[[#This Row],[xT]])^2+1.15518</f>
        <v>1.1551800000000001</v>
      </c>
      <c r="Y7" s="36" t="e">
        <f>Table512162531[[#This Row],[A]]*((Table512162531[[#This Row],[zT]]-U11)^2+(Table512162531[[#This Row],[xT]]-H17)^2)</f>
        <v>#DIV/0!</v>
      </c>
    </row>
    <row r="8" spans="1:25" x14ac:dyDescent="0.25">
      <c r="A8" t="s">
        <v>30</v>
      </c>
      <c r="B8">
        <f>B7</f>
        <v>0.375</v>
      </c>
      <c r="C8">
        <f>C5</f>
        <v>18</v>
      </c>
      <c r="D8">
        <v>3</v>
      </c>
      <c r="E8">
        <f>E4</f>
        <v>0.75</v>
      </c>
      <c r="F8">
        <f>Table1842026[[#This Row],[weight]]*(Table1842026[[#This Row],[ypos]]^2+(Table1842026[[#This Row],[zpos]]-H16)^2)</f>
        <v>3.6988131893676424</v>
      </c>
      <c r="G8">
        <f>Table1842026[[#This Row],[weight]]*((Table1842026[[#This Row],[xpos]]-H17)^2+(Table1842026[[#This Row],[zpos]]-H16)^2)</f>
        <v>0.33118684114934754</v>
      </c>
      <c r="H8">
        <f>Table1842026[[#This Row],[weight]]*((Table1842026[[#This Row],[xpos]]-H17)^2+Table1842026[[#This Row],[ypos]]^2)</f>
        <v>3.3823736517817053</v>
      </c>
      <c r="J8" t="s">
        <v>108</v>
      </c>
      <c r="O8">
        <f>Table21152127[[#This Row],[weight]]*(Table21152127[[#This Row],[Ycg]]^2+(Table21152127[[#This Row],[Zcg]]-H16)^2)</f>
        <v>0</v>
      </c>
      <c r="P8">
        <f>Table21152127[[#This Row],[weight]]*((Table21152127[[#This Row],[Xcg]]-H17)^2+(Table21152127[[#This Row],[Zcg]]-H16)^2)</f>
        <v>0</v>
      </c>
      <c r="Q8">
        <f>Table21152127[[#This Row],[weight]]*(Table21152127[[#This Row],[Xcg]]-H17)^2</f>
        <v>0</v>
      </c>
      <c r="T8" s="36"/>
      <c r="U8" s="36"/>
      <c r="V8" s="36"/>
      <c r="W8" s="36">
        <f>Table512162531[[#This Row],[A]]*(Table512162531[[#This Row],[zT]]-H16)^2+6.489</f>
        <v>6.4889999999999999</v>
      </c>
      <c r="X8" s="36">
        <f>Table512162531[[#This Row],[A]]*(Table512162531[[#This Row],[xT]]-H17)^2+5.40301</f>
        <v>5.4030100000000001</v>
      </c>
      <c r="Y8" s="36" t="e">
        <f>Table512162531[[#This Row],[A]]*((Table512162531[[#This Row],[zT]]-U11)^2+(Table512162531[[#This Row],[xT]]-H17)^2)</f>
        <v>#DIV/0!</v>
      </c>
    </row>
    <row r="9" spans="1:25" x14ac:dyDescent="0.25">
      <c r="A9" t="s">
        <v>112</v>
      </c>
      <c r="B9">
        <v>0.01</v>
      </c>
      <c r="C9">
        <v>4</v>
      </c>
      <c r="E9">
        <v>1.25</v>
      </c>
      <c r="F9">
        <f>Table1842026[[#This Row],[weight]]*(Table1842026[[#This Row],[ypos]]^2+(Table1842026[[#This Row],[zpos]]-H16)^2)</f>
        <v>1.8425384218258695E-3</v>
      </c>
      <c r="G9">
        <f>Table1842026[[#This Row],[weight]]*((Table1842026[[#This Row],[xpos]]-H17)^2+(Table1842026[[#This Row],[zpos]]-H16)^2)</f>
        <v>2.0013021898955166</v>
      </c>
      <c r="H9">
        <f>Table1842026[[#This Row],[weight]]*((Table1842026[[#This Row],[xpos]]-H17)^2+Table1842026[[#This Row],[ypos]]^2)</f>
        <v>1.9994596514736906</v>
      </c>
      <c r="J9" t="s">
        <v>109</v>
      </c>
      <c r="L9">
        <f>K13+1.5</f>
        <v>33.42</v>
      </c>
      <c r="O9">
        <f>Table21152127[[#This Row],[weight]]*(Table21152127[[#This Row],[Ycg]]^2+(Table21152127[[#This Row],[Zcg]]-H16)^2)</f>
        <v>0</v>
      </c>
      <c r="P9">
        <f>Table21152127[[#This Row],[weight]]*((Table21152127[[#This Row],[Xcg]]-H17)^2+(Table21152127[[#This Row],[Zcg]]-H16)^2)</f>
        <v>0</v>
      </c>
      <c r="Q9">
        <f>Table21152127[[#This Row],[weight]]*(Table21152127[[#This Row],[Xcg]]-H17)^2</f>
        <v>0</v>
      </c>
      <c r="T9" s="36"/>
      <c r="U9" s="36"/>
      <c r="V9" s="36"/>
      <c r="W9" s="36"/>
      <c r="X9" s="36"/>
      <c r="Y9" s="36"/>
    </row>
    <row r="10" spans="1:25" x14ac:dyDescent="0.25">
      <c r="A10" t="s">
        <v>113</v>
      </c>
      <c r="B10">
        <f>0.158/16</f>
        <v>9.8750000000000001E-3</v>
      </c>
      <c r="C10">
        <v>27</v>
      </c>
      <c r="E10">
        <v>1.25</v>
      </c>
      <c r="F10">
        <f>Table1842026[[#This Row],[weight]]*(Table1842026[[#This Row],[ypos]]^2+(Table1842026[[#This Row],[zpos]]-H16)^2)</f>
        <v>1.8195066915530462E-3</v>
      </c>
      <c r="G10">
        <f>Table1842026[[#This Row],[weight]]*((Table1842026[[#This Row],[xpos]]-H17)^2+(Table1842026[[#This Row],[zpos]]-H16)^2)</f>
        <v>0.77696367259322163</v>
      </c>
      <c r="H10">
        <f>Table1842026[[#This Row],[weight]]*((Table1842026[[#This Row],[xpos]]-H17)^2+Table1842026[[#This Row],[ypos]]^2)</f>
        <v>0.77514416590166857</v>
      </c>
      <c r="J10" t="s">
        <v>114</v>
      </c>
      <c r="K10">
        <f>K6</f>
        <v>1.7500000000000002E-2</v>
      </c>
      <c r="L10">
        <f>L6</f>
        <v>27.92</v>
      </c>
      <c r="M10">
        <f>-M6</f>
        <v>-4.75</v>
      </c>
      <c r="N10">
        <f>N6</f>
        <v>1.5</v>
      </c>
      <c r="O10">
        <f>Table21152127[[#This Row],[weight]]*(Table21152127[[#This Row],[Ycg]]^2+(Table21152127[[#This Row],[Zcg]]-H16)^2)</f>
        <v>0.39540602227204796</v>
      </c>
      <c r="P10">
        <f>Table21152127[[#This Row],[weight]]*((Table21152127[[#This Row],[Xcg]]-H17)^2+(Table21152127[[#This Row],[Zcg]]-H16)^2)</f>
        <v>1.6743322302800669</v>
      </c>
      <c r="Q10">
        <f>Table21152127[[#This Row],[weight]]*(Table21152127[[#This Row],[Xcg]]-H17)^2</f>
        <v>1.673769958008019</v>
      </c>
      <c r="T10" s="36" t="s">
        <v>36</v>
      </c>
      <c r="U10" s="36" t="s">
        <v>37</v>
      </c>
      <c r="V10" s="36"/>
      <c r="W10" s="36"/>
      <c r="X10" s="36"/>
      <c r="Y10" s="36"/>
    </row>
    <row r="11" spans="1:25" x14ac:dyDescent="0.25">
      <c r="A11" t="s">
        <v>96</v>
      </c>
      <c r="B11">
        <f>0.49/16</f>
        <v>3.0624999999999999E-2</v>
      </c>
      <c r="C11">
        <v>18</v>
      </c>
      <c r="D11">
        <v>0</v>
      </c>
      <c r="E11">
        <v>0.5</v>
      </c>
      <c r="F11">
        <f>Table1842026[[#This Row],[weight]]*(Table1842026[[#This Row],[ypos]]^2+(Table1842026[[#This Row],[zpos]]-H16)^2)</f>
        <v>4.2587916239115314E-2</v>
      </c>
      <c r="G11">
        <f>Table1842026[[#This Row],[weight]]*((Table1842026[[#This Row],[xpos]]-H17)^2+(Table1842026[[#This Row],[zpos]]-H16)^2)</f>
        <v>4.3190097801287922E-2</v>
      </c>
      <c r="H11">
        <f>Table1842026[[#This Row],[weight]]*((Table1842026[[#This Row],[xpos]]-H17)^2+Table1842026[[#This Row],[ypos]]^2)</f>
        <v>6.0218156217260092E-4</v>
      </c>
      <c r="T11" s="36" t="e">
        <f>SUM(T3*U3+T4*U4+T5*U5+T6*U6+T7*U7+T8*U8)/SUM(Table512162531[A])</f>
        <v>#DIV/0!</v>
      </c>
      <c r="U11" s="36" t="e">
        <f>SUM(T3*V3+T4*V4+T5*V5+T6*V6+T7*V7+T8*V8)/SUM(Table512162531[A])</f>
        <v>#DIV/0!</v>
      </c>
      <c r="V11" s="36"/>
      <c r="W11" s="36"/>
      <c r="X11" s="36"/>
      <c r="Y11" s="36"/>
    </row>
    <row r="12" spans="1:25" ht="15.75" thickBot="1" x14ac:dyDescent="0.3">
      <c r="A12" t="s">
        <v>110</v>
      </c>
      <c r="B12">
        <f>B2</f>
        <v>0.110625</v>
      </c>
      <c r="C12">
        <f>0.5+K13</f>
        <v>32.42</v>
      </c>
      <c r="E12">
        <v>2</v>
      </c>
      <c r="F12">
        <f>Table1842026[[#This Row],[weight]]*(Table1842026[[#This Row],[ypos]]^2+(Table1842026[[#This Row],[zpos]]-H16)^2)</f>
        <v>1.1381304433440003E-2</v>
      </c>
      <c r="G12">
        <f>Table1842026[[#This Row],[weight]]*((Table1842026[[#This Row],[xpos]]-H17)^2+(Table1842026[[#This Row],[zpos]]-H16)^2)</f>
        <v>22.569143199542385</v>
      </c>
      <c r="H12">
        <f>Table1842026[[#This Row],[weight]]*((Table1842026[[#This Row],[xpos]]-H17)^2+Table1842026[[#This Row],[ypos]]^2)</f>
        <v>22.557761895108946</v>
      </c>
      <c r="S12" t="s">
        <v>97</v>
      </c>
      <c r="T12" s="36" t="s">
        <v>23</v>
      </c>
      <c r="U12" s="36"/>
      <c r="V12" s="36"/>
      <c r="W12" s="36"/>
      <c r="X12" s="36"/>
      <c r="Y12" s="36"/>
    </row>
    <row r="13" spans="1:25" ht="15.75" thickBot="1" x14ac:dyDescent="0.3">
      <c r="A13" t="s">
        <v>39</v>
      </c>
      <c r="B13" s="47">
        <f>2/16</f>
        <v>0.125</v>
      </c>
      <c r="C13">
        <v>20.5</v>
      </c>
      <c r="F13">
        <f>Table1842026[[#This Row],[weight]]*(Table1842026[[#This Row],[ypos]]^2+(Table1842026[[#This Row],[zpos]]-H16)^2)</f>
        <v>0.35248422906380017</v>
      </c>
      <c r="G13">
        <f>Table1842026[[#This Row],[weight]]*((Table1842026[[#This Row],[xpos]]-H17)^2+(Table1842026[[#This Row],[zpos]]-H16)^2)</f>
        <v>1.0485514416528392</v>
      </c>
      <c r="H13">
        <f>Table1842026[[#This Row],[weight]]*((Table1842026[[#This Row],[xpos]]-H17)^2+Table1842026[[#This Row],[ypos]]^2)</f>
        <v>0.69606721258903903</v>
      </c>
      <c r="J13" s="1" t="s">
        <v>40</v>
      </c>
      <c r="K13" s="10">
        <v>31.92</v>
      </c>
      <c r="N13" s="6" t="s">
        <v>41</v>
      </c>
      <c r="O13" s="20"/>
      <c r="P13" s="21">
        <f>13/3456</f>
        <v>3.7615740740740739E-3</v>
      </c>
      <c r="Q13" s="16" t="s">
        <v>43</v>
      </c>
      <c r="T13" s="36" t="s">
        <v>14</v>
      </c>
      <c r="U13" s="36" t="s">
        <v>15</v>
      </c>
      <c r="V13" s="36" t="s">
        <v>16</v>
      </c>
      <c r="W13" s="36" t="s">
        <v>17</v>
      </c>
      <c r="X13" s="36" t="s">
        <v>18</v>
      </c>
      <c r="Y13" s="36" t="s">
        <v>19</v>
      </c>
    </row>
    <row r="14" spans="1:25" x14ac:dyDescent="0.25">
      <c r="A14" t="s">
        <v>44</v>
      </c>
      <c r="B14">
        <f>0</f>
        <v>0</v>
      </c>
      <c r="D14">
        <v>0</v>
      </c>
      <c r="E14">
        <f>E2</f>
        <v>2</v>
      </c>
      <c r="F14">
        <f>Table1842026[[#This Row],[weight]]*(Table1842026[[#This Row],[ypos]]^2+(Table1842026[[#This Row],[zpos]]-H16)^2)</f>
        <v>0</v>
      </c>
      <c r="G14">
        <f>Table1842026[[#This Row],[weight]]*((Table1842026[[#This Row],[xpos]]-H17)^2+(Table1842026[[#This Row],[zpos]]-H16)^2)</f>
        <v>0</v>
      </c>
      <c r="H14">
        <f>Table1842026[[#This Row],[weight]]*((Table1842026[[#This Row],[xpos]]-H17)^2+Table1842026[[#This Row],[ypos]]^2)</f>
        <v>0</v>
      </c>
      <c r="J14" s="2" t="s">
        <v>45</v>
      </c>
      <c r="K14" s="8">
        <v>4</v>
      </c>
      <c r="T14" s="36">
        <f>K19/2*(K20-4.11)</f>
        <v>7.4128499999999988</v>
      </c>
      <c r="U14" s="36">
        <f>2/3*(K20-4.11)+K22</f>
        <v>26.846666666666668</v>
      </c>
      <c r="V14" s="36">
        <f>1/3*K19+K14</f>
        <v>5.71</v>
      </c>
      <c r="W14" s="36">
        <f>Table613172228[[#This Row],[A]]*(Table613172228[[#This Row],[zT]]-H16)^2+(K20-4.11)*K19^3/36</f>
        <v>131.2742475040873</v>
      </c>
      <c r="X14" s="36">
        <f>Table613172228[[#This Row],[A]]*(Table613172228[[#This Row],[xT]]-H17)^2+(K20-4.11)^3*K19/36</f>
        <v>565.34938740140797</v>
      </c>
      <c r="Y14" s="36">
        <f>Table613172228[[#This Row],[A]]*((Table613172228[[#This Row],[zT]]-H16)^2+(Table613172228[[#This Row],[xT]]-H17)^2)</f>
        <v>682.34607398049525</v>
      </c>
    </row>
    <row r="15" spans="1:25" ht="15.75" thickBot="1" x14ac:dyDescent="0.3">
      <c r="A15" t="s">
        <v>46</v>
      </c>
      <c r="G15" s="27"/>
      <c r="H15" s="27"/>
      <c r="I15" s="27"/>
      <c r="J15" s="3" t="s">
        <v>47</v>
      </c>
      <c r="K15" s="17">
        <v>0.25</v>
      </c>
      <c r="T15" s="36">
        <f>4.11*K19</f>
        <v>21.084300000000002</v>
      </c>
      <c r="U15" s="36">
        <f>K22+K20-4.11/2</f>
        <v>29.865000000000002</v>
      </c>
      <c r="V15" s="36">
        <f>K19/2+K14</f>
        <v>6.5649999999999995</v>
      </c>
      <c r="W15" s="36">
        <f>Table613172228[[#This Row],[A]]*(Table613172228[[#This Row],[zT]]-H16)^2+(4.11*K19^3)/12</f>
        <v>549.53376600581396</v>
      </c>
      <c r="X15" s="36">
        <f>Table613172228[[#This Row],[A]]*(Table613172228[[#This Row],[xT]]-H17)^2++(4.11^3*K19)/12</f>
        <v>2928.1458805628663</v>
      </c>
      <c r="Y15" s="36">
        <f>Table613172228[[#This Row],[A]]*((Table613172228[[#This Row],[zT]]-H16)^2+(Table613172228[[#This Row],[xT]]-H17)^2)</f>
        <v>3401.76035334368</v>
      </c>
    </row>
    <row r="16" spans="1:25" ht="15.75" thickBot="1" x14ac:dyDescent="0.3">
      <c r="A16" s="5" t="s">
        <v>48</v>
      </c>
      <c r="G16" s="26" t="s">
        <v>11</v>
      </c>
      <c r="H16" s="24">
        <f>SUM(B2*E2,B3*E3,B4*E4,B5*E5,B6*E6,B7*E7,B8*E8,B9*E9,B10*E10,B11*E11,B12*E12,B13*E13,B14*E14,K2*N2,K3*N3,K4*N4,K5*N5,K6*N6,K7*N7,K8*N8,K9*N9,K10,N10)/SUM(Table1842026[weight],Table21152127[weight])</f>
        <v>1.6792479961311257</v>
      </c>
      <c r="I16" s="12" t="s">
        <v>49</v>
      </c>
      <c r="J16" s="2" t="s">
        <v>50</v>
      </c>
      <c r="K16" s="8">
        <v>0.25</v>
      </c>
      <c r="L16" s="15" t="s">
        <v>51</v>
      </c>
      <c r="M16" s="16">
        <f>37.7-10.02-6</f>
        <v>21.680000000000003</v>
      </c>
      <c r="S16" t="s">
        <v>31</v>
      </c>
      <c r="T16" s="38"/>
      <c r="U16" s="38"/>
      <c r="V16" s="38"/>
      <c r="W16" s="38"/>
      <c r="X16" s="38"/>
      <c r="Y16" s="38"/>
    </row>
    <row r="17" spans="1:25" ht="15.75" thickBot="1" x14ac:dyDescent="0.3">
      <c r="G17" s="11" t="s">
        <v>9</v>
      </c>
      <c r="H17" s="24">
        <f>SUM(B2*C2,B3*C3,B4*C4,B5*C5,B6*C6,B7*C7,B8*C8,B9*C9,B10*C10,B11*C11,B12*C12,B13*C13,B14*C14,K2*L2,K3*L3,K4*L4,K5*L5,K6*L6,K7*L7,K8*L8,K9*L9,K10*L10)/SUM(Table1842026[weight],Table21152127[weight])</f>
        <v>18.140225074141114</v>
      </c>
      <c r="I17" s="12" t="s">
        <v>49</v>
      </c>
      <c r="J17" s="2" t="s">
        <v>52</v>
      </c>
      <c r="K17" s="8">
        <v>35.979999999999997</v>
      </c>
      <c r="L17" s="6" t="s">
        <v>53</v>
      </c>
      <c r="M17" s="7"/>
      <c r="S17" t="s">
        <v>97</v>
      </c>
      <c r="T17" s="38" t="s">
        <v>93</v>
      </c>
      <c r="U17" s="38"/>
      <c r="V17" s="38"/>
      <c r="W17" s="38"/>
      <c r="X17" s="38"/>
      <c r="Y17" s="38"/>
    </row>
    <row r="18" spans="1:25" ht="15.75" thickBot="1" x14ac:dyDescent="0.3">
      <c r="G18" s="22" t="s">
        <v>98</v>
      </c>
      <c r="H18" s="32">
        <f>SUM(B2*C2,B3*C3,B4*C4,B5*C5,B6*C6,B7*C7,B8*C8,B9*C9,B10*C10,B11*C11,B12*C12,B13*C13,B14*C14)/SUM(B2:B14)</f>
        <v>17.945279758047093</v>
      </c>
      <c r="I18" s="33" t="s">
        <v>49</v>
      </c>
      <c r="J18" s="28" t="s">
        <v>56</v>
      </c>
      <c r="K18" s="9">
        <v>10</v>
      </c>
      <c r="L18" s="2" t="s">
        <v>57</v>
      </c>
      <c r="M18" s="8"/>
      <c r="O18" t="s">
        <v>115</v>
      </c>
      <c r="T18" s="36" t="s">
        <v>14</v>
      </c>
      <c r="U18" s="36" t="s">
        <v>15</v>
      </c>
      <c r="V18" s="36" t="s">
        <v>58</v>
      </c>
      <c r="W18" s="36" t="s">
        <v>17</v>
      </c>
      <c r="X18" s="36" t="s">
        <v>19</v>
      </c>
      <c r="Y18" s="36" t="s">
        <v>18</v>
      </c>
    </row>
    <row r="19" spans="1:25" ht="15.75" thickBot="1" x14ac:dyDescent="0.3">
      <c r="G19" s="23" t="s">
        <v>59</v>
      </c>
      <c r="H19" s="2">
        <v>18</v>
      </c>
      <c r="I19" s="14" t="s">
        <v>49</v>
      </c>
      <c r="J19" s="30" t="s">
        <v>60</v>
      </c>
      <c r="K19" s="10">
        <v>5.13</v>
      </c>
      <c r="L19" s="3" t="s">
        <v>61</v>
      </c>
      <c r="M19" s="9"/>
      <c r="S19" t="s">
        <v>62</v>
      </c>
      <c r="T19" s="36">
        <v>12.5</v>
      </c>
      <c r="U19" s="36">
        <f>2/3*5+K26</f>
        <v>3.333333333333333</v>
      </c>
      <c r="V19" s="36">
        <f>1.1875+5/3</f>
        <v>2.854166666666667</v>
      </c>
      <c r="W19" s="36">
        <f>Table69[[#This Row],[A]]*((Table69[[#This Row],[yT]])^2+(H16-N8)^2)+625/36</f>
        <v>154.43787603138003</v>
      </c>
      <c r="X19" s="36">
        <f>Table69[[#This Row],[A]]*((Table69[[#This Row],[xT]]-H17)^2+(H16-N8)^2)+625/36</f>
        <v>1049.8431598863692</v>
      </c>
      <c r="Y19" s="36">
        <f>Table6914182329[[#This Row],[A]]*((Table6914182329[[#This Row],[yT]])^2+(Table6914182329[[#This Row],[xT]]-H17)^2)</f>
        <v>2842.3788798139099</v>
      </c>
    </row>
    <row r="20" spans="1:25" ht="15.75" thickBot="1" x14ac:dyDescent="0.3">
      <c r="A20" t="s">
        <v>63</v>
      </c>
      <c r="B20" t="s">
        <v>64</v>
      </c>
      <c r="G20" s="42" t="s">
        <v>65</v>
      </c>
      <c r="H20" s="32">
        <f>SUM(Table1842026[Ixx],Table21152127[Ixx])</f>
        <v>31.483713404604114</v>
      </c>
      <c r="I20" s="33" t="s">
        <v>66</v>
      </c>
      <c r="J20" s="29" t="s">
        <v>67</v>
      </c>
      <c r="K20" s="8">
        <v>7</v>
      </c>
      <c r="L20" s="6" t="s">
        <v>68</v>
      </c>
      <c r="M20" s="7"/>
      <c r="O20" s="13"/>
      <c r="T20" s="36">
        <v>5</v>
      </c>
      <c r="U20" s="36">
        <f>0.5+5+K26</f>
        <v>5.5</v>
      </c>
      <c r="V20" s="36">
        <f>1.1875+2.5</f>
        <v>3.6875</v>
      </c>
      <c r="W20" s="36">
        <f>Table69[[#This Row],[A]]*((Table69[[#This Row],[yT]])^2+(H16-N8)^2)+5/12</f>
        <v>82.504317079218694</v>
      </c>
      <c r="X20" s="36">
        <f>Table69[[#This Row],[A]]*((Table69[[#This Row],[xT]]-H17)^2+(H16-N8)^2)+5^3/12</f>
        <v>253.35738734815686</v>
      </c>
      <c r="Y20" s="36">
        <f>Table6914182329[[#This Row],[A]]*((Table6914182329[[#This Row],[yT]])^2+(Table6914182329[[#This Row],[xT]]-H17)^2)</f>
        <v>866.86473087472859</v>
      </c>
    </row>
    <row r="21" spans="1:25" x14ac:dyDescent="0.25">
      <c r="G21" s="43" t="s">
        <v>69</v>
      </c>
      <c r="H21" s="31">
        <f>SUM(Table1842026[Iyy],Table21152127[Iyy])</f>
        <v>109.16927069858048</v>
      </c>
      <c r="I21" s="35" t="s">
        <v>66</v>
      </c>
      <c r="J21" s="29" t="s">
        <v>70</v>
      </c>
      <c r="K21" s="8">
        <v>0.25</v>
      </c>
      <c r="L21" s="2" t="s">
        <v>71</v>
      </c>
      <c r="M21" s="8">
        <v>5</v>
      </c>
      <c r="T21" s="36">
        <v>12.5</v>
      </c>
      <c r="U21" s="36">
        <f>2/3*5+K26</f>
        <v>3.333333333333333</v>
      </c>
      <c r="V21" s="36">
        <f>-5/3-1.1875</f>
        <v>-2.854166666666667</v>
      </c>
      <c r="W21" s="36">
        <f>Table69[[#This Row],[A]]*((Table69[[#This Row],[yT]])^2+(H16-N8)^2)+625/36</f>
        <v>154.43787603138003</v>
      </c>
      <c r="X21" s="36">
        <f>Table69[[#This Row],[A]]*((Table69[[#This Row],[xT]]-H17)^2+(H16-N8)^2)+625/36</f>
        <v>1049.8431598863692</v>
      </c>
      <c r="Y21" s="36">
        <f>Table6914182329[[#This Row],[A]]*((Table6914182329[[#This Row],[yT]])^2+(Table6914182329[[#This Row],[xT]]-H17)^2)</f>
        <v>2842.3788798139099</v>
      </c>
    </row>
    <row r="22" spans="1:25" ht="15.75" thickBot="1" x14ac:dyDescent="0.3">
      <c r="A22" t="s">
        <v>73</v>
      </c>
      <c r="B22" s="44">
        <v>1</v>
      </c>
      <c r="G22" s="25" t="s">
        <v>74</v>
      </c>
      <c r="H22" s="39">
        <f>SUM(Table1842026[Izz],Table21152127[Izz])</f>
        <v>534.89661582337965</v>
      </c>
      <c r="I22" s="40" t="s">
        <v>66</v>
      </c>
      <c r="J22" s="28" t="s">
        <v>75</v>
      </c>
      <c r="K22" s="9">
        <f>K13-K20</f>
        <v>24.92</v>
      </c>
      <c r="L22" s="2" t="s">
        <v>76</v>
      </c>
      <c r="M22" s="8">
        <v>1</v>
      </c>
      <c r="P22">
        <f>0.36/40</f>
        <v>8.9999999999999993E-3</v>
      </c>
      <c r="Q22" t="s">
        <v>99</v>
      </c>
      <c r="T22" s="36">
        <v>5</v>
      </c>
      <c r="U22" s="36">
        <f>0.5+5+K26</f>
        <v>5.5</v>
      </c>
      <c r="V22" s="36">
        <f>-1.1875-2.5</f>
        <v>-3.6875</v>
      </c>
      <c r="W22" s="36">
        <f>Table69[[#This Row],[A]]*((Table69[[#This Row],[yT]])^2+(H16-N8)^2)+5/12</f>
        <v>82.504317079218694</v>
      </c>
      <c r="X22" s="36">
        <f>Table69[[#This Row],[A]]*((Table69[[#This Row],[xT]]-H17)^2+(H16-N8)^2)+5^3/12</f>
        <v>253.35738734815686</v>
      </c>
      <c r="Y22" s="36"/>
    </row>
    <row r="23" spans="1:25" ht="16.5" thickTop="1" thickBot="1" x14ac:dyDescent="0.3">
      <c r="C23" s="37" t="s">
        <v>77</v>
      </c>
      <c r="G23" s="18" t="s">
        <v>65</v>
      </c>
      <c r="H23" s="32">
        <f>H20/144</f>
        <v>0.21863689864308411</v>
      </c>
      <c r="I23" s="33" t="s">
        <v>101</v>
      </c>
      <c r="J23" s="30" t="s">
        <v>79</v>
      </c>
      <c r="K23" s="10">
        <v>4.375</v>
      </c>
      <c r="L23" s="1" t="s">
        <v>80</v>
      </c>
      <c r="M23" s="10"/>
      <c r="P23">
        <f>0.61/33.5</f>
        <v>1.8208955223880597E-2</v>
      </c>
      <c r="Q23" t="s">
        <v>99</v>
      </c>
      <c r="T23" s="48">
        <f>(T19*U19+T20*U20+T21*U21+T22*U22)/(T19+T20+T21+T22)</f>
        <v>3.9523809523809517</v>
      </c>
      <c r="U23" s="48"/>
      <c r="V23" s="48"/>
      <c r="W23" s="48"/>
      <c r="X23" s="48"/>
      <c r="Y23" s="48"/>
    </row>
    <row r="24" spans="1:25" ht="16.5" thickTop="1" thickBot="1" x14ac:dyDescent="0.3">
      <c r="B24" s="37" t="s">
        <v>81</v>
      </c>
      <c r="C24" s="37" t="s">
        <v>82</v>
      </c>
      <c r="D24" s="37" t="s">
        <v>83</v>
      </c>
      <c r="G24" s="18" t="s">
        <v>69</v>
      </c>
      <c r="H24" s="34">
        <f>H21/144</f>
        <v>0.75811993540680889</v>
      </c>
      <c r="I24" s="35" t="s">
        <v>101</v>
      </c>
      <c r="J24" s="29" t="s">
        <v>85</v>
      </c>
      <c r="K24" s="8">
        <v>9.9</v>
      </c>
      <c r="L24" s="2" t="s">
        <v>86</v>
      </c>
      <c r="M24" s="8"/>
      <c r="O24" t="s">
        <v>103</v>
      </c>
      <c r="P24">
        <f>29.375*P23</f>
        <v>0.53488805970149256</v>
      </c>
      <c r="S24" t="s">
        <v>97</v>
      </c>
      <c r="T24" s="36" t="s">
        <v>21</v>
      </c>
      <c r="U24" s="36"/>
      <c r="V24" s="36"/>
      <c r="W24" s="36"/>
      <c r="X24" s="36"/>
      <c r="Y24" s="36"/>
    </row>
    <row r="25" spans="1:25" ht="16.5" thickTop="1" thickBot="1" x14ac:dyDescent="0.3">
      <c r="C25" s="37" t="s">
        <v>87</v>
      </c>
      <c r="G25" s="23" t="s">
        <v>74</v>
      </c>
      <c r="H25" s="3">
        <f>H22/144</f>
        <v>3.714559832106803</v>
      </c>
      <c r="I25" s="41" t="s">
        <v>101</v>
      </c>
      <c r="J25" s="29" t="s">
        <v>89</v>
      </c>
      <c r="K25" s="8">
        <v>0.25</v>
      </c>
      <c r="L25" s="2" t="s">
        <v>90</v>
      </c>
      <c r="M25" s="8"/>
      <c r="O25" t="s">
        <v>105</v>
      </c>
      <c r="P25">
        <f>26*2*P22</f>
        <v>0.46799999999999997</v>
      </c>
      <c r="T25" s="36" t="s">
        <v>14</v>
      </c>
      <c r="U25" s="36" t="s">
        <v>15</v>
      </c>
      <c r="V25" s="36" t="s">
        <v>58</v>
      </c>
      <c r="W25" s="36" t="s">
        <v>17</v>
      </c>
      <c r="X25" s="36" t="s">
        <v>19</v>
      </c>
      <c r="Y25" s="36" t="s">
        <v>18</v>
      </c>
    </row>
    <row r="26" spans="1:25" ht="16.5" thickTop="1" thickBot="1" x14ac:dyDescent="0.3">
      <c r="B26">
        <v>2</v>
      </c>
      <c r="G26" s="25" t="s">
        <v>91</v>
      </c>
      <c r="H26" s="6">
        <f>SUM(Table1842026[weight],Table21152127[weight])</f>
        <v>4.3423053263020837</v>
      </c>
      <c r="I26" s="12" t="s">
        <v>92</v>
      </c>
      <c r="J26" s="4" t="s">
        <v>75</v>
      </c>
      <c r="K26" s="9">
        <v>0</v>
      </c>
      <c r="L26" s="3" t="s">
        <v>75</v>
      </c>
      <c r="M26" s="9"/>
      <c r="S26" t="s">
        <v>62</v>
      </c>
      <c r="T26" s="36">
        <f>K17/2*K17/2/2</f>
        <v>161.82004999999998</v>
      </c>
      <c r="U26" s="36">
        <f>K18+K17/2*2/3</f>
        <v>21.993333333333332</v>
      </c>
      <c r="V26" s="36">
        <f>K17/2/3</f>
        <v>5.9966666666666661</v>
      </c>
      <c r="W26" s="36">
        <f>Table915192430[[#This Row],[A]]*((Table915192430[[#This Row],[yT]])^2+(H16-N3)^2)+(18^3)*17.84/36</f>
        <v>8758.840433285568</v>
      </c>
      <c r="X26" s="36">
        <f>Table915192430[[#This Row],[A]]*((Table915192430[[#This Row],[xT]]-H17)^2+(H16-N3)^2)+18*17.84^3/36</f>
        <v>5291.0909794638628</v>
      </c>
      <c r="Y26" s="36"/>
    </row>
    <row r="27" spans="1:25" ht="16.5" thickTop="1" thickBot="1" x14ac:dyDescent="0.3">
      <c r="C27" s="37" t="s">
        <v>81</v>
      </c>
      <c r="O27" t="s">
        <v>116</v>
      </c>
      <c r="P27">
        <f>12.5/16</f>
        <v>0.78125</v>
      </c>
      <c r="Q27" t="s">
        <v>117</v>
      </c>
      <c r="S27" t="s">
        <v>62</v>
      </c>
      <c r="T27" s="36">
        <f>K17/2*(K13-K17/2-K18)/2</f>
        <v>35.350350000000027</v>
      </c>
      <c r="U27" s="36">
        <f>K18+K17/2+(K13-K18-K17/2)/3</f>
        <v>29.3</v>
      </c>
      <c r="V27" s="36">
        <f>V26</f>
        <v>5.9966666666666661</v>
      </c>
      <c r="W27" s="36">
        <f>Table915192430[[#This Row],[A]]*((Table915192430[[#This Row],[yT]])^2+(H16-N3)^2)+(18^3)*3.82/36</f>
        <v>1900.8982825354251</v>
      </c>
      <c r="X27" s="36">
        <f>Table915192430[[#This Row],[A]]*((Table915192430[[#This Row],[xT]]-H17)^2+(H16-N3)^2)+18*3.82^3/36</f>
        <v>4441.2837525480454</v>
      </c>
      <c r="Y27" s="36"/>
    </row>
    <row r="28" spans="1:25" ht="16.5" thickTop="1" thickBot="1" x14ac:dyDescent="0.3">
      <c r="C28" s="37" t="s">
        <v>77</v>
      </c>
      <c r="S28" t="s">
        <v>72</v>
      </c>
      <c r="T28" s="36">
        <f>K17/2*(K13-K17/2-K18)/2</f>
        <v>35.350350000000027</v>
      </c>
      <c r="U28" s="36">
        <f>U27</f>
        <v>29.3</v>
      </c>
      <c r="V28" s="36">
        <f>-1*V26</f>
        <v>-5.9966666666666661</v>
      </c>
      <c r="W28" s="36">
        <f>Table915192430[[#This Row],[A]]*((Table915192430[[#This Row],[yT]])^2+(H16-N3)^2)+(18^3)*3.82/36</f>
        <v>1900.8982825354251</v>
      </c>
      <c r="X28" s="36">
        <f>Table915192430[[#This Row],[A]]*((Table915192430[[#This Row],[xT]]-H17)^2+(H16-N3)^2)+18*3.82^3/36</f>
        <v>4441.2837525480454</v>
      </c>
      <c r="Y28" s="36"/>
    </row>
    <row r="29" spans="1:25" ht="16.5" thickTop="1" thickBot="1" x14ac:dyDescent="0.3">
      <c r="C29" s="37" t="s">
        <v>82</v>
      </c>
      <c r="J29">
        <f>(17.84*18+18*3.82)*0.25*P13</f>
        <v>0.366640625</v>
      </c>
      <c r="S29" t="s">
        <v>72</v>
      </c>
      <c r="T29" s="36">
        <f>K17/2*K17/2/2</f>
        <v>161.82004999999998</v>
      </c>
      <c r="U29" s="36">
        <f>U26</f>
        <v>21.993333333333332</v>
      </c>
      <c r="V29" s="36">
        <f>-1*V27</f>
        <v>-5.9966666666666661</v>
      </c>
      <c r="W29" s="36">
        <f>Table915192430[[#This Row],[A]]*((Table915192430[[#This Row],[yT]])^2+(H16-N3)^2)+(18^3)*17.84/36</f>
        <v>8758.840433285568</v>
      </c>
      <c r="X29" s="36">
        <f>Table915192430[[#This Row],[A]]*((Table915192430[[#This Row],[xT]]-H17)^2+(H16-N3)^2)+18*17.84^3/36</f>
        <v>5291.0909794638628</v>
      </c>
      <c r="Y29" s="36"/>
    </row>
    <row r="30" spans="1:25" ht="16.5" thickTop="1" thickBot="1" x14ac:dyDescent="0.3">
      <c r="C30" s="37" t="s">
        <v>87</v>
      </c>
    </row>
    <row r="31" spans="1:25" ht="16.5" thickTop="1" thickBot="1" x14ac:dyDescent="0.3">
      <c r="C31" s="37" t="s">
        <v>83</v>
      </c>
    </row>
    <row r="32" spans="1:25" ht="16.5" thickTop="1" thickBot="1" x14ac:dyDescent="0.3">
      <c r="B32" s="46">
        <v>3</v>
      </c>
    </row>
    <row r="33" spans="2:6" ht="16.5" thickTop="1" thickBot="1" x14ac:dyDescent="0.3">
      <c r="B33" s="45" t="s">
        <v>81</v>
      </c>
      <c r="C33" s="37" t="s">
        <v>77</v>
      </c>
      <c r="D33" s="37" t="s">
        <v>82</v>
      </c>
      <c r="E33" s="37" t="s">
        <v>87</v>
      </c>
      <c r="F33" s="37" t="s">
        <v>83</v>
      </c>
    </row>
    <row r="34" spans="2:6" ht="16.5" thickTop="1" thickBot="1" x14ac:dyDescent="0.3">
      <c r="B34">
        <v>4</v>
      </c>
    </row>
    <row r="35" spans="2:6" ht="16.5" thickTop="1" thickBot="1" x14ac:dyDescent="0.3">
      <c r="C35" s="37" t="s">
        <v>81</v>
      </c>
    </row>
    <row r="36" spans="2:6" ht="16.5" thickTop="1" thickBot="1" x14ac:dyDescent="0.3">
      <c r="B36" s="37" t="s">
        <v>77</v>
      </c>
      <c r="C36" s="37" t="s">
        <v>82</v>
      </c>
      <c r="D36" s="37" t="s">
        <v>87</v>
      </c>
    </row>
    <row r="37" spans="2:6" ht="16.5" thickTop="1" thickBot="1" x14ac:dyDescent="0.3">
      <c r="C37" s="37" t="s">
        <v>83</v>
      </c>
    </row>
    <row r="38" spans="2:6" ht="15.75" thickTop="1" x14ac:dyDescent="0.25"/>
  </sheetData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8"/>
  <sheetViews>
    <sheetView workbookViewId="0">
      <selection activeCell="A2" sqref="A2:F24"/>
    </sheetView>
  </sheetViews>
  <sheetFormatPr defaultRowHeight="15" x14ac:dyDescent="0.25"/>
  <cols>
    <col min="1" max="1" width="12.5703125" customWidth="1"/>
    <col min="2" max="2" width="26.42578125" customWidth="1"/>
    <col min="3" max="3" width="9.5703125" customWidth="1"/>
    <col min="4" max="4" width="12.85546875" customWidth="1"/>
    <col min="6" max="6" width="13.140625" customWidth="1"/>
  </cols>
  <sheetData>
    <row r="1" spans="1:10" x14ac:dyDescent="0.25">
      <c r="A1" s="92"/>
      <c r="B1" s="92"/>
      <c r="C1" s="92"/>
      <c r="D1" s="92"/>
      <c r="E1" s="92"/>
      <c r="F1" s="92"/>
    </row>
    <row r="2" spans="1:10" x14ac:dyDescent="0.25">
      <c r="A2" s="86" t="s">
        <v>159</v>
      </c>
      <c r="B2" s="87"/>
      <c r="C2" s="90" t="s">
        <v>160</v>
      </c>
      <c r="D2" s="90" t="s">
        <v>161</v>
      </c>
      <c r="E2" s="90" t="s">
        <v>162</v>
      </c>
      <c r="F2" s="93" t="s">
        <v>163</v>
      </c>
      <c r="J2" s="13"/>
    </row>
    <row r="3" spans="1:10" x14ac:dyDescent="0.25">
      <c r="A3" s="88"/>
      <c r="B3" s="89"/>
      <c r="C3" s="91"/>
      <c r="D3" s="91"/>
      <c r="E3" s="91"/>
      <c r="F3" s="94"/>
      <c r="J3" s="13"/>
    </row>
    <row r="4" spans="1:10" x14ac:dyDescent="0.25">
      <c r="A4" s="86" t="s">
        <v>164</v>
      </c>
      <c r="B4" s="76" t="s">
        <v>165</v>
      </c>
      <c r="C4" s="75">
        <f>ROUND(SUM('Proto M1'!B34,'Proto M1'!B35),3)</f>
        <v>0.14599999999999999</v>
      </c>
      <c r="D4" s="66">
        <f>ROUND(ABS('Proto M1'!C34-'Proto M1'!R2),3)</f>
        <v>11.218999999999999</v>
      </c>
      <c r="E4" s="66">
        <f>ROUND(C4*D4,3)</f>
        <v>1.6379999999999999</v>
      </c>
      <c r="F4" s="102">
        <f>SUM(C4:C7)</f>
        <v>0.81</v>
      </c>
      <c r="J4" s="13"/>
    </row>
    <row r="5" spans="1:10" x14ac:dyDescent="0.25">
      <c r="A5" s="88"/>
      <c r="B5" s="74" t="s">
        <v>166</v>
      </c>
      <c r="C5" s="75">
        <f>ROUND('Proto M1'!B33,3)</f>
        <v>0.34899999999999998</v>
      </c>
      <c r="D5" s="66">
        <f>ROUND(ABS('Proto M1'!C33-'Proto M1'!R2),3)</f>
        <v>3.1509999999999998</v>
      </c>
      <c r="E5" s="66">
        <f t="shared" ref="E5:E22" si="0">ROUND(C5*D5,3)</f>
        <v>1.1000000000000001</v>
      </c>
      <c r="F5" s="103"/>
      <c r="J5" s="13"/>
    </row>
    <row r="6" spans="1:10" x14ac:dyDescent="0.25">
      <c r="A6" s="88"/>
      <c r="B6" s="74" t="s">
        <v>167</v>
      </c>
      <c r="C6" s="75">
        <f>ROUND(SUM('Proto M1'!B36,'Proto M1'!B37),3)</f>
        <v>0.27200000000000002</v>
      </c>
      <c r="D6" s="66">
        <f>ROUND(ABS('Proto M1'!C36-'Proto M1'!R2),3)</f>
        <v>17.280999999999999</v>
      </c>
      <c r="E6" s="66">
        <f t="shared" si="0"/>
        <v>4.7</v>
      </c>
      <c r="F6" s="103"/>
      <c r="J6" s="13"/>
    </row>
    <row r="7" spans="1:10" x14ac:dyDescent="0.25">
      <c r="A7" s="101"/>
      <c r="B7" s="70" t="s">
        <v>168</v>
      </c>
      <c r="C7" s="75">
        <f>ROUND('Proto M1'!B38,3)</f>
        <v>4.2999999999999997E-2</v>
      </c>
      <c r="D7" s="66">
        <f>ROUND(ABS('Proto M1'!C38-'Proto M1'!R2),3)</f>
        <v>15.340999999999999</v>
      </c>
      <c r="E7" s="66">
        <f t="shared" si="0"/>
        <v>0.66</v>
      </c>
      <c r="F7" s="104"/>
      <c r="J7" s="13"/>
    </row>
    <row r="8" spans="1:10" x14ac:dyDescent="0.25">
      <c r="A8" s="86" t="s">
        <v>169</v>
      </c>
      <c r="B8" s="74" t="s">
        <v>170</v>
      </c>
      <c r="C8" s="75">
        <f>ROUND(SUM('Proto M1'!B2,'Proto M1'!B15),3)</f>
        <v>0.378</v>
      </c>
      <c r="D8" s="66">
        <f>ROUND(ABS(SUM('Proto M1'!B2*'Proto M1'!C2,'Proto M1'!B15*'Proto M1'!C15)/SUM('Proto M1'!B2,'Proto M1'!B15)-'Proto M1'!R2),3)</f>
        <v>14.335000000000001</v>
      </c>
      <c r="E8" s="66">
        <f t="shared" si="0"/>
        <v>5.4189999999999996</v>
      </c>
      <c r="F8" s="106">
        <f>SUM(C8:C11)</f>
        <v>1.7609999999999999</v>
      </c>
      <c r="J8" s="13"/>
    </row>
    <row r="9" spans="1:10" x14ac:dyDescent="0.25">
      <c r="A9" s="88"/>
      <c r="B9" s="74" t="s">
        <v>122</v>
      </c>
      <c r="C9" s="75">
        <f>ROUND('Proto M1'!B3,3)</f>
        <v>6.4000000000000001E-2</v>
      </c>
      <c r="D9" s="66">
        <f>ROUND(ABS('Proto M1'!C3-'Proto M1'!R2),3)</f>
        <v>11.228999999999999</v>
      </c>
      <c r="E9" s="66">
        <f t="shared" si="0"/>
        <v>0.71899999999999997</v>
      </c>
      <c r="F9" s="106"/>
      <c r="J9" s="13"/>
    </row>
    <row r="10" spans="1:10" x14ac:dyDescent="0.25">
      <c r="A10" s="88"/>
      <c r="B10" s="74" t="s">
        <v>171</v>
      </c>
      <c r="C10" s="77">
        <f>ROUND('Proto M1'!B14,3)</f>
        <v>0.11899999999999999</v>
      </c>
      <c r="D10" s="66">
        <f>ROUND(ABS('Proto M1'!C14-'Proto M1'!R2),3)</f>
        <v>9.9290000000000003</v>
      </c>
      <c r="E10" s="66">
        <f t="shared" si="0"/>
        <v>1.1819999999999999</v>
      </c>
      <c r="F10" s="106"/>
      <c r="J10" s="13"/>
    </row>
    <row r="11" spans="1:10" x14ac:dyDescent="0.25">
      <c r="A11" s="101"/>
      <c r="B11" s="70" t="s">
        <v>172</v>
      </c>
      <c r="C11" s="75">
        <f>ROUND(SUM('Proto M1'!B39,'Proto M1'!B40),3)</f>
        <v>1.2</v>
      </c>
      <c r="D11" s="66">
        <f>ROUND(ABS('Proto M1'!C39-'Proto M1'!R2),3)</f>
        <v>3.7210000000000001</v>
      </c>
      <c r="E11" s="66">
        <f t="shared" si="0"/>
        <v>4.4649999999999999</v>
      </c>
      <c r="F11" s="106"/>
      <c r="J11" s="13"/>
    </row>
    <row r="12" spans="1:10" x14ac:dyDescent="0.25">
      <c r="A12" s="86" t="s">
        <v>173</v>
      </c>
      <c r="B12" s="74" t="s">
        <v>38</v>
      </c>
      <c r="C12" s="75">
        <f>ROUND('Proto M1'!B12,3)</f>
        <v>3.1E-2</v>
      </c>
      <c r="D12" s="66">
        <f>ROUND(ABS('Proto M1'!C12-'Proto M1'!R2),3)</f>
        <v>3.8490000000000002</v>
      </c>
      <c r="E12" s="66">
        <f t="shared" si="0"/>
        <v>0.11899999999999999</v>
      </c>
      <c r="F12" s="106">
        <f>SUM(C12:C15)</f>
        <v>0.34199999999999997</v>
      </c>
      <c r="J12" s="13"/>
    </row>
    <row r="13" spans="1:10" x14ac:dyDescent="0.25">
      <c r="A13" s="88"/>
      <c r="B13" s="74" t="s">
        <v>141</v>
      </c>
      <c r="C13" s="75">
        <f>ROUND('Proto M1'!B13,3)</f>
        <v>0.29099999999999998</v>
      </c>
      <c r="D13" s="66">
        <f>ROUND(ABS('Proto M1'!C13-'Proto M1'!R2),3)</f>
        <v>6.6189999999999998</v>
      </c>
      <c r="E13" s="66">
        <f t="shared" si="0"/>
        <v>1.9259999999999999</v>
      </c>
      <c r="F13" s="106"/>
      <c r="J13" s="13"/>
    </row>
    <row r="14" spans="1:10" x14ac:dyDescent="0.25">
      <c r="A14" s="88"/>
      <c r="B14" s="74" t="s">
        <v>134</v>
      </c>
      <c r="C14" s="75">
        <f>ROUND('Proto M1'!B9,3)</f>
        <v>0.01</v>
      </c>
      <c r="D14" s="66">
        <f>ROUND(ABS('Proto M1'!C9-'Proto M1'!R2),3)</f>
        <v>9.9689999999999994</v>
      </c>
      <c r="E14" s="66">
        <f t="shared" si="0"/>
        <v>0.1</v>
      </c>
      <c r="F14" s="106"/>
      <c r="J14" s="13"/>
    </row>
    <row r="15" spans="1:10" x14ac:dyDescent="0.25">
      <c r="A15" s="101"/>
      <c r="B15" s="70" t="s">
        <v>174</v>
      </c>
      <c r="C15" s="75">
        <f>ROUND('Proto M1'!B11,3)</f>
        <v>0.01</v>
      </c>
      <c r="D15" s="66">
        <f>ROUND(ABS('Proto M1'!C11-'Proto M1'!R2),3)</f>
        <v>16.600999999999999</v>
      </c>
      <c r="E15" s="66">
        <f t="shared" si="0"/>
        <v>0.16600000000000001</v>
      </c>
      <c r="F15" s="106"/>
      <c r="J15" s="65"/>
    </row>
    <row r="16" spans="1:10" x14ac:dyDescent="0.25">
      <c r="A16" s="71" t="s">
        <v>175</v>
      </c>
      <c r="B16" s="70" t="s">
        <v>176</v>
      </c>
      <c r="C16" s="66">
        <f>ROUND(5*'Proto M1'!B4,3)</f>
        <v>1.875</v>
      </c>
      <c r="D16" s="66">
        <f>ROUND(ABS('Proto M1'!C5-'Proto M1'!R2),3)</f>
        <v>0.28100000000000003</v>
      </c>
      <c r="E16" s="66">
        <f t="shared" si="0"/>
        <v>0.52700000000000002</v>
      </c>
      <c r="F16" s="69">
        <f>C16</f>
        <v>1.875</v>
      </c>
      <c r="J16" s="13"/>
    </row>
    <row r="17" spans="1:10" x14ac:dyDescent="0.25">
      <c r="A17" s="98" t="s">
        <v>199</v>
      </c>
      <c r="B17" s="79" t="s">
        <v>200</v>
      </c>
      <c r="C17" s="75">
        <f>ROUND(SUM('Proto M2'!B20,'Proto M2'!B21,'Proto M2'!B25,'Proto M2'!B26,'Proto M2'!B28,'Proto M2'!B29),3)</f>
        <v>0.185</v>
      </c>
      <c r="D17" s="66">
        <f>ABS(ROUND(('Proto M2'!C20-'Proto M1'!R2),3))</f>
        <v>11.228999999999999</v>
      </c>
      <c r="E17" s="66">
        <f t="shared" si="0"/>
        <v>2.077</v>
      </c>
      <c r="F17" s="102">
        <f>SUM(C17:C22)</f>
        <v>0.30700000000000005</v>
      </c>
      <c r="J17" s="13"/>
    </row>
    <row r="18" spans="1:10" x14ac:dyDescent="0.25">
      <c r="A18" s="99"/>
      <c r="B18" s="74" t="s">
        <v>201</v>
      </c>
      <c r="C18" s="75">
        <f>ROUND(SUM('Proto M2'!B22,'Proto M2'!B23,'Proto M2'!B27),3)</f>
        <v>7.8E-2</v>
      </c>
      <c r="D18" s="66">
        <f>ABS(ROUND(('Proto M2'!C22-'Proto M1'!R$2),3))</f>
        <v>17.271000000000001</v>
      </c>
      <c r="E18" s="66">
        <f t="shared" si="0"/>
        <v>1.347</v>
      </c>
      <c r="F18" s="103"/>
      <c r="J18" s="13"/>
    </row>
    <row r="19" spans="1:10" x14ac:dyDescent="0.25">
      <c r="A19" s="99"/>
      <c r="B19" s="74" t="s">
        <v>202</v>
      </c>
      <c r="C19" s="75">
        <f>ROUND('Proto M2'!B24,3)</f>
        <v>7.0000000000000001E-3</v>
      </c>
      <c r="D19" s="66">
        <f>ABS(ROUND(('Proto M2'!C24-'Proto M1'!R$2),3))</f>
        <v>11.308999999999999</v>
      </c>
      <c r="E19" s="66">
        <f t="shared" si="0"/>
        <v>7.9000000000000001E-2</v>
      </c>
      <c r="F19" s="103"/>
      <c r="J19" s="13"/>
    </row>
    <row r="20" spans="1:10" x14ac:dyDescent="0.25">
      <c r="A20" s="99"/>
      <c r="B20" s="73" t="s">
        <v>196</v>
      </c>
      <c r="C20" s="75">
        <f>ROUND('Proto M2'!B30,3)</f>
        <v>1.2999999999999999E-2</v>
      </c>
      <c r="D20" s="66">
        <f>ABS(ROUND(('Proto M2'!C30-'Proto M1'!R$2),3))</f>
        <v>17.280999999999999</v>
      </c>
      <c r="E20" s="66">
        <f t="shared" si="0"/>
        <v>0.22500000000000001</v>
      </c>
      <c r="F20" s="103"/>
      <c r="J20" s="13"/>
    </row>
    <row r="21" spans="1:10" x14ac:dyDescent="0.25">
      <c r="A21" s="99"/>
      <c r="B21" s="74" t="s">
        <v>203</v>
      </c>
      <c r="C21" s="75">
        <f>ROUND(SUM('Proto M2'!B16,'Proto M2'!B17),3)</f>
        <v>1.2E-2</v>
      </c>
      <c r="D21" s="66">
        <f>ABS(ROUND(('Proto M2'!C16-'Proto M1'!R$2),3))</f>
        <v>7.859</v>
      </c>
      <c r="E21" s="66">
        <f t="shared" si="0"/>
        <v>9.4E-2</v>
      </c>
      <c r="F21" s="103"/>
      <c r="J21" s="13"/>
    </row>
    <row r="22" spans="1:10" x14ac:dyDescent="0.25">
      <c r="A22" s="100"/>
      <c r="B22" s="80" t="s">
        <v>204</v>
      </c>
      <c r="C22" s="78">
        <f>ROUND(SUM('Proto M2'!B18,'Proto M2'!B19),3)</f>
        <v>1.2E-2</v>
      </c>
      <c r="D22" s="66">
        <f>ABS(ROUND(('Proto M2'!C18-'Proto M1'!R$2),3))</f>
        <v>6.391</v>
      </c>
      <c r="E22" s="66">
        <f t="shared" si="0"/>
        <v>7.6999999999999999E-2</v>
      </c>
      <c r="F22" s="104"/>
      <c r="J22" s="13"/>
    </row>
    <row r="23" spans="1:10" x14ac:dyDescent="0.25">
      <c r="A23" s="105" t="s">
        <v>177</v>
      </c>
      <c r="B23" s="106"/>
      <c r="C23" s="81"/>
      <c r="D23" s="75"/>
      <c r="E23" s="66">
        <f>SUM(E4:E16)</f>
        <v>22.721</v>
      </c>
      <c r="F23" s="68">
        <f>SUM(F4:F22)</f>
        <v>5.0950000000000006</v>
      </c>
      <c r="J23" s="13"/>
    </row>
    <row r="24" spans="1:10" x14ac:dyDescent="0.25">
      <c r="A24" s="95" t="s">
        <v>178</v>
      </c>
      <c r="B24" s="97"/>
      <c r="C24" s="95">
        <f>ROUND('Proto M1'!R2,3)</f>
        <v>14.718999999999999</v>
      </c>
      <c r="D24" s="96"/>
      <c r="E24" s="96"/>
      <c r="F24" s="97"/>
      <c r="J24" s="13"/>
    </row>
    <row r="25" spans="1:10" x14ac:dyDescent="0.25">
      <c r="J25" s="13"/>
    </row>
    <row r="26" spans="1:10" x14ac:dyDescent="0.25">
      <c r="J26" s="13"/>
    </row>
    <row r="27" spans="1:10" x14ac:dyDescent="0.25">
      <c r="J27" s="13"/>
    </row>
    <row r="28" spans="1:10" x14ac:dyDescent="0.25">
      <c r="J28" s="13"/>
    </row>
  </sheetData>
  <mergeCells count="17">
    <mergeCell ref="C24:F24"/>
    <mergeCell ref="A24:B24"/>
    <mergeCell ref="A17:A22"/>
    <mergeCell ref="A4:A7"/>
    <mergeCell ref="A8:A11"/>
    <mergeCell ref="A12:A15"/>
    <mergeCell ref="F17:F22"/>
    <mergeCell ref="F4:F7"/>
    <mergeCell ref="A23:B23"/>
    <mergeCell ref="F8:F11"/>
    <mergeCell ref="F12:F15"/>
    <mergeCell ref="A2:B3"/>
    <mergeCell ref="C2:C3"/>
    <mergeCell ref="D2:D3"/>
    <mergeCell ref="E2:E3"/>
    <mergeCell ref="A1:F1"/>
    <mergeCell ref="F2:F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selection activeCell="A37" sqref="A37"/>
    </sheetView>
  </sheetViews>
  <sheetFormatPr defaultRowHeight="15" x14ac:dyDescent="0.25"/>
  <cols>
    <col min="1" max="1" width="12.5703125" customWidth="1"/>
    <col min="2" max="2" width="26.42578125" customWidth="1"/>
    <col min="3" max="3" width="9.5703125" customWidth="1"/>
    <col min="4" max="4" width="12.85546875" customWidth="1"/>
    <col min="6" max="6" width="13.140625" customWidth="1"/>
  </cols>
  <sheetData>
    <row r="1" spans="1:10" x14ac:dyDescent="0.25">
      <c r="A1" s="107"/>
      <c r="B1" s="108"/>
      <c r="C1" s="108"/>
      <c r="D1" s="108"/>
      <c r="E1" s="108"/>
      <c r="F1" s="108"/>
    </row>
    <row r="2" spans="1:10" x14ac:dyDescent="0.25">
      <c r="A2" s="86" t="s">
        <v>159</v>
      </c>
      <c r="B2" s="87"/>
      <c r="C2" s="90" t="s">
        <v>160</v>
      </c>
      <c r="D2" s="90" t="s">
        <v>161</v>
      </c>
      <c r="E2" s="90" t="s">
        <v>162</v>
      </c>
      <c r="F2" s="93" t="s">
        <v>163</v>
      </c>
      <c r="J2" s="13"/>
    </row>
    <row r="3" spans="1:10" x14ac:dyDescent="0.25">
      <c r="A3" s="101"/>
      <c r="B3" s="89"/>
      <c r="C3" s="109"/>
      <c r="D3" s="109"/>
      <c r="E3" s="109"/>
      <c r="F3" s="110"/>
      <c r="J3" s="13"/>
    </row>
    <row r="4" spans="1:10" x14ac:dyDescent="0.25">
      <c r="A4" s="111" t="s">
        <v>164</v>
      </c>
      <c r="B4" s="76" t="s">
        <v>165</v>
      </c>
      <c r="C4" s="75">
        <f>ROUND(SUM('Proto M1'!B34,'Proto M1'!B35),3)</f>
        <v>0.14599999999999999</v>
      </c>
      <c r="D4" s="66">
        <f>ROUND(ABS('Proto M2'!C34-'Proto M2'!R2),3)</f>
        <v>11.641</v>
      </c>
      <c r="E4" s="66">
        <f>ROUND(C4*D4,3)</f>
        <v>1.7</v>
      </c>
      <c r="F4" s="102">
        <f>SUM(C4:C7)</f>
        <v>0.81</v>
      </c>
      <c r="J4" s="13"/>
    </row>
    <row r="5" spans="1:10" x14ac:dyDescent="0.25">
      <c r="A5" s="112"/>
      <c r="B5" s="74" t="s">
        <v>166</v>
      </c>
      <c r="C5" s="75">
        <f>ROUND('Proto M1'!B33,3)</f>
        <v>0.34899999999999998</v>
      </c>
      <c r="D5" s="66">
        <f>ROUND(ABS('Proto M2'!C33-'Proto M2'!R2),3)</f>
        <v>2.7290000000000001</v>
      </c>
      <c r="E5" s="66">
        <f t="shared" ref="E5:E22" si="0">ROUND(C5*D5,3)</f>
        <v>0.95199999999999996</v>
      </c>
      <c r="F5" s="103"/>
      <c r="J5" s="13"/>
    </row>
    <row r="6" spans="1:10" x14ac:dyDescent="0.25">
      <c r="A6" s="112"/>
      <c r="B6" s="74" t="s">
        <v>167</v>
      </c>
      <c r="C6" s="75">
        <f>ROUND(SUM('Proto M1'!B36,'Proto M1'!B37),3)</f>
        <v>0.27200000000000002</v>
      </c>
      <c r="D6" s="66">
        <f>ROUND(ABS('Proto M2'!C36-'Proto M2'!R2),3)</f>
        <v>16.859000000000002</v>
      </c>
      <c r="E6" s="66">
        <f t="shared" si="0"/>
        <v>4.5860000000000003</v>
      </c>
      <c r="F6" s="103"/>
      <c r="J6" s="13"/>
    </row>
    <row r="7" spans="1:10" x14ac:dyDescent="0.25">
      <c r="A7" s="113"/>
      <c r="B7" s="74" t="s">
        <v>168</v>
      </c>
      <c r="C7" s="75">
        <f>ROUND('Proto M1'!B38,3)</f>
        <v>4.2999999999999997E-2</v>
      </c>
      <c r="D7" s="66">
        <f>ROUND(ABS('Proto M2'!C38-'Proto M2'!R2),3)</f>
        <v>14.919</v>
      </c>
      <c r="E7" s="66">
        <f t="shared" si="0"/>
        <v>0.64200000000000002</v>
      </c>
      <c r="F7" s="104"/>
      <c r="J7" s="13"/>
    </row>
    <row r="8" spans="1:10" x14ac:dyDescent="0.25">
      <c r="A8" s="86" t="s">
        <v>169</v>
      </c>
      <c r="B8" s="76" t="s">
        <v>170</v>
      </c>
      <c r="C8" s="75">
        <f>ROUND(SUM('Proto M2'!B2,'Proto M2'!B15),3)</f>
        <v>0.378</v>
      </c>
      <c r="D8" s="66">
        <f>ROUND(ABS(SUM('Proto M2'!B2*'Proto M2'!C2,'Proto M2'!B15*'Proto M2'!C15)/SUM('Proto M2'!B2,'Proto M2'!B15)-'Proto M2'!R2),3)</f>
        <v>14.757</v>
      </c>
      <c r="E8" s="66">
        <f t="shared" si="0"/>
        <v>5.5780000000000003</v>
      </c>
      <c r="F8" s="102">
        <f>SUM(C8:C11)</f>
        <v>1.7609999999999999</v>
      </c>
      <c r="J8" s="13"/>
    </row>
    <row r="9" spans="1:10" x14ac:dyDescent="0.25">
      <c r="A9" s="88"/>
      <c r="B9" s="74" t="s">
        <v>122</v>
      </c>
      <c r="C9" s="75">
        <f>ROUND('Proto M1'!B3,3)</f>
        <v>6.4000000000000001E-2</v>
      </c>
      <c r="D9" s="66">
        <f>ROUND(ABS('Proto M2'!C3-'Proto M2'!R2),3)</f>
        <v>11.651</v>
      </c>
      <c r="E9" s="66">
        <f t="shared" si="0"/>
        <v>0.746</v>
      </c>
      <c r="F9" s="103"/>
      <c r="I9" s="72"/>
      <c r="J9" s="13"/>
    </row>
    <row r="10" spans="1:10" x14ac:dyDescent="0.25">
      <c r="A10" s="88"/>
      <c r="B10" s="74" t="s">
        <v>171</v>
      </c>
      <c r="C10" s="77">
        <f>ROUND('Proto M2'!B14,3)</f>
        <v>0.11899999999999999</v>
      </c>
      <c r="D10" s="66">
        <f>ROUND(ABS('Proto M2'!C14-'Proto M2'!R2),3)</f>
        <v>10.351000000000001</v>
      </c>
      <c r="E10" s="66">
        <f t="shared" si="0"/>
        <v>1.232</v>
      </c>
      <c r="F10" s="103"/>
      <c r="J10" s="13"/>
    </row>
    <row r="11" spans="1:10" x14ac:dyDescent="0.25">
      <c r="A11" s="101"/>
      <c r="B11" s="74" t="s">
        <v>172</v>
      </c>
      <c r="C11" s="75">
        <f>ROUND(SUM('Proto M1'!B39,'Proto M1'!B40),3)</f>
        <v>1.2</v>
      </c>
      <c r="D11" s="66">
        <f>ROUND(ABS('Proto M2'!C39-'Proto M2'!R2),3)</f>
        <v>3.2989999999999999</v>
      </c>
      <c r="E11" s="66">
        <f t="shared" si="0"/>
        <v>3.9590000000000001</v>
      </c>
      <c r="F11" s="104"/>
      <c r="J11" s="13"/>
    </row>
    <row r="12" spans="1:10" x14ac:dyDescent="0.25">
      <c r="A12" s="86" t="s">
        <v>173</v>
      </c>
      <c r="B12" s="76" t="s">
        <v>38</v>
      </c>
      <c r="C12" s="75">
        <f>ROUND('Proto M2'!B12,3)</f>
        <v>3.1E-2</v>
      </c>
      <c r="D12" s="66">
        <f>ROUND(ABS('Proto M2'!C12-'Proto M2'!R2),3)</f>
        <v>4.2709999999999999</v>
      </c>
      <c r="E12" s="66">
        <f t="shared" si="0"/>
        <v>0.13200000000000001</v>
      </c>
      <c r="F12" s="102">
        <f>SUM(C12:C15)</f>
        <v>5.1000000000000004E-2</v>
      </c>
      <c r="J12" s="13"/>
    </row>
    <row r="13" spans="1:10" x14ac:dyDescent="0.25">
      <c r="A13" s="88"/>
      <c r="B13" s="74" t="s">
        <v>141</v>
      </c>
      <c r="C13" s="75">
        <f>ROUND('Proto M2'!B13,3)</f>
        <v>0</v>
      </c>
      <c r="D13" s="66">
        <f>ROUND(ABS('Proto M2'!C13-'Proto M2'!R2),3)</f>
        <v>7.0410000000000004</v>
      </c>
      <c r="E13" s="66">
        <f t="shared" si="0"/>
        <v>0</v>
      </c>
      <c r="F13" s="103"/>
      <c r="J13" s="13"/>
    </row>
    <row r="14" spans="1:10" x14ac:dyDescent="0.25">
      <c r="A14" s="88"/>
      <c r="B14" s="74" t="s">
        <v>134</v>
      </c>
      <c r="C14" s="75">
        <f>ROUND('Proto M2'!B9,3)</f>
        <v>0.01</v>
      </c>
      <c r="D14" s="66">
        <f>ROUND(ABS('Proto M2'!C9-'Proto M2'!R2),3)</f>
        <v>10.391</v>
      </c>
      <c r="E14" s="66">
        <f t="shared" si="0"/>
        <v>0.104</v>
      </c>
      <c r="F14" s="103"/>
      <c r="J14" s="13"/>
    </row>
    <row r="15" spans="1:10" x14ac:dyDescent="0.25">
      <c r="A15" s="101"/>
      <c r="B15" s="70" t="s">
        <v>174</v>
      </c>
      <c r="C15" s="75">
        <f>ROUND('Proto M1'!B11,3)</f>
        <v>0.01</v>
      </c>
      <c r="D15" s="66">
        <f>ROUND(ABS('Proto M2'!C11-'Proto M2'!R2),3)</f>
        <v>16.178999999999998</v>
      </c>
      <c r="E15" s="66">
        <f t="shared" si="0"/>
        <v>0.16200000000000001</v>
      </c>
      <c r="F15" s="104"/>
      <c r="J15" s="13"/>
    </row>
    <row r="16" spans="1:10" x14ac:dyDescent="0.25">
      <c r="A16" s="71" t="s">
        <v>175</v>
      </c>
      <c r="B16" s="74" t="s">
        <v>176</v>
      </c>
      <c r="C16" s="66">
        <f>ROUND(3*'Proto M2'!B4,3)</f>
        <v>1.125</v>
      </c>
      <c r="D16" s="66">
        <f>ROUND(ABS('Proto M2'!C5-'Proto M2'!R2),3)</f>
        <v>0.14099999999999999</v>
      </c>
      <c r="E16" s="66">
        <f t="shared" si="0"/>
        <v>0.159</v>
      </c>
      <c r="F16" s="67">
        <f>C16</f>
        <v>1.125</v>
      </c>
      <c r="J16" s="65"/>
    </row>
    <row r="17" spans="1:10" x14ac:dyDescent="0.25">
      <c r="A17" s="114" t="s">
        <v>199</v>
      </c>
      <c r="B17" s="79" t="s">
        <v>200</v>
      </c>
      <c r="C17" s="75">
        <f>ROUND(SUM('Proto M2'!B20,'Proto M2'!B21,'Proto M2'!B25,'Proto M2'!B26,'Proto M2'!B28,'Proto M2'!B29),3)</f>
        <v>0.185</v>
      </c>
      <c r="D17" s="66">
        <f>ABS(ROUND(('Proto M2'!C20-'Proto M2'!R2),3))</f>
        <v>11.651</v>
      </c>
      <c r="E17" s="66">
        <f t="shared" si="0"/>
        <v>2.1549999999999998</v>
      </c>
      <c r="F17" s="102">
        <f>SUM(C17:C22)</f>
        <v>0.30700000000000005</v>
      </c>
      <c r="J17" s="13"/>
    </row>
    <row r="18" spans="1:10" x14ac:dyDescent="0.25">
      <c r="A18" s="115"/>
      <c r="B18" s="74" t="s">
        <v>201</v>
      </c>
      <c r="C18" s="75">
        <f>ROUND(SUM('Proto M2'!B22,'Proto M2'!B23,'Proto M2'!B27),3)</f>
        <v>7.8E-2</v>
      </c>
      <c r="D18" s="66">
        <f>ABS(ROUND(('Proto M2'!C22-'Proto M2'!R$2),3))</f>
        <v>16.849</v>
      </c>
      <c r="E18" s="66">
        <f t="shared" si="0"/>
        <v>1.3140000000000001</v>
      </c>
      <c r="F18" s="103"/>
      <c r="J18" s="13"/>
    </row>
    <row r="19" spans="1:10" x14ac:dyDescent="0.25">
      <c r="A19" s="115"/>
      <c r="B19" s="74" t="s">
        <v>202</v>
      </c>
      <c r="C19" s="75">
        <f>ROUND('Proto M2'!B24,3)</f>
        <v>7.0000000000000001E-3</v>
      </c>
      <c r="D19" s="66">
        <f>ABS(ROUND(('Proto M2'!C24-'Proto M2'!R$2),3))</f>
        <v>11.731</v>
      </c>
      <c r="E19" s="66">
        <f t="shared" si="0"/>
        <v>8.2000000000000003E-2</v>
      </c>
      <c r="F19" s="103"/>
      <c r="J19" s="13"/>
    </row>
    <row r="20" spans="1:10" x14ac:dyDescent="0.25">
      <c r="A20" s="115"/>
      <c r="B20" s="73" t="s">
        <v>196</v>
      </c>
      <c r="C20" s="75">
        <f>ROUND('Proto M2'!B30,3)</f>
        <v>1.2999999999999999E-2</v>
      </c>
      <c r="D20" s="66">
        <f>ABS(ROUND(('Proto M2'!C30-'Proto M2'!R$2),3))</f>
        <v>16.859000000000002</v>
      </c>
      <c r="E20" s="66">
        <f t="shared" si="0"/>
        <v>0.219</v>
      </c>
      <c r="F20" s="103"/>
      <c r="J20" s="13"/>
    </row>
    <row r="21" spans="1:10" x14ac:dyDescent="0.25">
      <c r="A21" s="115"/>
      <c r="B21" s="74" t="s">
        <v>203</v>
      </c>
      <c r="C21" s="75">
        <f>ROUND(SUM('Proto M2'!B16,'Proto M2'!B17),3)</f>
        <v>1.2E-2</v>
      </c>
      <c r="D21" s="66">
        <f>ABS(ROUND(('Proto M2'!C16-'Proto M2'!R$2),3))</f>
        <v>8.2810000000000006</v>
      </c>
      <c r="E21" s="66">
        <f t="shared" si="0"/>
        <v>9.9000000000000005E-2</v>
      </c>
      <c r="F21" s="103"/>
      <c r="J21" s="13"/>
    </row>
    <row r="22" spans="1:10" x14ac:dyDescent="0.25">
      <c r="A22" s="116"/>
      <c r="B22" s="80" t="s">
        <v>204</v>
      </c>
      <c r="C22" s="78">
        <f>ROUND(SUM('Proto M2'!B18,'Proto M2'!B19),3)</f>
        <v>1.2E-2</v>
      </c>
      <c r="D22" s="66">
        <f>ABS(ROUND(('Proto M2'!C18-'Proto M2'!R$2),3))</f>
        <v>5.9690000000000003</v>
      </c>
      <c r="E22" s="66">
        <f t="shared" si="0"/>
        <v>7.1999999999999995E-2</v>
      </c>
      <c r="F22" s="104"/>
      <c r="J22" s="13"/>
    </row>
    <row r="23" spans="1:10" x14ac:dyDescent="0.25">
      <c r="A23" s="95" t="s">
        <v>177</v>
      </c>
      <c r="B23" s="117"/>
      <c r="C23" s="81"/>
      <c r="D23" s="75"/>
      <c r="E23" s="66">
        <f>SUM(E4:E22)</f>
        <v>23.893000000000004</v>
      </c>
      <c r="F23" s="68">
        <f>SUM(F4:F22)</f>
        <v>4.0540000000000003</v>
      </c>
      <c r="J23" s="13"/>
    </row>
    <row r="24" spans="1:10" x14ac:dyDescent="0.25">
      <c r="A24" s="95" t="s">
        <v>178</v>
      </c>
      <c r="B24" s="97"/>
      <c r="C24" s="95">
        <f>ROUND('Proto M2'!R2,3)</f>
        <v>15.141</v>
      </c>
      <c r="D24" s="96"/>
      <c r="E24" s="96"/>
      <c r="F24" s="97"/>
      <c r="J24" s="13"/>
    </row>
    <row r="25" spans="1:10" x14ac:dyDescent="0.25">
      <c r="B25" s="64"/>
      <c r="J25" s="13"/>
    </row>
    <row r="26" spans="1:10" x14ac:dyDescent="0.25">
      <c r="B26" s="64"/>
      <c r="J26" s="13"/>
    </row>
    <row r="27" spans="1:10" x14ac:dyDescent="0.25">
      <c r="B27" s="64"/>
    </row>
  </sheetData>
  <mergeCells count="17">
    <mergeCell ref="F4:F7"/>
    <mergeCell ref="A4:A7"/>
    <mergeCell ref="A17:A22"/>
    <mergeCell ref="C24:F24"/>
    <mergeCell ref="A12:A15"/>
    <mergeCell ref="A8:A11"/>
    <mergeCell ref="F17:F22"/>
    <mergeCell ref="F12:F15"/>
    <mergeCell ref="F8:F11"/>
    <mergeCell ref="A23:B23"/>
    <mergeCell ref="A24:B24"/>
    <mergeCell ref="A1:F1"/>
    <mergeCell ref="A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5"/>
  <sheetViews>
    <sheetView workbookViewId="0">
      <selection activeCell="C13" sqref="C13"/>
    </sheetView>
  </sheetViews>
  <sheetFormatPr defaultRowHeight="15" x14ac:dyDescent="0.25"/>
  <cols>
    <col min="1" max="1" width="12.5703125" customWidth="1"/>
    <col min="2" max="2" width="26.42578125" customWidth="1"/>
    <col min="3" max="3" width="9.5703125" customWidth="1"/>
    <col min="4" max="4" width="12.85546875" customWidth="1"/>
    <col min="6" max="6" width="13.140625" customWidth="1"/>
  </cols>
  <sheetData>
    <row r="1" spans="1:10" ht="15" customHeight="1" x14ac:dyDescent="0.25">
      <c r="A1" s="118"/>
      <c r="B1" s="118"/>
      <c r="C1" s="118"/>
      <c r="D1" s="118"/>
      <c r="E1" s="118"/>
      <c r="F1" s="118"/>
    </row>
    <row r="2" spans="1:10" ht="15" customHeight="1" x14ac:dyDescent="0.25">
      <c r="A2" s="86" t="s">
        <v>159</v>
      </c>
      <c r="B2" s="87"/>
      <c r="C2" s="90" t="s">
        <v>160</v>
      </c>
      <c r="D2" s="90" t="s">
        <v>161</v>
      </c>
      <c r="E2" s="90" t="s">
        <v>162</v>
      </c>
      <c r="F2" s="93" t="s">
        <v>163</v>
      </c>
      <c r="J2" s="13"/>
    </row>
    <row r="3" spans="1:10" x14ac:dyDescent="0.25">
      <c r="A3" s="88"/>
      <c r="B3" s="89"/>
      <c r="C3" s="91"/>
      <c r="D3" s="91"/>
      <c r="E3" s="91"/>
      <c r="F3" s="94"/>
      <c r="J3" s="13"/>
    </row>
    <row r="4" spans="1:10" x14ac:dyDescent="0.25">
      <c r="A4" s="86" t="s">
        <v>164</v>
      </c>
      <c r="B4" s="76" t="s">
        <v>165</v>
      </c>
      <c r="C4" s="75">
        <f>ROUND(SUM('Proto M1'!B34,'Proto M1'!B35),3)</f>
        <v>0.14599999999999999</v>
      </c>
      <c r="D4" s="66">
        <f>ROUND(ABS('Proto M3'!C34-'Proto M3'!R2),3)</f>
        <v>11.055999999999999</v>
      </c>
      <c r="E4" s="66">
        <f>ROUND(C4*D4,3)</f>
        <v>1.6140000000000001</v>
      </c>
      <c r="F4" s="102">
        <f>SUM(C4:C7)</f>
        <v>0.81</v>
      </c>
      <c r="J4" s="13"/>
    </row>
    <row r="5" spans="1:10" x14ac:dyDescent="0.25">
      <c r="A5" s="88"/>
      <c r="B5" s="74" t="s">
        <v>166</v>
      </c>
      <c r="C5" s="75">
        <f>ROUND('Proto M1'!B33,3)</f>
        <v>0.34899999999999998</v>
      </c>
      <c r="D5" s="66">
        <f>ROUND(ABS('Proto M3'!C33-'Proto M3'!R2),3)</f>
        <v>3.3140000000000001</v>
      </c>
      <c r="E5" s="66">
        <f t="shared" ref="E5:E21" si="0">ROUND(C5*D5,3)</f>
        <v>1.157</v>
      </c>
      <c r="F5" s="103"/>
      <c r="J5" s="13"/>
    </row>
    <row r="6" spans="1:10" x14ac:dyDescent="0.25">
      <c r="A6" s="88"/>
      <c r="B6" s="74" t="s">
        <v>167</v>
      </c>
      <c r="C6" s="75">
        <f>ROUND(SUM('Proto M1'!B36,'Proto M1'!B37),3)</f>
        <v>0.27200000000000002</v>
      </c>
      <c r="D6" s="66">
        <f>ROUND(ABS('Proto M3'!C36-'Proto M3'!R2),3)</f>
        <v>17.443999999999999</v>
      </c>
      <c r="E6" s="66">
        <f t="shared" si="0"/>
        <v>4.7450000000000001</v>
      </c>
      <c r="F6" s="103"/>
      <c r="J6" s="13"/>
    </row>
    <row r="7" spans="1:10" x14ac:dyDescent="0.25">
      <c r="A7" s="101"/>
      <c r="B7" s="70" t="s">
        <v>168</v>
      </c>
      <c r="C7" s="75">
        <f>ROUND('Proto M1'!B38,3)</f>
        <v>4.2999999999999997E-2</v>
      </c>
      <c r="D7" s="66">
        <f>ROUND(ABS('Proto M3'!C38-'Proto M3'!R2),3)</f>
        <v>15.504</v>
      </c>
      <c r="E7" s="66">
        <f t="shared" si="0"/>
        <v>0.66700000000000004</v>
      </c>
      <c r="F7" s="104"/>
      <c r="J7" s="13"/>
    </row>
    <row r="8" spans="1:10" x14ac:dyDescent="0.25">
      <c r="A8" s="86" t="s">
        <v>169</v>
      </c>
      <c r="B8" s="74" t="s">
        <v>170</v>
      </c>
      <c r="C8" s="75">
        <f>ROUND(SUM('Proto M1'!B2,'Proto M1'!B15),3)</f>
        <v>0.378</v>
      </c>
      <c r="D8" s="66">
        <f>ROUND(ABS(SUM('Proto M3'!B2*'Proto M3'!C2,'Proto M3'!B15*'Proto M3'!C15)/SUM('Proto M3'!B2,'Proto M3'!B15)-'Proto M3'!R2),3)</f>
        <v>14.172000000000001</v>
      </c>
      <c r="E8" s="66">
        <f t="shared" si="0"/>
        <v>5.3570000000000002</v>
      </c>
      <c r="F8" s="106">
        <f>SUM(C8:C11)</f>
        <v>1.7609999999999999</v>
      </c>
      <c r="J8" s="13"/>
    </row>
    <row r="9" spans="1:10" x14ac:dyDescent="0.25">
      <c r="A9" s="88"/>
      <c r="B9" s="74" t="s">
        <v>122</v>
      </c>
      <c r="C9" s="75">
        <f>ROUND('Proto M1'!B3,3)</f>
        <v>6.4000000000000001E-2</v>
      </c>
      <c r="D9" s="66">
        <f>ROUND(ABS('Proto M3'!C3-'Proto M3'!R2),3)</f>
        <v>11.066000000000001</v>
      </c>
      <c r="E9" s="66">
        <f t="shared" si="0"/>
        <v>0.70799999999999996</v>
      </c>
      <c r="F9" s="106"/>
      <c r="J9" s="13"/>
    </row>
    <row r="10" spans="1:10" x14ac:dyDescent="0.25">
      <c r="A10" s="88"/>
      <c r="B10" s="74" t="s">
        <v>171</v>
      </c>
      <c r="C10" s="77">
        <f>ROUND('Proto M1'!B14,3)</f>
        <v>0.11899999999999999</v>
      </c>
      <c r="D10" s="66">
        <f>ROUND(ABS('Proto M3'!C14-'Proto M3'!R2),3)</f>
        <v>9.766</v>
      </c>
      <c r="E10" s="66">
        <f t="shared" si="0"/>
        <v>1.1619999999999999</v>
      </c>
      <c r="F10" s="106"/>
      <c r="J10" s="13"/>
    </row>
    <row r="11" spans="1:10" x14ac:dyDescent="0.25">
      <c r="A11" s="101"/>
      <c r="B11" s="70" t="s">
        <v>172</v>
      </c>
      <c r="C11" s="75">
        <f>ROUND(SUM('Proto M1'!B39,'Proto M1'!B40),3)</f>
        <v>1.2</v>
      </c>
      <c r="D11" s="66">
        <f>ROUND(ABS('Proto M3'!C39-'Proto M3'!R2),3)</f>
        <v>3.8839999999999999</v>
      </c>
      <c r="E11" s="66">
        <f t="shared" si="0"/>
        <v>4.6609999999999996</v>
      </c>
      <c r="F11" s="106"/>
      <c r="J11" s="13"/>
    </row>
    <row r="12" spans="1:10" x14ac:dyDescent="0.25">
      <c r="A12" s="86" t="s">
        <v>173</v>
      </c>
      <c r="B12" s="74" t="s">
        <v>38</v>
      </c>
      <c r="C12" s="75">
        <f>ROUND('Proto M1'!B12,3)</f>
        <v>3.1E-2</v>
      </c>
      <c r="D12" s="66">
        <f>ROUND(ABS('Proto M3'!C12-'Proto M3'!R2),3)</f>
        <v>3.6859999999999999</v>
      </c>
      <c r="E12" s="66">
        <f t="shared" si="0"/>
        <v>0.114</v>
      </c>
      <c r="F12" s="106">
        <f>SUM(C12:C15)</f>
        <v>0.34199999999999997</v>
      </c>
      <c r="J12" s="13"/>
    </row>
    <row r="13" spans="1:10" x14ac:dyDescent="0.25">
      <c r="A13" s="88"/>
      <c r="B13" s="74" t="s">
        <v>141</v>
      </c>
      <c r="C13" s="75">
        <f>ROUND('Proto M1'!B13,3)</f>
        <v>0.29099999999999998</v>
      </c>
      <c r="D13" s="66">
        <f>ROUND(ABS('Proto M3'!C13-'Proto M3'!R2),3)</f>
        <v>6.4560000000000004</v>
      </c>
      <c r="E13" s="66">
        <f t="shared" si="0"/>
        <v>1.879</v>
      </c>
      <c r="F13" s="106"/>
      <c r="J13" s="13"/>
    </row>
    <row r="14" spans="1:10" x14ac:dyDescent="0.25">
      <c r="A14" s="88"/>
      <c r="B14" s="74" t="s">
        <v>134</v>
      </c>
      <c r="C14" s="75">
        <f>ROUND('Proto M1'!B9,3)</f>
        <v>0.01</v>
      </c>
      <c r="D14" s="66">
        <f>ROUND(ABS('Proto M3'!C9-'Proto M3'!R2),3)</f>
        <v>9.8059999999999992</v>
      </c>
      <c r="E14" s="66">
        <f t="shared" si="0"/>
        <v>9.8000000000000004E-2</v>
      </c>
      <c r="F14" s="106"/>
      <c r="J14" s="13"/>
    </row>
    <row r="15" spans="1:10" x14ac:dyDescent="0.25">
      <c r="A15" s="101"/>
      <c r="B15" s="70" t="s">
        <v>174</v>
      </c>
      <c r="C15" s="75">
        <f>ROUND('Proto M1'!B11,3)</f>
        <v>0.01</v>
      </c>
      <c r="D15" s="66">
        <f>ROUND(ABS('Proto M3'!C11-'Proto M3'!R2),3)</f>
        <v>16.763999999999999</v>
      </c>
      <c r="E15" s="66">
        <f t="shared" si="0"/>
        <v>0.16800000000000001</v>
      </c>
      <c r="F15" s="106"/>
      <c r="J15" s="65"/>
    </row>
    <row r="16" spans="1:10" x14ac:dyDescent="0.25">
      <c r="A16" s="98" t="s">
        <v>199</v>
      </c>
      <c r="B16" s="79" t="s">
        <v>200</v>
      </c>
      <c r="C16" s="75">
        <f>ROUND(SUM('Proto M2'!B20,'Proto M2'!B21,'Proto M2'!B25,'Proto M2'!B26,'Proto M2'!B28,'Proto M2'!B29),3)</f>
        <v>0.185</v>
      </c>
      <c r="D16" s="66">
        <f>ABS(ROUND(('Proto M3'!C20-'Proto M3'!R2),3))</f>
        <v>11.066000000000001</v>
      </c>
      <c r="E16" s="66">
        <f t="shared" si="0"/>
        <v>2.0470000000000002</v>
      </c>
      <c r="F16" s="102">
        <f>SUM(C16:C21)</f>
        <v>0.30700000000000005</v>
      </c>
      <c r="J16" s="13"/>
    </row>
    <row r="17" spans="1:10" x14ac:dyDescent="0.25">
      <c r="A17" s="99"/>
      <c r="B17" s="74" t="s">
        <v>201</v>
      </c>
      <c r="C17" s="75">
        <f>ROUND(SUM('Proto M2'!B22,'Proto M2'!B23,'Proto M2'!B27),3)</f>
        <v>7.8E-2</v>
      </c>
      <c r="D17" s="66">
        <f>ABS(ROUND(('Proto M3'!C22-'Proto M3'!R$2),3))</f>
        <v>17.434000000000001</v>
      </c>
      <c r="E17" s="66">
        <f t="shared" si="0"/>
        <v>1.36</v>
      </c>
      <c r="F17" s="103"/>
      <c r="J17" s="13"/>
    </row>
    <row r="18" spans="1:10" x14ac:dyDescent="0.25">
      <c r="A18" s="99"/>
      <c r="B18" s="74" t="s">
        <v>202</v>
      </c>
      <c r="C18" s="75">
        <f>ROUND('Proto M2'!B24,3)</f>
        <v>7.0000000000000001E-3</v>
      </c>
      <c r="D18" s="66">
        <f>ABS(ROUND(('Proto M3'!C24-'Proto M3'!R$2),3))</f>
        <v>11.146000000000001</v>
      </c>
      <c r="E18" s="66">
        <f t="shared" si="0"/>
        <v>7.8E-2</v>
      </c>
      <c r="F18" s="103"/>
      <c r="J18" s="13"/>
    </row>
    <row r="19" spans="1:10" x14ac:dyDescent="0.25">
      <c r="A19" s="99"/>
      <c r="B19" s="73" t="s">
        <v>196</v>
      </c>
      <c r="C19" s="75">
        <f>ROUND('Proto M2'!B30,3)</f>
        <v>1.2999999999999999E-2</v>
      </c>
      <c r="D19" s="66">
        <f>ABS(ROUND(('Proto M3'!C30-'Proto M3'!R$2),3))</f>
        <v>17.443999999999999</v>
      </c>
      <c r="E19" s="66">
        <f t="shared" si="0"/>
        <v>0.22700000000000001</v>
      </c>
      <c r="F19" s="103"/>
      <c r="J19" s="13"/>
    </row>
    <row r="20" spans="1:10" x14ac:dyDescent="0.25">
      <c r="A20" s="99"/>
      <c r="B20" s="74" t="s">
        <v>203</v>
      </c>
      <c r="C20" s="75">
        <f>ROUND(SUM('Proto M2'!B16,'Proto M2'!B17),3)</f>
        <v>1.2E-2</v>
      </c>
      <c r="D20" s="66">
        <f>ABS(ROUND(('Proto M3'!C16-'Proto M3'!R$2),3))</f>
        <v>7.6959999999999997</v>
      </c>
      <c r="E20" s="66">
        <f t="shared" si="0"/>
        <v>9.1999999999999998E-2</v>
      </c>
      <c r="F20" s="103"/>
      <c r="J20" s="13"/>
    </row>
    <row r="21" spans="1:10" x14ac:dyDescent="0.25">
      <c r="A21" s="100"/>
      <c r="B21" s="80" t="s">
        <v>204</v>
      </c>
      <c r="C21" s="78">
        <f>ROUND(SUM('Proto M2'!B18,'Proto M2'!B19),3)</f>
        <v>1.2E-2</v>
      </c>
      <c r="D21" s="66">
        <f>ABS(ROUND(('Proto M3'!C18-'Proto M3'!R$2),3))</f>
        <v>6.5540000000000003</v>
      </c>
      <c r="E21" s="66">
        <f t="shared" si="0"/>
        <v>7.9000000000000001E-2</v>
      </c>
      <c r="F21" s="104"/>
      <c r="J21" s="13"/>
    </row>
    <row r="22" spans="1:10" x14ac:dyDescent="0.25">
      <c r="A22" s="105" t="s">
        <v>177</v>
      </c>
      <c r="B22" s="106"/>
      <c r="C22" s="81"/>
      <c r="D22" s="75"/>
      <c r="E22" s="66">
        <f>SUM(E4:E15)</f>
        <v>22.33</v>
      </c>
      <c r="F22" s="68">
        <f>SUM(F4:F21)</f>
        <v>3.2199999999999998</v>
      </c>
      <c r="J22" s="13"/>
    </row>
    <row r="23" spans="1:10" x14ac:dyDescent="0.25">
      <c r="A23" s="95" t="s">
        <v>178</v>
      </c>
      <c r="B23" s="97"/>
      <c r="C23" s="95">
        <f>ROUND('Proto M3'!R2,3)</f>
        <v>14.555999999999999</v>
      </c>
      <c r="D23" s="96"/>
      <c r="E23" s="96"/>
      <c r="F23" s="97"/>
      <c r="J23" s="13"/>
    </row>
    <row r="24" spans="1:10" x14ac:dyDescent="0.25">
      <c r="J24" s="13"/>
    </row>
    <row r="25" spans="1:10" x14ac:dyDescent="0.25">
      <c r="J25" s="13"/>
    </row>
  </sheetData>
  <mergeCells count="17">
    <mergeCell ref="A23:B23"/>
    <mergeCell ref="C23:F23"/>
    <mergeCell ref="A22:B22"/>
    <mergeCell ref="A4:A7"/>
    <mergeCell ref="F4:F7"/>
    <mergeCell ref="A8:A11"/>
    <mergeCell ref="F8:F11"/>
    <mergeCell ref="A12:A15"/>
    <mergeCell ref="F12:F15"/>
    <mergeCell ref="A16:A21"/>
    <mergeCell ref="F16:F21"/>
    <mergeCell ref="A1:F1"/>
    <mergeCell ref="A2:B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X42"/>
  <sheetViews>
    <sheetView topLeftCell="A9" workbookViewId="0">
      <selection activeCell="J36" sqref="J36"/>
    </sheetView>
  </sheetViews>
  <sheetFormatPr defaultColWidth="8.85546875" defaultRowHeight="15" x14ac:dyDescent="0.25"/>
  <cols>
    <col min="1" max="1" width="17.28515625" customWidth="1"/>
    <col min="2" max="2" width="9.28515625" customWidth="1"/>
    <col min="6" max="6" width="9" customWidth="1"/>
    <col min="7" max="7" width="8.42578125" customWidth="1"/>
    <col min="8" max="8" width="9.42578125" customWidth="1"/>
    <col min="10" max="10" width="13.140625" customWidth="1"/>
    <col min="12" max="12" width="11.85546875" customWidth="1"/>
    <col min="20" max="20" width="11.85546875" customWidth="1"/>
    <col min="22" max="22" width="9.85546875" customWidth="1"/>
  </cols>
  <sheetData>
    <row r="1" spans="1:23" ht="15.75" thickBot="1" x14ac:dyDescent="0.3">
      <c r="A1" s="5" t="s">
        <v>118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s="36" t="s">
        <v>12</v>
      </c>
      <c r="K1" s="36"/>
      <c r="L1" s="36"/>
      <c r="M1" s="36"/>
      <c r="N1" s="36"/>
      <c r="O1" s="36"/>
      <c r="Q1" s="26" t="s">
        <v>11</v>
      </c>
      <c r="R1" s="24">
        <f>SUM(SUMPRODUCT(Table184202632[weight],Table184202632[zpos]),SUMPRODUCT(Table2115212733[weight],Table2115212733[Zcg]))/SUM(Table184202632[weight],Table2115212733[weight])</f>
        <v>0.70661179288821263</v>
      </c>
      <c r="S1" s="12" t="s">
        <v>49</v>
      </c>
      <c r="T1" s="1" t="s">
        <v>40</v>
      </c>
      <c r="U1" s="10">
        <v>32.5</v>
      </c>
      <c r="V1" s="22" t="s">
        <v>119</v>
      </c>
      <c r="W1" s="56"/>
    </row>
    <row r="2" spans="1:23" ht="15.75" thickBot="1" x14ac:dyDescent="0.3">
      <c r="A2" s="5" t="s">
        <v>13</v>
      </c>
      <c r="B2">
        <f>4.65/16</f>
        <v>0.29062500000000002</v>
      </c>
      <c r="C2">
        <v>0.5</v>
      </c>
      <c r="D2">
        <v>0</v>
      </c>
      <c r="F2">
        <f>Table184202632[[#This Row],[weight]]*(Table184202632[[#This Row],[ypos]]^2+(Table184202632[[#This Row],[zpos]]-R1)^2)</f>
        <v>0.1451091281372768</v>
      </c>
      <c r="G2">
        <f>Table184202632[[#This Row],[weight]]*((Table184202632[[#This Row],[xpos]]-R2)^2+(Table184202632[[#This Row],[zpos]]-R1)^2)</f>
        <v>58.905582051353946</v>
      </c>
      <c r="H2">
        <f>Table184202632[[#This Row],[weight]]*(Table184202632[[#This Row],[xpos]]-R2)^2</f>
        <v>58.760472923216675</v>
      </c>
      <c r="J2" s="36" t="s">
        <v>120</v>
      </c>
      <c r="K2" s="36" t="s">
        <v>15</v>
      </c>
      <c r="L2" s="36" t="s">
        <v>16</v>
      </c>
      <c r="M2" s="36" t="s">
        <v>17</v>
      </c>
      <c r="N2" s="36" t="s">
        <v>18</v>
      </c>
      <c r="O2" s="36" t="s">
        <v>19</v>
      </c>
      <c r="Q2" s="11" t="s">
        <v>9</v>
      </c>
      <c r="R2" s="24">
        <f>SUM(SUMPRODUCT(Table184202632[weight],Table184202632[xpos]),SUMPRODUCT(Table2115212733[weight],Table2115212733[Xcg]))/SUM(Table184202632[weight],Table2115212733[weight])</f>
        <v>14.719232521456288</v>
      </c>
      <c r="S2" s="12" t="s">
        <v>49</v>
      </c>
      <c r="T2" s="2" t="s">
        <v>45</v>
      </c>
      <c r="U2" s="54">
        <v>1.5</v>
      </c>
      <c r="V2" s="58" t="s">
        <v>121</v>
      </c>
      <c r="W2" s="56">
        <v>2</v>
      </c>
    </row>
    <row r="3" spans="1:23" ht="15.75" thickBot="1" x14ac:dyDescent="0.3">
      <c r="A3" s="5" t="s">
        <v>122</v>
      </c>
      <c r="B3">
        <f>1.02/16</f>
        <v>6.3750000000000001E-2</v>
      </c>
      <c r="C3">
        <f>3.49</f>
        <v>3.49</v>
      </c>
      <c r="D3">
        <v>0</v>
      </c>
      <c r="E3">
        <f>0.75</f>
        <v>0.75</v>
      </c>
      <c r="F3">
        <f>Table184202632[[#This Row],[weight]]*(Table184202632[[#This Row],[ypos]]^2+(Table184202632[[#This Row],[zpos]]-R1)^2)</f>
        <v>1.2001170291892896E-4</v>
      </c>
      <c r="G3">
        <f>Table184202632[[#This Row],[weight]]*((Table184202632[[#This Row],[xpos]]-R2)^2+(Table184202632[[#This Row],[zpos]]-R1)^2)</f>
        <v>8.0387185292873049</v>
      </c>
      <c r="H3">
        <f>Table184202632[[#This Row],[weight]]*(Table184202632[[#This Row],[xpos]]^2+Table184202632[[#This Row],[ypos]]^2)</f>
        <v>0.77648137500000014</v>
      </c>
      <c r="J3" s="50">
        <f>U1*U3*V13</f>
        <v>22.34375</v>
      </c>
      <c r="K3" s="50">
        <f>U1/2</f>
        <v>16.25</v>
      </c>
      <c r="L3" s="50">
        <f>V13/2</f>
        <v>6.25E-2</v>
      </c>
      <c r="M3" s="36">
        <f>Table51216253137[[#This Row],[V]]*V12*((Table51216253137[[#This Row],[zT]]-R1)^2+(U3^2+U1^2)/12)</f>
        <v>11.746753763016084</v>
      </c>
      <c r="N3" s="36">
        <f>Table51216253137[[#This Row],[V]]*V12*((Table51216253137[[#This Row],[xT]]-R2)^2+(U3^2+U1^2)/12)</f>
        <v>11.995796602463672</v>
      </c>
      <c r="O3" s="36">
        <f>Table51216253137[[#This Row],[V]]*((Table51216253137[[#This Row],[zT]]-R1)^2+(Table51216253137[[#This Row],[xT]]-R2)^2)</f>
        <v>61.626946521871588</v>
      </c>
      <c r="P3" t="s">
        <v>123</v>
      </c>
      <c r="Q3" s="23" t="s">
        <v>59</v>
      </c>
      <c r="R3" s="2">
        <v>15</v>
      </c>
      <c r="S3" s="14" t="s">
        <v>49</v>
      </c>
      <c r="T3" s="3" t="s">
        <v>47</v>
      </c>
      <c r="U3" s="55">
        <v>5.5</v>
      </c>
      <c r="V3" s="59" t="s">
        <v>124</v>
      </c>
      <c r="W3" s="57">
        <v>2.75</v>
      </c>
    </row>
    <row r="4" spans="1:23" ht="15.75" thickBot="1" x14ac:dyDescent="0.3">
      <c r="A4" s="5" t="s">
        <v>22</v>
      </c>
      <c r="B4">
        <f>6/16</f>
        <v>0.375</v>
      </c>
      <c r="C4">
        <f>C5-3</f>
        <v>12</v>
      </c>
      <c r="D4">
        <v>0</v>
      </c>
      <c r="E4">
        <f>E5</f>
        <v>0.75</v>
      </c>
      <c r="F4">
        <f>Table184202632[[#This Row],[weight]]*(Table184202632[[#This Row],[ypos]]^2+(Table184202632[[#This Row],[zpos]]-R1)^2)</f>
        <v>7.059511936407585E-4</v>
      </c>
      <c r="G4">
        <f>Table184202632[[#This Row],[weight]]*((Table184202632[[#This Row],[xpos]]-R2)^2+(Table184202632[[#This Row],[zpos]]-R1)^2)</f>
        <v>2.7735405158482109</v>
      </c>
      <c r="H4">
        <f>Table184202632[[#This Row],[weight]]*((Table184202632[[#This Row],[xpos]]-R2)^2+Table184202632[[#This Row],[ypos]]^2)</f>
        <v>2.7728345646545702</v>
      </c>
      <c r="J4" s="50">
        <f>(N29+N30+N31)*V13</f>
        <v>2.9644097222222223</v>
      </c>
      <c r="K4" s="50">
        <f>SUMPRODUCT(Table34[X~],Table34[A])/SUM(Table34[A])</f>
        <v>19.855905319668128</v>
      </c>
      <c r="L4" s="50">
        <f>SUMPRODUCT(Table34[Z~],Table34[A])/SUM(Table34[A])</f>
        <v>0.64555880917520725</v>
      </c>
      <c r="M4" s="36">
        <f>Table51216253137[[#This Row],[V]]*(Table51216253137[[#This Row],[zT]]-R1)^2</f>
        <v>1.1049738881240981E-2</v>
      </c>
      <c r="N4" s="36">
        <f>Table51216253137[[#This Row],[V]]*(Table51216253137[[#This Row],[xT]]-R2)^2</f>
        <v>78.217158327745224</v>
      </c>
      <c r="O4" s="36">
        <f>Table51216253137[[#This Row],[V]]*((Table51216253137[[#This Row],[zT]]-R1)^2+(Table51216253137[[#This Row],[xT]]-R2)^2)</f>
        <v>78.228208066626479</v>
      </c>
      <c r="P4" t="s">
        <v>62</v>
      </c>
      <c r="Q4" s="42" t="s">
        <v>65</v>
      </c>
      <c r="R4" s="32">
        <f>SUM(Table184202632[Ixx],Table2115212733[Ixx])</f>
        <v>111.29873570756433</v>
      </c>
      <c r="S4" s="33" t="s">
        <v>66</v>
      </c>
      <c r="T4" s="15" t="s">
        <v>125</v>
      </c>
      <c r="U4" s="16"/>
      <c r="V4" s="59" t="s">
        <v>126</v>
      </c>
      <c r="W4" s="8">
        <v>1.6</v>
      </c>
    </row>
    <row r="5" spans="1:23" ht="15.75" thickBot="1" x14ac:dyDescent="0.3">
      <c r="A5" s="5" t="s">
        <v>24</v>
      </c>
      <c r="B5">
        <f>6/16</f>
        <v>0.375</v>
      </c>
      <c r="C5">
        <f>R3</f>
        <v>15</v>
      </c>
      <c r="D5">
        <v>0</v>
      </c>
      <c r="E5">
        <v>0.75</v>
      </c>
      <c r="F5">
        <f>Table184202632[[#This Row],[weight]]*(Table184202632[[#This Row],[ypos]]^2+(Table184202632[[#This Row],[zpos]]-R1)^2)</f>
        <v>7.059511936407585E-4</v>
      </c>
      <c r="G5">
        <f>Table184202632[[#This Row],[weight]]*((Table184202632[[#This Row],[xpos]]-R2)^2+(Table184202632[[#This Row],[zpos]]-R1)^2)</f>
        <v>3.0267342571563466E-2</v>
      </c>
      <c r="H5">
        <f>Table184202632[[#This Row],[weight]]*((Table184202632[[#This Row],[xpos]]-R2)^2+Table184202632[[#This Row],[ypos]]^2)</f>
        <v>2.9561391377922713E-2</v>
      </c>
      <c r="J5" s="50">
        <f>J4</f>
        <v>2.9644097222222223</v>
      </c>
      <c r="K5" s="50">
        <f>K4</f>
        <v>19.855905319668128</v>
      </c>
      <c r="L5" s="50">
        <f>L4</f>
        <v>0.64555880917520725</v>
      </c>
      <c r="M5" s="36">
        <f>Table51216253137[[#This Row],[V]]*(Table51216253137[[#This Row],[zT]]-R1)^2</f>
        <v>1.1049738881240981E-2</v>
      </c>
      <c r="N5" s="36">
        <f>Table51216253137[[#This Row],[V]]*(Table51216253137[[#This Row],[xT]]-R2)^2</f>
        <v>78.217158327745224</v>
      </c>
      <c r="O5" s="36">
        <f>Table51216253137[[#This Row],[V]]*((Table51216253137[[#This Row],[zT]]-R1)^2+(Table51216253137[[#This Row],[xT]]-R2)^2)</f>
        <v>78.228208066626479</v>
      </c>
      <c r="P5" t="s">
        <v>72</v>
      </c>
      <c r="Q5" s="43" t="s">
        <v>69</v>
      </c>
      <c r="R5" s="31">
        <f>SUM(Table184202632[Iyy],Table2115212733[Iyy])</f>
        <v>326.65476496921667</v>
      </c>
      <c r="S5" s="35" t="s">
        <v>66</v>
      </c>
      <c r="T5" s="51" t="s">
        <v>121</v>
      </c>
      <c r="U5" s="8">
        <v>26.5</v>
      </c>
      <c r="V5" s="60" t="s">
        <v>127</v>
      </c>
      <c r="W5" s="57">
        <v>25</v>
      </c>
    </row>
    <row r="6" spans="1:23" ht="15.75" thickBot="1" x14ac:dyDescent="0.3">
      <c r="A6" s="5" t="s">
        <v>26</v>
      </c>
      <c r="B6">
        <f>B4</f>
        <v>0.375</v>
      </c>
      <c r="C6">
        <f>C5+3</f>
        <v>18</v>
      </c>
      <c r="D6">
        <v>0</v>
      </c>
      <c r="E6">
        <v>0.75</v>
      </c>
      <c r="F6">
        <f>Table184202632[[#This Row],[weight]]*(Table184202632[[#This Row],[ypos]]^2+(Table184202632[[#This Row],[zpos]]-R1)^2)</f>
        <v>7.059511936407585E-4</v>
      </c>
      <c r="G6">
        <f>Table184202632[[#This Row],[weight]]*((Table184202632[[#This Row],[xpos]]-R2)^2+(Table184202632[[#This Row],[zpos]]-R1)^2)</f>
        <v>4.0369941692949158</v>
      </c>
      <c r="H6">
        <f>Table184202632[[#This Row],[weight]]*((Table184202632[[#This Row],[xpos]]-R2)^2+Table184202632[[#This Row],[ypos]]^2)</f>
        <v>4.0362882181012747</v>
      </c>
      <c r="J6" s="50">
        <f>O21*U3*V13</f>
        <v>13.75</v>
      </c>
      <c r="K6" s="50">
        <f>O21/2</f>
        <v>10</v>
      </c>
      <c r="L6" s="50">
        <f>U2-V13/2</f>
        <v>1.4375</v>
      </c>
      <c r="M6" s="36">
        <f>Table51216253137[[#This Row],[V]]*V12*((Table51216253137[[#This Row],[zT]]-R1)^2+(U3^2+O21^2)/12)</f>
        <v>2.8919652478120099</v>
      </c>
      <c r="N6" s="36">
        <f>Table51216253137[[#This Row],[V]]*(R2-Table51216253137[[#This Row],[xT]])^2</f>
        <v>306.22838938409672</v>
      </c>
      <c r="O6" s="36">
        <f>Table51216253137[[#This Row],[V]]*((Table51216253137[[#This Row],[zT]]-R1)^2+(Table51216253137[[#This Row],[xT]]-R2)^2)</f>
        <v>313.57360598940409</v>
      </c>
      <c r="P6" t="s">
        <v>128</v>
      </c>
      <c r="Q6" s="25" t="s">
        <v>74</v>
      </c>
      <c r="R6" s="39">
        <f>SUM(Table184202632[Izz],Table2115212733[Izz])</f>
        <v>490.50634191060198</v>
      </c>
      <c r="S6" s="40" t="s">
        <v>66</v>
      </c>
      <c r="T6" s="51" t="s">
        <v>126</v>
      </c>
      <c r="U6" s="8">
        <v>1.5</v>
      </c>
      <c r="V6" s="11" t="s">
        <v>129</v>
      </c>
      <c r="W6" s="16"/>
    </row>
    <row r="7" spans="1:23" x14ac:dyDescent="0.25">
      <c r="A7" s="5" t="s">
        <v>28</v>
      </c>
      <c r="B7">
        <f>6/16</f>
        <v>0.375</v>
      </c>
      <c r="C7">
        <f>C5-6</f>
        <v>9</v>
      </c>
      <c r="D7">
        <v>0</v>
      </c>
      <c r="E7">
        <v>0.75</v>
      </c>
      <c r="F7">
        <f>Table184202632[[#This Row],[weight]]*(Table184202632[[#This Row],[ypos]]^2+(Table184202632[[#This Row],[zpos]]-R1)^2)</f>
        <v>7.059511936407585E-4</v>
      </c>
      <c r="G7">
        <f>Table184202632[[#This Row],[weight]]*((Table184202632[[#This Row],[xpos]]-R2)^2+(Table184202632[[#This Row],[zpos]]-R1)^2)</f>
        <v>12.266813689124859</v>
      </c>
      <c r="H7">
        <f>Table184202632[[#This Row],[weight]]*((Table184202632[[#This Row],[xpos]]-R2)^2+Table184202632[[#This Row],[ypos]]^2)</f>
        <v>12.266107737931218</v>
      </c>
      <c r="J7" s="50">
        <f>U2*U3*V13</f>
        <v>1.03125</v>
      </c>
      <c r="K7" s="50">
        <f>U1</f>
        <v>32.5</v>
      </c>
      <c r="L7" s="50">
        <f>U2/2</f>
        <v>0.75</v>
      </c>
      <c r="M7" s="36">
        <f>Table51216253137[[#This Row],[V]]*(Table51216253137[[#This Row],[zT]]-R1)^2</f>
        <v>1.941365782512086E-3</v>
      </c>
      <c r="N7" s="36">
        <f>Table51216253137[[#This Row],[V]]*(R2-Table51216253137[[#This Row],[xT]])^2</f>
        <v>326.0355575049764</v>
      </c>
      <c r="O7" s="36">
        <f>Table51216253137[[#This Row],[V]]*((Table51216253137[[#This Row],[zT]]-R1)^2+(Table51216253137[[#This Row],[xT]]-R2)^2)</f>
        <v>326.0374988707589</v>
      </c>
      <c r="P7" t="s">
        <v>130</v>
      </c>
      <c r="Q7" s="18" t="s">
        <v>65</v>
      </c>
      <c r="R7" s="32">
        <f>R4/144</f>
        <v>0.77290788685808565</v>
      </c>
      <c r="S7" s="33" t="s">
        <v>101</v>
      </c>
      <c r="T7" s="59" t="s">
        <v>131</v>
      </c>
      <c r="U7" s="8">
        <v>7.75</v>
      </c>
      <c r="V7" s="59" t="s">
        <v>121</v>
      </c>
      <c r="W7" s="8">
        <v>30.5</v>
      </c>
    </row>
    <row r="8" spans="1:23" x14ac:dyDescent="0.25">
      <c r="A8" s="5" t="s">
        <v>30</v>
      </c>
      <c r="B8">
        <f>B7</f>
        <v>0.375</v>
      </c>
      <c r="C8">
        <f>C5+6</f>
        <v>21</v>
      </c>
      <c r="D8">
        <v>0</v>
      </c>
      <c r="E8">
        <v>0.75</v>
      </c>
      <c r="F8">
        <f>Table184202632[[#This Row],[weight]]*(Table184202632[[#This Row],[ypos]]^2+(Table184202632[[#This Row],[zpos]]-R1)^2)</f>
        <v>7.059511936407585E-4</v>
      </c>
      <c r="G8">
        <f>Table184202632[[#This Row],[weight]]*((Table184202632[[#This Row],[xpos]]-R2)^2+(Table184202632[[#This Row],[zpos]]-R1)^2)</f>
        <v>14.793720996018269</v>
      </c>
      <c r="H8">
        <f>Table184202632[[#This Row],[weight]]*((Table184202632[[#This Row],[xpos]]-R2)^2+Table184202632[[#This Row],[ypos]]^2)</f>
        <v>14.793015044824628</v>
      </c>
      <c r="J8" s="62">
        <f>X20*V23*V13</f>
        <v>6.567334528749087</v>
      </c>
      <c r="K8" s="62">
        <f>(P27-O21)/2</f>
        <v>6.25</v>
      </c>
      <c r="L8" s="62">
        <f>K25-T25/2+T25</f>
        <v>1.75</v>
      </c>
      <c r="M8" s="53">
        <f>Table51216253137[[#This Row],[V]]*Table51216253137[[#This Row],[zT]]^2</f>
        <v>20.11246199429408</v>
      </c>
      <c r="N8" s="53">
        <f>Table51216253137[[#This Row],[V]]*Table51216253137[[#This Row],[xT]]^2</f>
        <v>256.53650502926121</v>
      </c>
      <c r="O8" s="38">
        <f>Table51216253137[[#This Row],[V]]*((Table51216253137[[#This Row],[zT]]-R1)^2+(Table51216253137[[#This Row],[xT]]-R2)^2)</f>
        <v>478.21069859459192</v>
      </c>
      <c r="P8" t="s">
        <v>132</v>
      </c>
      <c r="Q8" s="18" t="s">
        <v>69</v>
      </c>
      <c r="R8" s="34">
        <f>R5/144</f>
        <v>2.2684358678417826</v>
      </c>
      <c r="S8" s="35" t="s">
        <v>101</v>
      </c>
      <c r="T8" s="51" t="s">
        <v>133</v>
      </c>
      <c r="U8" s="8">
        <v>6</v>
      </c>
      <c r="V8" s="2" t="s">
        <v>124</v>
      </c>
      <c r="W8" s="8">
        <v>2.75</v>
      </c>
    </row>
    <row r="9" spans="1:23" ht="15.75" thickBot="1" x14ac:dyDescent="0.3">
      <c r="A9" s="5" t="s">
        <v>197</v>
      </c>
      <c r="B9">
        <f>0.01</f>
        <v>0.01</v>
      </c>
      <c r="C9">
        <f>W3+2</f>
        <v>4.75</v>
      </c>
      <c r="E9">
        <f>E34</f>
        <v>1.6625000000000001</v>
      </c>
      <c r="F9">
        <f>Table184202632[[#This Row],[weight]]*(Table184202632[[#This Row],[ypos]]^2+(Table184202632[[#This Row],[zpos]]-R$1)^2)</f>
        <v>9.1372226449538754E-3</v>
      </c>
      <c r="G9">
        <f>Table184202632[[#This Row],[weight]]*((Table184202632[[#This Row],[xpos]]-R$2)^2+(Table184202632[[#This Row],[zpos]]-R$1)^2)</f>
        <v>1.002993193313571</v>
      </c>
      <c r="H9">
        <f>Table184202632[[#This Row],[weight]]*((Table184202632[[#This Row],[xpos]]-R$2)^2+Table184202632[[#This Row],[ypos]]^2)</f>
        <v>0.99385597066861697</v>
      </c>
      <c r="J9" s="62">
        <f>T23*U3*V13</f>
        <v>2.0625</v>
      </c>
      <c r="K9" s="62">
        <f>P27-T23+T23/2</f>
        <v>31</v>
      </c>
      <c r="L9" s="62">
        <f>T25+V13/2</f>
        <v>0.5625</v>
      </c>
      <c r="M9" s="53">
        <f>Table51216253137[[#This Row],[V]]*V12*((Table51216253137[[#This Row],[zT]]-R1)^2+(U3^2+V13^2)/12)</f>
        <v>3.0314589845684067E-2</v>
      </c>
      <c r="N9" s="53">
        <f>Table51216253137[[#This Row],[V]]*Table51216253137[[#This Row],[xT]]^2</f>
        <v>1982.0625</v>
      </c>
      <c r="O9" s="38"/>
      <c r="P9" t="s">
        <v>135</v>
      </c>
      <c r="Q9" s="23" t="s">
        <v>74</v>
      </c>
      <c r="R9" s="3">
        <f>R6/144</f>
        <v>3.4062940410458471</v>
      </c>
      <c r="S9" s="41" t="s">
        <v>101</v>
      </c>
      <c r="T9" s="61" t="s">
        <v>136</v>
      </c>
      <c r="U9" s="8">
        <v>32.5</v>
      </c>
      <c r="V9" s="2" t="s">
        <v>126</v>
      </c>
      <c r="W9" s="8">
        <v>-0.1</v>
      </c>
    </row>
    <row r="10" spans="1:23" ht="15.75" thickBot="1" x14ac:dyDescent="0.3">
      <c r="A10" s="5" t="s">
        <v>198</v>
      </c>
      <c r="B10">
        <f>B9</f>
        <v>0.01</v>
      </c>
      <c r="C10">
        <f>C9</f>
        <v>4.75</v>
      </c>
      <c r="D10">
        <f>-D9</f>
        <v>0</v>
      </c>
      <c r="E10">
        <f>E9</f>
        <v>1.6625000000000001</v>
      </c>
      <c r="F10">
        <f>Table184202632[[#This Row],[weight]]*(Table184202632[[#This Row],[ypos]]^2+(Table184202632[[#This Row],[zpos]]-R$1)^2)</f>
        <v>9.1372226449538754E-3</v>
      </c>
      <c r="G10">
        <f>Table184202632[[#This Row],[weight]]*((Table184202632[[#This Row],[xpos]]-R$2)^2+(Table184202632[[#This Row],[zpos]]-R$1)^2)</f>
        <v>1.002993193313571</v>
      </c>
      <c r="H10">
        <f>Table184202632[[#This Row],[weight]]*((Table184202632[[#This Row],[xpos]]-R$2)^2+Table184202632[[#This Row],[ypos]]^2)</f>
        <v>0.99385597066861697</v>
      </c>
      <c r="J10" s="36" t="s">
        <v>23</v>
      </c>
      <c r="K10" s="36"/>
      <c r="L10" s="36"/>
      <c r="M10" s="36"/>
      <c r="N10" s="36"/>
      <c r="O10" s="36"/>
      <c r="Q10" s="25" t="s">
        <v>91</v>
      </c>
      <c r="R10" s="6">
        <f>SUM(Table184202632[weight],Table2115212733[weight])</f>
        <v>5.1033999999999988</v>
      </c>
      <c r="S10" s="12" t="s">
        <v>92</v>
      </c>
      <c r="T10" s="51" t="s">
        <v>138</v>
      </c>
      <c r="U10" s="8">
        <v>1</v>
      </c>
      <c r="V10" s="2" t="s">
        <v>127</v>
      </c>
      <c r="W10" s="8">
        <v>30</v>
      </c>
    </row>
    <row r="11" spans="1:23" ht="15.75" thickBot="1" x14ac:dyDescent="0.3">
      <c r="A11" s="5" t="s">
        <v>137</v>
      </c>
      <c r="B11">
        <f>0.158/16</f>
        <v>9.8750000000000001E-3</v>
      </c>
      <c r="C11">
        <f>31.32</f>
        <v>31.32</v>
      </c>
      <c r="D11">
        <v>-0.24</v>
      </c>
      <c r="E11">
        <v>1.38</v>
      </c>
      <c r="F11">
        <f>Table184202632[[#This Row],[weight]]*(Table184202632[[#This Row],[ypos]]^2+(Table184202632[[#This Row],[zpos]]-R1)^2)</f>
        <v>5.0466353150876199E-3</v>
      </c>
      <c r="G11">
        <f>Table184202632[[#This Row],[weight]]*((Table184202632[[#This Row],[xpos]]-R2)^2+(Table184202632[[#This Row],[zpos]]-R1)^2)</f>
        <v>2.7258844589722493</v>
      </c>
      <c r="H11">
        <f>Table184202632[[#This Row],[weight]]*((Table184202632[[#This Row],[xpos]]-R2)^2+Table184202632[[#This Row],[ypos]]^2)</f>
        <v>2.7219754236571614</v>
      </c>
      <c r="J11" s="36" t="s">
        <v>120</v>
      </c>
      <c r="K11" s="36" t="s">
        <v>15</v>
      </c>
      <c r="L11" s="36" t="s">
        <v>16</v>
      </c>
      <c r="M11" s="36" t="s">
        <v>17</v>
      </c>
      <c r="N11" s="36" t="s">
        <v>18</v>
      </c>
      <c r="O11" s="36" t="s">
        <v>19</v>
      </c>
      <c r="T11" s="4" t="s">
        <v>139</v>
      </c>
      <c r="U11" s="9">
        <v>3.5</v>
      </c>
      <c r="V11" s="3" t="s">
        <v>140</v>
      </c>
      <c r="W11" s="9">
        <v>3</v>
      </c>
    </row>
    <row r="12" spans="1:23" ht="15.75" thickBot="1" x14ac:dyDescent="0.3">
      <c r="A12" s="5" t="s">
        <v>96</v>
      </c>
      <c r="B12">
        <f>0.49/16</f>
        <v>3.0624999999999999E-2</v>
      </c>
      <c r="C12">
        <v>10.87</v>
      </c>
      <c r="D12">
        <v>2.16</v>
      </c>
      <c r="E12">
        <v>1.01</v>
      </c>
      <c r="F12">
        <f>Table184202632[[#This Row],[weight]]*(Table184202632[[#This Row],[ypos]]^2+(Table184202632[[#This Row],[zpos]]-R1)^2)</f>
        <v>0.14570285987906922</v>
      </c>
      <c r="G12">
        <f>Table184202632[[#This Row],[weight]]*((Table184202632[[#This Row],[xpos]]-R2)^2+(Table184202632[[#This Row],[zpos]]-R1)^2)</f>
        <v>0.45657695938381931</v>
      </c>
      <c r="H12">
        <f>Table184202632[[#This Row],[weight]]*((Table184202632[[#This Row],[xpos]]-R2)^2+Table184202632[[#This Row],[ypos]]^2)</f>
        <v>0.59664209950475011</v>
      </c>
      <c r="J12" s="50">
        <f>(U7-U6)*U8*V13</f>
        <v>4.6875</v>
      </c>
      <c r="K12" s="50">
        <f>U5+U8/2</f>
        <v>29.5</v>
      </c>
      <c r="L12" s="50">
        <f>U6+(U7-U6)/2</f>
        <v>4.625</v>
      </c>
      <c r="M12" s="36">
        <f>Table61317222834[[#This Row],[V]]*V12*((Table61317222834[[#This Row],[zT]]-R1)^2+((U7-U6)^2+V13^2)/12)</f>
        <v>0.50422218050142431</v>
      </c>
      <c r="N12" s="36">
        <f>Table61317222834[[#This Row],[V]]*(Table61317222834[[#This Row],[xT]]-R2)^2+(U5-4.11)^3*U4/36</f>
        <v>1024.0832215067599</v>
      </c>
      <c r="O12" s="36">
        <f>Table61317222834[[#This Row],[V]]*((Table61317222834[[#This Row],[zT]]-R1)^2+(Table61317222834[[#This Row],[xT]]-R2)^2)</f>
        <v>1096.0540002956634</v>
      </c>
      <c r="P12" t="s">
        <v>128</v>
      </c>
      <c r="T12" s="6" t="s">
        <v>142</v>
      </c>
      <c r="U12" s="20"/>
      <c r="V12" s="21">
        <v>5.7800000000000004E-3</v>
      </c>
      <c r="W12" s="16" t="s">
        <v>43</v>
      </c>
    </row>
    <row r="13" spans="1:23" ht="15.75" thickBot="1" x14ac:dyDescent="0.3">
      <c r="A13" s="5" t="s">
        <v>141</v>
      </c>
      <c r="B13">
        <f>B2</f>
        <v>0.29062500000000002</v>
      </c>
      <c r="C13">
        <v>8.1</v>
      </c>
      <c r="D13">
        <v>2.2400000000000002</v>
      </c>
      <c r="E13">
        <v>0.94</v>
      </c>
      <c r="F13">
        <f>Table184202632[[#This Row],[weight]]*(Table184202632[[#This Row],[ypos]]^2+(Table184202632[[#This Row],[zpos]]-R1)^2)</f>
        <v>1.4740703597979798</v>
      </c>
      <c r="G13">
        <f>Table184202632[[#This Row],[weight]]*((Table184202632[[#This Row],[xpos]]-R2)^2+(Table184202632[[#This Row],[zpos]]-R1)^2)</f>
        <v>12.749343619481497</v>
      </c>
      <c r="H13">
        <f>Table184202632[[#This Row],[weight]]*((Table184202632[[#This Row],[xpos]]-R2)^2+Table184202632[[#This Row],[ypos]]^2)</f>
        <v>14.191753259683516</v>
      </c>
      <c r="J13" s="50">
        <f>U11*U10*V13</f>
        <v>0.4375</v>
      </c>
      <c r="K13" s="50">
        <f>U9+U10/2</f>
        <v>33</v>
      </c>
      <c r="L13" s="50">
        <f>U11/2</f>
        <v>1.75</v>
      </c>
      <c r="M13" s="36">
        <f>Table61317222834[[#This Row],[V]]*V12*((Table61317222834[[#This Row],[zT]]-R1)^2+(U8^2+V13^2)/12)</f>
        <v>1.0342488964912817E-2</v>
      </c>
      <c r="N13" s="36">
        <f>Table61317222834[[#This Row],[V]]*(Table61317222834[[#This Row],[xT]]-R2)^2++(4.11^3*U4)/12</f>
        <v>146.20657607700437</v>
      </c>
      <c r="O13" s="36">
        <f>Table61317222834[[#This Row],[V]]*((Table61317222834[[#This Row],[zT]]-R1)^2+(Table61317222834[[#This Row],[xT]]-R2)^2)</f>
        <v>146.6828643679531</v>
      </c>
      <c r="P13" t="s">
        <v>62</v>
      </c>
      <c r="T13" s="6" t="s">
        <v>143</v>
      </c>
      <c r="U13" s="20"/>
      <c r="V13" s="19">
        <f>1/8</f>
        <v>0.125</v>
      </c>
      <c r="W13" s="16" t="s">
        <v>144</v>
      </c>
    </row>
    <row r="14" spans="1:23" ht="15.75" thickBot="1" x14ac:dyDescent="0.3">
      <c r="A14" s="5" t="s">
        <v>39</v>
      </c>
      <c r="B14" s="47">
        <v>0.11899999999999999</v>
      </c>
      <c r="C14">
        <v>4.79</v>
      </c>
      <c r="D14">
        <v>-0.9</v>
      </c>
      <c r="E14">
        <v>0.52</v>
      </c>
      <c r="F14">
        <f>Table184202632[[#This Row],[weight]]*(Table184202632[[#This Row],[ypos]]^2+(Table184202632[[#This Row],[zpos]]-R1)^2)</f>
        <v>0.10053405138814943</v>
      </c>
      <c r="G14">
        <f>Table184202632[[#This Row],[weight]]*((Table184202632[[#This Row],[xpos]]-R2)^2+(Table184202632[[#This Row],[zpos]]-R1)^2)</f>
        <v>11.736313408740429</v>
      </c>
      <c r="H14">
        <f>Table184202632[[#This Row],[weight]]*((Table184202632[[#This Row],[xpos]]-R2)^2+Table184202632[[#This Row],[ypos]]^2)</f>
        <v>11.82855935735228</v>
      </c>
      <c r="J14" s="50"/>
      <c r="K14" s="50"/>
      <c r="L14" s="50"/>
      <c r="M14" s="38"/>
      <c r="N14" s="38"/>
      <c r="O14" s="38"/>
      <c r="T14" s="6" t="s">
        <v>41</v>
      </c>
      <c r="U14" s="20"/>
      <c r="V14" s="21">
        <f>13/3456</f>
        <v>3.7615740740740739E-3</v>
      </c>
      <c r="W14" s="16" t="s">
        <v>43</v>
      </c>
    </row>
    <row r="15" spans="1:23" x14ac:dyDescent="0.25">
      <c r="A15" s="5" t="s">
        <v>44</v>
      </c>
      <c r="B15">
        <f>1.4/16</f>
        <v>8.7499999999999994E-2</v>
      </c>
      <c r="C15">
        <v>0</v>
      </c>
      <c r="D15">
        <v>0</v>
      </c>
      <c r="E15">
        <f>0.75</f>
        <v>0.75</v>
      </c>
      <c r="F15">
        <f>Table184202632[[#This Row],[weight]]*(Table184202632[[#This Row],[ypos]]^2+(Table184202632[[#This Row],[zpos]]-R$1)^2)</f>
        <v>1.6472194518284364E-4</v>
      </c>
      <c r="G15">
        <f>Table184202632[[#This Row],[weight]]*((Table184202632[[#This Row],[xpos]]-R$2)^2+(Table184202632[[#This Row],[zpos]]-R$1)^2)</f>
        <v>18.957547748756117</v>
      </c>
      <c r="H15">
        <f>Table184202632[[#This Row],[weight]]*((Table184202632[[#This Row],[xpos]]-R$2)^2+Table184202632[[#This Row],[ypos]]^2)</f>
        <v>18.957383026810934</v>
      </c>
      <c r="I15" s="27"/>
    </row>
    <row r="16" spans="1:23" x14ac:dyDescent="0.25">
      <c r="A16" s="5" t="s">
        <v>182</v>
      </c>
      <c r="B16">
        <v>6.0000000000000001E-3</v>
      </c>
      <c r="C16">
        <v>6.86</v>
      </c>
      <c r="D16">
        <f>2.75</f>
        <v>2.75</v>
      </c>
      <c r="E16">
        <f>U$2/2</f>
        <v>0.75</v>
      </c>
      <c r="F16">
        <f>Table184202632[[#This Row],[weight]]*(Table184202632[[#This Row],[ypos]]^2+(Table184202632[[#This Row],[zpos]]-R$1)^2)</f>
        <v>4.5386295219098254E-2</v>
      </c>
      <c r="G16">
        <f>Table184202632[[#This Row],[weight]]*((Table184202632[[#This Row],[xpos]]-R$2)^2+(Table184202632[[#This Row],[zpos]]-R$1)^2)</f>
        <v>0.37061651017699521</v>
      </c>
      <c r="H16">
        <f>Table184202632[[#This Row],[weight]]*((Table184202632[[#This Row],[xpos]]-R$2)^2+Table184202632[[#This Row],[ypos]]^2)</f>
        <v>0.415980214957897</v>
      </c>
    </row>
    <row r="17" spans="1:24" x14ac:dyDescent="0.25">
      <c r="A17" s="5" t="s">
        <v>183</v>
      </c>
      <c r="B17">
        <v>6.0000000000000001E-3</v>
      </c>
      <c r="C17">
        <f>C16</f>
        <v>6.86</v>
      </c>
      <c r="D17">
        <f>-2.75</f>
        <v>-2.75</v>
      </c>
      <c r="E17">
        <f t="shared" ref="E17:E19" si="0">U$2/2</f>
        <v>0.75</v>
      </c>
      <c r="F17">
        <f>Table184202632[[#This Row],[weight]]*(Table184202632[[#This Row],[ypos]]^2+(Table184202632[[#This Row],[zpos]]-R$1)^2)</f>
        <v>4.5386295219098254E-2</v>
      </c>
      <c r="G17">
        <f>Table184202632[[#This Row],[weight]]*((Table184202632[[#This Row],[xpos]]-R$2)^2+(Table184202632[[#This Row],[zpos]]-R$1)^2)</f>
        <v>0.37061651017699521</v>
      </c>
      <c r="H17">
        <f>Table184202632[[#This Row],[weight]]*((Table184202632[[#This Row],[xpos]]-R$2)^2+Table184202632[[#This Row],[ypos]]^2)</f>
        <v>0.415980214957897</v>
      </c>
    </row>
    <row r="18" spans="1:24" x14ac:dyDescent="0.25">
      <c r="A18" s="5" t="s">
        <v>184</v>
      </c>
      <c r="B18">
        <v>6.0000000000000001E-3</v>
      </c>
      <c r="C18">
        <v>21.11</v>
      </c>
      <c r="D18">
        <f t="shared" ref="D18" si="1">2.75</f>
        <v>2.75</v>
      </c>
      <c r="E18">
        <f t="shared" si="0"/>
        <v>0.75</v>
      </c>
      <c r="F18">
        <f>Table184202632[[#This Row],[weight]]*(Table184202632[[#This Row],[ypos]]^2+(Table184202632[[#This Row],[zpos]]-R$1)^2)</f>
        <v>4.5386295219098254E-2</v>
      </c>
      <c r="G18">
        <f>Table184202632[[#This Row],[weight]]*((Table184202632[[#This Row],[xpos]]-R$2)^2+(Table184202632[[#This Row],[zpos]]-R$1)^2)</f>
        <v>0.24506274900796995</v>
      </c>
      <c r="H18">
        <f>Table184202632[[#This Row],[weight]]*((Table184202632[[#This Row],[xpos]]-R$2)^2+Table184202632[[#This Row],[ypos]]^2)</f>
        <v>0.29042645378887172</v>
      </c>
    </row>
    <row r="19" spans="1:24" x14ac:dyDescent="0.25">
      <c r="A19" s="5" t="s">
        <v>185</v>
      </c>
      <c r="B19">
        <v>6.0000000000000001E-3</v>
      </c>
      <c r="C19">
        <f>C18</f>
        <v>21.11</v>
      </c>
      <c r="D19">
        <f>-2.75</f>
        <v>-2.75</v>
      </c>
      <c r="E19">
        <f t="shared" si="0"/>
        <v>0.75</v>
      </c>
      <c r="F19">
        <f>Table184202632[[#This Row],[weight]]*(Table184202632[[#This Row],[ypos]]^2+(Table184202632[[#This Row],[zpos]]-R$1)^2)</f>
        <v>4.5386295219098254E-2</v>
      </c>
      <c r="G19">
        <f>Table184202632[[#This Row],[weight]]*((Table184202632[[#This Row],[xpos]]-R$2)^2+(Table184202632[[#This Row],[zpos]]-R$1)^2)</f>
        <v>0.24506274900796995</v>
      </c>
      <c r="H19">
        <f>Table184202632[[#This Row],[weight]]*((Table184202632[[#This Row],[xpos]]-R$2)^2+Table184202632[[#This Row],[ypos]]^2)</f>
        <v>0.29042645378887172</v>
      </c>
      <c r="J19" t="s">
        <v>179</v>
      </c>
      <c r="K19">
        <f>0.56/16</f>
        <v>3.5000000000000003E-2</v>
      </c>
      <c r="L19" t="s">
        <v>181</v>
      </c>
    </row>
    <row r="20" spans="1:24" x14ac:dyDescent="0.25">
      <c r="A20" s="5" t="s">
        <v>186</v>
      </c>
      <c r="B20">
        <v>6.0499999999999998E-2</v>
      </c>
      <c r="C20">
        <v>3.49</v>
      </c>
      <c r="D20">
        <v>2.13</v>
      </c>
      <c r="E20">
        <v>0.92</v>
      </c>
      <c r="F20">
        <f>Table184202632[[#This Row],[weight]]*(Table184202632[[#This Row],[ypos]]^2+(Table184202632[[#This Row],[zpos]]-R$1)^2)</f>
        <v>0.27723728887953014</v>
      </c>
      <c r="G20">
        <f>Table184202632[[#This Row],[weight]]*((Table184202632[[#This Row],[xpos]]-R$2)^2+(Table184202632[[#This Row],[zpos]]-R$1)^2)</f>
        <v>7.6315424516458883</v>
      </c>
      <c r="H20">
        <f>Table184202632[[#This Row],[weight]]*((Table184202632[[#This Row],[xpos]]-R$2)^2+Table184202632[[#This Row],[ypos]]^2)</f>
        <v>7.9032700627663584</v>
      </c>
      <c r="J20" t="s">
        <v>180</v>
      </c>
      <c r="K20">
        <f>0.96/16</f>
        <v>0.06</v>
      </c>
      <c r="L20" t="s">
        <v>181</v>
      </c>
      <c r="W20" s="63" t="s">
        <v>72</v>
      </c>
      <c r="X20" s="47">
        <f>U3</f>
        <v>5.5</v>
      </c>
    </row>
    <row r="21" spans="1:24" x14ac:dyDescent="0.25">
      <c r="A21" s="5" t="s">
        <v>187</v>
      </c>
      <c r="B21">
        <f>B20</f>
        <v>6.0499999999999998E-2</v>
      </c>
      <c r="C21">
        <f>C20</f>
        <v>3.49</v>
      </c>
      <c r="D21">
        <f>-D20</f>
        <v>-2.13</v>
      </c>
      <c r="E21">
        <f>E20</f>
        <v>0.92</v>
      </c>
      <c r="F21">
        <f>Table184202632[[#This Row],[weight]]*(Table184202632[[#This Row],[ypos]]^2+(Table184202632[[#This Row],[zpos]]-R$1)^2)</f>
        <v>0.27723728887953014</v>
      </c>
      <c r="G21">
        <f>Table184202632[[#This Row],[weight]]*((Table184202632[[#This Row],[xpos]]-R$2)^2+(Table184202632[[#This Row],[zpos]]-R$1)^2)</f>
        <v>7.6315424516458883</v>
      </c>
      <c r="H21">
        <f>Table184202632[[#This Row],[weight]]*((Table184202632[[#This Row],[xpos]]-R$2)^2+Table184202632[[#This Row],[ypos]]^2)</f>
        <v>7.9032700627663584</v>
      </c>
      <c r="N21" t="s">
        <v>150</v>
      </c>
      <c r="O21">
        <f>20</f>
        <v>20</v>
      </c>
    </row>
    <row r="22" spans="1:24" x14ac:dyDescent="0.25">
      <c r="A22" s="5" t="s">
        <v>188</v>
      </c>
      <c r="B22">
        <v>3.5799999999999998E-2</v>
      </c>
      <c r="C22">
        <v>31.99</v>
      </c>
      <c r="D22">
        <v>1</v>
      </c>
      <c r="E22">
        <v>0.03</v>
      </c>
      <c r="F22">
        <f>Table184202632[[#This Row],[weight]]*(Table184202632[[#This Row],[ypos]]^2+(Table184202632[[#This Row],[zpos]]-R$1)^2)</f>
        <v>5.2189365954259367E-2</v>
      </c>
      <c r="G22">
        <f>Table184202632[[#This Row],[weight]]*((Table184202632[[#This Row],[xpos]]-R$2)^2+(Table184202632[[#This Row],[zpos]]-R$1)^2)</f>
        <v>10.694792218819904</v>
      </c>
      <c r="H22">
        <f>Table184202632[[#This Row],[weight]]*((Table184202632[[#This Row],[xpos]]-R$2)^2+Table184202632[[#This Row],[ypos]]^2)</f>
        <v>10.714202852865645</v>
      </c>
      <c r="R22" t="s">
        <v>151</v>
      </c>
      <c r="S22">
        <f>V23</f>
        <v>9.5524865872713995</v>
      </c>
      <c r="V22" s="63" t="s">
        <v>151</v>
      </c>
    </row>
    <row r="23" spans="1:24" x14ac:dyDescent="0.25">
      <c r="A23" s="5" t="s">
        <v>189</v>
      </c>
      <c r="B23">
        <f>B22</f>
        <v>3.5799999999999998E-2</v>
      </c>
      <c r="C23">
        <f>C22</f>
        <v>31.99</v>
      </c>
      <c r="D23">
        <f>-D22</f>
        <v>-1</v>
      </c>
      <c r="E23">
        <f>E22</f>
        <v>0.03</v>
      </c>
      <c r="F23">
        <f>Table184202632[[#This Row],[weight]]*(Table184202632[[#This Row],[ypos]]^2+(Table184202632[[#This Row],[zpos]]-R$1)^2)</f>
        <v>5.2189365954259367E-2</v>
      </c>
      <c r="G23">
        <f>Table184202632[[#This Row],[weight]]*((Table184202632[[#This Row],[xpos]]-R$2)^2+(Table184202632[[#This Row],[zpos]]-R$1)^2)</f>
        <v>10.694792218819904</v>
      </c>
      <c r="H23">
        <f>Table184202632[[#This Row],[weight]]*((Table184202632[[#This Row],[xpos]]-R$2)^2+Table184202632[[#This Row],[ypos]]^2)</f>
        <v>10.714202852865645</v>
      </c>
      <c r="S23" t="s">
        <v>135</v>
      </c>
      <c r="T23">
        <f>3</f>
        <v>3</v>
      </c>
      <c r="V23">
        <f>SQRT((K25-T25)^2+(P27-T23-O21)^2)</f>
        <v>9.5524865872713995</v>
      </c>
    </row>
    <row r="24" spans="1:24" x14ac:dyDescent="0.25">
      <c r="A24" s="5" t="s">
        <v>190</v>
      </c>
      <c r="B24">
        <v>7.4000000000000003E-3</v>
      </c>
      <c r="C24">
        <v>3.41</v>
      </c>
      <c r="D24">
        <v>0</v>
      </c>
      <c r="E24">
        <v>-0.33</v>
      </c>
      <c r="F24">
        <f>Table184202632[[#This Row],[weight]]*(Table184202632[[#This Row],[ypos]]^2+(Table184202632[[#This Row],[zpos]]-R$1)^2)</f>
        <v>7.9517736677463674E-3</v>
      </c>
      <c r="G24">
        <f>Table184202632[[#This Row],[weight]]*((Table184202632[[#This Row],[xpos]]-R$2)^2+(Table184202632[[#This Row],[zpos]]-R$1)^2)</f>
        <v>0.95440245132804402</v>
      </c>
      <c r="H24">
        <f>Table184202632[[#This Row],[weight]]*((Table184202632[[#This Row],[xpos]]-R$2)^2+Table184202632[[#This Row],[ypos]]^2)</f>
        <v>0.94645067766029767</v>
      </c>
      <c r="K24" t="s">
        <v>154</v>
      </c>
      <c r="T24" t="s">
        <v>155</v>
      </c>
    </row>
    <row r="25" spans="1:24" x14ac:dyDescent="0.25">
      <c r="A25" s="5" t="s">
        <v>191</v>
      </c>
      <c r="B25">
        <v>1.7000000000000001E-2</v>
      </c>
      <c r="C25">
        <v>3.49</v>
      </c>
      <c r="D25">
        <f>D20</f>
        <v>2.13</v>
      </c>
      <c r="E25">
        <f>0.75</f>
        <v>0.75</v>
      </c>
      <c r="F25">
        <f>Table184202632[[#This Row],[weight]]*(Table184202632[[#This Row],[ypos]]^2+(Table184202632[[#This Row],[zpos]]-R$1)^2)</f>
        <v>7.7159303120778372E-2</v>
      </c>
      <c r="G25">
        <f>Table184202632[[#This Row],[weight]]*((Table184202632[[#This Row],[xpos]]-R$2)^2+(Table184202632[[#This Row],[zpos]]-R$1)^2)</f>
        <v>2.1436582744766146</v>
      </c>
      <c r="H25">
        <f>Table184202632[[#This Row],[weight]]*((Table184202632[[#This Row],[xpos]]-R$2)^2+Table184202632[[#This Row],[ypos]]^2)</f>
        <v>2.2207535713558362</v>
      </c>
      <c r="K25">
        <f>U2</f>
        <v>1.5</v>
      </c>
      <c r="T25">
        <f>0.5</f>
        <v>0.5</v>
      </c>
    </row>
    <row r="26" spans="1:24" x14ac:dyDescent="0.25">
      <c r="A26" s="5" t="s">
        <v>192</v>
      </c>
      <c r="B26">
        <f>B25</f>
        <v>1.7000000000000001E-2</v>
      </c>
      <c r="C26">
        <f>C25</f>
        <v>3.49</v>
      </c>
      <c r="D26">
        <f>D21</f>
        <v>-2.13</v>
      </c>
      <c r="E26">
        <f>E25</f>
        <v>0.75</v>
      </c>
      <c r="F26">
        <f>Table184202632[[#This Row],[weight]]*(Table184202632[[#This Row],[ypos]]^2+(Table184202632[[#This Row],[zpos]]-R$1)^2)</f>
        <v>7.7159303120778372E-2</v>
      </c>
      <c r="G26">
        <f>Table184202632[[#This Row],[weight]]*((Table184202632[[#This Row],[xpos]]-R$2)^2+(Table184202632[[#This Row],[zpos]]-R$1)^2)</f>
        <v>2.1436582744766146</v>
      </c>
      <c r="H26">
        <f>Table184202632[[#This Row],[weight]]*((Table184202632[[#This Row],[xpos]]-R$2)^2+Table184202632[[#This Row],[ypos]]^2)</f>
        <v>2.2207535713558362</v>
      </c>
    </row>
    <row r="27" spans="1:24" x14ac:dyDescent="0.25">
      <c r="A27" s="5" t="s">
        <v>193</v>
      </c>
      <c r="B27">
        <v>6.4999999999999997E-3</v>
      </c>
      <c r="C27">
        <f>C22</f>
        <v>31.99</v>
      </c>
      <c r="D27">
        <f>D22</f>
        <v>1</v>
      </c>
      <c r="E27">
        <v>0.28999999999999998</v>
      </c>
      <c r="F27">
        <f>Table184202632[[#This Row],[weight]]*(Table184202632[[#This Row],[ypos]]^2+(Table184202632[[#This Row],[zpos]]-R$1)^2)</f>
        <v>7.6281750088279506E-3</v>
      </c>
      <c r="G27">
        <f>Table184202632[[#This Row],[weight]]*((Table184202632[[#This Row],[xpos]]-R$2)^2+(Table184202632[[#This Row],[zpos]]-R$1)^2)</f>
        <v>1.9399443354453276</v>
      </c>
      <c r="H27">
        <f>Table184202632[[#This Row],[weight]]*((Table184202632[[#This Row],[xpos]]-R$2)^2+Table184202632[[#This Row],[ypos]]^2)</f>
        <v>1.9453161604364997</v>
      </c>
      <c r="O27" t="s">
        <v>156</v>
      </c>
      <c r="P27">
        <f>U1</f>
        <v>32.5</v>
      </c>
    </row>
    <row r="28" spans="1:24" x14ac:dyDescent="0.25">
      <c r="A28" s="5" t="s">
        <v>194</v>
      </c>
      <c r="B28">
        <f>B27</f>
        <v>6.4999999999999997E-3</v>
      </c>
      <c r="C28">
        <f>C27</f>
        <v>31.99</v>
      </c>
      <c r="D28">
        <f>D23</f>
        <v>-1</v>
      </c>
      <c r="E28">
        <f>E27</f>
        <v>0.28999999999999998</v>
      </c>
      <c r="F28">
        <f>Table184202632[[#This Row],[weight]]*(Table184202632[[#This Row],[ypos]]^2+(Table184202632[[#This Row],[zpos]]-R$1)^2)</f>
        <v>7.6281750088279506E-3</v>
      </c>
      <c r="G28">
        <f>Table184202632[[#This Row],[weight]]*((Table184202632[[#This Row],[xpos]]-R$2)^2+(Table184202632[[#This Row],[zpos]]-R$1)^2)</f>
        <v>1.9399443354453276</v>
      </c>
      <c r="H28">
        <f>Table184202632[[#This Row],[weight]]*((Table184202632[[#This Row],[xpos]]-R$2)^2+Table184202632[[#This Row],[ypos]]^2)</f>
        <v>1.9453161604364997</v>
      </c>
      <c r="L28" t="s">
        <v>157</v>
      </c>
      <c r="M28" t="s">
        <v>158</v>
      </c>
      <c r="N28" t="s">
        <v>14</v>
      </c>
    </row>
    <row r="29" spans="1:24" x14ac:dyDescent="0.25">
      <c r="A29" s="5" t="s">
        <v>195</v>
      </c>
      <c r="B29">
        <v>2.3E-2</v>
      </c>
      <c r="C29">
        <v>3.49</v>
      </c>
      <c r="D29">
        <v>0</v>
      </c>
      <c r="E29">
        <v>2.31</v>
      </c>
      <c r="F29">
        <f>Table184202632[[#This Row],[weight]]*(Table184202632[[#This Row],[ypos]]^2+(Table184202632[[#This Row],[zpos]]-R$1)^2)</f>
        <v>5.9129636082218509E-2</v>
      </c>
      <c r="G29">
        <f>Table184202632[[#This Row],[weight]]*((Table184202632[[#This Row],[xpos]]-R$2)^2+(Table184202632[[#This Row],[zpos]]-R$1)^2)</f>
        <v>2.9593298855636436</v>
      </c>
      <c r="H29">
        <f>Table184202632[[#This Row],[weight]]*((Table184202632[[#This Row],[xpos]]-R$2)^2+Table184202632[[#This Row],[ypos]]^2)</f>
        <v>2.9002002494814252</v>
      </c>
      <c r="L29">
        <f>O21/2</f>
        <v>10</v>
      </c>
      <c r="M29">
        <f>K25/2</f>
        <v>0.75</v>
      </c>
      <c r="N29">
        <f>Table34[[#This Row],[X~]]*Table34[[#This Row],[Z~]]</f>
        <v>7.5</v>
      </c>
    </row>
    <row r="30" spans="1:24" x14ac:dyDescent="0.25">
      <c r="A30" s="5" t="s">
        <v>196</v>
      </c>
      <c r="B30">
        <v>1.3299999999999999E-2</v>
      </c>
      <c r="C30">
        <v>32</v>
      </c>
      <c r="D30">
        <v>0</v>
      </c>
      <c r="E30">
        <v>-0.91</v>
      </c>
      <c r="F30">
        <f>Table184202632[[#This Row],[weight]]*(Table184202632[[#This Row],[ypos]]^2+(Table184202632[[#This Row],[zpos]]-R$1)^2)</f>
        <v>3.4758668062439706E-2</v>
      </c>
      <c r="G30">
        <f>Table184202632[[#This Row],[weight]]*((Table184202632[[#This Row],[xpos]]-R$2)^2+(Table184202632[[#This Row],[zpos]]-R$1)^2)</f>
        <v>4.0064701658741093</v>
      </c>
      <c r="H30">
        <f>Table184202632[[#This Row],[weight]]*((Table184202632[[#This Row],[xpos]]-R$2)^2+Table184202632[[#This Row],[ypos]]^2)</f>
        <v>3.9717114978116705</v>
      </c>
      <c r="L30">
        <f>O21+(P27-O21-T23)/3</f>
        <v>23.166666666666668</v>
      </c>
      <c r="M30">
        <f>T25+(K25-T25)/3</f>
        <v>0.83333333333333326</v>
      </c>
      <c r="N30">
        <f>Table34[[#This Row],[X~]]*Table34[[#This Row],[Z~]]/2</f>
        <v>9.6527777777777768</v>
      </c>
    </row>
    <row r="31" spans="1:24" x14ac:dyDescent="0.25">
      <c r="A31" s="5"/>
      <c r="L31">
        <f>O21+(P27-O21)/2</f>
        <v>26.25</v>
      </c>
      <c r="M31">
        <f>T25/2</f>
        <v>0.25</v>
      </c>
      <c r="N31">
        <f>Table34[[#This Row],[X~]]*Table34[[#This Row],[Z~]]</f>
        <v>6.5625</v>
      </c>
    </row>
    <row r="32" spans="1:24" x14ac:dyDescent="0.25">
      <c r="A32" s="5" t="s">
        <v>145</v>
      </c>
      <c r="B32" s="5" t="s">
        <v>1</v>
      </c>
      <c r="C32" s="5" t="s">
        <v>9</v>
      </c>
      <c r="D32" s="5" t="s">
        <v>10</v>
      </c>
      <c r="E32" s="5" t="s">
        <v>11</v>
      </c>
      <c r="F32" s="5" t="s">
        <v>5</v>
      </c>
      <c r="G32" s="5" t="s">
        <v>6</v>
      </c>
      <c r="H32" s="5" t="s">
        <v>7</v>
      </c>
    </row>
    <row r="33" spans="1:10" x14ac:dyDescent="0.25">
      <c r="A33" s="5" t="s">
        <v>12</v>
      </c>
      <c r="B33">
        <v>0.34860000000000002</v>
      </c>
      <c r="C33">
        <v>17.87</v>
      </c>
      <c r="D33">
        <f>0</f>
        <v>0</v>
      </c>
      <c r="E33">
        <f>SUMPRODUCT(Table51216253137[V],Table51216253137[zT])/SUM(Table51216253137[V])</f>
        <v>0.74328994212766486</v>
      </c>
      <c r="F33">
        <f>Table2115212733[[#This Row],[weight]]*(Table2115212733[[#This Row],[Zcg]]-R1)^2+U1*U2^3/12*U3*V12</f>
        <v>0.2910494356697868</v>
      </c>
      <c r="G33">
        <f>Table2115212733[[#This Row],[weight]]*(((Table2115212733[[#This Row],[Zcg]]-R1)^2+(Table2115212733[[#This Row],[Xcg]]-R2)^2)+U3*U2^3/12)</f>
        <v>4.0003788182814466</v>
      </c>
      <c r="H33">
        <f>Table2115212733[[#This Row],[weight]]*(Table2115212733[[#This Row],[Xcg]]-R2)^2+U1^3*U2/12*U3*V12</f>
        <v>139.87205594511167</v>
      </c>
    </row>
    <row r="34" spans="1:10" x14ac:dyDescent="0.25">
      <c r="A34" s="5" t="s">
        <v>146</v>
      </c>
      <c r="B34">
        <f>0.02+0.053</f>
        <v>7.2999999999999995E-2</v>
      </c>
      <c r="C34">
        <f>W2+1.5</f>
        <v>3.5</v>
      </c>
      <c r="D34">
        <f>(W5-W3)/2+W3</f>
        <v>13.875</v>
      </c>
      <c r="E34">
        <f>W4+V13/2</f>
        <v>1.6625000000000001</v>
      </c>
      <c r="F34">
        <f>Table2115212733[[#This Row],[weight]]*(Table2115212733[[#This Row],[Ycg]]^2+(Table2115212733[[#This Row],[Zcg]]-R$1)^2)</f>
        <v>14.120342350308162</v>
      </c>
      <c r="H34">
        <v>34.130000000000003</v>
      </c>
    </row>
    <row r="35" spans="1:10" x14ac:dyDescent="0.25">
      <c r="A35" s="5" t="s">
        <v>147</v>
      </c>
      <c r="B35">
        <f>B34</f>
        <v>7.2999999999999995E-2</v>
      </c>
      <c r="C35">
        <f>C34</f>
        <v>3.5</v>
      </c>
      <c r="D35">
        <f>-D34</f>
        <v>-13.875</v>
      </c>
      <c r="E35">
        <f>E34</f>
        <v>1.6625000000000001</v>
      </c>
      <c r="F35">
        <f>Table2115212733[[#This Row],[weight]]*(Table2115212733[[#This Row],[Ycg]]^2+(Table2115212733[[#This Row],[Zcg]]-R$1)^2)</f>
        <v>14.120342350308162</v>
      </c>
      <c r="G35">
        <f>SUM(Table61317222834[Iy])*U6*V12</f>
        <v>10.774528616633555</v>
      </c>
      <c r="H35">
        <f>SUM(Table61317222834[Iz])*U6*V12</f>
        <v>10.146412545051238</v>
      </c>
    </row>
    <row r="36" spans="1:10" x14ac:dyDescent="0.25">
      <c r="A36" s="5" t="s">
        <v>148</v>
      </c>
      <c r="B36">
        <f>0.026+0.11</f>
        <v>0.13600000000000001</v>
      </c>
      <c r="C36">
        <f>W7+W11/2</f>
        <v>32</v>
      </c>
      <c r="D36">
        <f>(W10-W8)/2+W8</f>
        <v>16.375</v>
      </c>
      <c r="E36">
        <f>W9+V13/2</f>
        <v>-3.7500000000000006E-2</v>
      </c>
      <c r="F36">
        <f>Table2115212733[[#This Row],[weight]]*(Table2115212733[[#This Row],[Ycg]]^2+(Table2115212733[[#This Row],[Zcg]]-R$1)^2)</f>
        <v>36.542428521002883</v>
      </c>
      <c r="G36">
        <f>Table2115212733[[#This Row],[weight]]*((Table2115212733[[#This Row],[Xcg]]-R$2)^2+(Table2115212733[[#This Row],[Zcg]]-R$1)^2)</f>
        <v>40.688293273062072</v>
      </c>
      <c r="H36">
        <f>Table2115212733[[#This Row],[weight]]*(Table2115212733[[#This Row],[Xcg]]-R$2)^2</f>
        <v>40.612989752059192</v>
      </c>
      <c r="J36">
        <f>V14*(W10-W8)*W11</f>
        <v>0.30750868055555558</v>
      </c>
    </row>
    <row r="37" spans="1:10" x14ac:dyDescent="0.25">
      <c r="A37" s="5" t="s">
        <v>149</v>
      </c>
      <c r="B37">
        <f>B36</f>
        <v>0.13600000000000001</v>
      </c>
      <c r="C37">
        <f>C36</f>
        <v>32</v>
      </c>
      <c r="D37">
        <f>-D36</f>
        <v>-16.375</v>
      </c>
      <c r="E37">
        <f>E36</f>
        <v>-3.7500000000000006E-2</v>
      </c>
      <c r="F37">
        <f>Table2115212733[[#This Row],[weight]]*(Table2115212733[[#This Row],[Ycg]]^2+(Table2115212733[[#This Row],[Zcg]]-R$1)^2)</f>
        <v>36.542428521002883</v>
      </c>
      <c r="G37">
        <f>Table2115212733[[#This Row],[weight]]*((Table2115212733[[#This Row],[Xcg]]-R$2)^2+(Table2115212733[[#This Row],[Zcg]]-R$1)^2)</f>
        <v>40.688293273062072</v>
      </c>
      <c r="H37">
        <f>Table2115212733[[#This Row],[weight]]*(Table2115212733[[#This Row],[Xcg]]-R$2)^2</f>
        <v>40.612989752059192</v>
      </c>
    </row>
    <row r="38" spans="1:10" x14ac:dyDescent="0.25">
      <c r="A38" s="5" t="s">
        <v>125</v>
      </c>
      <c r="B38">
        <f>0.0425</f>
        <v>4.2500000000000003E-2</v>
      </c>
      <c r="C38">
        <v>30.06</v>
      </c>
      <c r="D38">
        <v>0</v>
      </c>
      <c r="E38">
        <v>3.92</v>
      </c>
      <c r="F38">
        <f>Table2115212733[[#This Row],[weight]]*(Table2115212733[[#This Row],[Ycg]]^2+(Table2115212733[[#This Row],[Zcg]]-R1)^2)</f>
        <v>0.43884921020821704</v>
      </c>
      <c r="G38">
        <f>Table2115212733[[#This Row],[weight]]*((Table2115212733[[#This Row],[Xcg]]-R2)^2+(Table2115212733[[#This Row],[Zcg]]-R1)^2)</f>
        <v>10.440762950514854</v>
      </c>
      <c r="H38">
        <f>Table2115212733[[#This Row],[weight]]*(Table2115212733[[#This Row],[Xcg]]-R2)^2</f>
        <v>10.001913740306636</v>
      </c>
    </row>
    <row r="39" spans="1:10" x14ac:dyDescent="0.25">
      <c r="A39" s="5" t="s">
        <v>152</v>
      </c>
      <c r="B39">
        <v>0.6</v>
      </c>
      <c r="C39">
        <v>18.440000000000001</v>
      </c>
      <c r="D39">
        <v>2.2799999999999998</v>
      </c>
      <c r="E39">
        <v>0.68</v>
      </c>
      <c r="F39">
        <f>Table2115212733[[#This Row],[weight]]*(Table2115212733[[#This Row],[Ycg]]^2+(Table2115212733[[#This Row],[Zcg]]-R1)^2)</f>
        <v>3.1194649125124347</v>
      </c>
      <c r="G39">
        <f>Table2115212733[[#This Row],[weight]]*((Table2115212733[[#This Row],[Xcg]]-R2)^2+(Table2115212733[[#This Row],[Zcg]]-R1)^2)</f>
        <v>8.3068912901455612</v>
      </c>
      <c r="H39">
        <f>Table2115212733[[#This Row],[weight]]*(Table2115212733[[#This Row],[Xcg]]-R2)^2</f>
        <v>8.3064663776331251</v>
      </c>
    </row>
    <row r="40" spans="1:10" x14ac:dyDescent="0.25">
      <c r="A40" s="5" t="s">
        <v>153</v>
      </c>
      <c r="B40">
        <f>B39</f>
        <v>0.6</v>
      </c>
      <c r="C40">
        <f>C39</f>
        <v>18.440000000000001</v>
      </c>
      <c r="D40">
        <f>-D39</f>
        <v>-2.2799999999999998</v>
      </c>
      <c r="E40">
        <f>E39</f>
        <v>0.68</v>
      </c>
      <c r="F40">
        <f>Table2115212733[[#This Row],[weight]]*(Table2115212733[[#This Row],[Ycg]]^2+(Table2115212733[[#This Row],[Zcg]]-R1)^2)</f>
        <v>3.1194649125124347</v>
      </c>
      <c r="G40">
        <f>Table2115212733[[#This Row],[weight]]*((Table2115212733[[#This Row],[Xcg]]-R2)^2+(Table2115212733[[#This Row],[Zcg]]-R1)^2)</f>
        <v>8.3068912901455612</v>
      </c>
      <c r="H40">
        <f>Table2115212733[[#This Row],[weight]]*(Table2115212733[[#This Row],[Xcg]]-R2)^2</f>
        <v>8.3064663776331251</v>
      </c>
    </row>
    <row r="41" spans="1:10" x14ac:dyDescent="0.25">
      <c r="A41" s="5"/>
      <c r="C41" s="52"/>
      <c r="E41" s="52"/>
      <c r="F41" s="52"/>
    </row>
    <row r="42" spans="1:10" x14ac:dyDescent="0.25">
      <c r="A42" s="5"/>
      <c r="C42" s="52"/>
      <c r="E42" s="52"/>
      <c r="F42" s="52"/>
    </row>
  </sheetData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Prototype 1</vt:lpstr>
      <vt:lpstr>Pusher Prototype</vt:lpstr>
      <vt:lpstr>pusher prototype 2</vt:lpstr>
      <vt:lpstr>Proto2.5</vt:lpstr>
      <vt:lpstr>Proto3</vt:lpstr>
      <vt:lpstr>Final Chart</vt:lpstr>
      <vt:lpstr>Final Chart (3 Pucks)</vt:lpstr>
      <vt:lpstr>Final Chart (Empty)</vt:lpstr>
      <vt:lpstr>Proto M1</vt:lpstr>
      <vt:lpstr>Proto M2</vt:lpstr>
      <vt:lpstr>Proto M3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rocke_000</dc:creator>
  <cp:keywords/>
  <dc:description/>
  <cp:lastModifiedBy>rocke_000</cp:lastModifiedBy>
  <cp:revision/>
  <dcterms:created xsi:type="dcterms:W3CDTF">2016-09-17T17:38:04Z</dcterms:created>
  <dcterms:modified xsi:type="dcterms:W3CDTF">2017-09-25T19:18:03Z</dcterms:modified>
  <cp:category/>
  <cp:contentStatus/>
</cp:coreProperties>
</file>