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 D\Project\Camera\GAC\Clock\"/>
    </mc:Choice>
  </mc:AlternateContent>
  <xr:revisionPtr revIDLastSave="0" documentId="13_ncr:1_{23D04F2B-545D-4C29-B9CF-9180745297C1}" xr6:coauthVersionLast="46" xr6:coauthVersionMax="46" xr10:uidLastSave="{00000000-0000-0000-0000-000000000000}"/>
  <bookViews>
    <workbookView xWindow="1020" yWindow="-110" windowWidth="18290" windowHeight="11020" xr2:uid="{BB4454D3-D741-4E07-9D38-9D16A1C1A8ED}"/>
  </bookViews>
  <sheets>
    <sheet name="TC3xx Clock Setup" sheetId="2" r:id="rId1"/>
  </sheets>
  <externalReferences>
    <externalReference r:id="rId2"/>
  </externalReferences>
  <definedNames>
    <definedName name="TC2_ASCLIN0_CSR.CLKSEL">'[1]TC2xx Clock Setup'!$B$34</definedName>
    <definedName name="TC2_CCUCON0.BAUD2DIV">'[1]TC2xx Clock Setup'!$H$12</definedName>
    <definedName name="TC2_CCUCON0.FSIDIV">'[1]TC2xx Clock Setup'!$H$7</definedName>
    <definedName name="TC2_CCUCON0.SPBDIV">'[1]TC2xx Clock Setup'!$H$9</definedName>
    <definedName name="TC2_CCUCON0.SRIDIV">'[1]TC2xx Clock Setup'!$H$11</definedName>
    <definedName name="TC2_CCUCON1.ASCLINFDIV">'[1]TC2xx Clock Setup'!$H$15</definedName>
    <definedName name="TC2_CCUCON1.ASCLINSDIV">'[1]TC2xx Clock Setup'!$H$14</definedName>
    <definedName name="TC2_CCUCON1.CANDIV">'[1]TC2xx Clock Setup'!$H$20</definedName>
    <definedName name="TC2_CCUCON1.ERAYDIV">'[1]TC2xx Clock Setup'!$H$19</definedName>
    <definedName name="TC2_CCUCON1.ETHDIV">'[1]TC2xx Clock Setup'!$H$16</definedName>
    <definedName name="TC2_CCUCON1.GTMDIV">'[1]TC2xx Clock Setup'!$H$17</definedName>
    <definedName name="TC2_CCUCON1.STMDIV">'[1]TC2xx Clock Setup'!$H$18</definedName>
    <definedName name="TC2_CCUCON2.BBBDIV">'[1]TC2xx Clock Setup'!$H$22</definedName>
    <definedName name="TC2_CCUCON3.PLLDIV">'[1]TC2xx Clock Setup'!$H$42</definedName>
    <definedName name="TC2_CCUCON3.PLLERAYDIV">'[1]TC2xx Clock Setup'!$H$40</definedName>
    <definedName name="TC2_CCUCON3.PLLERAYSEL">'[1]TC2xx Clock Setup'!$H$39</definedName>
    <definedName name="TC2_CCUCON3.PLLSEL">'[1]TC2xx Clock Setup'!$H$41</definedName>
    <definedName name="TC2_CCUCON3.SRIDIV">'[1]TC2xx Clock Setup'!$H$38</definedName>
    <definedName name="TC2_CCUCON3.SRISEL">'[1]TC2xx Clock Setup'!$H$37</definedName>
    <definedName name="TC2_CCUCON4.GTMDIV">'[1]TC2xx Clock Setup'!$H$47</definedName>
    <definedName name="TC2_CCUCON4.GTMSEL">'[1]TC2xx Clock Setup'!$H$46</definedName>
    <definedName name="TC2_CCUCON4.SPBDIV">'[1]TC2xx Clock Setup'!$H$49</definedName>
    <definedName name="TC2_CCUCON4.SPBSEL">'[1]TC2xx Clock Setup'!$H$48</definedName>
    <definedName name="TC2_CCUCON4.STMDIV">'[1]TC2xx Clock Setup'!$H$45</definedName>
    <definedName name="TC2_CCUCON4.STMSEL">'[1]TC2xx Clock Setup'!$H$44</definedName>
    <definedName name="TC2_CLM_LOOKUP">'[1]TC2xx Clock Setup'!$M$28:$P$29</definedName>
    <definedName name="TC2_External_Oscillator">'[1]TC2xx Clock Setup'!$B$5</definedName>
    <definedName name="TC2_fASCLINF">'[1]TC2xx Clock Setup'!$I$15</definedName>
    <definedName name="TC2_fASCLINS">'[1]TC2xx Clock Setup'!$I$14</definedName>
    <definedName name="TC2_fBAUD2">'[1]TC2xx Clock Setup'!$I$12</definedName>
    <definedName name="TC2_fBBB">'[1]TC2xx Clock Setup'!$I$22</definedName>
    <definedName name="TC2_fCAN">'[1]TC2xx Clock Setup'!$I$20</definedName>
    <definedName name="TC2_fERAY">'[1]TC2xx Clock Setup'!$I$19</definedName>
    <definedName name="TC2_fFSI">'[1]TC2xx Clock Setup'!$I$7</definedName>
    <definedName name="TC2_fFSI2">'[1]TC2xx Clock Setup'!$I$8</definedName>
    <definedName name="TC2_fGTM">'[1]TC2xx Clock Setup'!$I$17</definedName>
    <definedName name="TC2_fMAX">'[1]TC2xx Clock Setup'!$E$4</definedName>
    <definedName name="TC2_fPLL">'[1]TC2xx Clock Setup'!$C$7</definedName>
    <definedName name="TC2_fPLL_ERAY">'[1]TC2xx Clock Setup'!$C$14</definedName>
    <definedName name="TC2_fPLL_ERAY_VCO">'[1]TC2xx Clock Setup'!$C$16</definedName>
    <definedName name="TC2_fPLL_VCO">'[1]TC2xx Clock Setup'!$C$8</definedName>
    <definedName name="TC2_fPLL2_ERAY">'[1]TC2xx Clock Setup'!$C$15</definedName>
    <definedName name="TC2_fSPB">'[1]TC2xx Clock Setup'!$I$9</definedName>
    <definedName name="TC2_fSRI">'[1]TC2xx Clock Setup'!$I$11</definedName>
    <definedName name="TC2_fSTM">'[1]TC2xx Clock Setup'!$I$18</definedName>
    <definedName name="TC2_MAXSPEED_LOOKUP">'[1]TC2xx Clock Setup'!$M$8:$R$9</definedName>
    <definedName name="TC2_PLLCON0.NDIV">'[1]TC2xx Clock Setup'!$B$9</definedName>
    <definedName name="TC2_PLLCON0.PDIV">'[1]TC2xx Clock Setup'!$B$8</definedName>
    <definedName name="TC2_PLLCON1.K2DIV">'[1]TC2xx Clock Setup'!$B$11</definedName>
    <definedName name="TC2_PLLERAYCON0.NDIV">'[1]TC2xx Clock Setup'!$B$17</definedName>
    <definedName name="TC2_PLLERAYCON0.PDIV">'[1]TC2xx Clock Setup'!$B$16</definedName>
    <definedName name="TC2_PLLERAYCON1.K2DIV">'[1]TC2xx Clock Setup'!$B$19</definedName>
    <definedName name="TC2_PLLERAYCON1.K3DIV">'[1]TC2xx Clock Setup'!$B$20</definedName>
    <definedName name="TC2_VARIANT">'[1]TC2xx Clock Setup'!$B$4</definedName>
    <definedName name="TC2_VARIANT_LIST">'[1]TC2xx Clock Setup'!$M$11:$N$22</definedName>
    <definedName name="TC3_ASCLIN0_BITCON.OVERSAMPLING">'TC3xx Clock Setup'!$B$37</definedName>
    <definedName name="TC3_ASCLIN0_BITCON.PRESCALER">'TC3xx Clock Setup'!$B$34</definedName>
    <definedName name="TC3_ASCLIN0_BRG.DENOMINATOR">'TC3xx Clock Setup'!$B$36</definedName>
    <definedName name="TC3_ASCLIN0_BRG.NUMERATOR">'TC3xx Clock Setup'!$B$35</definedName>
    <definedName name="TC3_ASCLIN0_CSR.CLKSEL">'TC3xx Clock Setup'!$B$33</definedName>
    <definedName name="TC3_BAUD_RATE">'TC3xx Clock Setup'!$C$37</definedName>
    <definedName name="TC3_CCUCON0">'TC3xx Clock Setup'!$B$44</definedName>
    <definedName name="TC3_CCUCON0.BBBDIV">'TC3xx Clock Setup'!$H$13</definedName>
    <definedName name="TC3_CCUCON0.FSI2DIV">'TC3xx Clock Setup'!$H$15</definedName>
    <definedName name="TC3_CCUCON0.FSIDIV">'TC3xx Clock Setup'!$H$14</definedName>
    <definedName name="TC3_CCUCON0.GTMDIV">'TC3xx Clock Setup'!$H$9</definedName>
    <definedName name="TC3_CCUCON0.LPDIV">'TC3xx Clock Setup'!$H$11</definedName>
    <definedName name="TC3_CCUCON0.SPBDIV">'TC3xx Clock Setup'!$H$12</definedName>
    <definedName name="TC3_CCUCON0.SRIDIV">'TC3xx Clock Setup'!$H$10</definedName>
    <definedName name="TC3_CCUCON0.STMDIV">'TC3xx Clock Setup'!$H$8</definedName>
    <definedName name="TC3_CCUCON1">'TC3xx Clock Setup'!$B$45</definedName>
    <definedName name="TC3_CCUCON1.CLKSELMCAN">'TC3xx Clock Setup'!$H$23</definedName>
    <definedName name="TC3_CCUCON1.CLKSELMSC">'TC3xx Clock Setup'!$H$19</definedName>
    <definedName name="TC3_CCUCON1.CLKSELQSPI">'TC3xx Clock Setup'!$H$17</definedName>
    <definedName name="TC3_CCUCON1.I2CDIV">'TC3xx Clock Setup'!$H$21</definedName>
    <definedName name="TC3_CCUCON1.MCANDIV">'TC3xx Clock Setup'!$H$24</definedName>
    <definedName name="TC3_CCUCON1.MSCDIV">'TC3xx Clock Setup'!$H$20</definedName>
    <definedName name="TC3_CCUCON1.PLL1DIVDIS">'TC3xx Clock Setup'!$H$22</definedName>
    <definedName name="TC3_CCUCON1.QSPIDIV">'TC3xx Clock Setup'!$H$18</definedName>
    <definedName name="TC3_CCUCON2">'TC3xx Clock Setup'!$B$46</definedName>
    <definedName name="TC3_CCUCON2.ASCLINFDIV">'TC3xx Clock Setup'!$H$26</definedName>
    <definedName name="TC3_CCUCON2.ASCLINSDIV">'TC3xx Clock Setup'!$H$27</definedName>
    <definedName name="TC3_CCUCON2.CLKSELASCLINS">'TC3xx Clock Setup'!$H$28</definedName>
    <definedName name="TC3_CCUCON5">'TC3xx Clock Setup'!$B$47</definedName>
    <definedName name="TC3_CCUCON5.ADASDIV">'TC3xx Clock Setup'!$H$32</definedName>
    <definedName name="TC3_CCUCON5.GETHDIV">'TC3xx Clock Setup'!$H$30</definedName>
    <definedName name="TC3_CCUCON5.MCANHDIV">'TC3xx Clock Setup'!$H$31</definedName>
    <definedName name="TC3_External_Oscillator">'TC3xx Clock Setup'!$B$6</definedName>
    <definedName name="TC3_fADAS">'TC3xx Clock Setup'!$I$32</definedName>
    <definedName name="TC3_fASCLIN_SEL">'TC3xx Clock Setup'!$I$28</definedName>
    <definedName name="TC3_fASCLINF">'TC3xx Clock Setup'!$I$26</definedName>
    <definedName name="TC3_fASCLINS">'TC3xx Clock Setup'!$I$27</definedName>
    <definedName name="TC3_fBBB">'TC3xx Clock Setup'!$I$13</definedName>
    <definedName name="TC3_fCAN">'TC3xx Clock Setup'!$I$24</definedName>
    <definedName name="TC3_fCAN_SEL">'TC3xx Clock Setup'!$I$23</definedName>
    <definedName name="TC3_fFSI">'TC3xx Clock Setup'!$I$14</definedName>
    <definedName name="TC3_fFSI2">'TC3xx Clock Setup'!$I$15</definedName>
    <definedName name="TC3_fGETH">'TC3xx Clock Setup'!$I$30</definedName>
    <definedName name="TC3_fGTM">'TC3xx Clock Setup'!$I$9</definedName>
    <definedName name="TC3_fI2C">'TC3xx Clock Setup'!$I$21</definedName>
    <definedName name="TC3_fMAX">'TC3xx Clock Setup'!$B$5</definedName>
    <definedName name="TC3_fMCANH">'TC3xx Clock Setup'!$I$31</definedName>
    <definedName name="TC3_fMSC">'TC3xx Clock Setup'!$I$20</definedName>
    <definedName name="TC3_fMSC_SEL">'TC3xx Clock Setup'!$I$19</definedName>
    <definedName name="TC3_fPERPLL_DCO">'TC3xx Clock Setup'!$C$15</definedName>
    <definedName name="TC3_fPLL_DCO">'TC3xx Clock Setup'!$C$9</definedName>
    <definedName name="TC3_fPLL0">'TC3xx Clock Setup'!$C$8</definedName>
    <definedName name="TC3_fPLL1">'TC3xx Clock Setup'!$C$13</definedName>
    <definedName name="TC3_fPLL2">'TC3xx Clock Setup'!$C$14</definedName>
    <definedName name="TC3_fQSPI">'TC3xx Clock Setup'!$I$18</definedName>
    <definedName name="TC3_fQSPI_SEL">'TC3xx Clock Setup'!$I$17</definedName>
    <definedName name="TC3_fSOURCE1">'TC3xx Clock Setup'!$I$22</definedName>
    <definedName name="TC3_fSPB">'TC3xx Clock Setup'!$I$12</definedName>
    <definedName name="TC3_fSRI">'TC3xx Clock Setup'!$I$10</definedName>
    <definedName name="TC3_fSTM">'TC3xx Clock Setup'!$I$8</definedName>
    <definedName name="TC3_HF_DWAIT.RECC">'TC3xx Clock Setup'!$C$52</definedName>
    <definedName name="TC3_HF_DWAIT.RFLASH">'TC3xx Clock Setup'!$C$51</definedName>
    <definedName name="TC3_HF_PWAIT.RECC">'TC3xx Clock Setup'!$C$50</definedName>
    <definedName name="TC3_HF_PWAIT.RFLASH">'TC3xx Clock Setup'!$C$49</definedName>
    <definedName name="TC3_PERPLLCON0">'TC3xx Clock Setup'!$B$42</definedName>
    <definedName name="TC3_PERPLLCON0.DIVBY">'TC3xx Clock Setup'!$B$17</definedName>
    <definedName name="TC3_PERPLLCON0.NDIV">'TC3xx Clock Setup'!$B$16</definedName>
    <definedName name="TC3_PERPLLCON0.PDIV">'TC3xx Clock Setup'!$B$15</definedName>
    <definedName name="TC3_PERPLLCON1">'TC3xx Clock Setup'!$B$43</definedName>
    <definedName name="TC3_PERPLLCON1.K2DIV">'TC3xx Clock Setup'!$B$18</definedName>
    <definedName name="TC3_PERPLLCON1.K3DIV">'TC3xx Clock Setup'!$B$19</definedName>
    <definedName name="TC3_PLLCON0">'TC3xx Clock Setup'!$B$40</definedName>
    <definedName name="TC3_PLLCON1">'TC3xx Clock Setup'!$B$41</definedName>
    <definedName name="TC3_QSPI0.ECONz.A">'TC3xx Clock Setup'!$B$23</definedName>
    <definedName name="TC3_QSPI0.ECONz.B">'TC3xx Clock Setup'!$B$24</definedName>
    <definedName name="TC3_QSPI0.ECONz.C">'TC3xx Clock Setup'!$B$25</definedName>
    <definedName name="TC3_QSPI0.ECONz.Q">'TC3xx Clock Setup'!$B$21</definedName>
    <definedName name="TC3_QSPI0.GLOBALCON.TQ">'TC3xx Clock Setup'!$B$22</definedName>
    <definedName name="TC3_QSPI1.ECONz.A">'TC3xx Clock Setup'!$B$29</definedName>
    <definedName name="TC3_QSPI1.ECONz.B">'TC3xx Clock Setup'!$B$30</definedName>
    <definedName name="TC3_QSPI1.ECONz.C">'TC3xx Clock Setup'!$B$31</definedName>
    <definedName name="TC3_QSPI1.ECONz.Q">'TC3xx Clock Setup'!$B$27</definedName>
    <definedName name="TC3_QSPI1.GLOBALCON.TQ">'TC3xx Clock Setup'!$B$28</definedName>
    <definedName name="TC3_SYSPLLCON0.NDIV">'TC3xx Clock Setup'!$B$10</definedName>
    <definedName name="TC3_SYSPLLCON0.PDIV">'TC3xx Clock Setup'!$B$9</definedName>
    <definedName name="TC3_SYSPLLCON1.K2DIV">'TC3xx Clock Setup'!$B$11</definedName>
    <definedName name="TC3_VARIANT">'TC3xx Clock Setup'!$B$4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2" l="1"/>
  <c r="I23" i="2"/>
  <c r="H47" i="2"/>
  <c r="K47" i="2" s="1"/>
  <c r="H46" i="2"/>
  <c r="K46" i="2" s="1"/>
  <c r="K45" i="2"/>
  <c r="H45" i="2"/>
  <c r="C37" i="2"/>
  <c r="E35" i="2"/>
  <c r="C33" i="2"/>
  <c r="I32" i="2"/>
  <c r="K32" i="2" s="1"/>
  <c r="E29" i="2"/>
  <c r="C29" i="2"/>
  <c r="I26" i="2"/>
  <c r="K26" i="2" s="1"/>
  <c r="E23" i="2"/>
  <c r="C23" i="2"/>
  <c r="I20" i="2"/>
  <c r="K20" i="2" s="1"/>
  <c r="I19" i="2"/>
  <c r="I17" i="2"/>
  <c r="C21" i="2" s="1"/>
  <c r="E17" i="2"/>
  <c r="C17" i="2"/>
  <c r="E16" i="2"/>
  <c r="E15" i="2"/>
  <c r="C15" i="2"/>
  <c r="C14" i="2"/>
  <c r="I21" i="2" s="1"/>
  <c r="K21" i="2" s="1"/>
  <c r="E13" i="2"/>
  <c r="C13" i="2"/>
  <c r="E10" i="2"/>
  <c r="C9" i="2"/>
  <c r="E9" i="2" s="1"/>
  <c r="C8" i="2"/>
  <c r="I12" i="2" s="1"/>
  <c r="E6" i="2"/>
  <c r="K12" i="2" l="1"/>
  <c r="H40" i="2"/>
  <c r="I9" i="2"/>
  <c r="K24" i="2"/>
  <c r="I30" i="2"/>
  <c r="K30" i="2" s="1"/>
  <c r="I18" i="2"/>
  <c r="K18" i="2" s="1"/>
  <c r="I22" i="2"/>
  <c r="K22" i="2" s="1"/>
  <c r="C27" i="2"/>
  <c r="I31" i="2"/>
  <c r="I13" i="2"/>
  <c r="K13" i="2" s="1"/>
  <c r="I28" i="2"/>
  <c r="I27" i="2" s="1"/>
  <c r="K27" i="2" s="1"/>
  <c r="E8" i="2"/>
  <c r="I10" i="2"/>
  <c r="I8" i="2"/>
  <c r="E14" i="2"/>
  <c r="K8" i="2" l="1"/>
  <c r="I40" i="2"/>
  <c r="H41" i="2"/>
  <c r="K41" i="2" s="1"/>
  <c r="I14" i="2"/>
  <c r="K10" i="2"/>
  <c r="I15" i="2"/>
  <c r="H36" i="2"/>
  <c r="K36" i="2" s="1"/>
  <c r="H42" i="2"/>
  <c r="K42" i="2" s="1"/>
  <c r="H35" i="2"/>
  <c r="K35" i="2" s="1"/>
  <c r="K9" i="2"/>
  <c r="I39" i="2"/>
  <c r="H39" i="2"/>
  <c r="K39" i="2" s="1"/>
  <c r="H44" i="2"/>
  <c r="K44" i="2" s="1"/>
  <c r="K31" i="2"/>
  <c r="H43" i="2"/>
  <c r="K43" i="2" s="1"/>
  <c r="K40" i="2"/>
  <c r="K15" i="2" l="1"/>
  <c r="C50" i="2"/>
  <c r="C49" i="2"/>
  <c r="H37" i="2"/>
  <c r="K37" i="2" s="1"/>
  <c r="C52" i="2"/>
  <c r="C51" i="2"/>
  <c r="H38" i="2"/>
  <c r="K38" i="2" s="1"/>
  <c r="K14" i="2"/>
</calcChain>
</file>

<file path=xl/sharedStrings.xml><?xml version="1.0" encoding="utf-8"?>
<sst xmlns="http://schemas.openxmlformats.org/spreadsheetml/2006/main" count="155" uniqueCount="116">
  <si>
    <t>Enter values into</t>
  </si>
  <si>
    <t>BLUE</t>
  </si>
  <si>
    <t>boxes only!</t>
  </si>
  <si>
    <r>
      <t xml:space="preserve">Dlsclaimer: </t>
    </r>
    <r>
      <rPr>
        <sz val="14"/>
        <color theme="1"/>
        <rFont val="Calibri"/>
        <family val="2"/>
        <scheme val="minor"/>
      </rPr>
      <t>This unofficial document has not been exhaustively tested and does not cover all cases (e.g. LPDIV)</t>
    </r>
  </si>
  <si>
    <t>Variant</t>
  </si>
  <si>
    <t>TC38xAE</t>
  </si>
  <si>
    <t>Maximum frequency</t>
  </si>
  <si>
    <t>Refer to Data Sheet Addendum</t>
  </si>
  <si>
    <t>External Oscillator</t>
  </si>
  <si>
    <t>MHz</t>
  </si>
  <si>
    <t>System PLL (fPLL0)</t>
  </si>
  <si>
    <t>CCUCON0.STMDIV</t>
  </si>
  <si>
    <t>Variant List</t>
  </si>
  <si>
    <t>PER_PLL_TC.001 applies?</t>
  </si>
  <si>
    <t>SYSPLLCON0.PDIV</t>
  </si>
  <si>
    <t>CCUCON0.GTMDIV</t>
  </si>
  <si>
    <t>TC32x</t>
  </si>
  <si>
    <t>no</t>
  </si>
  <si>
    <t>SYSPLLCON0.NDIV</t>
  </si>
  <si>
    <t>CCUCON0.SRIDIV</t>
  </si>
  <si>
    <t>TC33x</t>
  </si>
  <si>
    <t>SYSPLLCON1.K2DIV</t>
  </si>
  <si>
    <t>CCUCON0.LPDIV</t>
  </si>
  <si>
    <t>not supported in this spreadsheet version</t>
  </si>
  <si>
    <t>TC33xEXT</t>
  </si>
  <si>
    <t>CCUCON0.SPBDIV</t>
  </si>
  <si>
    <t>TC35x</t>
  </si>
  <si>
    <t>yes</t>
  </si>
  <si>
    <t>Peripheral PLL (fPLL1)</t>
  </si>
  <si>
    <t>CCUCON0.BBBDIV</t>
  </si>
  <si>
    <t>TC36x</t>
  </si>
  <si>
    <t>Peripheral PLL (fPLL2)</t>
  </si>
  <si>
    <t>CCUCON0.FSIDIV</t>
  </si>
  <si>
    <t>TC37x</t>
  </si>
  <si>
    <t>PERPLLCON0.PDIV</t>
  </si>
  <si>
    <t>CCUCON0.FSI2DIV</t>
  </si>
  <si>
    <t>TC37xEXT</t>
  </si>
  <si>
    <t>PERPLLCON0.NDIV</t>
  </si>
  <si>
    <t>TC38xAD</t>
  </si>
  <si>
    <t>PERPLLCON0.DIVBY</t>
  </si>
  <si>
    <t>CCUCON1.CLKSELQSPI</t>
  </si>
  <si>
    <t>PERPLLCON1.K2DIV</t>
  </si>
  <si>
    <t>CCUCON1.QSPIDIV</t>
  </si>
  <si>
    <t>TC39xBC</t>
  </si>
  <si>
    <t>PERPLLCON1.K3DIV</t>
  </si>
  <si>
    <t>CCUCON1.CLKSELMSC</t>
  </si>
  <si>
    <t>TC39xBD</t>
  </si>
  <si>
    <t>CCUCON1.MSCDIV</t>
  </si>
  <si>
    <t>TC3Ex</t>
  </si>
  <si>
    <t>QSPI0.ECONz.Q</t>
  </si>
  <si>
    <t>CCUCON1.I2CDIV</t>
  </si>
  <si>
    <t>QSPI0.GLOBALCON.TQ</t>
  </si>
  <si>
    <t>CCUCON1.PLL1DIVDIS</t>
  </si>
  <si>
    <t>?</t>
  </si>
  <si>
    <t>QSPI0.ECONz.A</t>
  </si>
  <si>
    <t>CCUCON1.CLKSELMCAN</t>
  </si>
  <si>
    <t>QSPI0.ECONz.B</t>
  </si>
  <si>
    <t>CCUCON1.MCANDIV</t>
  </si>
  <si>
    <t>QSPI0.ECONz.C</t>
  </si>
  <si>
    <t>CCUCON2.ASCLINFDIV</t>
  </si>
  <si>
    <t>QSPI1.ECONz.Q</t>
  </si>
  <si>
    <t>CCUCON2.ASCLINSDIV</t>
  </si>
  <si>
    <t>QSPI1.GLOBALCON.TQ</t>
  </si>
  <si>
    <t>CCUCON2.CLKSELASCLINS</t>
  </si>
  <si>
    <t>QSPI1.ECONz.A</t>
  </si>
  <si>
    <t>QSPI1.ECONz.B</t>
  </si>
  <si>
    <t>CCUCON5.GETHDIV</t>
  </si>
  <si>
    <t>QSPI1.ECONz.C</t>
  </si>
  <si>
    <t>CCUCON5.MCANHDIV</t>
  </si>
  <si>
    <t>CCUCON5.ADASDIV</t>
  </si>
  <si>
    <t>ASCLIN0_CSR.CLKSEL</t>
  </si>
  <si>
    <t>ASCLIN0_BITCON.PRESCALER</t>
  </si>
  <si>
    <t>Clock Relationships</t>
  </si>
  <si>
    <t>ASCLIN0_BRG.NUMERATOR</t>
  </si>
  <si>
    <t>fSRI / fSPB</t>
  </si>
  <si>
    <t>ASCLIN0_BRG.DENOMINATOR</t>
  </si>
  <si>
    <t>baud = (fA * numerator) / ((prescaler+1)*denominator*(oversampling+1))</t>
  </si>
  <si>
    <t>fSRI / fFSI</t>
  </si>
  <si>
    <t>ASCLIN0_BITCON.OVERSAMPLING</t>
  </si>
  <si>
    <t>bps</t>
  </si>
  <si>
    <t>fFSI2 / fFSI</t>
  </si>
  <si>
    <t>fFSI / fSPB/2</t>
  </si>
  <si>
    <t>Register Values</t>
  </si>
  <si>
    <t>fGTM / fSPB, fSPB / fGTM</t>
  </si>
  <si>
    <t>SYSPLLCON0</t>
  </si>
  <si>
    <t>0x00003A00</t>
  </si>
  <si>
    <t>fSPB / fSTM, fSTM / fSPB</t>
  </si>
  <si>
    <t>SYSPLLCON1</t>
  </si>
  <si>
    <t>0x00000001</t>
  </si>
  <si>
    <t>fSRI / fBBB</t>
  </si>
  <si>
    <t>PERPLLCON0</t>
  </si>
  <si>
    <t>0x00003E00</t>
  </si>
  <si>
    <t>fSRI / fGETH</t>
  </si>
  <si>
    <t>PERPLLCON1</t>
  </si>
  <si>
    <t>0x00000101</t>
  </si>
  <si>
    <t>fSPB / fMCANH</t>
  </si>
  <si>
    <t>CCUCON0</t>
  </si>
  <si>
    <t>0x17230103</t>
  </si>
  <si>
    <t>fMCANH / fMCAN</t>
  </si>
  <si>
    <t>CCUCON1</t>
  </si>
  <si>
    <t>0x21000094</t>
  </si>
  <si>
    <t>fSRI / fADAS</t>
  </si>
  <si>
    <t>CCUCON2</t>
  </si>
  <si>
    <t>0x07000000</t>
  </si>
  <si>
    <t>fADAS / fBBB</t>
  </si>
  <si>
    <t>CCUCON5</t>
  </si>
  <si>
    <t>0x00000131</t>
  </si>
  <si>
    <t>fBBB / fADAS</t>
  </si>
  <si>
    <t>HF_PWAIT.RFLASH</t>
  </si>
  <si>
    <t>tPF = 30 ns</t>
  </si>
  <si>
    <t>HF_PWAIT.RECC</t>
  </si>
  <si>
    <t>tPFECC = 10 ns</t>
  </si>
  <si>
    <t>HF_DWAIT.RFLASH</t>
  </si>
  <si>
    <t>tDF = 100 ns</t>
  </si>
  <si>
    <t>HF_DWAIT.RECC</t>
  </si>
  <si>
    <t>tDFECC = 20 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</si>
</sst>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0B0F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9">
    <xf numFmtId="0" fontId="0" fillId="0" borderId="0" xfId="0"/>
    <xf numFmtId="0" fontId="4" fillId="0" borderId="0" xfId="0" applyFont="1"/>
    <xf numFmtId="0" fontId="4" fillId="3" borderId="0" xfId="0" applyFont="1" applyFill="1"/>
    <xf numFmtId="0" fontId="5" fillId="0" borderId="0" xfId="0" applyFont="1"/>
    <xf numFmtId="0" fontId="0" fillId="4" borderId="0" xfId="0" applyFill="1"/>
    <xf numFmtId="0" fontId="2" fillId="3" borderId="2" xfId="0" applyFont="1" applyFill="1" applyBorder="1"/>
    <xf numFmtId="0" fontId="0" fillId="4" borderId="0" xfId="0" applyFill="1" applyAlignment="1">
      <alignment horizontal="left"/>
    </xf>
    <xf numFmtId="0" fontId="0" fillId="5" borderId="0" xfId="0" applyFill="1"/>
    <xf numFmtId="0" fontId="1" fillId="5" borderId="1" xfId="1" applyFill="1" applyProtection="1"/>
    <xf numFmtId="0" fontId="6" fillId="3" borderId="2" xfId="0" applyFont="1" applyFill="1" applyBorder="1"/>
    <xf numFmtId="0" fontId="2" fillId="6" borderId="0" xfId="0" applyFont="1" applyFill="1"/>
    <xf numFmtId="0" fontId="0" fillId="6" borderId="0" xfId="0" applyFill="1"/>
    <xf numFmtId="0" fontId="0" fillId="7" borderId="0" xfId="0" applyFill="1"/>
    <xf numFmtId="0" fontId="1" fillId="7" borderId="1" xfId="1" applyFill="1" applyProtection="1"/>
    <xf numFmtId="0" fontId="0" fillId="3" borderId="0" xfId="0" applyFill="1"/>
    <xf numFmtId="0" fontId="0" fillId="8" borderId="0" xfId="0" applyFill="1"/>
    <xf numFmtId="0" fontId="0" fillId="3" borderId="2" xfId="0" applyFill="1" applyBorder="1"/>
    <xf numFmtId="0" fontId="1" fillId="8" borderId="1" xfId="1" applyFill="1" applyProtection="1"/>
    <xf numFmtId="0" fontId="0" fillId="9" borderId="0" xfId="0" applyFill="1"/>
    <xf numFmtId="0" fontId="1" fillId="9" borderId="1" xfId="1" applyFill="1" applyProtection="1"/>
    <xf numFmtId="0" fontId="0" fillId="10" borderId="0" xfId="0" applyFill="1"/>
    <xf numFmtId="0" fontId="7" fillId="10" borderId="1" xfId="1" applyFont="1" applyFill="1" applyProtection="1"/>
    <xf numFmtId="0" fontId="2" fillId="11" borderId="0" xfId="0" applyFont="1" applyFill="1"/>
    <xf numFmtId="0" fontId="0" fillId="11" borderId="0" xfId="0" applyFill="1"/>
    <xf numFmtId="0" fontId="2" fillId="12" borderId="0" xfId="0" applyFont="1" applyFill="1"/>
    <xf numFmtId="0" fontId="0" fillId="12" borderId="0" xfId="0" applyFill="1"/>
    <xf numFmtId="0" fontId="8" fillId="3" borderId="0" xfId="0" applyFont="1" applyFill="1"/>
    <xf numFmtId="0" fontId="0" fillId="13" borderId="0" xfId="0" applyFill="1"/>
    <xf numFmtId="0" fontId="9" fillId="14" borderId="0" xfId="1" applyFont="1" applyFill="1" applyBorder="1" applyProtection="1"/>
  </cellXfs>
  <cellStyles count="2">
    <cellStyle name="Calculation" xfId="1" builtinId="22"/>
    <cellStyle name="Normal" xfId="0" builtinId="0"/>
  </cellStyles>
  <dxfs count="2"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95250</xdr:colOff>
          <xdr:row>39</xdr:row>
          <xdr:rowOff>133350</xdr:rowOff>
        </xdr:from>
        <xdr:to>
          <xdr:col>4</xdr:col>
          <xdr:colOff>2660650</xdr:colOff>
          <xdr:row>42</xdr:row>
          <xdr:rowOff>50800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Calculate Register Values from Cells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95250</xdr:colOff>
          <xdr:row>43</xdr:row>
          <xdr:rowOff>38100</xdr:rowOff>
        </xdr:from>
        <xdr:to>
          <xdr:col>4</xdr:col>
          <xdr:colOff>2647950</xdr:colOff>
          <xdr:row>45</xdr:row>
          <xdr:rowOff>146050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Populate Cells 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after entering Register Values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ujun.Zou/Downloads/AURIX_Clock_Calculator_v1.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C2xx Clock Setup"/>
      <sheetName val="TC3xx Clock Setup"/>
      <sheetName val="Revision History"/>
      <sheetName val="AURIX_Clock_Calculator_v1.15"/>
    </sheetNames>
    <definedNames>
      <definedName name="Calculate_Registers_TC3xx"/>
      <definedName name="Decode_Registers_TC3xx"/>
    </definedNames>
    <sheetDataSet>
      <sheetData sheetId="0">
        <row r="4">
          <cell r="B4" t="str">
            <v>TC23x AC</v>
          </cell>
          <cell r="E4">
            <v>200</v>
          </cell>
        </row>
        <row r="5">
          <cell r="B5">
            <v>20</v>
          </cell>
        </row>
        <row r="7">
          <cell r="C7">
            <v>200</v>
          </cell>
          <cell r="H7">
            <v>2</v>
          </cell>
          <cell r="I7">
            <v>100</v>
          </cell>
        </row>
        <row r="8">
          <cell r="B8">
            <v>0</v>
          </cell>
          <cell r="C8">
            <v>600</v>
          </cell>
          <cell r="I8">
            <v>200</v>
          </cell>
          <cell r="M8" t="str">
            <v>TC21x</v>
          </cell>
          <cell r="N8" t="str">
            <v>TC22x</v>
          </cell>
          <cell r="O8" t="str">
            <v>TC23x</v>
          </cell>
          <cell r="P8" t="str">
            <v>TC26x</v>
          </cell>
          <cell r="Q8" t="str">
            <v>TC27x</v>
          </cell>
          <cell r="R8" t="str">
            <v>TC29x</v>
          </cell>
        </row>
        <row r="9">
          <cell r="B9">
            <v>29</v>
          </cell>
          <cell r="H9">
            <v>2</v>
          </cell>
          <cell r="I9">
            <v>100</v>
          </cell>
          <cell r="M9">
            <v>133</v>
          </cell>
          <cell r="N9">
            <v>133</v>
          </cell>
          <cell r="O9">
            <v>200</v>
          </cell>
          <cell r="P9">
            <v>200</v>
          </cell>
          <cell r="Q9">
            <v>200</v>
          </cell>
          <cell r="R9">
            <v>300</v>
          </cell>
        </row>
        <row r="11">
          <cell r="B11">
            <v>2</v>
          </cell>
          <cell r="H11">
            <v>1</v>
          </cell>
          <cell r="I11">
            <v>200</v>
          </cell>
          <cell r="M11" t="str">
            <v>TC21x AA,AB</v>
          </cell>
          <cell r="N11" t="str">
            <v>old</v>
          </cell>
        </row>
        <row r="12">
          <cell r="H12">
            <v>2</v>
          </cell>
          <cell r="I12">
            <v>100</v>
          </cell>
          <cell r="M12" t="str">
            <v>TC21x AC</v>
          </cell>
          <cell r="N12" t="str">
            <v>new</v>
          </cell>
        </row>
        <row r="13">
          <cell r="M13" t="str">
            <v>TC22x AA,AB</v>
          </cell>
          <cell r="N13" t="str">
            <v>old</v>
          </cell>
        </row>
        <row r="14">
          <cell r="C14">
            <v>80</v>
          </cell>
          <cell r="H14">
            <v>2</v>
          </cell>
          <cell r="I14">
            <v>100</v>
          </cell>
          <cell r="M14" t="str">
            <v>TC22x AC</v>
          </cell>
          <cell r="N14" t="str">
            <v>new</v>
          </cell>
        </row>
        <row r="15">
          <cell r="C15">
            <v>40</v>
          </cell>
          <cell r="H15">
            <v>1</v>
          </cell>
          <cell r="I15">
            <v>200</v>
          </cell>
          <cell r="M15" t="str">
            <v>TC23x AA,AB</v>
          </cell>
          <cell r="N15" t="str">
            <v>old</v>
          </cell>
        </row>
        <row r="16">
          <cell r="B16">
            <v>0</v>
          </cell>
          <cell r="C16">
            <v>480</v>
          </cell>
          <cell r="H16">
            <v>0</v>
          </cell>
          <cell r="M16" t="str">
            <v>TC23x AC</v>
          </cell>
          <cell r="N16" t="str">
            <v>new</v>
          </cell>
        </row>
        <row r="17">
          <cell r="B17">
            <v>23</v>
          </cell>
          <cell r="H17">
            <v>2</v>
          </cell>
          <cell r="I17">
            <v>100</v>
          </cell>
          <cell r="M17" t="str">
            <v>TC26x AB,BB</v>
          </cell>
          <cell r="N17" t="str">
            <v>old</v>
          </cell>
        </row>
        <row r="18">
          <cell r="H18">
            <v>2</v>
          </cell>
          <cell r="I18">
            <v>100</v>
          </cell>
          <cell r="M18" t="str">
            <v>TC26x BC</v>
          </cell>
          <cell r="N18" t="str">
            <v>new</v>
          </cell>
        </row>
        <row r="19">
          <cell r="B19">
            <v>5</v>
          </cell>
          <cell r="H19">
            <v>1</v>
          </cell>
          <cell r="I19">
            <v>80</v>
          </cell>
          <cell r="M19" t="str">
            <v>TC27x AA,AB,BA,BC,CA,DB</v>
          </cell>
          <cell r="N19" t="str">
            <v>old</v>
          </cell>
        </row>
        <row r="20">
          <cell r="B20">
            <v>11</v>
          </cell>
          <cell r="H20">
            <v>0</v>
          </cell>
          <cell r="I20" t="str">
            <v>stopped</v>
          </cell>
          <cell r="M20" t="str">
            <v>TC27x DC</v>
          </cell>
          <cell r="N20" t="str">
            <v>new</v>
          </cell>
        </row>
        <row r="21">
          <cell r="M21" t="str">
            <v>TC29x AA,BA,BB</v>
          </cell>
          <cell r="N21" t="str">
            <v>old</v>
          </cell>
        </row>
        <row r="22">
          <cell r="H22">
            <v>2</v>
          </cell>
          <cell r="I22">
            <v>100</v>
          </cell>
          <cell r="M22" t="str">
            <v>TC29x BC</v>
          </cell>
          <cell r="N22" t="str">
            <v>new</v>
          </cell>
        </row>
        <row r="28">
          <cell r="M28">
            <v>0</v>
          </cell>
          <cell r="N28">
            <v>1</v>
          </cell>
          <cell r="O28">
            <v>2</v>
          </cell>
          <cell r="P28">
            <v>3</v>
          </cell>
        </row>
        <row r="29">
          <cell r="M29">
            <v>5</v>
          </cell>
          <cell r="N29">
            <v>6</v>
          </cell>
          <cell r="O29">
            <v>6.6</v>
          </cell>
          <cell r="P29">
            <v>7.5</v>
          </cell>
        </row>
        <row r="34">
          <cell r="B34">
            <v>16</v>
          </cell>
        </row>
        <row r="37">
          <cell r="H37">
            <v>1</v>
          </cell>
        </row>
        <row r="38">
          <cell r="H38">
            <v>0</v>
          </cell>
        </row>
        <row r="39">
          <cell r="H39">
            <v>0</v>
          </cell>
        </row>
        <row r="40">
          <cell r="H40">
            <v>0</v>
          </cell>
        </row>
        <row r="41">
          <cell r="H41">
            <v>1</v>
          </cell>
        </row>
        <row r="42">
          <cell r="H42">
            <v>0</v>
          </cell>
        </row>
        <row r="44">
          <cell r="H44">
            <v>1</v>
          </cell>
        </row>
        <row r="45">
          <cell r="H45">
            <v>0</v>
          </cell>
        </row>
        <row r="46">
          <cell r="H46">
            <v>1</v>
          </cell>
        </row>
        <row r="47">
          <cell r="H47">
            <v>0</v>
          </cell>
        </row>
        <row r="48">
          <cell r="H48">
            <v>1</v>
          </cell>
        </row>
        <row r="49">
          <cell r="H49">
            <v>0</v>
          </cell>
        </row>
      </sheetData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A20B8-DBBD-4F01-B31D-90A399475228}">
  <sheetPr codeName="Sheet2"/>
  <dimension ref="A1:P52"/>
  <sheetViews>
    <sheetView tabSelected="1" topLeftCell="D13" zoomScaleNormal="100" workbookViewId="0">
      <selection activeCell="K30" sqref="K30"/>
    </sheetView>
  </sheetViews>
  <sheetFormatPr defaultRowHeight="14.5" x14ac:dyDescent="0.35"/>
  <cols>
    <col min="1" max="1" width="30.26953125" customWidth="1"/>
    <col min="2" max="2" width="11.54296875" customWidth="1"/>
    <col min="3" max="3" width="11.453125" customWidth="1"/>
    <col min="4" max="4" width="5.7265625" customWidth="1"/>
    <col min="5" max="5" width="50.1796875" customWidth="1"/>
    <col min="6" max="6" width="3.1796875" customWidth="1"/>
    <col min="7" max="7" width="22.81640625" customWidth="1"/>
    <col min="8" max="8" width="4.81640625" customWidth="1"/>
    <col min="9" max="9" width="8.1796875" customWidth="1"/>
    <col min="10" max="10" width="5.26953125" customWidth="1"/>
    <col min="11" max="11" width="50.1796875" customWidth="1"/>
    <col min="13" max="13" width="12" customWidth="1"/>
  </cols>
  <sheetData>
    <row r="1" spans="1:16" ht="18.5" x14ac:dyDescent="0.45">
      <c r="A1" s="1" t="s">
        <v>0</v>
      </c>
      <c r="B1" s="2" t="s">
        <v>1</v>
      </c>
      <c r="C1" s="3" t="s">
        <v>2</v>
      </c>
    </row>
    <row r="2" spans="1:16" ht="18.5" x14ac:dyDescent="0.45">
      <c r="A2" s="1" t="s">
        <v>3</v>
      </c>
    </row>
    <row r="4" spans="1:16" x14ac:dyDescent="0.35">
      <c r="A4" s="4" t="s">
        <v>4</v>
      </c>
      <c r="B4" s="5" t="s">
        <v>5</v>
      </c>
      <c r="C4" s="4"/>
      <c r="D4" s="4"/>
      <c r="E4" s="4"/>
    </row>
    <row r="5" spans="1:16" x14ac:dyDescent="0.35">
      <c r="A5" s="4" t="s">
        <v>6</v>
      </c>
      <c r="B5" s="5">
        <v>300</v>
      </c>
      <c r="C5" s="4"/>
      <c r="D5" s="4"/>
      <c r="E5" s="6" t="s">
        <v>7</v>
      </c>
    </row>
    <row r="6" spans="1:16" x14ac:dyDescent="0.35">
      <c r="A6" s="4" t="s">
        <v>8</v>
      </c>
      <c r="B6" s="5">
        <v>20</v>
      </c>
      <c r="C6" s="4" t="s">
        <v>9</v>
      </c>
      <c r="D6" s="4"/>
      <c r="E6" s="4" t="str">
        <f>IF(OR(TC3_External_Oscillator&lt;16,TC3_External_Oscillator&gt;40),"ERROR: External oscillator must be between 16 and 40 MHz","OK: fOSC is between 16 and 40 MHz")</f>
        <v>OK: fOSC is between 16 and 40 MHz</v>
      </c>
    </row>
    <row r="8" spans="1:16" x14ac:dyDescent="0.35">
      <c r="A8" s="7" t="s">
        <v>10</v>
      </c>
      <c r="B8" s="7"/>
      <c r="C8" s="8">
        <f>(TC3_External_Oscillator*(TC3_SYSPLLCON0.NDIV+1))/((TC3_SYSPLLCON0.PDIV+1)*(TC3_SYSPLLCON1.K2DIV+1))</f>
        <v>300</v>
      </c>
      <c r="D8" s="7" t="s">
        <v>9</v>
      </c>
      <c r="E8" s="7" t="str">
        <f>IF(OR(TC3_fPLL0&lt;20,TC3_fPLL0&gt;TC3_fMAX),CONCATENATE("ERROR: fPLL0 must be between 20 and ",TC3_fMAX," MHz"),CONCATENATE("OK: fPLL0 is between 20 and ",TC3_fMAX," MHz"))</f>
        <v>OK: fPLL0 is between 20 and 300 MHz</v>
      </c>
      <c r="G8" s="7" t="s">
        <v>11</v>
      </c>
      <c r="H8" s="9">
        <v>3</v>
      </c>
      <c r="I8" s="8">
        <f>TC3_fPLL0/TC3_CCUCON0.STMDIV</f>
        <v>100</v>
      </c>
      <c r="J8" s="7" t="s">
        <v>9</v>
      </c>
      <c r="K8" s="7" t="str">
        <f>IF(OR(TC3_fSTM&lt;0,TC3_fSTM&gt;100),"ERROR:fSTM must be &lt;= 100 MHz","OK: fSTM is &lt;= 100 MHz")</f>
        <v>OK: fSTM is &lt;= 100 MHz</v>
      </c>
      <c r="M8" s="10" t="s">
        <v>12</v>
      </c>
      <c r="N8" s="11" t="s">
        <v>13</v>
      </c>
      <c r="O8" s="11"/>
      <c r="P8" s="11"/>
    </row>
    <row r="9" spans="1:16" x14ac:dyDescent="0.35">
      <c r="A9" s="7" t="s">
        <v>14</v>
      </c>
      <c r="B9" s="9">
        <v>0</v>
      </c>
      <c r="C9" s="8">
        <f>TC3_External_Oscillator*(TC3_SYSPLLCON0.NDIV+1)/(TC3_SYSPLLCON0.PDIV+1)</f>
        <v>600</v>
      </c>
      <c r="D9" s="7" t="s">
        <v>9</v>
      </c>
      <c r="E9" s="7" t="str">
        <f>IF(OR(TC3_fPLL_DCO&lt;400,TC3_fPLL_DCO&gt;800),"ERROR: System PLL DCO must be between 400 and 800 MHz","OK: System PLL DCO is between 400 and 800 MHz")</f>
        <v>OK: System PLL DCO is between 400 and 800 MHz</v>
      </c>
      <c r="G9" s="7" t="s">
        <v>15</v>
      </c>
      <c r="H9" s="9">
        <v>1</v>
      </c>
      <c r="I9" s="8">
        <f>IF(TC3_CCUCON0.GTMDIV=0,0,IF(TC3_CCUCON0.GTMDIV=1,TC3_fSPB*2,TC3_fPLL0/TC3_CCUCON0.GTMDIV))</f>
        <v>200</v>
      </c>
      <c r="J9" s="7" t="s">
        <v>9</v>
      </c>
      <c r="K9" s="7" t="str">
        <f>IF(TC3_fGTM&gt;200,"ERROR:fGTM must be &lt;= 200 MHz","OK: fGTM is &lt;= 200 MHz")</f>
        <v>OK: fGTM is &lt;= 200 MHz</v>
      </c>
      <c r="M9" s="11" t="s">
        <v>16</v>
      </c>
      <c r="N9" s="11" t="s">
        <v>17</v>
      </c>
      <c r="O9" s="11"/>
      <c r="P9" s="11"/>
    </row>
    <row r="10" spans="1:16" x14ac:dyDescent="0.35">
      <c r="A10" s="7" t="s">
        <v>18</v>
      </c>
      <c r="B10" s="9">
        <v>29</v>
      </c>
      <c r="C10" s="7"/>
      <c r="D10" s="7"/>
      <c r="E10" s="7" t="str">
        <f>IF(OR(TC3_External_Oscillator&lt;10,TC3_External_Oscillator&gt;40),"ERROR: System PLL input must be between 10 and 40 MHz","OK: System PLL input is between 10 and 40 MHz")</f>
        <v>OK: System PLL input is between 10 and 40 MHz</v>
      </c>
      <c r="G10" s="7" t="s">
        <v>19</v>
      </c>
      <c r="H10" s="9">
        <v>1</v>
      </c>
      <c r="I10" s="8">
        <f>TC3_fPLL0/TC3_CCUCON0.SRIDIV</f>
        <v>300</v>
      </c>
      <c r="J10" s="7" t="s">
        <v>9</v>
      </c>
      <c r="K10" s="7" t="str">
        <f>IF(OR(TC3_fSRI&lt;0,TC3_fSRI&gt;TC3_fMAX),CONCATENATE("ERROR:fSRI must be &lt;= ",TC3_fMAX," MHz"),CONCATENATE("OK: fSRI is &lt;= ",TC3_fMAX," MHz"))</f>
        <v>OK: fSRI is &lt;= 300 MHz</v>
      </c>
      <c r="M10" s="11" t="s">
        <v>20</v>
      </c>
      <c r="N10" s="11" t="s">
        <v>17</v>
      </c>
      <c r="O10" s="11"/>
      <c r="P10" s="11"/>
    </row>
    <row r="11" spans="1:16" x14ac:dyDescent="0.35">
      <c r="A11" s="7" t="s">
        <v>21</v>
      </c>
      <c r="B11" s="9">
        <v>1</v>
      </c>
      <c r="C11" s="7"/>
      <c r="D11" s="7"/>
      <c r="E11" s="7"/>
      <c r="G11" s="7" t="s">
        <v>22</v>
      </c>
      <c r="H11" s="7">
        <v>0</v>
      </c>
      <c r="I11" s="7"/>
      <c r="J11" s="7"/>
      <c r="K11" s="7" t="s">
        <v>23</v>
      </c>
      <c r="M11" s="11" t="s">
        <v>24</v>
      </c>
      <c r="N11" s="11" t="s">
        <v>17</v>
      </c>
      <c r="O11" s="11"/>
      <c r="P11" s="11"/>
    </row>
    <row r="12" spans="1:16" x14ac:dyDescent="0.35">
      <c r="G12" s="7" t="s">
        <v>25</v>
      </c>
      <c r="H12" s="9">
        <v>3</v>
      </c>
      <c r="I12" s="8">
        <f>TC3_fPLL0/TC3_CCUCON0.SPBDIV</f>
        <v>100</v>
      </c>
      <c r="J12" s="7" t="s">
        <v>9</v>
      </c>
      <c r="K12" s="7" t="str">
        <f>IF(OR(TC3_fSPB&lt;0,TC3_fSPB&gt;100),"ERROR:fSPB must be &lt;= 100 MHz","OK: fSPB is &lt;= 100 MHz")</f>
        <v>OK: fSPB is &lt;= 100 MHz</v>
      </c>
      <c r="M12" s="11" t="s">
        <v>26</v>
      </c>
      <c r="N12" s="11" t="s">
        <v>27</v>
      </c>
      <c r="O12" s="11"/>
      <c r="P12" s="11"/>
    </row>
    <row r="13" spans="1:16" x14ac:dyDescent="0.35">
      <c r="A13" s="12" t="s">
        <v>28</v>
      </c>
      <c r="B13" s="12"/>
      <c r="C13" s="13">
        <f>(TC3_External_Oscillator*(TC3_PERPLLCON0.NDIV+1))/((TC3_PERPLLCON0.PDIV+1)*(TC3_PERPLLCON1.K2DIV+1))</f>
        <v>320</v>
      </c>
      <c r="D13" s="12" t="s">
        <v>9</v>
      </c>
      <c r="E13" s="12" t="str">
        <f>IF(OR(TC3_fPLL1&lt;20,TC3_fPLL1&gt;320),"ERROR: fPLL1 must be between 20 and 320 MHz","OK: fPLL1 is between 20 and 320 MHz")</f>
        <v>OK: fPLL1 is between 20 and 320 MHz</v>
      </c>
      <c r="G13" s="7" t="s">
        <v>29</v>
      </c>
      <c r="H13" s="9">
        <v>2</v>
      </c>
      <c r="I13" s="8">
        <f>IF(TC3_CCUCON0.BBBDIV=0,"stopped",TC3_fPLL0/TC3_CCUCON0.BBBDIV)</f>
        <v>150</v>
      </c>
      <c r="J13" s="7" t="s">
        <v>9</v>
      </c>
      <c r="K13" s="7" t="str">
        <f>IF(AND(OR(TC3_fBBB&lt;0,TC3_fBBB&gt;150),TC3_fBBB&lt;&gt;"stopped"),"ERROR:fBBB must be &lt;= 150 MHz","OK: fBBB is &lt;= 150 MHz")</f>
        <v>OK: fBBB is &lt;= 150 MHz</v>
      </c>
      <c r="M13" s="11" t="s">
        <v>30</v>
      </c>
      <c r="N13" s="11" t="s">
        <v>17</v>
      </c>
      <c r="O13" s="11"/>
      <c r="P13" s="11"/>
    </row>
    <row r="14" spans="1:16" x14ac:dyDescent="0.35">
      <c r="A14" s="12" t="s">
        <v>31</v>
      </c>
      <c r="B14" s="12"/>
      <c r="C14" s="13">
        <f>(TC3_External_Oscillator*(TC3_PERPLLCON0.NDIV+1))/((TC3_PERPLLCON0.PDIV+1)*C17*(TC3_PERPLLCON1.K3DIV+1))</f>
        <v>200</v>
      </c>
      <c r="D14" s="12" t="s">
        <v>9</v>
      </c>
      <c r="E14" s="12" t="str">
        <f>IF(OR(TC3_fPLL2&lt;20,TC3_fPLL2&gt;200),"ERROR: fPLL2 must be between 20 and 200 MHz","OK: fPLL2 is between 20 and 200 MHz")</f>
        <v>OK: fPLL2 is between 20 and 200 MHz</v>
      </c>
      <c r="G14" s="7" t="s">
        <v>32</v>
      </c>
      <c r="H14" s="9">
        <v>3</v>
      </c>
      <c r="I14" s="8">
        <f>TC3_fSRI/TC3_CCUCON0.FSIDIV</f>
        <v>100</v>
      </c>
      <c r="J14" s="7" t="s">
        <v>9</v>
      </c>
      <c r="K14" s="7" t="str">
        <f>IF(OR(TC3_fFSI&lt;20,TC3_fFSI&gt;100),"ERROR:fFSI must be between 20 and 100 MHz","OK: 20 &lt;= fFSI &lt;= 100 MHz")</f>
        <v>OK: 20 &lt;= fFSI &lt;= 100 MHz</v>
      </c>
      <c r="M14" s="11" t="s">
        <v>33</v>
      </c>
      <c r="N14" s="11" t="s">
        <v>17</v>
      </c>
      <c r="O14" s="11"/>
      <c r="P14" s="11"/>
    </row>
    <row r="15" spans="1:16" x14ac:dyDescent="0.35">
      <c r="A15" s="12" t="s">
        <v>34</v>
      </c>
      <c r="B15" s="9">
        <v>0</v>
      </c>
      <c r="C15" s="13">
        <f>TC3_External_Oscillator*(TC3_PERPLLCON0.NDIV+1)/(TC3_PERPLLCON0.PDIV+1)</f>
        <v>640</v>
      </c>
      <c r="D15" s="12" t="s">
        <v>9</v>
      </c>
      <c r="E15" s="12" t="str">
        <f>IF(OR(TC3_fPERPLL_DCO&lt;400,TC3_fPERPLL_DCO&gt;800),"ERROR: System PLL DCO must be between 400 and 800 MHz","OK: System PLL DCO is between 400 and 800 MHz")</f>
        <v>OK: System PLL DCO is between 400 and 800 MHz</v>
      </c>
      <c r="G15" s="7" t="s">
        <v>35</v>
      </c>
      <c r="H15" s="14">
        <v>1</v>
      </c>
      <c r="I15" s="8">
        <f>TC3_fSRI/TC3_CCUCON0.FSI2DIV</f>
        <v>300</v>
      </c>
      <c r="J15" s="7" t="s">
        <v>9</v>
      </c>
      <c r="K15" s="7" t="str">
        <f>IF(OR(TC3_fFSI2&lt;0,TC3_fFSI2&gt;TC3_fMAX),CONCATENATE("ERROR:fFSI2 must be &lt;= ",TC3_fMAX," MHz"),CONCATENATE("OK: fFSI2 &lt;= ",TC3_fMAX," MHz"))</f>
        <v>OK: fFSI2 &lt;= 300 MHz</v>
      </c>
      <c r="M15" s="11" t="s">
        <v>36</v>
      </c>
      <c r="N15" s="11" t="s">
        <v>27</v>
      </c>
      <c r="O15" s="11"/>
      <c r="P15" s="11"/>
    </row>
    <row r="16" spans="1:16" x14ac:dyDescent="0.35">
      <c r="A16" s="12" t="s">
        <v>37</v>
      </c>
      <c r="B16" s="9">
        <v>31</v>
      </c>
      <c r="C16" s="12"/>
      <c r="D16" s="12"/>
      <c r="E16" s="12" t="str">
        <f>IF(OR(TC3_External_Oscillator&lt;10,TC3_External_Oscillator&gt;40),"ERROR: Peripheral PLL input must be between 10 and 40 MHz","OK: Peripheral PLL input is between 10 and 40 MHz")</f>
        <v>OK: Peripheral PLL input is between 10 and 40 MHz</v>
      </c>
      <c r="M16" s="11" t="s">
        <v>38</v>
      </c>
      <c r="N16" s="11" t="s">
        <v>27</v>
      </c>
      <c r="O16" s="11"/>
      <c r="P16" s="11"/>
    </row>
    <row r="17" spans="1:16" x14ac:dyDescent="0.35">
      <c r="A17" s="12" t="s">
        <v>39</v>
      </c>
      <c r="B17" s="9">
        <v>0</v>
      </c>
      <c r="C17" s="13">
        <f>IF(TC3_PERPLLCON0.DIVBY=0,1.6,2)</f>
        <v>1.6</v>
      </c>
      <c r="D17" s="12"/>
      <c r="E17" s="12" t="str">
        <f>IF(TC3_PERPLLCON0.DIVBY=0,"",IF(VLOOKUP(TC3_VARIANT,M9:N20,2)="no","","ERROR: must be 0 per erratum PER_PLL_TC.001"))</f>
        <v/>
      </c>
      <c r="G17" s="7" t="s">
        <v>40</v>
      </c>
      <c r="H17" s="9">
        <v>2</v>
      </c>
      <c r="I17" s="8">
        <f>IF(TC3_CCUCON1.CLKSELQSPI=0,"stopped",IF(TC3_CCUCON1.CLKSELQSPI=1,TC3_fPLL1,TC3_fPLL2))</f>
        <v>200</v>
      </c>
      <c r="J17" s="7"/>
      <c r="K17" s="7"/>
      <c r="M17" s="11" t="s">
        <v>5</v>
      </c>
      <c r="N17" s="11" t="s">
        <v>17</v>
      </c>
      <c r="O17" s="11"/>
      <c r="P17" s="11"/>
    </row>
    <row r="18" spans="1:16" x14ac:dyDescent="0.35">
      <c r="A18" s="12" t="s">
        <v>41</v>
      </c>
      <c r="B18" s="9">
        <v>1</v>
      </c>
      <c r="C18" s="12"/>
      <c r="D18" s="12"/>
      <c r="E18" s="12"/>
      <c r="G18" s="7" t="s">
        <v>42</v>
      </c>
      <c r="H18" s="9">
        <v>2</v>
      </c>
      <c r="I18" s="8">
        <f>IF(TC3_CCUCON1.QSPIDIV=0,"stopped",TC3_fQSPI_SEL/TC3_CCUCON1.QSPIDIV)</f>
        <v>100</v>
      </c>
      <c r="J18" s="7" t="s">
        <v>9</v>
      </c>
      <c r="K18" s="7" t="str">
        <f>IF(AND(OR(TC3_fQSPI&lt;0,TC3_fQSPI&gt;200),TC3_fQSPI&lt;&gt;"stopped"),"ERROR:fQSPI must be &lt;= 200 MHz","OK: fQSPI is &lt;= 200 MHz")</f>
        <v>OK: fQSPI is &lt;= 200 MHz</v>
      </c>
      <c r="M18" s="11" t="s">
        <v>43</v>
      </c>
      <c r="N18" s="11" t="s">
        <v>27</v>
      </c>
      <c r="O18" s="11"/>
      <c r="P18" s="11"/>
    </row>
    <row r="19" spans="1:16" x14ac:dyDescent="0.35">
      <c r="A19" s="12" t="s">
        <v>44</v>
      </c>
      <c r="B19" s="9">
        <v>1</v>
      </c>
      <c r="C19" s="12"/>
      <c r="D19" s="12"/>
      <c r="E19" s="12"/>
      <c r="G19" s="7" t="s">
        <v>45</v>
      </c>
      <c r="H19" s="9">
        <v>0</v>
      </c>
      <c r="I19" s="8" t="str">
        <f>IF(TC3_CCUCON1.CLKSELMSC=0,"stopped",IF(TC3_CCUCON1.CLKSELMSC=1,TC3_fPLL1,TC3_fPLL2))</f>
        <v>stopped</v>
      </c>
      <c r="J19" s="7"/>
      <c r="K19" s="7"/>
      <c r="M19" s="11" t="s">
        <v>46</v>
      </c>
      <c r="N19" s="11" t="s">
        <v>17</v>
      </c>
      <c r="O19" s="11"/>
      <c r="P19" s="11"/>
    </row>
    <row r="20" spans="1:16" x14ac:dyDescent="0.35">
      <c r="G20" s="7" t="s">
        <v>47</v>
      </c>
      <c r="H20" s="9">
        <v>0</v>
      </c>
      <c r="I20" s="8" t="str">
        <f>IF(TC3_CCUCON1.MSCDIV=0,"stopped",TC3_fMSC_SEL/TC3_CCUCON1.MSCDIV)</f>
        <v>stopped</v>
      </c>
      <c r="J20" s="7" t="s">
        <v>9</v>
      </c>
      <c r="K20" s="7" t="str">
        <f>IF(TC3_fMSC="stopped","OK: stopped",IF(OR(TC3_fMSC&lt;0,TC3_fMSC&gt;200),"ERROR:fMSC must be &lt;= 200 MHz","OK: fMSC is &lt;= 200 MHz"))</f>
        <v>OK: stopped</v>
      </c>
      <c r="M20" s="11" t="s">
        <v>48</v>
      </c>
      <c r="N20" s="11" t="s">
        <v>17</v>
      </c>
      <c r="O20" s="11"/>
      <c r="P20" s="11"/>
    </row>
    <row r="21" spans="1:16" x14ac:dyDescent="0.35">
      <c r="A21" s="15" t="s">
        <v>49</v>
      </c>
      <c r="B21" s="16">
        <v>0</v>
      </c>
      <c r="C21" s="17">
        <f>TC3_fQSPI_SEL/C23</f>
        <v>6.25</v>
      </c>
      <c r="D21" s="15" t="s">
        <v>9</v>
      </c>
      <c r="E21" s="15"/>
      <c r="G21" s="7" t="s">
        <v>50</v>
      </c>
      <c r="H21" s="9">
        <v>2</v>
      </c>
      <c r="I21" s="8">
        <f>IF(TC3_CCUCON1.I2CDIV=0,"stopped",TC3_fPLL2/TC3_CCUCON1.I2CDIV)</f>
        <v>100</v>
      </c>
      <c r="J21" s="7" t="s">
        <v>9</v>
      </c>
      <c r="K21" s="7" t="str">
        <f>IF(AND(OR(TC3_fI2C&lt;0,TC3_fI2C&gt;100),TC3_fI2C&lt;&gt;"stopped"),"ERROR:fI2C must be &lt;= 100 MHz","OK: fI2C is &lt;= 100 MHz")</f>
        <v>OK: fI2C is &lt;= 100 MHz</v>
      </c>
    </row>
    <row r="22" spans="1:16" x14ac:dyDescent="0.35">
      <c r="A22" s="15" t="s">
        <v>51</v>
      </c>
      <c r="B22" s="16">
        <v>7</v>
      </c>
      <c r="C22" s="15"/>
      <c r="D22" s="15"/>
      <c r="E22" s="15"/>
      <c r="G22" s="7" t="s">
        <v>52</v>
      </c>
      <c r="H22" s="5">
        <v>0</v>
      </c>
      <c r="I22" s="8">
        <f>TC3_fPLL1/IF(TC3_CCUCON1.PLL1DIVDIS=0,2,1)</f>
        <v>160</v>
      </c>
      <c r="J22" s="7"/>
      <c r="K22" s="7" t="str">
        <f>IF(OR(TC3_fSOURCE1&lt;0,TC3_fSOURCE1&gt;160),"ERROR:fSOURCE1 must be &lt;= 160 MHz for fADC","OK: fSOURCE1 is &lt;= 160 MHz")</f>
        <v>OK: fSOURCE1 is &lt;= 160 MHz</v>
      </c>
      <c r="L22" t="s">
        <v>53</v>
      </c>
    </row>
    <row r="23" spans="1:16" x14ac:dyDescent="0.35">
      <c r="A23" s="15" t="s">
        <v>54</v>
      </c>
      <c r="B23" s="16">
        <v>1</v>
      </c>
      <c r="C23" s="17">
        <f>(TC3_QSPI0.GLOBALCON.TQ+1)*(TC3_QSPI0.ECONz.Q+1)*(TC3_QSPI0.ECONz.A+1+TC3_QSPI0.ECONz.B+TC3_QSPI0.ECONz.C)</f>
        <v>32</v>
      </c>
      <c r="D23" s="15"/>
      <c r="E23" s="15" t="str">
        <f>IF(C23&lt;4,"ERROR: (Q+1)*(A+1+B+C) must be &gt;= 4","OK: (Q+1)*(A+1+B+C) is &gt;= 4")</f>
        <v>OK: (Q+1)*(A+1+B+C) is &gt;= 4</v>
      </c>
      <c r="G23" s="7" t="s">
        <v>55</v>
      </c>
      <c r="H23" s="9">
        <v>1</v>
      </c>
      <c r="I23" s="8">
        <f>IF(TC3_CCUCON1.CLKSELMCAN=0,"stopped",IF(TC3_CCUCON1.CLKSELMCAN=1,TC3_fCAN,TC3_External_Oscillator))</f>
        <v>160</v>
      </c>
      <c r="J23" s="7" t="s">
        <v>9</v>
      </c>
      <c r="K23" s="7"/>
    </row>
    <row r="24" spans="1:16" x14ac:dyDescent="0.35">
      <c r="A24" s="15" t="s">
        <v>56</v>
      </c>
      <c r="B24" s="16">
        <v>0</v>
      </c>
      <c r="C24" s="15"/>
      <c r="D24" s="15"/>
      <c r="E24" s="15"/>
      <c r="G24" s="7" t="s">
        <v>57</v>
      </c>
      <c r="H24" s="9">
        <v>2</v>
      </c>
      <c r="I24" s="8">
        <f>IF(TC3_CCUCON1.MCANDIV=0,"stopped",TC3_fPLL1/TC3_CCUCON1.MCANDIV)</f>
        <v>160</v>
      </c>
      <c r="J24" s="7" t="s">
        <v>9</v>
      </c>
      <c r="K24" s="7" t="str">
        <f>IF(AND(OR(TC3_fCAN&lt;0,TC3_fCAN&gt;80),TC3_fCAN&lt;&gt;"stopped"),"ERROR:fCAN must be &lt;= 80 MHz","OK: fCAN is &lt;= 80 MHz")</f>
        <v>ERROR:fCAN must be &lt;= 80 MHz</v>
      </c>
    </row>
    <row r="25" spans="1:16" x14ac:dyDescent="0.35">
      <c r="A25" s="15" t="s">
        <v>58</v>
      </c>
      <c r="B25" s="16">
        <v>2</v>
      </c>
      <c r="C25" s="15"/>
      <c r="D25" s="15"/>
      <c r="E25" s="15"/>
    </row>
    <row r="26" spans="1:16" x14ac:dyDescent="0.35">
      <c r="G26" s="7" t="s">
        <v>59</v>
      </c>
      <c r="H26" s="9">
        <v>1</v>
      </c>
      <c r="I26" s="8">
        <f>IF(TC3_CCUCON2.ASCLINFDIV=0,"stopped",TC3_fPLL2/TC3_CCUCON2.ASCLINFDIV)</f>
        <v>200</v>
      </c>
      <c r="J26" s="7" t="s">
        <v>9</v>
      </c>
      <c r="K26" s="7" t="str">
        <f>IF(AND(OR(TC3_fASCLINF&lt;0,TC3_fASCLINF&gt;200),TC3_fASCLINF&lt;&gt;"stopped"),"ERROR:fASCLINF must be &lt;= 200 MHz","OK: fASCLINF is &lt;= 200 MHz")</f>
        <v>OK: fASCLINF is &lt;= 200 MHz</v>
      </c>
    </row>
    <row r="27" spans="1:16" x14ac:dyDescent="0.35">
      <c r="A27" s="18" t="s">
        <v>60</v>
      </c>
      <c r="B27" s="16">
        <v>0</v>
      </c>
      <c r="C27" s="19">
        <f>TC3_fQSPI_SEL/C29</f>
        <v>6.25</v>
      </c>
      <c r="D27" s="18" t="s">
        <v>9</v>
      </c>
      <c r="E27" s="18"/>
      <c r="G27" s="7" t="s">
        <v>61</v>
      </c>
      <c r="H27" s="9">
        <v>1</v>
      </c>
      <c r="I27" s="8">
        <f>IF(TC3_CCUCON2.ASCLINSDIV=0,"stopped",TC3_fASCLIN_SEL/TC3_CCUCON2.ASCLINSDIV)</f>
        <v>320</v>
      </c>
      <c r="J27" s="7" t="s">
        <v>9</v>
      </c>
      <c r="K27" s="7" t="str">
        <f>IF(AND(OR(TC3_fASCLINS&lt;0,TC3_fASCLINS&gt;200),TC3_fASCLINS&lt;&gt;"stopped"),"ERROR:fASCLINS must be &lt;= 200 MHz","OK: fASCLINS is &lt;= 200 MHz")</f>
        <v>ERROR:fASCLINS must be &lt;= 200 MHz</v>
      </c>
    </row>
    <row r="28" spans="1:16" x14ac:dyDescent="0.35">
      <c r="A28" s="18" t="s">
        <v>62</v>
      </c>
      <c r="B28" s="16">
        <v>7</v>
      </c>
      <c r="C28" s="18"/>
      <c r="D28" s="18"/>
      <c r="E28" s="18"/>
      <c r="G28" s="7" t="s">
        <v>63</v>
      </c>
      <c r="H28" s="9">
        <v>1</v>
      </c>
      <c r="I28" s="8">
        <f>IF(TC3_CCUCON2.CLKSELASCLINS=0,"stopped",IF(TC3_CCUCON2.CLKSELASCLINS=1,TC3_fPLL1,TC3_External_Oscillator))</f>
        <v>320</v>
      </c>
      <c r="J28" s="7"/>
      <c r="K28" s="7"/>
    </row>
    <row r="29" spans="1:16" x14ac:dyDescent="0.35">
      <c r="A29" s="18" t="s">
        <v>64</v>
      </c>
      <c r="B29" s="16">
        <v>1</v>
      </c>
      <c r="C29" s="19">
        <f>(TC3_QSPI1.GLOBALCON.TQ+1)*(TC3_QSPI1.ECONz.Q+1)*(TC3_QSPI1.ECONz.A+1+TC3_QSPI1.ECONz.B+TC3_QSPI1.ECONz.C)</f>
        <v>32</v>
      </c>
      <c r="D29" s="18"/>
      <c r="E29" s="18" t="str">
        <f>IF(C29&lt;4,"ERROR: (Q+1)*(A+1+B+C) must be &gt;= 4","OK: (Q+1)*(A+1+B+C) is &gt;= 4")</f>
        <v>OK: (Q+1)*(A+1+B+C) is &gt;= 4</v>
      </c>
    </row>
    <row r="30" spans="1:16" x14ac:dyDescent="0.35">
      <c r="A30" s="18" t="s">
        <v>65</v>
      </c>
      <c r="B30" s="16">
        <v>0</v>
      </c>
      <c r="C30" s="18"/>
      <c r="D30" s="18"/>
      <c r="E30" s="18"/>
      <c r="G30" s="7" t="s">
        <v>66</v>
      </c>
      <c r="H30" s="9">
        <v>2</v>
      </c>
      <c r="I30" s="8">
        <f>IF(TC3_CCUCON5.GETHDIV=0,"stopped",TC3_fPLL0/TC3_CCUCON5.GETHDIV)</f>
        <v>150</v>
      </c>
      <c r="J30" s="7" t="s">
        <v>9</v>
      </c>
      <c r="K30" s="7" t="str">
        <f>IF(AND(OR(TC3_fGETH&lt;100,TC3_fGETH&gt;150),TC3_fGETH&lt;&gt;"stopped"),"ERROR: need stopped or 100 &lt;= fGETH &lt;= 150 MHz","OK: fGETH is stopped or between 100 and 150 MHz")</f>
        <v>OK: fGETH is stopped or between 100 and 150 MHz</v>
      </c>
      <c r="L30" t="s">
        <v>53</v>
      </c>
    </row>
    <row r="31" spans="1:16" x14ac:dyDescent="0.35">
      <c r="A31" s="18" t="s">
        <v>67</v>
      </c>
      <c r="B31" s="16">
        <v>2</v>
      </c>
      <c r="C31" s="18"/>
      <c r="D31" s="18"/>
      <c r="E31" s="18"/>
      <c r="G31" s="7" t="s">
        <v>68</v>
      </c>
      <c r="H31" s="9">
        <v>3</v>
      </c>
      <c r="I31" s="8">
        <f>IF(TC3_CCUCON5.MCANHDIV=0,"stopped",TC3_fPLL0/TC3_CCUCON5.MCANHDIV)</f>
        <v>100</v>
      </c>
      <c r="J31" s="7" t="s">
        <v>9</v>
      </c>
      <c r="K31" s="7" t="str">
        <f>IF(AND(OR(TC3_fMCANH&lt;0,TC3_fMCANH&gt;100),TC3_fMCANH&lt;&gt;"stopped"),"ERROR: need stopped or fMCANH &lt;= 100 MHz","OK: fMCANH is stopped or &lt;= 100 MHz")</f>
        <v>OK: fMCANH is stopped or &lt;= 100 MHz</v>
      </c>
      <c r="L31" t="s">
        <v>53</v>
      </c>
    </row>
    <row r="32" spans="1:16" x14ac:dyDescent="0.35">
      <c r="G32" s="7" t="s">
        <v>69</v>
      </c>
      <c r="H32" s="9">
        <v>0</v>
      </c>
      <c r="I32" s="8" t="str">
        <f>IF(TC3_CCUCON5.ADASDIV=0,"stopped",TC3_fPLL0/TC3_CCUCON5.ADASDIV)</f>
        <v>stopped</v>
      </c>
      <c r="J32" s="7" t="s">
        <v>9</v>
      </c>
      <c r="K32" s="7" t="str">
        <f>IF(AND(OR(TC3_fADAS&lt;200,TC3_fADAS&gt;300),TC3_fADAS&lt;&gt;"stopped"),"ERROR: need stopped or 200 &lt;= fADAS &lt;= 300 MHz","OK: fADAS is stopped or between 200 and 300 MHz")</f>
        <v>OK: fADAS is stopped or between 200 and 300 MHz</v>
      </c>
      <c r="L32" t="s">
        <v>53</v>
      </c>
    </row>
    <row r="33" spans="1:11" x14ac:dyDescent="0.35">
      <c r="A33" s="20" t="s">
        <v>70</v>
      </c>
      <c r="B33" s="16">
        <v>1</v>
      </c>
      <c r="C33" s="21" t="str">
        <f>IF(TC3_ASCLIN0_CSR.CLKSEL=0,"stopped",IF(TC3_ASCLIN0_CSR.CLKSEL=2,TC3_fASCLINF,IF(TC3_ASCLIN0_CSR.CLKSEL=4,TC3_fASCLINS,"ERROR")))</f>
        <v>ERROR</v>
      </c>
      <c r="D33" s="20" t="s">
        <v>9</v>
      </c>
      <c r="E33" s="20"/>
    </row>
    <row r="34" spans="1:11" x14ac:dyDescent="0.35">
      <c r="A34" s="20" t="s">
        <v>71</v>
      </c>
      <c r="B34" s="16">
        <v>9</v>
      </c>
      <c r="C34" s="20"/>
      <c r="D34" s="20"/>
      <c r="E34" s="20"/>
      <c r="G34" s="22" t="s">
        <v>72</v>
      </c>
      <c r="H34" s="23"/>
      <c r="I34" s="23"/>
      <c r="J34" s="23"/>
      <c r="K34" s="23"/>
    </row>
    <row r="35" spans="1:11" x14ac:dyDescent="0.35">
      <c r="A35" s="20" t="s">
        <v>73</v>
      </c>
      <c r="B35" s="16">
        <v>48</v>
      </c>
      <c r="C35" s="20"/>
      <c r="D35" s="20"/>
      <c r="E35" s="20" t="str">
        <f>IF(B35&gt;B36,"ERROR: Numerator must be &lt;= Denominator","OK: Numerator &lt;= Denominator")</f>
        <v>OK: Numerator &lt;= Denominator</v>
      </c>
      <c r="G35" s="23" t="s">
        <v>74</v>
      </c>
      <c r="H35" s="23">
        <f>TC3_fSRI/TC3_fSPB</f>
        <v>3</v>
      </c>
      <c r="I35" s="23"/>
      <c r="J35" s="23"/>
      <c r="K35" s="23" t="str">
        <f>IF(AND(H35=INT(H35),AND(H35&gt;=1,H35&lt;=6)),"OK: Ratio within limits","ERROR: Ratio out of spec")</f>
        <v>OK: Ratio within limits</v>
      </c>
    </row>
    <row r="36" spans="1:11" x14ac:dyDescent="0.35">
      <c r="A36" s="20" t="s">
        <v>75</v>
      </c>
      <c r="B36" s="16">
        <v>3125</v>
      </c>
      <c r="C36" s="20" t="s">
        <v>76</v>
      </c>
      <c r="D36" s="20"/>
      <c r="E36" s="20"/>
      <c r="G36" s="23" t="s">
        <v>77</v>
      </c>
      <c r="H36" s="23">
        <f>TC3_fSRI/TC3_fFSI</f>
        <v>3</v>
      </c>
      <c r="I36" s="23"/>
      <c r="J36" s="23"/>
      <c r="K36" s="23" t="str">
        <f>IF(AND(H36=INT(H36),AND(H36&gt;=1,H36&lt;=3)),"OK: Ratio within limits","ERROR: Ratio out of spec")</f>
        <v>OK: Ratio within limits</v>
      </c>
    </row>
    <row r="37" spans="1:11" x14ac:dyDescent="0.35">
      <c r="A37" s="20" t="s">
        <v>78</v>
      </c>
      <c r="B37" s="16">
        <v>15</v>
      </c>
      <c r="C37" s="20" t="e">
        <f>(C33*1000000*TC3_ASCLIN0_BRG.NUMERATOR)/((TC3_ASCLIN0_BITCON.PRESCALER+1)*TC3_ASCLIN0_BRG.DENOMINATOR*(TC3_ASCLIN0_BITCON.OVERSAMPLING+1))</f>
        <v>#VALUE!</v>
      </c>
      <c r="D37" s="20" t="s">
        <v>79</v>
      </c>
      <c r="E37" s="20"/>
      <c r="G37" s="23" t="s">
        <v>80</v>
      </c>
      <c r="H37" s="23">
        <f>TC3_fFSI2/TC3_fFSI</f>
        <v>3</v>
      </c>
      <c r="I37" s="23"/>
      <c r="J37" s="23"/>
      <c r="K37" s="23" t="str">
        <f>IF(AND(H37=INT(H37),AND(H37&gt;=1,H37&lt;=3)),"OK: Ratio within limits","ERROR: Ratio out of spec")</f>
        <v>OK: Ratio within limits</v>
      </c>
    </row>
    <row r="38" spans="1:11" x14ac:dyDescent="0.35">
      <c r="G38" s="23" t="s">
        <v>81</v>
      </c>
      <c r="H38" s="23">
        <f>TC3_fFSI/(TC3_fSPB/2)</f>
        <v>2</v>
      </c>
      <c r="I38" s="23"/>
      <c r="J38" s="23"/>
      <c r="K38" s="23" t="str">
        <f>IF(AND(H38=INT(H38),AND(H38&gt;=1,H38&lt;=20)),"OK: Ratio within limits","ERROR: Ratio out of spec")</f>
        <v>OK: Ratio within limits</v>
      </c>
    </row>
    <row r="39" spans="1:11" x14ac:dyDescent="0.35">
      <c r="A39" s="24" t="s">
        <v>82</v>
      </c>
      <c r="B39" s="25"/>
      <c r="C39" s="25"/>
      <c r="D39" s="25"/>
      <c r="E39" s="25"/>
      <c r="G39" s="23" t="s">
        <v>83</v>
      </c>
      <c r="H39" s="23">
        <f>TC3_fGTM/TC3_fSPB</f>
        <v>2</v>
      </c>
      <c r="I39" s="23">
        <f>IF(TC3_fGTM=0,0,TC3_fSPB/TC3_fGTM)</f>
        <v>0.5</v>
      </c>
      <c r="J39" s="23"/>
      <c r="K39" s="23" t="str">
        <f>IF(OR(AND(H39=INT(H39),AND(H39&gt;=0,H39&lt;=15)),AND(I39=INT(I39),AND(I39&gt;=0,I39&lt;=15))),"OK: Ratio within limits","ERROR: Ratio out of spec")</f>
        <v>OK: Ratio within limits</v>
      </c>
    </row>
    <row r="40" spans="1:11" x14ac:dyDescent="0.35">
      <c r="A40" s="25" t="s">
        <v>84</v>
      </c>
      <c r="B40" s="26" t="s">
        <v>85</v>
      </c>
      <c r="C40" s="25"/>
      <c r="D40" s="25"/>
      <c r="E40" s="25"/>
      <c r="G40" s="23" t="s">
        <v>86</v>
      </c>
      <c r="H40" s="23">
        <f>TC3_fSPB/TC3_fSTM</f>
        <v>1</v>
      </c>
      <c r="I40" s="23">
        <f>TC3_fSTM/TC3_fSPB</f>
        <v>1</v>
      </c>
      <c r="J40" s="23"/>
      <c r="K40" s="23" t="str">
        <f>IF(OR(AND(H40=INT(H40),AND(H40&gt;=1,H40&lt;=15)),AND(I40=INT(I40),AND(I40&gt;=1,I40&lt;=15))),"OK: Ratio within limits","ERROR: Ratio out of spec")</f>
        <v>OK: Ratio within limits</v>
      </c>
    </row>
    <row r="41" spans="1:11" x14ac:dyDescent="0.35">
      <c r="A41" s="25" t="s">
        <v>87</v>
      </c>
      <c r="B41" s="26" t="s">
        <v>88</v>
      </c>
      <c r="C41" s="25"/>
      <c r="D41" s="25"/>
      <c r="E41" s="25"/>
      <c r="G41" s="23" t="s">
        <v>89</v>
      </c>
      <c r="H41" s="23">
        <f>IF(TC3_CCUCON0.BBBDIV=0,0,TC3_fSRI/TC3_fBBB)</f>
        <v>2</v>
      </c>
      <c r="I41" s="23"/>
      <c r="J41" s="23"/>
      <c r="K41" s="23" t="str">
        <f>IF(AND(H41=INT(H41),AND(H41&gt;=0,H41&lt;=2)),"OK: Ratio within limits","ERROR: Ratio out of spec (relevant for ADAS or ED only)")</f>
        <v>OK: Ratio within limits</v>
      </c>
    </row>
    <row r="42" spans="1:11" x14ac:dyDescent="0.35">
      <c r="A42" s="25" t="s">
        <v>90</v>
      </c>
      <c r="B42" s="26" t="s">
        <v>91</v>
      </c>
      <c r="C42" s="25"/>
      <c r="D42" s="25"/>
      <c r="E42" s="25"/>
      <c r="G42" s="23" t="s">
        <v>92</v>
      </c>
      <c r="H42" s="23">
        <f>IF(TC3_CCUCON5.GETHDIV=0,0,TC3_fSRI/TC3_fGETH)</f>
        <v>2</v>
      </c>
      <c r="I42" s="23"/>
      <c r="J42" s="23"/>
      <c r="K42" s="23" t="str">
        <f>IF(H42=0,"OK: Ratio within limits",IF(AND(H42=INT(H42),AND(H42&gt;=1,H42&lt;=20)),"OK: Ratio within limits","ERROR: Ratio out of spec (relevant for ADAS or ED only)"))</f>
        <v>OK: Ratio within limits</v>
      </c>
    </row>
    <row r="43" spans="1:11" x14ac:dyDescent="0.35">
      <c r="A43" s="25" t="s">
        <v>93</v>
      </c>
      <c r="B43" s="26" t="s">
        <v>94</v>
      </c>
      <c r="C43" s="25"/>
      <c r="D43" s="25"/>
      <c r="E43" s="25"/>
      <c r="G43" s="23" t="s">
        <v>95</v>
      </c>
      <c r="H43" s="23">
        <f>IF(TC3_CCUCON5.MCANHDIV=0,0,TC3_fSPB/TC3_fMCANH)</f>
        <v>1</v>
      </c>
      <c r="I43" s="23"/>
      <c r="J43" s="23"/>
      <c r="K43" s="23" t="str">
        <f>IF(AND(H43=INT(H43),OR(H43=1,H43=0)),"OK: Ratio within limits","ERROR: Ratio out of spec")</f>
        <v>OK: Ratio within limits</v>
      </c>
    </row>
    <row r="44" spans="1:11" x14ac:dyDescent="0.35">
      <c r="A44" s="25" t="s">
        <v>96</v>
      </c>
      <c r="B44" s="26" t="s">
        <v>97</v>
      </c>
      <c r="C44" s="25"/>
      <c r="D44" s="25"/>
      <c r="E44" s="25"/>
      <c r="G44" s="23" t="s">
        <v>98</v>
      </c>
      <c r="H44" s="23">
        <f>IF(TC3_CCUCON1.MCANDIV=0,0,TC3_fMCANH/TC3_fCAN)</f>
        <v>0.625</v>
      </c>
      <c r="I44" s="23"/>
      <c r="J44" s="23"/>
      <c r="K44" s="23" t="str">
        <f>IF(H44&gt;=1,"OK: Ratio within limits","ERROR: Ratio out of spec")</f>
        <v>ERROR: Ratio out of spec</v>
      </c>
    </row>
    <row r="45" spans="1:11" x14ac:dyDescent="0.35">
      <c r="A45" s="25" t="s">
        <v>99</v>
      </c>
      <c r="B45" s="26" t="s">
        <v>100</v>
      </c>
      <c r="C45" s="25"/>
      <c r="D45" s="25"/>
      <c r="E45" s="25"/>
      <c r="G45" s="23" t="s">
        <v>101</v>
      </c>
      <c r="H45" s="23">
        <f>IF(TC3_CCUCON5.ADASDIV=0,0,TC3_fSRI/TC3_fADAS)</f>
        <v>0</v>
      </c>
      <c r="I45" s="23"/>
      <c r="J45" s="23"/>
      <c r="K45" s="23" t="str">
        <f>IF(OR(H45=0,H45=1,H45=2),"OK: Ratio within limits","ERROR: Ratio out of spec")</f>
        <v>OK: Ratio within limits</v>
      </c>
    </row>
    <row r="46" spans="1:11" x14ac:dyDescent="0.35">
      <c r="A46" s="25" t="s">
        <v>102</v>
      </c>
      <c r="B46" s="26" t="s">
        <v>103</v>
      </c>
      <c r="C46" s="25"/>
      <c r="D46" s="25"/>
      <c r="E46" s="25"/>
      <c r="G46" s="23" t="s">
        <v>104</v>
      </c>
      <c r="H46" s="23">
        <f>IF(OR(TC3_CCUCON5.ADASDIV=0,TC3_CCUCON0.BBBDIV=0),0,TC3_fADAS/TC3_fBBB)</f>
        <v>0</v>
      </c>
      <c r="I46" s="23"/>
      <c r="J46" s="23"/>
      <c r="K46" s="23" t="str">
        <f>IF(OR(H46=0,H46=1,H46=2),"OK: Ratio within limits","ERROR: Ratio out of spec")</f>
        <v>OK: Ratio within limits</v>
      </c>
    </row>
    <row r="47" spans="1:11" x14ac:dyDescent="0.35">
      <c r="A47" s="25" t="s">
        <v>105</v>
      </c>
      <c r="B47" s="26" t="s">
        <v>106</v>
      </c>
      <c r="C47" s="25"/>
      <c r="D47" s="25"/>
      <c r="E47" s="25"/>
      <c r="G47" s="23" t="s">
        <v>107</v>
      </c>
      <c r="H47" s="23">
        <f>IF(OR(TC3_CCUCON5.ADASDIV=0,TC3_CCUCON0.BBBDIV=0),0,TC3_fBBB/TC3_fADAS)</f>
        <v>0</v>
      </c>
      <c r="I47" s="23"/>
      <c r="J47" s="23"/>
      <c r="K47" s="23" t="str">
        <f>IF(OR(H47=0,H47=0.5),"OK: Ratio within limits","ERROR: Ratio out of spec")</f>
        <v>OK: Ratio within limits</v>
      </c>
    </row>
    <row r="49" spans="1:5" x14ac:dyDescent="0.35">
      <c r="A49" s="27" t="s">
        <v>108</v>
      </c>
      <c r="B49" s="27"/>
      <c r="C49" s="28">
        <f>ROUNDUP(30/(1000/TC3_fFSI2),0)-1</f>
        <v>8</v>
      </c>
      <c r="D49" s="27"/>
      <c r="E49" s="27" t="s">
        <v>109</v>
      </c>
    </row>
    <row r="50" spans="1:5" x14ac:dyDescent="0.35">
      <c r="A50" s="27" t="s">
        <v>110</v>
      </c>
      <c r="B50" s="27"/>
      <c r="C50" s="28">
        <f>ROUNDUP(10/(1000/TC3_fFSI2),0)-1</f>
        <v>2</v>
      </c>
      <c r="D50" s="27"/>
      <c r="E50" s="27" t="s">
        <v>111</v>
      </c>
    </row>
    <row r="51" spans="1:5" x14ac:dyDescent="0.35">
      <c r="A51" s="27" t="s">
        <v>112</v>
      </c>
      <c r="B51" s="27"/>
      <c r="C51" s="28">
        <f>ROUNDUP(100/(1000/TC3_fFSI),0)-1</f>
        <v>9</v>
      </c>
      <c r="D51" s="27"/>
      <c r="E51" s="27" t="s">
        <v>113</v>
      </c>
    </row>
    <row r="52" spans="1:5" x14ac:dyDescent="0.35">
      <c r="A52" s="27" t="s">
        <v>114</v>
      </c>
      <c r="B52" s="27"/>
      <c r="C52" s="28">
        <f>ROUNDUP(20/(1000/TC3_fFSI),0)-1</f>
        <v>1</v>
      </c>
      <c r="D52" s="27"/>
      <c r="E52" s="27" t="s">
        <v>115</v>
      </c>
    </row>
  </sheetData>
  <conditionalFormatting sqref="K8:K15 K17:K24 K26:K28 K30:K32 K35:K47 E33:E37 E27:E31 E21:E25 E13:E19 E8:E11 E5:E6">
    <cfRule type="beginsWith" dxfId="1" priority="1" operator="beginsWith" text="WARNING">
      <formula>LEFT(E5,LEN("WARNING"))="WARNING"</formula>
    </cfRule>
    <cfRule type="beginsWith" dxfId="0" priority="2" operator="beginsWith" text="ERROR">
      <formula>LEFT(E5,LEN("ERROR"))="ERROR"</formula>
    </cfRule>
  </conditionalFormatting>
  <dataValidations count="36">
    <dataValidation type="list" showInputMessage="1" showErrorMessage="1" sqref="B4" xr:uid="{10A794F1-A4FE-4479-A7A5-B68147548857}">
      <formula1>$M$9:$M$20</formula1>
    </dataValidation>
    <dataValidation type="whole" allowBlank="1" showInputMessage="1" showErrorMessage="1" errorTitle="External Oscillator Range" error="External Oscillator must be between 16 and 40 MHz per datasheet fOSC SR" promptTitle="Maximum Frequency" prompt="Enter the maximum frequency specified in the Data Sheet Addendum (160...300 MHz)" sqref="B5" xr:uid="{E560DC40-635E-4DC7-8710-8B0FF225230C}">
      <formula1>160</formula1>
      <formula2>300</formula2>
    </dataValidation>
    <dataValidation type="whole" allowBlank="1" showInputMessage="1" showErrorMessage="1" prompt="0: fSOURCE1=fPLL1/2_x000a_1: fSOURCE1=fPLL1" sqref="H22" xr:uid="{692B231D-31C6-4A87-9407-5E05D05828C2}">
      <formula1>0</formula1>
      <formula2>1</formula2>
    </dataValidation>
    <dataValidation type="whole" allowBlank="1" showInputMessage="1" showErrorMessage="1" sqref="B35" xr:uid="{E39D3809-B68A-448B-8AB6-F75F96B4C965}">
      <formula1>1</formula1>
      <formula2>4095</formula2>
    </dataValidation>
    <dataValidation type="whole" allowBlank="1" showInputMessage="1" showErrorMessage="1" sqref="B36" xr:uid="{5A956255-FFCC-4D59-AEC2-86C4D5D7E58F}">
      <formula1>0</formula1>
      <formula2>4095</formula2>
    </dataValidation>
    <dataValidation type="whole" allowBlank="1" showInputMessage="1" showErrorMessage="1" error="PRESCALER must be between 0 and 4095" prompt="Prescaler 0-4095" sqref="B34" xr:uid="{0907EC41-B0A9-4111-BFD0-DF966D12FF7B}">
      <formula1>0</formula1>
      <formula2>4095</formula2>
    </dataValidation>
    <dataValidation type="whole" allowBlank="1" showInputMessage="1" showErrorMessage="1" error="OVERSAMPLING must be between 3 and 15" prompt="Oversampling factor 3-15" sqref="B37" xr:uid="{BD7716F2-4735-446D-B0C9-D08C28B26E30}">
      <formula1>3</formula1>
      <formula2>15</formula2>
    </dataValidation>
    <dataValidation type="whole" allowBlank="1" showInputMessage="1" showErrorMessage="1" error="CLKSEL must be 0, 2, or 4" prompt="Clock Selection Register_x000a_0: stopped_x000a_2: fASCLINF_x000a_4: fASCLINS" sqref="B33" xr:uid="{8A7A3C63-301D-4795-9ED4-5FDE34FEEA96}">
      <formula1>0</formula1>
      <formula2>4</formula2>
    </dataValidation>
    <dataValidation type="whole" allowBlank="1" showInputMessage="1" showErrorMessage="1" error="MCANHDIV must be between 0 and 4" prompt="Enter a MCAN internal divider between 0 and 15" sqref="H31" xr:uid="{BC8FB1F0-B970-4F53-A402-4DF038124C7F}">
      <formula1>0</formula1>
      <formula2>15</formula2>
    </dataValidation>
    <dataValidation type="whole" allowBlank="1" showInputMessage="1" showErrorMessage="1" error="GETHDIV must be between 0 and 4" prompt="Enter a Gigabit Ethernet Module divider between 0 and 4" sqref="H30 H32" xr:uid="{31C66306-CA50-4A06-B84A-1ED39F44B9E1}">
      <formula1>0</formula1>
      <formula2>4</formula2>
    </dataValidation>
    <dataValidation type="whole" allowBlank="1" showInputMessage="1" showErrorMessage="1" error="ASCLINSDIV must be between 0 and 15" prompt="Enter an ASCLINS clock divider value between 0 and 15" sqref="H27" xr:uid="{DCEAC4C1-499B-4176-AAC2-B11DA60DDD74}">
      <formula1>0</formula1>
      <formula2>15</formula2>
    </dataValidation>
    <dataValidation type="whole" allowBlank="1" showInputMessage="1" showErrorMessage="1" error="CLKSELASCLINS must be between 0 and 2" prompt="0=ASCLINS clock stopped_x000a_1=use fPLL1_x000a_2=use fOSC" sqref="H28" xr:uid="{9A352F25-5AA0-4715-A1D1-526668069A98}">
      <formula1>0</formula1>
      <formula2>2</formula2>
    </dataValidation>
    <dataValidation type="whole" allowBlank="1" showInputMessage="1" showErrorMessage="1" error="ASCLINFDIV must be between 0 and 15" prompt="Enter an ASCLIN clock divider value between 0 and 15" sqref="H26" xr:uid="{69D55FB1-6CFC-423D-94C7-467DB8878BF3}">
      <formula1>0</formula1>
      <formula2>15</formula2>
    </dataValidation>
    <dataValidation type="whole" allowBlank="1" showInputMessage="1" showErrorMessage="1" error="MSCDIV must be between 0 and 15" prompt="Enter a QSPI clock divider value between 0 and 15" sqref="H18" xr:uid="{D72A7F59-FB52-41DE-9647-680C8E7BD146}">
      <formula1>0</formula1>
      <formula2>15</formula2>
    </dataValidation>
    <dataValidation type="whole" allowBlank="1" showInputMessage="1" showErrorMessage="1" error="CLKSELQSPI must be between 0 and 2" prompt="0=QSPI clock stopped_x000a_1=use fPLL1_x000a_2=use fPLL2" sqref="H17" xr:uid="{B1F83D81-173B-4322-B634-8F1D487111C7}">
      <formula1>0</formula1>
      <formula2>2</formula2>
    </dataValidation>
    <dataValidation type="whole" allowBlank="1" showInputMessage="1" showErrorMessage="1" error="MSCDIV must be between 0 and 15" prompt="Enter a Micro-Second Channel clock divider value between 0 and 15" sqref="H20" xr:uid="{C51A540A-12D8-48AB-BFE7-85422DDF8BC4}">
      <formula1>0</formula1>
      <formula2>15</formula2>
    </dataValidation>
    <dataValidation type="whole" allowBlank="1" showInputMessage="1" showErrorMessage="1" error="CLKSELMCAN must be between 0 and 2" prompt="0=MCAN clock stopped_x000a_1=use fPLL1/MCANDIV_x000a_2=use fOSC0" sqref="H23" xr:uid="{05B00B76-E7F6-4C86-9C14-32F46B57E98C}">
      <formula1>0</formula1>
      <formula2>2</formula2>
    </dataValidation>
    <dataValidation type="whole" allowBlank="1" showInputMessage="1" showErrorMessage="1" error="I2CDIV must be between 0 and 15" prompt="Enter an I2C divider between 0 and 15" sqref="H21" xr:uid="{4D6131A9-208D-4D95-9C84-CA9D58F69000}">
      <formula1>0</formula1>
      <formula2>15</formula2>
    </dataValidation>
    <dataValidation type="whole" allowBlank="1" showInputMessage="1" showErrorMessage="1" error="MCANDIV must be between 0 and 15" prompt="Enter a MCAN bit timing clock divider value between 0 and 15" sqref="H24" xr:uid="{6911BC9B-AEE4-46F9-BF3B-135714FBCD4F}">
      <formula1>0</formula1>
      <formula2>15</formula2>
    </dataValidation>
    <dataValidation type="whole" allowBlank="1" showInputMessage="1" showErrorMessage="1" error="CLKSELMSC must be between 0 and 2" prompt="0=MSC clock stopped_x000a_1=use fPLL1_x000a_2=use fPLL2" sqref="H19" xr:uid="{318886C6-BFC9-44C1-9E9B-EC560675BB3C}">
      <formula1>0</formula1>
      <formula2>2</formula2>
    </dataValidation>
    <dataValidation type="whole" allowBlank="1" showInputMessage="1" showErrorMessage="1" error="FSIDIV must be between 1 and 3" prompt="Enter a Flash Sequence Interpreter divider between 1 and 3" sqref="H14" xr:uid="{B61B632B-7BFE-4488-ADC9-9B777C273A0E}">
      <formula1>1</formula1>
      <formula2>3</formula2>
    </dataValidation>
    <dataValidation type="whole" allowBlank="1" showInputMessage="1" showErrorMessage="1" error="BBBDIV must be between 0 and 15" prompt="Enter a Back Bone Bus divider between 0 and 15" sqref="H13" xr:uid="{FBF642A1-1F30-4A18-839B-94AFAC1CD0F7}">
      <formula1>0</formula1>
      <formula2>15</formula2>
    </dataValidation>
    <dataValidation type="whole" allowBlank="1" showInputMessage="1" showErrorMessage="1" error="SPBDIV must be between 2 and 15" prompt="Enter a System Peripheral Bus divider between 2 and 15" sqref="H12" xr:uid="{2328C01F-814B-4120-B000-ACAEA30CD01B}">
      <formula1>2</formula1>
      <formula2>15</formula2>
    </dataValidation>
    <dataValidation type="whole" allowBlank="1" showInputMessage="1" showErrorMessage="1" error="LPDIV must be between 0 and 4" prompt="Enter a low power divider between 0 and 4" sqref="H11" xr:uid="{D2E8227A-1607-4BCD-B7D3-73C0F972B1FA}">
      <formula1>0</formula1>
      <formula2>4</formula2>
    </dataValidation>
    <dataValidation type="whole" allowBlank="1" showInputMessage="1" showErrorMessage="1" error="SRIDIV must be between 1 and 15" prompt="Enter an SRI divider between 1 and 15" sqref="H10" xr:uid="{52C9D27A-6BD0-4A98-B386-A667C699199A}">
      <formula1>1</formula1>
      <formula2>15</formula2>
    </dataValidation>
    <dataValidation type="whole" allowBlank="1" showInputMessage="1" showErrorMessage="1" error="GTMDIV must be between 1 and 15" prompt="Enter a GTM divider between 1 and 15" sqref="H9" xr:uid="{F5B1401F-D1B7-4E51-9E62-204063975FC7}">
      <formula1>1</formula1>
      <formula2>15</formula2>
    </dataValidation>
    <dataValidation type="whole" allowBlank="1" showInputMessage="1" showErrorMessage="1" error="STMDIV must be between 1 and 15" prompt="Enter a System Timer Module divider between 1 and 15" sqref="H8" xr:uid="{DB7C32C9-E735-4D3D-8867-4B4DDC296726}">
      <formula1>1</formula1>
      <formula2>15</formula2>
    </dataValidation>
    <dataValidation type="whole" allowBlank="1" showInputMessage="1" showErrorMessage="1" error="System PLL K2 divider must be between 0 and 7" prompt="Enter a divider value between 0 and 7" sqref="B18" xr:uid="{FFE8C713-BDDB-42CD-B485-32EB730BF699}">
      <formula1>0</formula1>
      <formula2>7</formula2>
    </dataValidation>
    <dataValidation type="whole" allowBlank="1" showInputMessage="1" showErrorMessage="1" error="Peripheral PLL DIVBY must be 0 or 1" prompt="Enter 0 to divide by 1.6 or 1 to divide by 2" sqref="B17" xr:uid="{3D73AA6C-712F-4027-9C8D-1F12E76940A3}">
      <formula1>0</formula1>
      <formula2>1</formula2>
    </dataValidation>
    <dataValidation type="whole" allowBlank="1" showInputMessage="1" showErrorMessage="1" errorTitle="System PLL Configuration" error="System PLL K2 divider must be between 0 and 7" promptTitle="System PLL Configuration" prompt="Enter a divider value between 0 and 7" sqref="B11" xr:uid="{E81E592C-D680-41B5-BB4D-467C1EBB0B51}">
      <formula1>0</formula1>
      <formula2>7</formula2>
    </dataValidation>
    <dataValidation type="whole" allowBlank="1" showInputMessage="1" showErrorMessage="1" error="Peripheral PLL multiplier must be between 0 and 127" prompt="Enter a peripheral PLL multiplier between 0 and 127" sqref="B16" xr:uid="{052A0117-3248-48F8-9CA2-54A0B72B6DE3}">
      <formula1>0</formula1>
      <formula2>127</formula2>
    </dataValidation>
    <dataValidation type="whole" allowBlank="1" showInputMessage="1" showErrorMessage="1" error="PDIV must be between 0 and 7" promptTitle="Peripheral PLL divider" prompt="Enter a PDIV value between 0 and 7" sqref="B15" xr:uid="{AE6D869B-5647-4059-98B5-1E00C5A5A9EE}">
      <formula1>0</formula1>
      <formula2>7</formula2>
    </dataValidation>
    <dataValidation type="whole" allowBlank="1" showInputMessage="1" showErrorMessage="1" errorTitle="System PLL Configuration" error="System PLL K2 divider must be between 0 and 7" promptTitle="System PLL Configuration" prompt="Enter a multiplier value between 0 and 7" sqref="B19 B12:B13" xr:uid="{E69DA968-108D-43C6-A8AF-995ED5CF66C8}">
      <formula1>0</formula1>
      <formula2>7</formula2>
    </dataValidation>
    <dataValidation type="whole" allowBlank="1" showInputMessage="1" showErrorMessage="1" errorTitle="System PLL Configuration" error="System PLL multiplier must be between 0 and 127" promptTitle="System PLL Configuration" prompt="Enter a multiplier value between 0 and 127" sqref="B10" xr:uid="{738A11F9-E3A7-4EA9-BB1A-4D0A2A27F431}">
      <formula1>0</formula1>
      <formula2>127</formula2>
    </dataValidation>
    <dataValidation type="whole" allowBlank="1" showInputMessage="1" showErrorMessage="1" errorTitle="System PLL Configuration" error="PDIV must be between 0 and 7" promptTitle="System PLL divider" prompt="PDIV must be between 0 and 7" sqref="B9" xr:uid="{034459A3-58FD-41E7-B9EF-148B457D7601}">
      <formula1>0</formula1>
      <formula2>7</formula2>
    </dataValidation>
    <dataValidation type="whole" allowBlank="1" showInputMessage="1" showErrorMessage="1" errorTitle="External Oscillator Range" error="External Oscillator must be between 16 and 40 MHz per datasheet fOSC SR" promptTitle="External Oscillator Range" prompt="Enter an external oscillator value between 16 and 40 MHz (datasheet fOSC SR)" sqref="B6" xr:uid="{EA91B34B-2627-4ADC-8031-9FFE84E8EB55}">
      <formula1>16</formula1>
      <formula2>40</formula2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1]!Calculate_Registers_TC3xx">
                <anchor moveWithCells="1" sizeWithCells="1">
                  <from>
                    <xdr:col>4</xdr:col>
                    <xdr:colOff>95250</xdr:colOff>
                    <xdr:row>39</xdr:row>
                    <xdr:rowOff>133350</xdr:rowOff>
                  </from>
                  <to>
                    <xdr:col>4</xdr:col>
                    <xdr:colOff>2660650</xdr:colOff>
                    <xdr:row>42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1]!Decode_Registers_TC3xx">
                <anchor moveWithCells="1" sizeWithCells="1">
                  <from>
                    <xdr:col>4</xdr:col>
                    <xdr:colOff>95250</xdr:colOff>
                    <xdr:row>43</xdr:row>
                    <xdr:rowOff>38100</xdr:rowOff>
                  </from>
                  <to>
                    <xdr:col>4</xdr:col>
                    <xdr:colOff>2647950</xdr:colOff>
                    <xdr:row>45</xdr:row>
                    <xdr:rowOff>146050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87</vt:i4>
      </vt:variant>
    </vt:vector>
  </HeadingPairs>
  <TitlesOfParts>
    <vt:vector size="88" baseType="lpstr">
      <vt:lpstr>TC3xx Clock Setup</vt:lpstr>
      <vt:lpstr>TC3_ASCLIN0_BITCON.OVERSAMPLING</vt:lpstr>
      <vt:lpstr>TC3_ASCLIN0_BITCON.PRESCALER</vt:lpstr>
      <vt:lpstr>TC3_ASCLIN0_BRG.DENOMINATOR</vt:lpstr>
      <vt:lpstr>TC3_ASCLIN0_BRG.NUMERATOR</vt:lpstr>
      <vt:lpstr>TC3_ASCLIN0_CSR.CLKSEL</vt:lpstr>
      <vt:lpstr>TC3_BAUD_RATE</vt:lpstr>
      <vt:lpstr>TC3_CCUCON0</vt:lpstr>
      <vt:lpstr>TC3_CCUCON0.BBBDIV</vt:lpstr>
      <vt:lpstr>TC3_CCUCON0.FSI2DIV</vt:lpstr>
      <vt:lpstr>TC3_CCUCON0.FSIDIV</vt:lpstr>
      <vt:lpstr>TC3_CCUCON0.GTMDIV</vt:lpstr>
      <vt:lpstr>TC3_CCUCON0.LPDIV</vt:lpstr>
      <vt:lpstr>TC3_CCUCON0.SPBDIV</vt:lpstr>
      <vt:lpstr>TC3_CCUCON0.SRIDIV</vt:lpstr>
      <vt:lpstr>TC3_CCUCON0.STMDIV</vt:lpstr>
      <vt:lpstr>TC3_CCUCON1</vt:lpstr>
      <vt:lpstr>TC3_CCUCON1.CLKSELMCAN</vt:lpstr>
      <vt:lpstr>TC3_CCUCON1.CLKSELMSC</vt:lpstr>
      <vt:lpstr>TC3_CCUCON1.CLKSELQSPI</vt:lpstr>
      <vt:lpstr>TC3_CCUCON1.I2CDIV</vt:lpstr>
      <vt:lpstr>TC3_CCUCON1.MCANDIV</vt:lpstr>
      <vt:lpstr>TC3_CCUCON1.MSCDIV</vt:lpstr>
      <vt:lpstr>TC3_CCUCON1.PLL1DIVDIS</vt:lpstr>
      <vt:lpstr>TC3_CCUCON1.QSPIDIV</vt:lpstr>
      <vt:lpstr>TC3_CCUCON2</vt:lpstr>
      <vt:lpstr>TC3_CCUCON2.ASCLINFDIV</vt:lpstr>
      <vt:lpstr>TC3_CCUCON2.ASCLINSDIV</vt:lpstr>
      <vt:lpstr>TC3_CCUCON2.CLKSELASCLINS</vt:lpstr>
      <vt:lpstr>TC3_CCUCON5</vt:lpstr>
      <vt:lpstr>TC3_CCUCON5.ADASDIV</vt:lpstr>
      <vt:lpstr>TC3_CCUCON5.GETHDIV</vt:lpstr>
      <vt:lpstr>TC3_CCUCON5.MCANHDIV</vt:lpstr>
      <vt:lpstr>TC3_External_Oscillator</vt:lpstr>
      <vt:lpstr>TC3_fADAS</vt:lpstr>
      <vt:lpstr>TC3_fASCLIN_SEL</vt:lpstr>
      <vt:lpstr>TC3_fASCLINF</vt:lpstr>
      <vt:lpstr>TC3_fASCLINS</vt:lpstr>
      <vt:lpstr>TC3_fBBB</vt:lpstr>
      <vt:lpstr>TC3_fCAN</vt:lpstr>
      <vt:lpstr>TC3_fCAN_SEL</vt:lpstr>
      <vt:lpstr>TC3_fFSI</vt:lpstr>
      <vt:lpstr>TC3_fFSI2</vt:lpstr>
      <vt:lpstr>TC3_fGETH</vt:lpstr>
      <vt:lpstr>TC3_fGTM</vt:lpstr>
      <vt:lpstr>TC3_fI2C</vt:lpstr>
      <vt:lpstr>TC3_fMAX</vt:lpstr>
      <vt:lpstr>TC3_fMCANH</vt:lpstr>
      <vt:lpstr>TC3_fMSC</vt:lpstr>
      <vt:lpstr>TC3_fMSC_SEL</vt:lpstr>
      <vt:lpstr>TC3_fPERPLL_DCO</vt:lpstr>
      <vt:lpstr>TC3_fPLL_DCO</vt:lpstr>
      <vt:lpstr>TC3_fPLL0</vt:lpstr>
      <vt:lpstr>TC3_fPLL1</vt:lpstr>
      <vt:lpstr>TC3_fPLL2</vt:lpstr>
      <vt:lpstr>TC3_fQSPI</vt:lpstr>
      <vt:lpstr>TC3_fQSPI_SEL</vt:lpstr>
      <vt:lpstr>TC3_fSOURCE1</vt:lpstr>
      <vt:lpstr>TC3_fSPB</vt:lpstr>
      <vt:lpstr>TC3_fSRI</vt:lpstr>
      <vt:lpstr>TC3_fSTM</vt:lpstr>
      <vt:lpstr>TC3_HF_DWAIT.RECC</vt:lpstr>
      <vt:lpstr>TC3_HF_DWAIT.RFLASH</vt:lpstr>
      <vt:lpstr>TC3_HF_PWAIT.RECC</vt:lpstr>
      <vt:lpstr>TC3_HF_PWAIT.RFLASH</vt:lpstr>
      <vt:lpstr>TC3_PERPLLCON0</vt:lpstr>
      <vt:lpstr>TC3_PERPLLCON0.DIVBY</vt:lpstr>
      <vt:lpstr>TC3_PERPLLCON0.NDIV</vt:lpstr>
      <vt:lpstr>TC3_PERPLLCON0.PDIV</vt:lpstr>
      <vt:lpstr>TC3_PERPLLCON1</vt:lpstr>
      <vt:lpstr>TC3_PERPLLCON1.K2DIV</vt:lpstr>
      <vt:lpstr>TC3_PERPLLCON1.K3DIV</vt:lpstr>
      <vt:lpstr>TC3_PLLCON0</vt:lpstr>
      <vt:lpstr>TC3_PLLCON1</vt:lpstr>
      <vt:lpstr>TC3_QSPI0.ECONz.A</vt:lpstr>
      <vt:lpstr>TC3_QSPI0.ECONz.B</vt:lpstr>
      <vt:lpstr>TC3_QSPI0.ECONz.C</vt:lpstr>
      <vt:lpstr>TC3_QSPI0.ECONz.Q</vt:lpstr>
      <vt:lpstr>TC3_QSPI0.GLOBALCON.TQ</vt:lpstr>
      <vt:lpstr>TC3_QSPI1.ECONz.A</vt:lpstr>
      <vt:lpstr>TC3_QSPI1.ECONz.B</vt:lpstr>
      <vt:lpstr>TC3_QSPI1.ECONz.C</vt:lpstr>
      <vt:lpstr>TC3_QSPI1.ECONz.Q</vt:lpstr>
      <vt:lpstr>TC3_QSPI1.GLOBALCON.TQ</vt:lpstr>
      <vt:lpstr>TC3_SYSPLLCON0.NDIV</vt:lpstr>
      <vt:lpstr>TC3_SYSPLLCON0.PDIV</vt:lpstr>
      <vt:lpstr>TC3_SYSPLLCON1.K2DIV</vt:lpstr>
      <vt:lpstr>TC3_VARIANT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Zujun Zou</dc:creator>
  <cp:lastModifiedBy>Zujun Zou</cp:lastModifiedBy>
  <dcterms:created xsi:type="dcterms:W3CDTF">2021-07-30T02:31:40Z</dcterms:created>
  <dcterms:modified xsi:type="dcterms:W3CDTF">2021-08-17T06:22:32Z</dcterms:modified>
</cp:coreProperties>
</file>