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6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<sst xmlns="http://schemas.openxmlformats.org/spreadsheetml/2006/main" count="124" uniqueCount="93">
  <si>
    <t>第一步：基本参数填写</t>
  </si>
  <si>
    <r>
      <rPr>
        <sz val="11.5"/>
        <rFont val="宋体"/>
        <charset val="134"/>
      </rPr>
      <t>额定输入电压</t>
    </r>
    <r>
      <rPr>
        <sz val="11.5"/>
        <rFont val="Segoe UI"/>
        <charset val="134"/>
      </rPr>
      <t xml:space="preserve"> Vacnom(V)</t>
    </r>
  </si>
  <si>
    <r>
      <rPr>
        <sz val="11"/>
        <color theme="1"/>
        <rFont val="宋体"/>
        <charset val="134"/>
        <scheme val="minor"/>
      </rPr>
      <t>最低输入电压</t>
    </r>
    <r>
      <rPr>
        <b/>
        <sz val="11"/>
        <color theme="1"/>
        <rFont val="宋体"/>
        <charset val="134"/>
        <scheme val="minor"/>
      </rPr>
      <t>Vacmin(V)</t>
    </r>
  </si>
  <si>
    <r>
      <rPr>
        <sz val="11"/>
        <color theme="1"/>
        <rFont val="宋体"/>
        <charset val="134"/>
        <scheme val="minor"/>
      </rPr>
      <t>最高输入电压</t>
    </r>
    <r>
      <rPr>
        <b/>
        <sz val="11"/>
        <color theme="1"/>
        <rFont val="宋体"/>
        <charset val="134"/>
        <scheme val="minor"/>
      </rPr>
      <t>Vacmax(V)</t>
    </r>
  </si>
  <si>
    <t>电网工作频率 fL(Hz)</t>
  </si>
  <si>
    <t>输出电压 Vout(V)</t>
  </si>
  <si>
    <t>输出电流 Iout(A)</t>
  </si>
  <si>
    <t>工作频率 fs(KHz)</t>
  </si>
  <si>
    <t xml:space="preserve">设计效率 </t>
  </si>
  <si>
    <t>第二步：整流桥和滤波电容计算</t>
  </si>
  <si>
    <t>母线电压(V)</t>
  </si>
  <si>
    <t>整流桥二极管电压余量系数</t>
  </si>
  <si>
    <t>整流桥二极管反向耐压取值</t>
  </si>
  <si>
    <t>输入功率Pin(W)</t>
  </si>
  <si>
    <t>整流二极管额定电流(A)</t>
  </si>
  <si>
    <t>电流余量系数</t>
  </si>
  <si>
    <t>二极管额定电流取值</t>
  </si>
  <si>
    <t>输入滤波电容取值</t>
  </si>
  <si>
    <t>第三步：变压器计算</t>
  </si>
  <si>
    <t>反射电压Vor(V)</t>
  </si>
  <si>
    <t>Vdcmin(A)</t>
  </si>
  <si>
    <t>MOS管的Vds压降(V)</t>
  </si>
  <si>
    <t>占空比Dmax</t>
  </si>
  <si>
    <t>初级绕组平均电流Iavg(A)</t>
  </si>
  <si>
    <t>初级绕组峰值电流Ip(A)</t>
  </si>
  <si>
    <t>初级绕组电感Lp(uH)</t>
  </si>
  <si>
    <t>变压器Ae值(mm²)</t>
  </si>
  <si>
    <t>变压器Aw值(mm²)</t>
  </si>
  <si>
    <t>最小磁芯面积AP(cm²)</t>
  </si>
  <si>
    <t>选择磁芯面积AP(cm²)</t>
  </si>
  <si>
    <t>副边二极管压降(V)</t>
  </si>
  <si>
    <t>匝比Nps(原/副)</t>
  </si>
  <si>
    <t>原边匝数Np</t>
  </si>
  <si>
    <t>副边匝数Ns</t>
  </si>
  <si>
    <t>原边匝数取整Np</t>
  </si>
  <si>
    <t>副边匝数取整Ns</t>
  </si>
  <si>
    <t>辅助电压(V)</t>
  </si>
  <si>
    <t>辅助绕组匝数Ns1</t>
  </si>
  <si>
    <t>辅助绕组匝数取整Ns1</t>
  </si>
  <si>
    <t>变压器原边发热
有效值电流Iprms(A)</t>
  </si>
  <si>
    <t>变压器副边发热
有效值电流Isrms(A)</t>
  </si>
  <si>
    <t>电流纹波系数Krp</t>
  </si>
  <si>
    <t>副边绕组峰值电流Isp(A)</t>
  </si>
  <si>
    <t>趋肤深度Dm(直径mm)</t>
  </si>
  <si>
    <t>漆包线电流密度Jp(A/mm²)</t>
  </si>
  <si>
    <t>原边绕线直径Dp(mm²)</t>
  </si>
  <si>
    <t>原边股数Pp</t>
  </si>
  <si>
    <t>原边股数取整</t>
  </si>
  <si>
    <t>副边绕线直径Ds(mm²)</t>
  </si>
  <si>
    <t>副边股数Ps</t>
  </si>
  <si>
    <t>副边股数取整Ps</t>
  </si>
  <si>
    <t>变压器窗口系数Kw</t>
  </si>
  <si>
    <t>第四步：MOS管选型</t>
  </si>
  <si>
    <t>最大MOS管电压Vmdsmax(V)</t>
  </si>
  <si>
    <t>电压余量系数K1</t>
  </si>
  <si>
    <t>Vdsmax(V)</t>
  </si>
  <si>
    <t>MOS电流(A)</t>
  </si>
  <si>
    <t>电流余量系数K2</t>
  </si>
  <si>
    <t>Idsmax(A)</t>
  </si>
  <si>
    <t>Rdson和Ciss越小越好</t>
  </si>
  <si>
    <t>第五步：输出二极管选型</t>
  </si>
  <si>
    <t>二极管耐压Vdio(V)</t>
  </si>
  <si>
    <t>电压余量系数K2</t>
  </si>
  <si>
    <t>Vdio(V)</t>
  </si>
  <si>
    <t>二极管电流(A)</t>
  </si>
  <si>
    <t>Idio(A)</t>
  </si>
  <si>
    <t>选择肖特基二极管或者快恢复二极管</t>
  </si>
  <si>
    <t>第六步：输出电容计算</t>
  </si>
  <si>
    <t>输出电压纹波率</t>
  </si>
  <si>
    <t>输出电压纹波(V)</t>
  </si>
  <si>
    <t>电容容值(uF)</t>
  </si>
  <si>
    <t>第七步：RCD计算</t>
  </si>
  <si>
    <t>漏感系数Lk</t>
  </si>
  <si>
    <t>漏感电感值Lk(uH)</t>
  </si>
  <si>
    <t>MOS管最大耐压Vds(V)</t>
  </si>
  <si>
    <t>钳位电容电压Vclamp(V)</t>
  </si>
  <si>
    <t>钳位电阻Rc(KΩ)</t>
  </si>
  <si>
    <t>钳位电容Cc(nF)</t>
  </si>
  <si>
    <t>电阻电容功率Pc(W)</t>
  </si>
  <si>
    <t>直接填参数</t>
  </si>
  <si>
    <r>
      <rPr>
        <b/>
        <sz val="14"/>
        <rFont val="宋体"/>
        <charset val="134"/>
      </rPr>
      <t>额定输入电压</t>
    </r>
    <r>
      <rPr>
        <b/>
        <sz val="14"/>
        <rFont val="Segoe UI"/>
        <charset val="134"/>
      </rPr>
      <t xml:space="preserve"> Vacnom(V)</t>
    </r>
  </si>
  <si>
    <t>最低输入电压Vacmin(V)</t>
  </si>
  <si>
    <t>最高输入电压Vacmax(V)</t>
  </si>
  <si>
    <t>原边绕线直径Dp(mm)</t>
  </si>
  <si>
    <t>副边绕线直径Ds(mm)</t>
  </si>
  <si>
    <t>计算结果</t>
  </si>
  <si>
    <t>整流桥二极管反向耐压取值(V)</t>
  </si>
  <si>
    <t>副级绕组电感Ls(uH)</t>
  </si>
  <si>
    <t>原边最大电流有效值Iprms(A)</t>
  </si>
  <si>
    <t>原边最大电流Ip(A)</t>
  </si>
  <si>
    <t>副边最大电流Isrms(A)</t>
  </si>
  <si>
    <t>输出电容容值(uF)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</si>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</sst>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.5"/>
      <name val="宋体"/>
      <charset val="134"/>
    </font>
    <font>
      <sz val="1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name val="宋体"/>
      <charset val="134"/>
    </font>
    <font>
      <b/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name val="Segoe UI"/>
      <charset val="134"/>
    </font>
    <font>
      <b/>
      <sz val="14"/>
      <name val="Segoe UI"/>
      <charset val="134"/>
    </font>
    <font>
      <b/>
      <sz val="11"/>
      <color theme="1"/>
      <name val="宋体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12" applyNumberFormat="0" applyAlignment="0" applyProtection="0">
      <alignment vertical="center"/>
    </xf>
    <xf numFmtId="0" fontId="20" fillId="14" borderId="13" applyNumberFormat="0" applyAlignment="0" applyProtection="0">
      <alignment vertical="center"/>
    </xf>
    <xf numFmtId="0" fontId="21" fillId="14" borderId="12" applyNumberFormat="0" applyAlignment="0" applyProtection="0">
      <alignment vertical="center"/>
    </xf>
    <xf numFmtId="0" fontId="22" fillId="15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162560</xdr:colOff>
      <xdr:row>43</xdr:row>
      <xdr:rowOff>242570</xdr:rowOff>
    </xdr:from>
    <xdr:to>
      <xdr:col>7</xdr:col>
      <xdr:colOff>897890</xdr:colOff>
      <xdr:row>93</xdr:row>
      <xdr:rowOff>161925</xdr:rowOff>
    </xdr:to>
    <xdr:pic>
      <xdr:nvPicPr>
        <xdr:cNvPr id="2" name="图片 1" descr="变压器规格"/>
        <xdr:cNvPicPr>
          <a:picLocks noChangeAspect="1"/>
        </xdr:cNvPicPr>
      </xdr:nvPicPr>
      <xdr:blipFill>
        <a:blip r:embed="rId1"/>
        <a:srcRect l="5191" t="2375" r="10428" b="12753"/>
        <a:stretch>
          <a:fillRect/>
        </a:stretch>
      </xdr:blipFill>
      <xdr:spPr>
        <a:xfrm>
          <a:off x="9798050" y="8854440"/>
          <a:ext cx="6923405" cy="886841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</xdr:colOff>
      <xdr:row>30</xdr:row>
      <xdr:rowOff>273050</xdr:rowOff>
    </xdr:from>
    <xdr:to>
      <xdr:col>13</xdr:col>
      <xdr:colOff>538480</xdr:colOff>
      <xdr:row>37</xdr:row>
      <xdr:rowOff>198755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252315" y="5412740"/>
          <a:ext cx="4925695" cy="1743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902335</xdr:colOff>
      <xdr:row>43</xdr:row>
      <xdr:rowOff>241300</xdr:rowOff>
    </xdr:from>
    <xdr:to>
      <xdr:col>19</xdr:col>
      <xdr:colOff>444500</xdr:colOff>
      <xdr:row>89</xdr:row>
      <xdr:rowOff>21590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725900" y="8853170"/>
          <a:ext cx="9091930" cy="8074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33</xdr:col>
      <xdr:colOff>122555</xdr:colOff>
      <xdr:row>74</xdr:row>
      <xdr:rowOff>99060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995630" y="8870950"/>
          <a:ext cx="8212455" cy="5676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tabSelected="1" zoomScale="85" zoomScaleNormal="85" topLeftCell="E41" workbookViewId="0">
      <selection activeCell="Z86" sqref="Z86"/>
    </sheetView>
  </sheetViews>
  <sheetFormatPr defaultColWidth="8.99082568807339" defaultRowHeight="12.9"/>
  <cols>
    <col min="1" max="1" width="41" style="1" customWidth="1"/>
    <col min="2" max="2" width="36.0183486238532" style="1" customWidth="1"/>
    <col min="3" max="3" width="32.8990825688073" style="1" customWidth="1"/>
    <col min="4" max="4" width="29.2935779816514" style="1" customWidth="1"/>
    <col min="5" max="5" width="27.5045871559633" style="1" customWidth="1"/>
    <col min="6" max="6" width="32.651376146789" style="1" customWidth="1"/>
    <col min="7" max="7" width="29.2477064220184" style="1" customWidth="1"/>
    <col min="8" max="8" width="20.5596330275229" style="1" customWidth="1"/>
    <col min="9" max="9" width="27.5045871559633" style="1" customWidth="1"/>
    <col min="10" max="16384" width="8.99082568807339" style="1"/>
  </cols>
  <sheetData>
    <row r="1" spans="1:9">
      <c r="A1" s="2" t="s">
        <v>0</v>
      </c>
      <c r="B1" s="2"/>
      <c r="C1" s="2"/>
      <c r="D1" s="2"/>
      <c r="E1" s="2"/>
      <c r="F1" s="2"/>
      <c r="G1" s="2"/>
      <c r="H1" s="2"/>
    </row>
    <row r="2" ht="17" spans="1:9">
      <c r="A2" s="3" t="s">
        <v>1</v>
      </c>
      <c r="B2" s="4" t="s">
        <v>2</v>
      </c>
      <c r="C2" s="4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5" t="s">
        <v>8</v>
      </c>
    </row>
    <row r="3" spans="1:9">
      <c r="A3" s="1">
        <f t="shared" ref="A3:H3" si="0">A33</f>
        <v>220</v>
      </c>
      <c r="B3" s="1">
        <f t="shared" si="0"/>
        <v>85</v>
      </c>
      <c r="C3" s="1">
        <f t="shared" si="0"/>
        <v>265</v>
      </c>
      <c r="D3" s="1">
        <f t="shared" si="0"/>
        <v>50</v>
      </c>
      <c r="E3" s="1">
        <f t="shared" si="0"/>
        <v>24</v>
      </c>
      <c r="F3" s="1">
        <f t="shared" si="0"/>
        <v>3</v>
      </c>
      <c r="G3" s="1">
        <f t="shared" si="0"/>
        <v>150</v>
      </c>
      <c r="H3" s="1">
        <f t="shared" si="0"/>
        <v>0.85</v>
      </c>
    </row>
    <row r="4" spans="1:9">
      <c r="A4" s="6" t="s">
        <v>9</v>
      </c>
      <c r="B4" s="6"/>
      <c r="C4" s="6"/>
      <c r="D4" s="6"/>
      <c r="E4" s="6"/>
      <c r="F4" s="6"/>
      <c r="G4" s="6"/>
      <c r="H4" s="6"/>
    </row>
    <row r="5" ht="13.6" spans="1:9">
      <c r="A5" s="3" t="s">
        <v>10</v>
      </c>
      <c r="B5" s="4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</row>
    <row r="6" spans="1:9">
      <c r="A6" s="1">
        <f>C3*1.414</f>
        <v>374.71</v>
      </c>
      <c r="B6" s="1">
        <v>1.5</v>
      </c>
      <c r="C6" s="7">
        <f>B6*A6</f>
        <v>562.065</v>
      </c>
      <c r="D6" s="1">
        <f>F3*E3/H3</f>
        <v>84.7058823529412</v>
      </c>
      <c r="E6" s="1">
        <f>D6/(2*B3)</f>
        <v>0.498269896193772</v>
      </c>
      <c r="F6" s="1">
        <v>1.5</v>
      </c>
      <c r="G6" s="7">
        <f>F6*E6</f>
        <v>0.747404844290657</v>
      </c>
      <c r="H6" s="7" t="str">
        <f>FLOOR(D6*2,10)&amp;"uF/"&amp;FLOOR(A6*1.1,10)&amp;"V"</f>
        <v>160uF/410V</v>
      </c>
    </row>
    <row r="7" spans="1:9">
      <c r="A7" s="8" t="s">
        <v>18</v>
      </c>
      <c r="B7" s="9"/>
      <c r="C7" s="9"/>
      <c r="D7" s="9"/>
      <c r="E7" s="9"/>
      <c r="F7" s="9"/>
      <c r="G7" s="9"/>
      <c r="H7" s="9"/>
      <c r="I7" s="10"/>
    </row>
    <row r="8" spans="1:9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1" t="s">
        <v>25</v>
      </c>
      <c r="H8" s="1" t="s">
        <v>26</v>
      </c>
      <c r="I8" s="1" t="s">
        <v>27</v>
      </c>
    </row>
    <row r="9" spans="1:9">
      <c r="A9" s="1">
        <v>100</v>
      </c>
      <c r="B9" s="1">
        <f>B3*1.414</f>
        <v>120.19</v>
      </c>
      <c r="C9" s="1">
        <f>A35</f>
        <v>4</v>
      </c>
      <c r="D9" s="1">
        <f>A9/(A9+B9-C9)</f>
        <v>0.462556084925297</v>
      </c>
      <c r="E9" s="12">
        <f>D6/B9</f>
        <v>0.704766472692746</v>
      </c>
      <c r="F9" s="12">
        <f>E9/((1-0.5*0.8)*D9)</f>
        <v>2.53939106219075</v>
      </c>
      <c r="G9" s="7">
        <f>(E3*F3/(F9*F9*0.8*(1-0.5*0.8)*G3*1000)*((0.5*(1-H3)+H3)/H3))*1000000</f>
        <v>168.757713953245</v>
      </c>
      <c r="H9" s="1">
        <f>B35</f>
        <v>127</v>
      </c>
      <c r="I9" s="1">
        <f>C35</f>
        <v>173</v>
      </c>
    </row>
    <row r="10" spans="1:9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35</v>
      </c>
    </row>
    <row r="11" spans="1:9">
      <c r="A11" s="1">
        <f>POWER((G9*0.000001*F9*F9*100)/(0.2*0.4*3.95),1.14)</f>
        <v>0.296633861838522</v>
      </c>
      <c r="B11" s="1">
        <f>A11*2</f>
        <v>0.593267723677045</v>
      </c>
      <c r="C11" s="1">
        <v>0.7</v>
      </c>
      <c r="D11" s="1">
        <f>ROUND((D9/(1-D9))*((B9-D9)/(E3+C11)),0)</f>
        <v>4</v>
      </c>
      <c r="E11" s="1">
        <f>(B9*D9)/(0.000001*H9*0.15*(G3*1000))</f>
        <v>19.4556835860618</v>
      </c>
      <c r="F11" s="1">
        <f>E11/D11</f>
        <v>4.86392089651544</v>
      </c>
      <c r="G11" s="13">
        <f>ROUND(E11,0)</f>
        <v>19</v>
      </c>
      <c r="H11" s="13">
        <f>ROUND(F11,0)</f>
        <v>5</v>
      </c>
    </row>
    <row r="12" ht="25.8" spans="1:9">
      <c r="A12" s="1" t="s">
        <v>36</v>
      </c>
      <c r="B12" s="1" t="s">
        <v>37</v>
      </c>
      <c r="C12" s="1" t="s">
        <v>38</v>
      </c>
      <c r="D12" s="14" t="s">
        <v>39</v>
      </c>
      <c r="E12" s="14" t="s">
        <v>40</v>
      </c>
      <c r="F12" s="1" t="s">
        <v>41</v>
      </c>
      <c r="G12" s="1" t="s">
        <v>42</v>
      </c>
      <c r="H12" s="1" t="s">
        <v>43</v>
      </c>
    </row>
    <row r="13" spans="1:9">
      <c r="A13" s="1">
        <f>D35</f>
        <v>15</v>
      </c>
      <c r="B13" s="1">
        <f>H11*A13/E3</f>
        <v>3.125</v>
      </c>
      <c r="C13" s="13">
        <f>ROUND(B13,0)</f>
        <v>3</v>
      </c>
      <c r="D13" s="1">
        <f>F9*SQRT(D9*(F13^2/3-F13+1))</f>
        <v>1.11035537987036</v>
      </c>
      <c r="E13" s="1">
        <f>G13*SQRT((1-D9)*(F13^2/3-F13+1))</f>
        <v>4.78747333774539</v>
      </c>
      <c r="F13" s="1">
        <v>0.8</v>
      </c>
      <c r="G13" s="1">
        <f>F9*ROUND(D11,0)</f>
        <v>10.157564248763</v>
      </c>
      <c r="H13" s="1">
        <f>2*68.85*0.001/SQRT(G3*1000)*1000</f>
        <v>0.355539871181841</v>
      </c>
    </row>
    <row r="14" spans="1:9">
      <c r="A14" s="1" t="s">
        <v>44</v>
      </c>
      <c r="B14" s="1" t="s">
        <v>45</v>
      </c>
      <c r="C14" s="1" t="s">
        <v>46</v>
      </c>
      <c r="D14" s="1" t="s">
        <v>47</v>
      </c>
      <c r="E14" s="1" t="s">
        <v>48</v>
      </c>
      <c r="F14" s="1" t="s">
        <v>49</v>
      </c>
      <c r="G14" s="1" t="s">
        <v>50</v>
      </c>
      <c r="H14" s="1" t="s">
        <v>51</v>
      </c>
    </row>
    <row r="15" spans="1:9">
      <c r="A15" s="1">
        <v>5</v>
      </c>
      <c r="B15" s="1">
        <f>E35</f>
        <v>0.3</v>
      </c>
      <c r="C15" s="7">
        <f>D13/((B15/2)*(B15/2)*3.14*A15)</f>
        <v>3.14325656014257</v>
      </c>
      <c r="D15" s="15">
        <f>ROUND(C15,0)</f>
        <v>3</v>
      </c>
      <c r="E15" s="1">
        <f>F35</f>
        <v>0.35</v>
      </c>
      <c r="F15" s="7">
        <f>E13/((E15/2)*(E15/2)*3.14*A15)</f>
        <v>9.95704840815368</v>
      </c>
      <c r="G15" s="1">
        <f>ROUND(F15,0)</f>
        <v>10</v>
      </c>
      <c r="H15" s="1">
        <f>(((B15/2)*(B15/2)*3.14*D15*G11)+((E15/2)*(E15/2)*3.14*G15*H11))/I9</f>
        <v>0.0510703757225434</v>
      </c>
    </row>
    <row r="16" spans="1:9">
      <c r="A16" s="8" t="s">
        <v>52</v>
      </c>
      <c r="B16" s="9"/>
      <c r="C16" s="9"/>
      <c r="D16" s="9"/>
      <c r="E16" s="9"/>
      <c r="F16" s="9"/>
      <c r="G16" s="9"/>
      <c r="H16" s="9"/>
    </row>
    <row r="17" spans="1:9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6" t="s">
        <v>59</v>
      </c>
      <c r="H17" s="17"/>
    </row>
    <row r="18" spans="1:9">
      <c r="A18" s="1">
        <f>(0.7+E3)*D11+A6</f>
        <v>473.51</v>
      </c>
      <c r="B18" s="1">
        <v>1.3</v>
      </c>
      <c r="C18" s="1">
        <f>B18*A18</f>
        <v>615.563</v>
      </c>
      <c r="D18" s="1">
        <f>D13</f>
        <v>1.11035537987036</v>
      </c>
      <c r="E18" s="1">
        <v>1.5</v>
      </c>
      <c r="F18" s="1">
        <f>D18*E18</f>
        <v>1.66553306980554</v>
      </c>
      <c r="G18" s="18"/>
      <c r="H18" s="19"/>
    </row>
    <row r="19" spans="1:9">
      <c r="A19" s="8" t="s">
        <v>60</v>
      </c>
      <c r="B19" s="9"/>
      <c r="C19" s="9"/>
      <c r="D19" s="9"/>
      <c r="E19" s="9"/>
      <c r="F19" s="9"/>
      <c r="G19" s="9"/>
      <c r="H19" s="9"/>
    </row>
    <row r="20" spans="1:9">
      <c r="A20" s="1" t="s">
        <v>61</v>
      </c>
      <c r="B20" s="1" t="s">
        <v>62</v>
      </c>
      <c r="C20" s="1" t="s">
        <v>63</v>
      </c>
      <c r="D20" s="1" t="s">
        <v>64</v>
      </c>
      <c r="E20" s="1" t="s">
        <v>57</v>
      </c>
      <c r="F20" s="1" t="s">
        <v>65</v>
      </c>
      <c r="G20" s="16" t="s">
        <v>66</v>
      </c>
      <c r="H20" s="17"/>
    </row>
    <row r="21" spans="1:9">
      <c r="A21" s="1">
        <f>E3+A6/D11</f>
        <v>117.6775</v>
      </c>
      <c r="B21" s="1">
        <v>1.5</v>
      </c>
      <c r="C21" s="1">
        <f>B21*A21</f>
        <v>176.51625</v>
      </c>
      <c r="D21" s="1">
        <f>E13</f>
        <v>4.78747333774539</v>
      </c>
      <c r="E21" s="1">
        <v>1.5</v>
      </c>
      <c r="F21" s="1">
        <f>E21*D21</f>
        <v>7.18121000661809</v>
      </c>
      <c r="G21" s="18"/>
      <c r="H21" s="19"/>
    </row>
    <row r="22" spans="1:9">
      <c r="A22" s="8" t="s">
        <v>67</v>
      </c>
      <c r="B22" s="9"/>
      <c r="C22" s="9"/>
      <c r="D22" s="9"/>
      <c r="E22" s="9"/>
      <c r="F22" s="9"/>
      <c r="G22" s="9"/>
      <c r="H22" s="9"/>
    </row>
    <row r="23" spans="1:9">
      <c r="A23" s="1" t="s">
        <v>68</v>
      </c>
      <c r="B23" s="1" t="s">
        <v>69</v>
      </c>
      <c r="C23" s="1" t="s">
        <v>70</v>
      </c>
    </row>
    <row r="24" spans="1:9">
      <c r="A24" s="20">
        <v>0.01</v>
      </c>
      <c r="B24" s="1">
        <f>A24*E3</f>
        <v>0.24</v>
      </c>
      <c r="C24" s="1">
        <f>((E3/((E3/F3)*B24))*(D9/(G3)))*1000</f>
        <v>38.5463404104414</v>
      </c>
    </row>
    <row r="25" spans="1:9">
      <c r="A25" s="8" t="s">
        <v>71</v>
      </c>
      <c r="B25" s="9"/>
      <c r="C25" s="9"/>
      <c r="D25" s="9"/>
      <c r="E25" s="9"/>
      <c r="F25" s="9"/>
      <c r="G25" s="9"/>
      <c r="H25" s="9"/>
    </row>
    <row r="26" spans="1:9">
      <c r="A26" s="1" t="s">
        <v>72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77</v>
      </c>
      <c r="G26" s="1" t="s">
        <v>78</v>
      </c>
    </row>
    <row r="27" spans="1:9">
      <c r="A27" s="21">
        <f>H35</f>
        <v>0.01</v>
      </c>
      <c r="B27" s="1">
        <f>A27*G9</f>
        <v>1.68757713953245</v>
      </c>
      <c r="C27" s="1">
        <f>G35</f>
        <v>700</v>
      </c>
      <c r="D27" s="1">
        <f>0.8*C27-A6</f>
        <v>185.29</v>
      </c>
      <c r="E27" s="1">
        <f>((2*(D27-D11*(0.7+E3)))*D27)/(B27*F9*F9*G3)</f>
        <v>19.6351312216216</v>
      </c>
      <c r="F27" s="1">
        <f>2*D27/(E27*D27*G3)*1000</f>
        <v>0.679054964432886</v>
      </c>
      <c r="G27" s="1">
        <f>0.5*G3*1000*B27*0.000001*F9*F9*(1+A9/(D27-A9))</f>
        <v>1.77311921954853</v>
      </c>
    </row>
    <row r="31" ht="24.45" spans="1:9">
      <c r="A31" s="22" t="s">
        <v>79</v>
      </c>
      <c r="B31" s="23"/>
      <c r="C31" s="23"/>
      <c r="D31" s="23"/>
      <c r="E31" s="23"/>
      <c r="F31" s="23"/>
      <c r="G31" s="23"/>
      <c r="H31" s="24"/>
      <c r="I31" s="7"/>
    </row>
    <row r="32" ht="23.1" spans="1:9">
      <c r="A32" s="25" t="s">
        <v>80</v>
      </c>
      <c r="B32" s="26" t="s">
        <v>81</v>
      </c>
      <c r="C32" s="26" t="s">
        <v>82</v>
      </c>
      <c r="D32" s="26" t="s">
        <v>4</v>
      </c>
      <c r="E32" s="26" t="s">
        <v>5</v>
      </c>
      <c r="F32" s="26" t="s">
        <v>6</v>
      </c>
      <c r="G32" s="26" t="s">
        <v>7</v>
      </c>
      <c r="H32" s="27" t="s">
        <v>8</v>
      </c>
    </row>
    <row r="33" ht="23.05" spans="1:10">
      <c r="A33" s="28">
        <v>220</v>
      </c>
      <c r="B33" s="28">
        <v>85</v>
      </c>
      <c r="C33" s="28">
        <v>265</v>
      </c>
      <c r="D33" s="28">
        <v>50</v>
      </c>
      <c r="E33" s="28">
        <v>24</v>
      </c>
      <c r="F33" s="28">
        <v>3</v>
      </c>
      <c r="G33" s="28">
        <v>150</v>
      </c>
      <c r="H33" s="28">
        <v>0.85</v>
      </c>
    </row>
    <row r="34" ht="18.3" spans="1:10">
      <c r="A34" s="26" t="s">
        <v>21</v>
      </c>
      <c r="B34" s="26" t="s">
        <v>26</v>
      </c>
      <c r="C34" s="26" t="s">
        <v>27</v>
      </c>
      <c r="D34" s="26" t="s">
        <v>36</v>
      </c>
      <c r="E34" s="26" t="s">
        <v>83</v>
      </c>
      <c r="F34" s="26" t="s">
        <v>84</v>
      </c>
      <c r="G34" s="26" t="s">
        <v>74</v>
      </c>
      <c r="H34" s="26" t="s">
        <v>72</v>
      </c>
    </row>
    <row r="35" ht="23.05" spans="1:10">
      <c r="A35" s="28">
        <v>4</v>
      </c>
      <c r="B35" s="28">
        <v>127</v>
      </c>
      <c r="C35" s="28">
        <v>173</v>
      </c>
      <c r="D35" s="28">
        <v>15</v>
      </c>
      <c r="E35" s="28">
        <v>0.3</v>
      </c>
      <c r="F35" s="28">
        <v>0.35</v>
      </c>
      <c r="G35" s="28">
        <v>700</v>
      </c>
      <c r="H35" s="29">
        <v>0.01</v>
      </c>
      <c r="I35" s="30"/>
    </row>
    <row r="36" ht="18.3" spans="1:10">
      <c r="E36" s="31" t="s">
        <v>43</v>
      </c>
      <c r="F36" s="31">
        <f>H13</f>
        <v>0.355539871181841</v>
      </c>
    </row>
    <row r="38" ht="20.35" spans="1:10">
      <c r="J38" s="32"/>
    </row>
    <row r="39" ht="28.5" spans="1:10">
      <c r="A39" s="33" t="s">
        <v>85</v>
      </c>
      <c r="B39" s="34"/>
      <c r="C39" s="34"/>
      <c r="D39" s="34"/>
      <c r="E39" s="34"/>
      <c r="F39" s="34"/>
      <c r="G39" s="34"/>
      <c r="H39" s="35"/>
      <c r="I39" s="7"/>
      <c r="J39" s="32"/>
    </row>
    <row r="40" ht="20.35" spans="1:10">
      <c r="A40" s="36" t="s">
        <v>86</v>
      </c>
      <c r="B40" s="36" t="s">
        <v>14</v>
      </c>
      <c r="C40" s="36" t="s">
        <v>17</v>
      </c>
      <c r="D40" s="36" t="s">
        <v>22</v>
      </c>
      <c r="E40" s="37"/>
      <c r="F40" s="37"/>
      <c r="G40" s="37"/>
      <c r="H40" s="37"/>
      <c r="I40" s="32"/>
      <c r="J40" s="32"/>
    </row>
    <row r="41" ht="20.35" spans="1:10">
      <c r="A41" s="38">
        <f>C6</f>
        <v>562.065</v>
      </c>
      <c r="B41" s="38">
        <f>G6</f>
        <v>0.747404844290657</v>
      </c>
      <c r="C41" s="38" t="str">
        <f>H6</f>
        <v>160uF/410V</v>
      </c>
      <c r="D41" s="38">
        <f>D9</f>
        <v>0.462556084925297</v>
      </c>
      <c r="E41" s="37"/>
      <c r="F41" s="37"/>
      <c r="G41" s="37"/>
      <c r="H41" s="37"/>
      <c r="I41" s="32"/>
      <c r="J41" s="32"/>
    </row>
    <row r="42" ht="20.35" spans="1:10">
      <c r="A42" s="39" t="s">
        <v>25</v>
      </c>
      <c r="B42" s="39" t="s">
        <v>87</v>
      </c>
      <c r="C42" s="39" t="s">
        <v>31</v>
      </c>
      <c r="D42" s="39" t="s">
        <v>34</v>
      </c>
      <c r="E42" s="39" t="s">
        <v>35</v>
      </c>
      <c r="F42" s="39" t="s">
        <v>38</v>
      </c>
      <c r="G42" s="39" t="s">
        <v>46</v>
      </c>
      <c r="H42" s="39" t="s">
        <v>49</v>
      </c>
      <c r="I42" s="32"/>
      <c r="J42" s="32"/>
    </row>
    <row r="43" ht="20.35" spans="1:10">
      <c r="A43" s="40">
        <f>G9</f>
        <v>168.757713953245</v>
      </c>
      <c r="B43" s="40">
        <f>A43*(1/D11)*(1/D11)</f>
        <v>10.5473571220778</v>
      </c>
      <c r="C43" s="40">
        <f>D11</f>
        <v>4</v>
      </c>
      <c r="D43" s="40">
        <f>G11</f>
        <v>19</v>
      </c>
      <c r="E43" s="40">
        <f>H11</f>
        <v>5</v>
      </c>
      <c r="F43" s="40">
        <f>C13</f>
        <v>3</v>
      </c>
      <c r="G43" s="40">
        <f>D15</f>
        <v>3</v>
      </c>
      <c r="H43" s="40">
        <f>G15</f>
        <v>10</v>
      </c>
      <c r="I43" s="32"/>
      <c r="J43" s="32"/>
    </row>
    <row r="44" ht="20.4" spans="1:10">
      <c r="A44" s="41" t="s">
        <v>88</v>
      </c>
      <c r="B44" s="41" t="s">
        <v>89</v>
      </c>
      <c r="C44" s="41" t="s">
        <v>90</v>
      </c>
      <c r="D44" s="42" t="s">
        <v>51</v>
      </c>
      <c r="E44" s="37"/>
      <c r="F44" s="37"/>
      <c r="G44" s="37"/>
      <c r="H44" s="37"/>
      <c r="I44" s="43"/>
      <c r="J44" s="32"/>
    </row>
    <row r="45" ht="20.35" spans="1:10">
      <c r="A45" s="44">
        <f>D13</f>
        <v>1.11035537987036</v>
      </c>
      <c r="B45" s="44">
        <f>F9</f>
        <v>2.53939106219075</v>
      </c>
      <c r="C45" s="44">
        <f>E13</f>
        <v>4.78747333774539</v>
      </c>
      <c r="D45" s="44">
        <f>H15</f>
        <v>0.0510703757225434</v>
      </c>
      <c r="E45" s="37"/>
      <c r="F45" s="37"/>
      <c r="G45" s="37"/>
      <c r="H45" s="37"/>
      <c r="I45" s="32"/>
      <c r="J45" s="32"/>
    </row>
    <row r="46" ht="20.35" spans="1:10">
      <c r="A46" s="45" t="s">
        <v>55</v>
      </c>
      <c r="B46" s="45" t="s">
        <v>58</v>
      </c>
      <c r="C46" s="45" t="s">
        <v>63</v>
      </c>
      <c r="D46" s="45" t="s">
        <v>65</v>
      </c>
      <c r="E46" s="37"/>
      <c r="F46" s="37"/>
      <c r="G46" s="37"/>
      <c r="H46" s="37"/>
      <c r="I46" s="32"/>
      <c r="J46" s="32"/>
    </row>
    <row r="47" ht="20.35" spans="1:10">
      <c r="A47" s="46">
        <f>C18</f>
        <v>615.563</v>
      </c>
      <c r="B47" s="46">
        <f>F18</f>
        <v>1.66553306980554</v>
      </c>
      <c r="C47" s="46">
        <f>C21</f>
        <v>176.51625</v>
      </c>
      <c r="D47" s="46">
        <f>F21</f>
        <v>7.18121000661809</v>
      </c>
      <c r="E47" s="37"/>
      <c r="F47" s="37"/>
      <c r="G47" s="37"/>
      <c r="H47" s="37"/>
      <c r="I47" s="32"/>
      <c r="J47" s="32"/>
    </row>
    <row r="48" ht="20.35" spans="1:10">
      <c r="A48" s="47" t="s">
        <v>91</v>
      </c>
      <c r="B48" s="47" t="s">
        <v>76</v>
      </c>
      <c r="C48" s="47" t="s">
        <v>77</v>
      </c>
      <c r="D48" s="47" t="s">
        <v>78</v>
      </c>
      <c r="E48" s="37"/>
      <c r="F48" s="37"/>
      <c r="G48" s="37"/>
      <c r="H48" s="37"/>
      <c r="I48" s="32"/>
      <c r="J48" s="32"/>
    </row>
    <row r="49" ht="20.35" spans="1:10">
      <c r="A49" s="48">
        <f>C24</f>
        <v>38.5463404104414</v>
      </c>
      <c r="B49" s="48">
        <f>E27</f>
        <v>19.6351312216216</v>
      </c>
      <c r="C49" s="48">
        <f>F27</f>
        <v>0.679054964432886</v>
      </c>
      <c r="D49" s="48">
        <f>G27</f>
        <v>1.77311921954853</v>
      </c>
      <c r="E49" s="37"/>
      <c r="F49" s="37"/>
      <c r="G49" s="37"/>
      <c r="H49" s="37"/>
      <c r="I49" s="32"/>
      <c r="J49" s="32"/>
    </row>
    <row r="50" ht="20.35" spans="1:10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ht="20.35" spans="1:10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>
      <c r="I52" s="1" t="s">
        <v>92</v>
      </c>
    </row>
  </sheetData>
  <mergeCells count="11">
    <mergeCell ref="A1:H1"/>
    <mergeCell ref="A4:H4"/>
    <mergeCell ref="A7:I7"/>
    <mergeCell ref="A16:H16"/>
    <mergeCell ref="A19:H19"/>
    <mergeCell ref="A22:H22"/>
    <mergeCell ref="A25:H25"/>
    <mergeCell ref="A31:H31"/>
    <mergeCell ref="A39:H39"/>
    <mergeCell ref="G17:H18"/>
    <mergeCell ref="G20:H2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wan20</dc:creator>
  <cp:lastModifiedBy>无言尽语</cp:lastModifiedBy>
  <dcterms:created xsi:type="dcterms:W3CDTF">2026-03-24T04:35:00Z</dcterms:created>
  <dcterms:modified xsi:type="dcterms:W3CDTF">2026-04-14T07:58:49Z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4FD88776D4D348C281F64E4ED2A0C8CB_11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