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60" yWindow="-45" windowWidth="20010" windowHeight="10290" activeTab="1"/>
  </bookViews>
  <sheets>
    <sheet name="Desal 9 mgd" sheetId="7" r:id="rId1"/>
    <sheet name="pencost" sheetId="9" r:id="rId2"/>
  </sheets>
  <definedNames>
    <definedName name="_xlnm.Print_Area" localSheetId="0">'Desal 9 mgd'!$B$1:$O$86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F30" i="9" l="1"/>
  <c r="F29" i="9"/>
  <c r="F28" i="9"/>
  <c r="F27" i="9"/>
  <c r="F25" i="9"/>
  <c r="F24" i="9"/>
  <c r="F23" i="9"/>
  <c r="F22" i="9"/>
  <c r="F20" i="9"/>
  <c r="F19" i="9"/>
  <c r="F18" i="9"/>
  <c r="F17" i="9"/>
  <c r="F15" i="9"/>
  <c r="F14" i="9"/>
  <c r="F13" i="9"/>
  <c r="F12" i="9"/>
  <c r="F10" i="9"/>
  <c r="F9" i="9"/>
  <c r="F8" i="9"/>
  <c r="F7" i="9"/>
  <c r="F3" i="9"/>
  <c r="F2" i="9" s="1"/>
  <c r="F4" i="9"/>
  <c r="F5" i="9"/>
  <c r="C20" i="9"/>
  <c r="C19" i="9" s="1"/>
  <c r="C18" i="9" s="1"/>
  <c r="C30" i="9"/>
  <c r="C29" i="9" s="1"/>
  <c r="C25" i="9"/>
  <c r="C24" i="9" s="1"/>
  <c r="C23" i="9" s="1"/>
  <c r="D23" i="9" s="1"/>
  <c r="D31" i="9"/>
  <c r="D27" i="9"/>
  <c r="D26" i="9"/>
  <c r="D22" i="9"/>
  <c r="D21" i="9"/>
  <c r="D17" i="9"/>
  <c r="D13" i="9"/>
  <c r="D14" i="9"/>
  <c r="D15" i="9"/>
  <c r="D16" i="9"/>
  <c r="D12" i="9"/>
  <c r="D8" i="9"/>
  <c r="D9" i="9"/>
  <c r="D10" i="9"/>
  <c r="D11" i="9"/>
  <c r="D7" i="9"/>
  <c r="D20" i="9" l="1"/>
  <c r="C28" i="9"/>
  <c r="D29" i="9"/>
  <c r="D25" i="9"/>
  <c r="D24" i="9"/>
  <c r="D30" i="9"/>
  <c r="D28" i="9"/>
  <c r="F52" i="7"/>
  <c r="L46" i="7"/>
  <c r="D19" i="9" l="1"/>
  <c r="D18" i="9"/>
  <c r="D63" i="7"/>
  <c r="E63" i="7"/>
  <c r="F63" i="7"/>
  <c r="G63" i="7"/>
  <c r="H63" i="7"/>
  <c r="I63" i="7"/>
  <c r="J63" i="7"/>
  <c r="K63" i="7"/>
  <c r="L63" i="7"/>
  <c r="M63" i="7"/>
  <c r="N63" i="7"/>
  <c r="D64" i="7"/>
  <c r="E64" i="7"/>
  <c r="F64" i="7"/>
  <c r="G64" i="7"/>
  <c r="H64" i="7"/>
  <c r="I64" i="7"/>
  <c r="J64" i="7"/>
  <c r="K64" i="7"/>
  <c r="L64" i="7"/>
  <c r="M64" i="7"/>
  <c r="N64" i="7"/>
  <c r="D65" i="7"/>
  <c r="E65" i="7"/>
  <c r="F65" i="7"/>
  <c r="G65" i="7"/>
  <c r="H65" i="7"/>
  <c r="I65" i="7"/>
  <c r="J65" i="7"/>
  <c r="K65" i="7"/>
  <c r="L65" i="7"/>
  <c r="M65" i="7"/>
  <c r="N65" i="7"/>
  <c r="C65" i="7"/>
  <c r="C64" i="7"/>
  <c r="C63" i="7"/>
  <c r="O40" i="7" l="1"/>
  <c r="O38" i="7"/>
  <c r="O33" i="7"/>
  <c r="C42" i="7"/>
  <c r="D50" i="7"/>
  <c r="E50" i="7"/>
  <c r="G47" i="7"/>
  <c r="C50" i="7"/>
  <c r="L50" i="7"/>
  <c r="C22" i="7"/>
  <c r="C23" i="7"/>
  <c r="O42" i="7" l="1"/>
  <c r="P38" i="7"/>
  <c r="D25" i="7" l="1"/>
  <c r="E25" i="7"/>
  <c r="F25" i="7"/>
  <c r="G25" i="7"/>
  <c r="H25" i="7"/>
  <c r="I25" i="7"/>
  <c r="J25" i="7"/>
  <c r="K25" i="7"/>
  <c r="L25" i="7"/>
  <c r="M25" i="7"/>
  <c r="N25" i="7"/>
  <c r="C25" i="7"/>
  <c r="C11" i="7"/>
  <c r="C15" i="7"/>
  <c r="C17" i="7" s="1"/>
  <c r="O79" i="7" l="1"/>
  <c r="O78" i="7"/>
  <c r="O77" i="7"/>
  <c r="O76" i="7"/>
  <c r="O75" i="7"/>
  <c r="O74" i="7"/>
  <c r="O73" i="7"/>
  <c r="O72" i="7"/>
  <c r="O71" i="7"/>
  <c r="N70" i="7"/>
  <c r="C70" i="7"/>
  <c r="N69" i="7"/>
  <c r="C69" i="7"/>
  <c r="F50" i="7"/>
  <c r="G50" i="7"/>
  <c r="H50" i="7"/>
  <c r="J50" i="7"/>
  <c r="H11" i="7" l="1"/>
  <c r="O9" i="7"/>
  <c r="N11" i="7"/>
  <c r="N50" i="7" l="1"/>
  <c r="N57" i="7" l="1"/>
  <c r="N56" i="7"/>
  <c r="O86" i="7"/>
  <c r="O85" i="7"/>
  <c r="N81" i="7"/>
  <c r="N62" i="7"/>
  <c r="M62" i="7"/>
  <c r="L62" i="7"/>
  <c r="K62" i="7"/>
  <c r="J62" i="7"/>
  <c r="I62" i="7"/>
  <c r="H62" i="7"/>
  <c r="G62" i="7"/>
  <c r="F62" i="7"/>
  <c r="E62" i="7"/>
  <c r="D62" i="7"/>
  <c r="C62" i="7"/>
  <c r="N61" i="7"/>
  <c r="M61" i="7"/>
  <c r="L61" i="7"/>
  <c r="K61" i="7"/>
  <c r="J61" i="7"/>
  <c r="I61" i="7"/>
  <c r="H61" i="7"/>
  <c r="G61" i="7"/>
  <c r="F61" i="7"/>
  <c r="E61" i="7"/>
  <c r="D61" i="7"/>
  <c r="C61" i="7"/>
  <c r="N60" i="7"/>
  <c r="M60" i="7"/>
  <c r="L60" i="7"/>
  <c r="K60" i="7"/>
  <c r="J60" i="7"/>
  <c r="I60" i="7"/>
  <c r="H60" i="7"/>
  <c r="G60" i="7"/>
  <c r="F60" i="7"/>
  <c r="E60" i="7"/>
  <c r="D60" i="7"/>
  <c r="C60" i="7"/>
  <c r="M57" i="7"/>
  <c r="M70" i="7" s="1"/>
  <c r="L57" i="7"/>
  <c r="K57" i="7"/>
  <c r="K70" i="7" s="1"/>
  <c r="J57" i="7"/>
  <c r="J70" i="7" s="1"/>
  <c r="I57" i="7"/>
  <c r="I70" i="7" s="1"/>
  <c r="H57" i="7"/>
  <c r="H70" i="7" s="1"/>
  <c r="G57" i="7"/>
  <c r="G70" i="7" s="1"/>
  <c r="F57" i="7"/>
  <c r="F70" i="7" s="1"/>
  <c r="E57" i="7"/>
  <c r="E70" i="7" s="1"/>
  <c r="D57" i="7"/>
  <c r="D70" i="7" s="1"/>
  <c r="C57" i="7"/>
  <c r="M56" i="7"/>
  <c r="L56" i="7"/>
  <c r="K56" i="7"/>
  <c r="J56" i="7"/>
  <c r="J69" i="7" s="1"/>
  <c r="I56" i="7"/>
  <c r="H56" i="7"/>
  <c r="H69" i="7" s="1"/>
  <c r="G56" i="7"/>
  <c r="F56" i="7"/>
  <c r="F69" i="7" s="1"/>
  <c r="E56" i="7"/>
  <c r="D56" i="7"/>
  <c r="D69" i="7" s="1"/>
  <c r="C56" i="7"/>
  <c r="O55" i="7"/>
  <c r="N52" i="7"/>
  <c r="M52" i="7"/>
  <c r="L52" i="7"/>
  <c r="K52" i="7"/>
  <c r="J52" i="7"/>
  <c r="I52" i="7"/>
  <c r="H52" i="7"/>
  <c r="G52" i="7"/>
  <c r="E52" i="7"/>
  <c r="D52" i="7"/>
  <c r="C52" i="7"/>
  <c r="O51" i="7"/>
  <c r="M50" i="7"/>
  <c r="K50" i="7"/>
  <c r="I50" i="7"/>
  <c r="O50" i="7"/>
  <c r="O49" i="7"/>
  <c r="N47" i="7"/>
  <c r="M47" i="7"/>
  <c r="L47" i="7"/>
  <c r="K47" i="7"/>
  <c r="J47" i="7"/>
  <c r="I47" i="7"/>
  <c r="H47" i="7"/>
  <c r="F47" i="7"/>
  <c r="E47" i="7"/>
  <c r="D47" i="7"/>
  <c r="C47" i="7"/>
  <c r="N46" i="7"/>
  <c r="M46" i="7"/>
  <c r="K46" i="7"/>
  <c r="J46" i="7"/>
  <c r="I46" i="7"/>
  <c r="H46" i="7"/>
  <c r="G46" i="7"/>
  <c r="F46" i="7"/>
  <c r="E46" i="7"/>
  <c r="D46" i="7"/>
  <c r="C46" i="7"/>
  <c r="O45" i="7"/>
  <c r="O44" i="7"/>
  <c r="O41" i="7"/>
  <c r="O37" i="7"/>
  <c r="O36" i="7"/>
  <c r="O26" i="7"/>
  <c r="N27" i="7"/>
  <c r="N29" i="7" s="1"/>
  <c r="N42" i="7" s="1"/>
  <c r="M27" i="7"/>
  <c r="M29" i="7" s="1"/>
  <c r="L27" i="7"/>
  <c r="L29" i="7" s="1"/>
  <c r="K27" i="7"/>
  <c r="K29" i="7" s="1"/>
  <c r="J27" i="7"/>
  <c r="J29" i="7" s="1"/>
  <c r="I27" i="7"/>
  <c r="I29" i="7" s="1"/>
  <c r="H27" i="7"/>
  <c r="H29" i="7" s="1"/>
  <c r="G27" i="7"/>
  <c r="G29" i="7" s="1"/>
  <c r="F27" i="7"/>
  <c r="F29" i="7" s="1"/>
  <c r="E27" i="7"/>
  <c r="E29" i="7" s="1"/>
  <c r="D27" i="7"/>
  <c r="D29" i="7" s="1"/>
  <c r="C27" i="7"/>
  <c r="C29" i="7" s="1"/>
  <c r="N22" i="7"/>
  <c r="M22" i="7"/>
  <c r="L22" i="7"/>
  <c r="K22" i="7"/>
  <c r="J22" i="7"/>
  <c r="I22" i="7"/>
  <c r="H22" i="7"/>
  <c r="G22" i="7"/>
  <c r="F22" i="7"/>
  <c r="E22" i="7"/>
  <c r="D22" i="7"/>
  <c r="O20" i="7"/>
  <c r="O19" i="7"/>
  <c r="O18" i="7"/>
  <c r="O16" i="7"/>
  <c r="N15" i="7"/>
  <c r="N17" i="7" s="1"/>
  <c r="N23" i="7" s="1"/>
  <c r="N31" i="7" s="1"/>
  <c r="M15" i="7"/>
  <c r="M17" i="7" s="1"/>
  <c r="M23" i="7" s="1"/>
  <c r="L15" i="7"/>
  <c r="L17" i="7" s="1"/>
  <c r="L23" i="7" s="1"/>
  <c r="K15" i="7"/>
  <c r="K17" i="7" s="1"/>
  <c r="K23" i="7" s="1"/>
  <c r="J15" i="7"/>
  <c r="J17" i="7" s="1"/>
  <c r="J23" i="7" s="1"/>
  <c r="I15" i="7"/>
  <c r="I17" i="7" s="1"/>
  <c r="I23" i="7" s="1"/>
  <c r="H15" i="7"/>
  <c r="H17" i="7" s="1"/>
  <c r="H23" i="7" s="1"/>
  <c r="G15" i="7"/>
  <c r="G17" i="7" s="1"/>
  <c r="G23" i="7" s="1"/>
  <c r="F15" i="7"/>
  <c r="F17" i="7" s="1"/>
  <c r="F23" i="7" s="1"/>
  <c r="E15" i="7"/>
  <c r="E17" i="7" s="1"/>
  <c r="E23" i="7" s="1"/>
  <c r="D15" i="7"/>
  <c r="D17" i="7" s="1"/>
  <c r="D23" i="7" s="1"/>
  <c r="M11" i="7"/>
  <c r="L11" i="7"/>
  <c r="K11" i="7"/>
  <c r="J11" i="7"/>
  <c r="I11" i="7"/>
  <c r="G11" i="7"/>
  <c r="F11" i="7"/>
  <c r="E11" i="7"/>
  <c r="D11" i="7"/>
  <c r="O11" i="7" s="1"/>
  <c r="O8" i="7"/>
  <c r="O7" i="7"/>
  <c r="O6" i="7"/>
  <c r="O5" i="7"/>
  <c r="O4" i="7"/>
  <c r="O3" i="7"/>
  <c r="O2" i="7"/>
  <c r="O25" i="7" l="1"/>
  <c r="M81" i="7"/>
  <c r="M69" i="7"/>
  <c r="L70" i="7"/>
  <c r="L81" i="7" s="1"/>
  <c r="L69" i="7"/>
  <c r="K81" i="7"/>
  <c r="K69" i="7"/>
  <c r="I81" i="7"/>
  <c r="I69" i="7"/>
  <c r="G81" i="7"/>
  <c r="G69" i="7"/>
  <c r="E69" i="7"/>
  <c r="O60" i="7"/>
  <c r="O62" i="7"/>
  <c r="O29" i="7"/>
  <c r="H81" i="7"/>
  <c r="D81" i="7"/>
  <c r="O63" i="7"/>
  <c r="O64" i="7"/>
  <c r="O65" i="7"/>
  <c r="O22" i="7"/>
  <c r="O52" i="7"/>
  <c r="F81" i="7"/>
  <c r="O57" i="7"/>
  <c r="O61" i="7"/>
  <c r="O46" i="7"/>
  <c r="O47" i="7"/>
  <c r="D66" i="7"/>
  <c r="D31" i="7"/>
  <c r="F66" i="7"/>
  <c r="F31" i="7"/>
  <c r="F33" i="7" s="1"/>
  <c r="H66" i="7"/>
  <c r="H31" i="7"/>
  <c r="J66" i="7"/>
  <c r="J31" i="7"/>
  <c r="J33" i="7" s="1"/>
  <c r="L66" i="7"/>
  <c r="L31" i="7"/>
  <c r="L33" i="7" s="1"/>
  <c r="N66" i="7"/>
  <c r="N33" i="7"/>
  <c r="O27" i="7"/>
  <c r="E42" i="7"/>
  <c r="E82" i="7" s="1"/>
  <c r="G42" i="7"/>
  <c r="G82" i="7" s="1"/>
  <c r="I42" i="7"/>
  <c r="I82" i="7" s="1"/>
  <c r="K42" i="7"/>
  <c r="K82" i="7" s="1"/>
  <c r="M42" i="7"/>
  <c r="M82" i="7" s="1"/>
  <c r="J81" i="7"/>
  <c r="O17" i="7"/>
  <c r="O23" i="7"/>
  <c r="E66" i="7"/>
  <c r="E31" i="7"/>
  <c r="E33" i="7" s="1"/>
  <c r="G66" i="7"/>
  <c r="G31" i="7"/>
  <c r="G33" i="7" s="1"/>
  <c r="I66" i="7"/>
  <c r="I31" i="7"/>
  <c r="I33" i="7" s="1"/>
  <c r="K66" i="7"/>
  <c r="K31" i="7"/>
  <c r="K33" i="7" s="1"/>
  <c r="M66" i="7"/>
  <c r="M31" i="7"/>
  <c r="M33" i="7" s="1"/>
  <c r="O15" i="7"/>
  <c r="D42" i="7"/>
  <c r="D82" i="7" s="1"/>
  <c r="F42" i="7"/>
  <c r="F82" i="7" s="1"/>
  <c r="H42" i="7"/>
  <c r="H82" i="7" s="1"/>
  <c r="J42" i="7"/>
  <c r="J82" i="7" s="1"/>
  <c r="L42" i="7"/>
  <c r="L82" i="7" s="1"/>
  <c r="N82" i="7"/>
  <c r="O56" i="7"/>
  <c r="D33" i="7" l="1"/>
  <c r="O70" i="7"/>
  <c r="O69" i="7"/>
  <c r="E81" i="7"/>
  <c r="H33" i="7"/>
  <c r="Q11" i="7"/>
  <c r="S11" i="7"/>
  <c r="S13" i="7" s="1"/>
  <c r="C66" i="7"/>
  <c r="O66" i="7" s="1"/>
  <c r="C31" i="7"/>
  <c r="O31" i="7" s="1"/>
  <c r="P23" i="7"/>
  <c r="C82" i="7"/>
  <c r="O82" i="7" s="1"/>
  <c r="C81" i="7"/>
  <c r="O81" i="7" l="1"/>
  <c r="P42" i="7"/>
  <c r="C33" i="7"/>
</calcChain>
</file>

<file path=xl/sharedStrings.xml><?xml version="1.0" encoding="utf-8"?>
<sst xmlns="http://schemas.openxmlformats.org/spreadsheetml/2006/main" count="170" uniqueCount="127">
  <si>
    <t>Tot Regional Demand, MGD</t>
  </si>
  <si>
    <t>PAS</t>
  </si>
  <si>
    <t>NPR</t>
  </si>
  <si>
    <t>NWH</t>
  </si>
  <si>
    <t>SCH</t>
  </si>
  <si>
    <t>COT</t>
  </si>
  <si>
    <t>STP</t>
  </si>
  <si>
    <t>Oct</t>
  </si>
  <si>
    <t>Nov</t>
  </si>
  <si>
    <t>Dec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</si>
  <si>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</si>
  <si>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</si>
  <si>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</si>
  <si>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</si>
  <si>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</si>
  <si>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</si>
  <si>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</si>
  <si>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</si>
  <si>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</si>
  <si>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Diff</t>
  </si>
  <si>
    <t>Regional System not inc COT</t>
  </si>
  <si>
    <t>Sum</t>
  </si>
  <si>
    <t>Total Regional system demand</t>
  </si>
  <si>
    <t xml:space="preserve"> Ann Avg</t>
  </si>
  <si>
    <t xml:space="preserve">SCH WDPA </t>
  </si>
  <si>
    <t>Total TBW Budgeted Delivery</t>
  </si>
  <si>
    <t>SCH Demands</t>
  </si>
  <si>
    <t>Central Hill POC Delivery</t>
  </si>
  <si>
    <t>BUD 7 WTP production</t>
  </si>
  <si>
    <t>SCH WF Production</t>
  </si>
  <si>
    <t>SWTP</t>
  </si>
  <si>
    <t>Desalination Plant</t>
  </si>
  <si>
    <t>SUPPY ALLOCATION</t>
  </si>
  <si>
    <t>Total non regional system (GW)</t>
  </si>
  <si>
    <t>Consolidated Wellfields</t>
  </si>
  <si>
    <t>Alafia River withdrawal</t>
  </si>
  <si>
    <t>TBC withdrawal</t>
  </si>
  <si>
    <t>Reservoir influent</t>
  </si>
  <si>
    <t>SWTP influent check</t>
  </si>
  <si>
    <t>Starting Res storage (mg) first day of each month</t>
  </si>
  <si>
    <t>Ground water WTP production</t>
  </si>
  <si>
    <t>Cypress Creek WTP</t>
  </si>
  <si>
    <t xml:space="preserve">   Cypress Creek Wellfield</t>
  </si>
  <si>
    <t xml:space="preserve">   Cross Bar Ranch Wellfield</t>
  </si>
  <si>
    <t xml:space="preserve">  Wellfield totals</t>
  </si>
  <si>
    <t>South Pasco WTP</t>
  </si>
  <si>
    <t>Morris Bridge WTP</t>
  </si>
  <si>
    <t>Cypress Creek</t>
  </si>
  <si>
    <t>Cross Bar Ranch</t>
  </si>
  <si>
    <t>Cypress Bridge</t>
  </si>
  <si>
    <t>Eldridge-Wilde</t>
  </si>
  <si>
    <t>Keller H2S Facility</t>
  </si>
  <si>
    <t>Morris Bridge</t>
  </si>
  <si>
    <t>Northwest Hill Regional</t>
  </si>
  <si>
    <t>North Pasco</t>
  </si>
  <si>
    <t>Section 21</t>
  </si>
  <si>
    <t>Starkey</t>
  </si>
  <si>
    <t>Cosme-Odessa</t>
  </si>
  <si>
    <t xml:space="preserve">South Pasco </t>
  </si>
  <si>
    <t>Total Consolidated Wellfields</t>
  </si>
  <si>
    <t>Consolidated need</t>
  </si>
  <si>
    <t>Facility Code</t>
  </si>
  <si>
    <t>024</t>
  </si>
  <si>
    <t>Eagles</t>
  </si>
  <si>
    <t xml:space="preserve">Carrolwood </t>
  </si>
  <si>
    <t>044</t>
  </si>
  <si>
    <t>045</t>
  </si>
  <si>
    <t>007</t>
  </si>
  <si>
    <t>Lithia Ozone Facility</t>
  </si>
  <si>
    <t>002</t>
  </si>
  <si>
    <t>003</t>
  </si>
  <si>
    <t>005</t>
  </si>
  <si>
    <t>010</t>
  </si>
  <si>
    <t>009</t>
  </si>
  <si>
    <t>018</t>
  </si>
  <si>
    <t>016/025</t>
  </si>
  <si>
    <t>012</t>
  </si>
  <si>
    <t>013</t>
  </si>
  <si>
    <t>019</t>
  </si>
  <si>
    <t>011</t>
  </si>
  <si>
    <t>020</t>
  </si>
  <si>
    <t>033</t>
  </si>
  <si>
    <t>042</t>
  </si>
  <si>
    <t>040</t>
  </si>
  <si>
    <t>028</t>
  </si>
  <si>
    <t>High Service PS &amp; AAF</t>
  </si>
  <si>
    <t>029</t>
  </si>
  <si>
    <t>027</t>
  </si>
  <si>
    <t>Reservoir Effluent Offstream PS</t>
  </si>
  <si>
    <t>Regional Repump</t>
  </si>
  <si>
    <t>SCHI Booster PS</t>
  </si>
  <si>
    <t>041</t>
  </si>
  <si>
    <t>032</t>
  </si>
  <si>
    <t>Reservoir Electric for air diffuser</t>
  </si>
  <si>
    <t>071</t>
  </si>
  <si>
    <t>072</t>
  </si>
  <si>
    <t>008</t>
  </si>
  <si>
    <t>Harney Augmentation</t>
  </si>
  <si>
    <t>023</t>
  </si>
  <si>
    <t>Lake Bridge WTP (delivery to Pasco)</t>
  </si>
  <si>
    <t>Odessa WTP</t>
  </si>
  <si>
    <t>030</t>
  </si>
  <si>
    <t>053</t>
  </si>
  <si>
    <t>US HWY 41</t>
  </si>
  <si>
    <t>039</t>
  </si>
  <si>
    <t>022</t>
  </si>
  <si>
    <t>Maytum purchased water</t>
  </si>
  <si>
    <t>021</t>
  </si>
  <si>
    <t>BUD WF Total production</t>
  </si>
  <si>
    <t>COT purchased water (THIC)</t>
  </si>
  <si>
    <t>Total Regional Demand from model</t>
  </si>
  <si>
    <t>COT TBW budgeted del</t>
  </si>
  <si>
    <t>BUD 5 WTP production (to SCH)</t>
  </si>
  <si>
    <t>Regional to Lithia (No BUD)</t>
  </si>
  <si>
    <t xml:space="preserve">PIN </t>
  </si>
  <si>
    <t>FY 2019 Tampa Bay Water Delivery Based on November 2017 Long term Demand Forecast (2016 Base Year)</t>
  </si>
  <si>
    <t>CWUP</t>
  </si>
  <si>
    <t>x</t>
  </si>
  <si>
    <t>y</t>
  </si>
  <si>
    <t>BUD</t>
  </si>
  <si>
    <t>TBC</t>
  </si>
  <si>
    <t>Alafia</t>
  </si>
  <si>
    <t>Reservoir</t>
  </si>
  <si>
    <t>prod</t>
  </si>
  <si>
    <t>source</t>
  </si>
  <si>
    <t>point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</si>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</sst>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mmm\-yy;@"/>
    <numFmt numFmtId="166" formatCode="0.000"/>
    <numFmt numFmtId="167" formatCode="0.000000000000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NumberFormat="1" applyFont="1" applyFill="1" applyAlignment="1"/>
    <xf numFmtId="14" fontId="1" fillId="0" borderId="0" xfId="0" applyNumberFormat="1" applyFont="1" applyFill="1" applyAlignment="1"/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2" fontId="0" fillId="0" borderId="2" xfId="0" applyNumberFormat="1" applyBorder="1"/>
    <xf numFmtId="164" fontId="0" fillId="0" borderId="3" xfId="0" applyNumberFormat="1" applyBorder="1"/>
    <xf numFmtId="0" fontId="2" fillId="0" borderId="4" xfId="0" applyFont="1" applyBorder="1"/>
    <xf numFmtId="0" fontId="0" fillId="0" borderId="5" xfId="0" applyBorder="1"/>
    <xf numFmtId="164" fontId="0" fillId="0" borderId="6" xfId="0" applyNumberFormat="1" applyBorder="1"/>
    <xf numFmtId="2" fontId="0" fillId="0" borderId="5" xfId="0" applyNumberFormat="1" applyBorder="1"/>
    <xf numFmtId="0" fontId="0" fillId="0" borderId="6" xfId="0" applyBorder="1"/>
    <xf numFmtId="0" fontId="2" fillId="0" borderId="7" xfId="0" applyFont="1" applyBorder="1"/>
    <xf numFmtId="164" fontId="0" fillId="0" borderId="8" xfId="0" applyNumberFormat="1" applyBorder="1"/>
    <xf numFmtId="164" fontId="0" fillId="0" borderId="9" xfId="0" applyNumberFormat="1" applyBorder="1"/>
    <xf numFmtId="2" fontId="0" fillId="0" borderId="2" xfId="0" applyNumberFormat="1" applyFont="1" applyFill="1" applyBorder="1" applyAlignment="1"/>
    <xf numFmtId="2" fontId="0" fillId="0" borderId="8" xfId="0" applyNumberFormat="1" applyBorder="1"/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2" fillId="0" borderId="4" xfId="0" applyFont="1" applyFill="1" applyBorder="1"/>
    <xf numFmtId="0" fontId="0" fillId="0" borderId="4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" xfId="0" applyBorder="1"/>
    <xf numFmtId="164" fontId="0" fillId="0" borderId="2" xfId="0" applyNumberFormat="1" applyBorder="1"/>
    <xf numFmtId="0" fontId="0" fillId="0" borderId="4" xfId="0" quotePrefix="1" applyBorder="1"/>
    <xf numFmtId="0" fontId="3" fillId="0" borderId="7" xfId="0" applyFont="1" applyBorder="1"/>
    <xf numFmtId="164" fontId="3" fillId="0" borderId="9" xfId="0" applyNumberFormat="1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0" borderId="4" xfId="0" quotePrefix="1" applyFont="1" applyBorder="1"/>
    <xf numFmtId="0" fontId="0" fillId="0" borderId="0" xfId="0" quotePrefix="1"/>
    <xf numFmtId="2" fontId="0" fillId="2" borderId="5" xfId="0" applyNumberFormat="1" applyFill="1" applyBorder="1"/>
    <xf numFmtId="164" fontId="0" fillId="2" borderId="6" xfId="0" applyNumberFormat="1" applyFill="1" applyBorder="1"/>
    <xf numFmtId="0" fontId="0" fillId="0" borderId="0" xfId="0" quotePrefix="1" applyFill="1" applyBorder="1"/>
    <xf numFmtId="0" fontId="2" fillId="0" borderId="10" xfId="0" applyFont="1" applyBorder="1" applyAlignment="1">
      <alignment wrapText="1"/>
    </xf>
    <xf numFmtId="2" fontId="0" fillId="0" borderId="11" xfId="0" applyNumberFormat="1" applyBorder="1"/>
    <xf numFmtId="164" fontId="0" fillId="0" borderId="12" xfId="0" applyNumberFormat="1" applyBorder="1"/>
    <xf numFmtId="0" fontId="0" fillId="0" borderId="1" xfId="0" quotePrefix="1" applyBorder="1"/>
    <xf numFmtId="0" fontId="0" fillId="0" borderId="7" xfId="0" quotePrefix="1" applyBorder="1"/>
    <xf numFmtId="0" fontId="0" fillId="0" borderId="8" xfId="0" applyFill="1" applyBorder="1"/>
    <xf numFmtId="164" fontId="0" fillId="0" borderId="5" xfId="0" applyNumberFormat="1" applyBorder="1"/>
    <xf numFmtId="2" fontId="1" fillId="0" borderId="0" xfId="0" applyNumberFormat="1" applyFont="1" applyFill="1" applyAlignment="1"/>
    <xf numFmtId="0" fontId="0" fillId="3" borderId="0" xfId="0" applyNumberFormat="1" applyFont="1" applyFill="1" applyAlignment="1"/>
    <xf numFmtId="0" fontId="0" fillId="3" borderId="0" xfId="0" applyFont="1" applyFill="1" applyAlignment="1"/>
    <xf numFmtId="165" fontId="2" fillId="3" borderId="0" xfId="0" applyNumberFormat="1" applyFont="1" applyFill="1" applyAlignment="1"/>
    <xf numFmtId="2" fontId="0" fillId="3" borderId="0" xfId="0" applyNumberFormat="1" applyFont="1" applyFill="1" applyAlignment="1"/>
    <xf numFmtId="0" fontId="1" fillId="3" borderId="0" xfId="0" applyNumberFormat="1" applyFont="1" applyFill="1" applyAlignment="1"/>
    <xf numFmtId="14" fontId="1" fillId="3" borderId="0" xfId="0" applyNumberFormat="1" applyFont="1" applyFill="1" applyAlignment="1"/>
    <xf numFmtId="0" fontId="2" fillId="0" borderId="13" xfId="0" applyFont="1" applyBorder="1"/>
    <xf numFmtId="2" fontId="0" fillId="0" borderId="14" xfId="0" applyNumberFormat="1" applyBorder="1"/>
    <xf numFmtId="15" fontId="2" fillId="0" borderId="0" xfId="0" applyNumberFormat="1" applyFont="1"/>
    <xf numFmtId="0" fontId="4" fillId="0" borderId="5" xfId="0" applyFont="1" applyBorder="1"/>
    <xf numFmtId="164" fontId="4" fillId="0" borderId="6" xfId="0" applyNumberFormat="1" applyFont="1" applyBorder="1"/>
    <xf numFmtId="164" fontId="1" fillId="3" borderId="0" xfId="0" applyNumberFormat="1" applyFont="1" applyFill="1" applyAlignment="1"/>
    <xf numFmtId="0" fontId="3" fillId="0" borderId="2" xfId="0" applyFont="1" applyBorder="1"/>
    <xf numFmtId="0" fontId="3" fillId="0" borderId="3" xfId="0" applyFont="1" applyBorder="1"/>
    <xf numFmtId="0" fontId="2" fillId="4" borderId="0" xfId="0" applyFont="1" applyFill="1"/>
    <xf numFmtId="2" fontId="0" fillId="4" borderId="0" xfId="0" applyNumberFormat="1" applyFill="1"/>
    <xf numFmtId="164" fontId="0" fillId="0" borderId="0" xfId="0" applyNumberFormat="1" applyBorder="1"/>
    <xf numFmtId="164" fontId="3" fillId="0" borderId="8" xfId="0" applyNumberFormat="1" applyFont="1" applyBorder="1"/>
    <xf numFmtId="1" fontId="0" fillId="0" borderId="5" xfId="0" applyNumberFormat="1" applyBorder="1"/>
    <xf numFmtId="164" fontId="0" fillId="0" borderId="15" xfId="0" applyNumberFormat="1" applyBorder="1"/>
    <xf numFmtId="164" fontId="5" fillId="0" borderId="6" xfId="0" applyNumberFormat="1" applyFont="1" applyBorder="1"/>
    <xf numFmtId="164" fontId="2" fillId="0" borderId="6" xfId="0" applyNumberFormat="1" applyFont="1" applyBorder="1"/>
    <xf numFmtId="164" fontId="6" fillId="0" borderId="6" xfId="0" applyNumberFormat="1" applyFont="1" applyBorder="1"/>
    <xf numFmtId="164" fontId="0" fillId="0" borderId="0" xfId="0" applyNumberFormat="1" applyFill="1" applyBorder="1"/>
    <xf numFmtId="166" fontId="0" fillId="0" borderId="0" xfId="0" applyNumberFormat="1"/>
    <xf numFmtId="166" fontId="1" fillId="3" borderId="0" xfId="0" applyNumberFormat="1" applyFont="1" applyFill="1" applyAlignment="1"/>
    <xf numFmtId="164" fontId="0" fillId="4" borderId="0" xfId="0" applyNumberFormat="1" applyFill="1"/>
    <xf numFmtId="167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CWUP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421084864391951"/>
          <c:y val="0.19480351414406533"/>
          <c:w val="0.79410870516185472"/>
          <c:h val="0.68921660834062404"/>
        </c:manualLayout>
      </c:layout>
      <c:scatterChart>
        <c:scatterStyle val="lineMarker"/>
        <c:varyColors val="0"/>
        <c:ser>
          <c:idx val="1"/>
          <c:order val="0"/>
          <c:tx>
            <c:strRef>
              <c:f>pencost!$E$1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pencost!$D$2:$D$6</c:f>
              <c:numCache>
                <c:formatCode>General</c:formatCode>
                <c:ptCount val="5"/>
                <c:pt idx="0">
                  <c:v>95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</c:numCache>
            </c:numRef>
          </c:xVal>
          <c:yVal>
            <c:numRef>
              <c:f>pencost!$E$2:$E$6</c:f>
              <c:numCache>
                <c:formatCode>0.00E+00</c:formatCode>
                <c:ptCount val="5"/>
                <c:pt idx="0">
                  <c:v>100000</c:v>
                </c:pt>
                <c:pt idx="1">
                  <c:v>100000</c:v>
                </c:pt>
                <c:pt idx="2">
                  <c:v>40000</c:v>
                </c:pt>
                <c:pt idx="3">
                  <c:v>10000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1440"/>
        <c:axId val="105022016"/>
      </c:scatterChart>
      <c:valAx>
        <c:axId val="10502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22016"/>
        <c:crosses val="autoZero"/>
        <c:crossBetween val="midCat"/>
      </c:valAx>
      <c:valAx>
        <c:axId val="1050220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502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9525</xdr:rowOff>
    </xdr:from>
    <xdr:to>
      <xdr:col>13</xdr:col>
      <xdr:colOff>419100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6"/>
  <sheetViews>
    <sheetView topLeftCell="A39" zoomScaleNormal="100" workbookViewId="0">
      <selection activeCell="C16" sqref="C16"/>
    </sheetView>
  </sheetViews>
  <sheetFormatPr defaultRowHeight="15" x14ac:dyDescent="0.25"/>
  <cols>
    <col min="1" max="1" width="14.28515625" customWidth="1"/>
    <col min="2" max="2" width="29.85546875" customWidth="1"/>
    <col min="3" max="5" width="12.85546875" bestFit="1" customWidth="1"/>
    <col min="6" max="14" width="12.28515625" bestFit="1" customWidth="1"/>
    <col min="15" max="15" width="9.5703125" bestFit="1" customWidth="1"/>
    <col min="16" max="16" width="16.7109375" bestFit="1" customWidth="1"/>
  </cols>
  <sheetData>
    <row r="1" spans="1:19" x14ac:dyDescent="0.25">
      <c r="A1" s="49"/>
      <c r="B1" s="50" t="s">
        <v>0</v>
      </c>
      <c r="C1" s="51">
        <v>43374</v>
      </c>
      <c r="D1" s="51">
        <v>43405</v>
      </c>
      <c r="E1" s="51">
        <v>43435</v>
      </c>
      <c r="F1" s="51">
        <v>43466</v>
      </c>
      <c r="G1" s="51">
        <v>43497</v>
      </c>
      <c r="H1" s="51">
        <v>43525</v>
      </c>
      <c r="I1" s="51">
        <v>43556</v>
      </c>
      <c r="J1" s="51">
        <v>43586</v>
      </c>
      <c r="K1" s="51">
        <v>43617</v>
      </c>
      <c r="L1" s="51">
        <v>43647</v>
      </c>
      <c r="M1" s="51">
        <v>43678</v>
      </c>
      <c r="N1" s="51">
        <v>43709</v>
      </c>
    </row>
    <row r="2" spans="1:19" x14ac:dyDescent="0.25">
      <c r="A2" s="49"/>
      <c r="B2" s="50" t="s">
        <v>1</v>
      </c>
      <c r="C2" s="52">
        <v>35.493470416045355</v>
      </c>
      <c r="D2" s="52">
        <v>31.752714914510236</v>
      </c>
      <c r="E2" s="52">
        <v>28.955072380417057</v>
      </c>
      <c r="F2" s="52">
        <v>30.466520488974282</v>
      </c>
      <c r="G2" s="52">
        <v>28.312380489753927</v>
      </c>
      <c r="H2" s="52">
        <v>29.977423273101429</v>
      </c>
      <c r="I2" s="52">
        <v>28.997078443397932</v>
      </c>
      <c r="J2" s="52">
        <v>26.649961263764332</v>
      </c>
      <c r="K2" s="52">
        <v>34.770277415635491</v>
      </c>
      <c r="L2" s="52">
        <v>33.604469109299082</v>
      </c>
      <c r="M2" s="52">
        <v>30.946990684342914</v>
      </c>
      <c r="N2" s="52">
        <v>35.283360724704515</v>
      </c>
      <c r="O2" s="4">
        <f>AVERAGE(C2:N2)</f>
        <v>31.267476633662213</v>
      </c>
    </row>
    <row r="3" spans="1:19" x14ac:dyDescent="0.25">
      <c r="A3" s="49"/>
      <c r="B3" s="50" t="s">
        <v>2</v>
      </c>
      <c r="C3" s="52">
        <v>2.8615212482344168</v>
      </c>
      <c r="D3" s="52">
        <v>3.1993530351623933</v>
      </c>
      <c r="E3" s="52">
        <v>2.9047113051342155</v>
      </c>
      <c r="F3" s="52">
        <v>2.9299052736723854</v>
      </c>
      <c r="G3" s="52">
        <v>2.9725586570621614</v>
      </c>
      <c r="H3" s="52">
        <v>2.5249523248247394</v>
      </c>
      <c r="I3" s="52">
        <v>3.3437319232835776</v>
      </c>
      <c r="J3" s="52">
        <v>3.1506265513758915</v>
      </c>
      <c r="K3" s="52">
        <v>3.1649853637932992</v>
      </c>
      <c r="L3" s="52">
        <v>3.1138393824326638</v>
      </c>
      <c r="M3" s="52">
        <v>3.1808994573124179</v>
      </c>
      <c r="N3" s="52">
        <v>3.5502166753374844</v>
      </c>
      <c r="O3" s="4">
        <f t="shared" ref="O3:O9" si="0">AVERAGE(C3:N3)</f>
        <v>3.0747750998021375</v>
      </c>
    </row>
    <row r="4" spans="1:19" x14ac:dyDescent="0.25">
      <c r="A4" s="49"/>
      <c r="B4" s="50" t="s">
        <v>3</v>
      </c>
      <c r="C4" s="52">
        <v>18.865724208358863</v>
      </c>
      <c r="D4" s="52">
        <v>19.688211774258701</v>
      </c>
      <c r="E4" s="52">
        <v>18.691160204702648</v>
      </c>
      <c r="F4" s="52">
        <v>17.848909301290206</v>
      </c>
      <c r="G4" s="52">
        <v>18.089284249869031</v>
      </c>
      <c r="H4" s="52">
        <v>19.123351918059942</v>
      </c>
      <c r="I4" s="52">
        <v>19.369786659796105</v>
      </c>
      <c r="J4" s="52">
        <v>20.516179276800791</v>
      </c>
      <c r="K4" s="52">
        <v>19.244685989287262</v>
      </c>
      <c r="L4" s="52">
        <v>17.95995906235154</v>
      </c>
      <c r="M4" s="52">
        <v>17.329400206136214</v>
      </c>
      <c r="N4" s="52">
        <v>17.774094651852621</v>
      </c>
      <c r="O4" s="4">
        <f t="shared" si="0"/>
        <v>18.708395625230327</v>
      </c>
    </row>
    <row r="5" spans="1:19" x14ac:dyDescent="0.25">
      <c r="A5" s="49"/>
      <c r="B5" s="50" t="s">
        <v>4</v>
      </c>
      <c r="C5" s="52">
        <v>41.472485928429919</v>
      </c>
      <c r="D5" s="52">
        <v>42.823734687241831</v>
      </c>
      <c r="E5" s="52">
        <v>40.197370831748685</v>
      </c>
      <c r="F5" s="52">
        <v>38.348116789572117</v>
      </c>
      <c r="G5" s="52">
        <v>39.156874332242616</v>
      </c>
      <c r="H5" s="52">
        <v>42.050256457943512</v>
      </c>
      <c r="I5" s="52">
        <v>42.788793628185893</v>
      </c>
      <c r="J5" s="52">
        <v>46.24126469605411</v>
      </c>
      <c r="K5" s="52">
        <v>42.554711320657212</v>
      </c>
      <c r="L5" s="52">
        <v>40.273750265314412</v>
      </c>
      <c r="M5" s="52">
        <v>38.98157396867353</v>
      </c>
      <c r="N5" s="52">
        <v>39.723551221728357</v>
      </c>
      <c r="O5" s="4">
        <f t="shared" si="0"/>
        <v>41.217707010649349</v>
      </c>
    </row>
    <row r="6" spans="1:19" x14ac:dyDescent="0.25">
      <c r="A6" s="49"/>
      <c r="B6" s="50" t="s">
        <v>111</v>
      </c>
      <c r="C6" s="52">
        <v>76.642741650149148</v>
      </c>
      <c r="D6" s="52">
        <v>73.776036772003039</v>
      </c>
      <c r="E6" s="52">
        <v>75.169612709741898</v>
      </c>
      <c r="F6" s="52">
        <v>73.0204343392532</v>
      </c>
      <c r="G6" s="52">
        <v>69.752865820986756</v>
      </c>
      <c r="H6" s="52">
        <v>78.21020383208338</v>
      </c>
      <c r="I6" s="52">
        <v>79.346746971675927</v>
      </c>
      <c r="J6" s="52">
        <v>82.082381269863774</v>
      </c>
      <c r="K6" s="52">
        <v>71.073193439815014</v>
      </c>
      <c r="L6" s="52">
        <v>74.716722089054741</v>
      </c>
      <c r="M6" s="52">
        <v>75.717983411686589</v>
      </c>
      <c r="N6" s="52">
        <v>72.316745331573216</v>
      </c>
      <c r="O6" s="4">
        <f t="shared" si="0"/>
        <v>75.152138969823895</v>
      </c>
    </row>
    <row r="7" spans="1:19" x14ac:dyDescent="0.25">
      <c r="A7" s="49"/>
      <c r="B7" s="50" t="s">
        <v>114</v>
      </c>
      <c r="C7" s="52">
        <v>49.386583492135067</v>
      </c>
      <c r="D7" s="52">
        <v>50.145892763419859</v>
      </c>
      <c r="E7" s="52">
        <v>49.3226964418702</v>
      </c>
      <c r="F7" s="52">
        <v>49.13216940705987</v>
      </c>
      <c r="G7" s="52">
        <v>50.914114967911814</v>
      </c>
      <c r="H7" s="52">
        <v>49.111110927943429</v>
      </c>
      <c r="I7" s="52">
        <v>43.217084699497548</v>
      </c>
      <c r="J7" s="52">
        <v>50.776253474595066</v>
      </c>
      <c r="K7" s="52">
        <v>50.451573366205224</v>
      </c>
      <c r="L7" s="52">
        <v>49.425488614881473</v>
      </c>
      <c r="M7" s="52">
        <v>49.023553518480057</v>
      </c>
      <c r="N7" s="52">
        <v>48.939644017652668</v>
      </c>
      <c r="O7" s="4">
        <f t="shared" si="0"/>
        <v>49.153847140971031</v>
      </c>
    </row>
    <row r="8" spans="1:19" x14ac:dyDescent="0.25">
      <c r="A8" s="49"/>
      <c r="B8" s="50" t="s">
        <v>6</v>
      </c>
      <c r="C8" s="52">
        <v>29.039817054779284</v>
      </c>
      <c r="D8" s="52">
        <v>29.244557437012134</v>
      </c>
      <c r="E8" s="52">
        <v>28.111380453153988</v>
      </c>
      <c r="F8" s="52">
        <v>28.215480092879506</v>
      </c>
      <c r="G8" s="52">
        <v>28.904952469761625</v>
      </c>
      <c r="H8" s="52">
        <v>29.576110617208553</v>
      </c>
      <c r="I8" s="52">
        <v>30.419073198285002</v>
      </c>
      <c r="J8" s="52">
        <v>31.532086207455833</v>
      </c>
      <c r="K8" s="52">
        <v>26.590507887490322</v>
      </c>
      <c r="L8" s="52">
        <v>29.314529182920538</v>
      </c>
      <c r="M8" s="52">
        <v>28.908901898358284</v>
      </c>
      <c r="N8" s="52">
        <v>28.601695117043455</v>
      </c>
      <c r="O8" s="4">
        <f t="shared" si="0"/>
        <v>29.038257634695711</v>
      </c>
    </row>
    <row r="9" spans="1:19" x14ac:dyDescent="0.25">
      <c r="A9" s="53"/>
      <c r="B9" s="54" t="s">
        <v>110</v>
      </c>
      <c r="C9" s="60">
        <v>253.45193538646865</v>
      </c>
      <c r="D9" s="60">
        <v>250.59166301909991</v>
      </c>
      <c r="E9" s="60">
        <v>245.3134249489984</v>
      </c>
      <c r="F9" s="60">
        <v>242.56550539391947</v>
      </c>
      <c r="G9" s="60">
        <v>240.06422786104588</v>
      </c>
      <c r="H9" s="74">
        <v>250.35858565957105</v>
      </c>
      <c r="I9" s="60">
        <v>247.21010477548054</v>
      </c>
      <c r="J9" s="60">
        <v>259.10774798972363</v>
      </c>
      <c r="K9" s="60">
        <v>248.61060723914596</v>
      </c>
      <c r="L9" s="60">
        <v>248.52906786832318</v>
      </c>
      <c r="M9" s="60">
        <v>244.50755464415417</v>
      </c>
      <c r="N9" s="60">
        <v>246.66727438638128</v>
      </c>
      <c r="O9" s="4">
        <f t="shared" si="0"/>
        <v>248.08147493102595</v>
      </c>
      <c r="P9" s="76"/>
    </row>
    <row r="10" spans="1:19" x14ac:dyDescent="0.25">
      <c r="A10" s="1"/>
      <c r="B10" s="2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"/>
    </row>
    <row r="11" spans="1:19" x14ac:dyDescent="0.25">
      <c r="A11" s="57">
        <v>43070</v>
      </c>
      <c r="C11" s="3">
        <f>SUM(C2:C8)</f>
        <v>253.76234399813205</v>
      </c>
      <c r="D11" s="3">
        <f t="shared" ref="D11:M11" si="1">SUM(D2:D8)</f>
        <v>250.63050138360819</v>
      </c>
      <c r="E11" s="3">
        <f t="shared" si="1"/>
        <v>243.35200432676868</v>
      </c>
      <c r="F11" s="3">
        <f t="shared" si="1"/>
        <v>239.96153569270157</v>
      </c>
      <c r="G11" s="3">
        <f t="shared" si="1"/>
        <v>238.10303098758794</v>
      </c>
      <c r="H11" s="73">
        <f>SUM(H2:H8)</f>
        <v>250.57340935116497</v>
      </c>
      <c r="I11" s="3">
        <f t="shared" si="1"/>
        <v>247.48229552412198</v>
      </c>
      <c r="J11" s="3">
        <f t="shared" si="1"/>
        <v>260.94875273990982</v>
      </c>
      <c r="K11" s="3">
        <f t="shared" si="1"/>
        <v>247.84993478288382</v>
      </c>
      <c r="L11" s="3">
        <f t="shared" si="1"/>
        <v>248.40875770625445</v>
      </c>
      <c r="M11" s="3">
        <f t="shared" si="1"/>
        <v>244.08930314499003</v>
      </c>
      <c r="N11" s="3">
        <f>SUM(N2:N8)</f>
        <v>246.18930773989229</v>
      </c>
      <c r="O11" s="4">
        <f>AVERAGE(C11:N11)</f>
        <v>247.61259811483467</v>
      </c>
      <c r="P11" s="4"/>
      <c r="Q11" s="3">
        <f>O11-O6-2.2</f>
        <v>170.26045914501077</v>
      </c>
      <c r="S11" s="4">
        <f>O11-82</f>
        <v>165.61259811483467</v>
      </c>
    </row>
    <row r="12" spans="1:19" x14ac:dyDescent="0.25">
      <c r="A12" s="6" t="s">
        <v>61</v>
      </c>
      <c r="B12" s="6" t="s">
        <v>115</v>
      </c>
    </row>
    <row r="13" spans="1:19" x14ac:dyDescent="0.25">
      <c r="C13" s="5" t="s">
        <v>7</v>
      </c>
      <c r="D13" s="5" t="s">
        <v>8</v>
      </c>
      <c r="E13" s="5" t="s">
        <v>9</v>
      </c>
      <c r="F13" s="5" t="s">
        <v>10</v>
      </c>
      <c r="G13" s="5" t="s">
        <v>11</v>
      </c>
      <c r="H13" s="5" t="s">
        <v>12</v>
      </c>
      <c r="I13" s="5" t="s">
        <v>13</v>
      </c>
      <c r="J13" s="5" t="s">
        <v>14</v>
      </c>
      <c r="K13" s="5" t="s">
        <v>15</v>
      </c>
      <c r="L13" s="5" t="s">
        <v>16</v>
      </c>
      <c r="M13" s="5" t="s">
        <v>17</v>
      </c>
      <c r="N13" s="5" t="s">
        <v>18</v>
      </c>
      <c r="O13" s="5" t="s">
        <v>23</v>
      </c>
      <c r="S13" s="4">
        <f>S11+6</f>
        <v>171.61259811483467</v>
      </c>
    </row>
    <row r="14" spans="1:19" ht="15.75" thickBot="1" x14ac:dyDescent="0.3">
      <c r="B14" s="6" t="s">
        <v>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9" x14ac:dyDescent="0.25">
      <c r="B15" s="7" t="s">
        <v>26</v>
      </c>
      <c r="C15" s="18">
        <f>C5</f>
        <v>41.472485928429919</v>
      </c>
      <c r="D15" s="18">
        <f t="shared" ref="D15:N15" si="2">D5</f>
        <v>42.823734687241831</v>
      </c>
      <c r="E15" s="18">
        <f t="shared" si="2"/>
        <v>40.197370831748685</v>
      </c>
      <c r="F15" s="18">
        <f t="shared" si="2"/>
        <v>38.348116789572117</v>
      </c>
      <c r="G15" s="18">
        <f t="shared" si="2"/>
        <v>39.156874332242616</v>
      </c>
      <c r="H15" s="18">
        <f t="shared" si="2"/>
        <v>42.050256457943512</v>
      </c>
      <c r="I15" s="18">
        <f t="shared" si="2"/>
        <v>42.788793628185893</v>
      </c>
      <c r="J15" s="18">
        <f t="shared" si="2"/>
        <v>46.24126469605411</v>
      </c>
      <c r="K15" s="18">
        <f t="shared" si="2"/>
        <v>42.554711320657212</v>
      </c>
      <c r="L15" s="18">
        <f t="shared" si="2"/>
        <v>40.273750265314412</v>
      </c>
      <c r="M15" s="18">
        <f t="shared" si="2"/>
        <v>38.98157396867353</v>
      </c>
      <c r="N15" s="18">
        <f t="shared" si="2"/>
        <v>39.723551221728357</v>
      </c>
      <c r="O15" s="9">
        <f>AVERAGE(C15:N15)</f>
        <v>41.217707010649349</v>
      </c>
    </row>
    <row r="16" spans="1:19" x14ac:dyDescent="0.25">
      <c r="B16" s="10" t="s">
        <v>27</v>
      </c>
      <c r="C16" s="11">
        <v>11</v>
      </c>
      <c r="D16" s="11">
        <v>11</v>
      </c>
      <c r="E16" s="11">
        <v>11</v>
      </c>
      <c r="F16" s="11">
        <v>11</v>
      </c>
      <c r="G16" s="11">
        <v>11</v>
      </c>
      <c r="H16" s="11">
        <v>11</v>
      </c>
      <c r="I16" s="11">
        <v>11</v>
      </c>
      <c r="J16" s="11">
        <v>11</v>
      </c>
      <c r="K16" s="11">
        <v>11</v>
      </c>
      <c r="L16" s="11">
        <v>11</v>
      </c>
      <c r="M16" s="11">
        <v>11</v>
      </c>
      <c r="N16" s="11">
        <v>11</v>
      </c>
      <c r="O16" s="12">
        <f t="shared" ref="O16:O27" si="3">AVERAGE(C16:N16)</f>
        <v>11</v>
      </c>
    </row>
    <row r="17" spans="1:16" x14ac:dyDescent="0.25">
      <c r="B17" s="10" t="s">
        <v>19</v>
      </c>
      <c r="C17" s="13">
        <f>C15-C16</f>
        <v>30.472485928429919</v>
      </c>
      <c r="D17" s="13">
        <f t="shared" ref="D17:N17" si="4">D15-D16</f>
        <v>31.823734687241831</v>
      </c>
      <c r="E17" s="13">
        <f t="shared" si="4"/>
        <v>29.197370831748685</v>
      </c>
      <c r="F17" s="13">
        <f t="shared" si="4"/>
        <v>27.348116789572117</v>
      </c>
      <c r="G17" s="13">
        <f t="shared" si="4"/>
        <v>28.156874332242616</v>
      </c>
      <c r="H17" s="13">
        <f t="shared" si="4"/>
        <v>31.050256457943512</v>
      </c>
      <c r="I17" s="13">
        <f t="shared" si="4"/>
        <v>31.788793628185893</v>
      </c>
      <c r="J17" s="13">
        <f t="shared" si="4"/>
        <v>35.24126469605411</v>
      </c>
      <c r="K17" s="13">
        <f t="shared" si="4"/>
        <v>31.554711320657212</v>
      </c>
      <c r="L17" s="13">
        <f t="shared" si="4"/>
        <v>29.273750265314412</v>
      </c>
      <c r="M17" s="13">
        <f t="shared" si="4"/>
        <v>27.98157396867353</v>
      </c>
      <c r="N17" s="13">
        <f t="shared" si="4"/>
        <v>28.723551221728357</v>
      </c>
      <c r="O17" s="12">
        <f t="shared" si="3"/>
        <v>30.217707010649349</v>
      </c>
    </row>
    <row r="18" spans="1:16" x14ac:dyDescent="0.25">
      <c r="A18" s="37" t="s">
        <v>62</v>
      </c>
      <c r="B18" s="10" t="s">
        <v>28</v>
      </c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2">
        <f t="shared" si="3"/>
        <v>1</v>
      </c>
    </row>
    <row r="19" spans="1:16" x14ac:dyDescent="0.25">
      <c r="A19" s="37" t="s">
        <v>62</v>
      </c>
      <c r="B19" s="10" t="s">
        <v>112</v>
      </c>
      <c r="C19" s="13">
        <v>3</v>
      </c>
      <c r="D19" s="13">
        <v>3</v>
      </c>
      <c r="E19" s="13">
        <v>3</v>
      </c>
      <c r="F19" s="13">
        <v>3</v>
      </c>
      <c r="G19" s="13">
        <v>3</v>
      </c>
      <c r="H19" s="13">
        <v>3</v>
      </c>
      <c r="I19" s="13">
        <v>3</v>
      </c>
      <c r="J19" s="13">
        <v>3</v>
      </c>
      <c r="K19" s="13">
        <v>3</v>
      </c>
      <c r="L19" s="13">
        <v>3</v>
      </c>
      <c r="M19" s="13">
        <v>3</v>
      </c>
      <c r="N19" s="13">
        <v>3</v>
      </c>
      <c r="O19" s="12">
        <f t="shared" si="3"/>
        <v>3</v>
      </c>
    </row>
    <row r="20" spans="1:16" x14ac:dyDescent="0.25">
      <c r="B20" s="10" t="s">
        <v>113</v>
      </c>
      <c r="C20" s="11">
        <v>8</v>
      </c>
      <c r="D20" s="11">
        <v>4</v>
      </c>
      <c r="E20" s="11">
        <v>4</v>
      </c>
      <c r="F20" s="11">
        <v>4</v>
      </c>
      <c r="G20" s="11">
        <v>4</v>
      </c>
      <c r="H20" s="11">
        <v>4</v>
      </c>
      <c r="I20" s="11">
        <v>4</v>
      </c>
      <c r="J20" s="11">
        <v>4</v>
      </c>
      <c r="K20" s="11">
        <v>4</v>
      </c>
      <c r="L20" s="11">
        <v>4</v>
      </c>
      <c r="M20" s="11">
        <v>8</v>
      </c>
      <c r="N20" s="11">
        <v>4</v>
      </c>
      <c r="O20" s="12">
        <f>AVERAGE(C20:N20)</f>
        <v>4.666666666666667</v>
      </c>
    </row>
    <row r="21" spans="1:16" x14ac:dyDescent="0.25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1:16" x14ac:dyDescent="0.25">
      <c r="A22" s="37" t="s">
        <v>107</v>
      </c>
      <c r="B22" s="55" t="s">
        <v>108</v>
      </c>
      <c r="C22" s="56">
        <f>C18+C19</f>
        <v>4</v>
      </c>
      <c r="D22" s="56">
        <f t="shared" ref="D22:N22" si="5">D18+D19</f>
        <v>4</v>
      </c>
      <c r="E22" s="56">
        <f t="shared" si="5"/>
        <v>4</v>
      </c>
      <c r="F22" s="56">
        <f t="shared" si="5"/>
        <v>4</v>
      </c>
      <c r="G22" s="56">
        <f t="shared" si="5"/>
        <v>4</v>
      </c>
      <c r="H22" s="56">
        <f t="shared" si="5"/>
        <v>4</v>
      </c>
      <c r="I22" s="56">
        <f t="shared" si="5"/>
        <v>4</v>
      </c>
      <c r="J22" s="56">
        <f t="shared" si="5"/>
        <v>4</v>
      </c>
      <c r="K22" s="56">
        <f t="shared" si="5"/>
        <v>4</v>
      </c>
      <c r="L22" s="56">
        <f t="shared" si="5"/>
        <v>4</v>
      </c>
      <c r="M22" s="56">
        <f t="shared" si="5"/>
        <v>4</v>
      </c>
      <c r="N22" s="56">
        <f t="shared" si="5"/>
        <v>4</v>
      </c>
      <c r="O22" s="71">
        <f t="shared" si="3"/>
        <v>4</v>
      </c>
    </row>
    <row r="23" spans="1:16" ht="15.75" thickBot="1" x14ac:dyDescent="0.3">
      <c r="A23" s="37" t="s">
        <v>67</v>
      </c>
      <c r="B23" s="15" t="s">
        <v>29</v>
      </c>
      <c r="C23" s="19">
        <f>C17-C20-C22</f>
        <v>18.472485928429919</v>
      </c>
      <c r="D23" s="19">
        <f t="shared" ref="D23:M23" si="6">D17-D20-D22</f>
        <v>23.823734687241831</v>
      </c>
      <c r="E23" s="19">
        <f t="shared" si="6"/>
        <v>21.197370831748685</v>
      </c>
      <c r="F23" s="19">
        <f t="shared" si="6"/>
        <v>19.348116789572117</v>
      </c>
      <c r="G23" s="19">
        <f>G17-G20-G22</f>
        <v>20.156874332242616</v>
      </c>
      <c r="H23" s="19">
        <f t="shared" si="6"/>
        <v>23.050256457943512</v>
      </c>
      <c r="I23" s="19">
        <f t="shared" si="6"/>
        <v>23.788793628185893</v>
      </c>
      <c r="J23" s="19">
        <f t="shared" si="6"/>
        <v>27.24126469605411</v>
      </c>
      <c r="K23" s="19">
        <f t="shared" si="6"/>
        <v>23.554711320657212</v>
      </c>
      <c r="L23" s="19">
        <f t="shared" si="6"/>
        <v>21.273750265314412</v>
      </c>
      <c r="M23" s="19">
        <f t="shared" si="6"/>
        <v>15.98157396867353</v>
      </c>
      <c r="N23" s="19">
        <f>N17-N20-N22</f>
        <v>20.723551221728357</v>
      </c>
      <c r="O23" s="71">
        <f>AVERAGE(C23:N23)</f>
        <v>21.551040343982681</v>
      </c>
      <c r="P23" s="4">
        <f>SUM(O22:O23)</f>
        <v>25.551040343982681</v>
      </c>
    </row>
    <row r="24" spans="1:16" ht="15.75" thickBot="1" x14ac:dyDescent="0.3">
      <c r="B24" s="6"/>
      <c r="O24" s="12"/>
    </row>
    <row r="25" spans="1:16" x14ac:dyDescent="0.25">
      <c r="B25" s="7" t="s">
        <v>20</v>
      </c>
      <c r="C25" s="8">
        <f>C2+C3+C4+C7+C8+C20</f>
        <v>143.64711641955299</v>
      </c>
      <c r="D25" s="8">
        <f t="shared" ref="D25:N25" si="7">D2+D3+D4+D7+D8+D20</f>
        <v>138.03072992436333</v>
      </c>
      <c r="E25" s="8">
        <f t="shared" si="7"/>
        <v>131.9850207852781</v>
      </c>
      <c r="F25" s="8">
        <f t="shared" si="7"/>
        <v>132.59298456387626</v>
      </c>
      <c r="G25" s="8">
        <f t="shared" si="7"/>
        <v>133.19329083435855</v>
      </c>
      <c r="H25" s="8">
        <f t="shared" si="7"/>
        <v>134.31294906113808</v>
      </c>
      <c r="I25" s="8">
        <f t="shared" si="7"/>
        <v>129.34675492426015</v>
      </c>
      <c r="J25" s="8">
        <f t="shared" si="7"/>
        <v>136.62510677399192</v>
      </c>
      <c r="K25" s="8">
        <f t="shared" si="7"/>
        <v>138.22203002241162</v>
      </c>
      <c r="L25" s="8">
        <f t="shared" si="7"/>
        <v>137.41828535188529</v>
      </c>
      <c r="M25" s="8">
        <f t="shared" si="7"/>
        <v>137.38974576462991</v>
      </c>
      <c r="N25" s="8">
        <f t="shared" si="7"/>
        <v>138.14901118659074</v>
      </c>
      <c r="O25" s="8">
        <f>O2+O3+O4+O7+O8+O20</f>
        <v>135.90941880102807</v>
      </c>
    </row>
    <row r="26" spans="1:16" x14ac:dyDescent="0.25">
      <c r="B26" s="10" t="s">
        <v>5</v>
      </c>
      <c r="C26" s="11">
        <v>0</v>
      </c>
      <c r="D26" s="11">
        <v>0</v>
      </c>
      <c r="E26" s="11">
        <v>0</v>
      </c>
      <c r="F26" s="11">
        <v>5</v>
      </c>
      <c r="G26" s="11">
        <v>5</v>
      </c>
      <c r="H26" s="11">
        <v>10</v>
      </c>
      <c r="I26" s="11">
        <v>20</v>
      </c>
      <c r="J26" s="11">
        <v>27</v>
      </c>
      <c r="K26" s="11">
        <v>5</v>
      </c>
      <c r="L26" s="11">
        <v>0</v>
      </c>
      <c r="M26" s="11">
        <v>0</v>
      </c>
      <c r="N26" s="11">
        <v>0</v>
      </c>
      <c r="O26" s="12">
        <f t="shared" si="3"/>
        <v>6</v>
      </c>
    </row>
    <row r="27" spans="1:16" x14ac:dyDescent="0.25">
      <c r="B27" s="10" t="s">
        <v>21</v>
      </c>
      <c r="C27" s="13">
        <f>C25+C26</f>
        <v>143.64711641955299</v>
      </c>
      <c r="D27" s="13">
        <f t="shared" ref="D27:N27" si="8">D25+D26</f>
        <v>138.03072992436333</v>
      </c>
      <c r="E27" s="13">
        <f t="shared" si="8"/>
        <v>131.9850207852781</v>
      </c>
      <c r="F27" s="13">
        <f t="shared" si="8"/>
        <v>137.59298456387626</v>
      </c>
      <c r="G27" s="13">
        <f t="shared" si="8"/>
        <v>138.19329083435855</v>
      </c>
      <c r="H27" s="13">
        <f t="shared" si="8"/>
        <v>144.31294906113808</v>
      </c>
      <c r="I27" s="13">
        <f t="shared" si="8"/>
        <v>149.34675492426015</v>
      </c>
      <c r="J27" s="13">
        <f t="shared" si="8"/>
        <v>163.62510677399192</v>
      </c>
      <c r="K27" s="13">
        <f t="shared" si="8"/>
        <v>143.22203002241162</v>
      </c>
      <c r="L27" s="13">
        <f t="shared" si="8"/>
        <v>137.41828535188529</v>
      </c>
      <c r="M27" s="13">
        <f t="shared" si="8"/>
        <v>137.38974576462991</v>
      </c>
      <c r="N27" s="13">
        <f t="shared" si="8"/>
        <v>138.14901118659074</v>
      </c>
      <c r="O27" s="12">
        <f t="shared" si="3"/>
        <v>141.90941880102807</v>
      </c>
    </row>
    <row r="28" spans="1:16" x14ac:dyDescent="0.25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</row>
    <row r="29" spans="1:16" ht="15.75" thickBot="1" x14ac:dyDescent="0.3">
      <c r="B29" s="15" t="s">
        <v>22</v>
      </c>
      <c r="C29" s="16">
        <f>C27+C16</f>
        <v>154.64711641955299</v>
      </c>
      <c r="D29" s="16">
        <f t="shared" ref="D29:N29" si="9">D27+D16</f>
        <v>149.03072992436333</v>
      </c>
      <c r="E29" s="16">
        <f t="shared" si="9"/>
        <v>142.9850207852781</v>
      </c>
      <c r="F29" s="16">
        <f t="shared" si="9"/>
        <v>148.59298456387626</v>
      </c>
      <c r="G29" s="16">
        <f t="shared" si="9"/>
        <v>149.19329083435855</v>
      </c>
      <c r="H29" s="16">
        <f t="shared" si="9"/>
        <v>155.31294906113808</v>
      </c>
      <c r="I29" s="16">
        <f t="shared" si="9"/>
        <v>160.34675492426015</v>
      </c>
      <c r="J29" s="16">
        <f t="shared" si="9"/>
        <v>174.62510677399192</v>
      </c>
      <c r="K29" s="16">
        <f t="shared" si="9"/>
        <v>154.22203002241162</v>
      </c>
      <c r="L29" s="16">
        <f t="shared" si="9"/>
        <v>148.41828535188529</v>
      </c>
      <c r="M29" s="16">
        <f t="shared" si="9"/>
        <v>148.38974576462991</v>
      </c>
      <c r="N29" s="16">
        <f t="shared" si="9"/>
        <v>149.14901118659074</v>
      </c>
      <c r="O29" s="12">
        <f>AVERAGE(C29:N29)</f>
        <v>152.90941880102807</v>
      </c>
    </row>
    <row r="30" spans="1:16" x14ac:dyDescent="0.25">
      <c r="B30" s="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65"/>
    </row>
    <row r="31" spans="1:16" x14ac:dyDescent="0.25">
      <c r="B31" s="6" t="s">
        <v>33</v>
      </c>
      <c r="C31" s="4">
        <f>C23+C22</f>
        <v>22.472485928429919</v>
      </c>
      <c r="D31" s="4">
        <f t="shared" ref="D31:M31" si="10">D23+D22</f>
        <v>27.823734687241831</v>
      </c>
      <c r="E31" s="4">
        <f t="shared" si="10"/>
        <v>25.197370831748685</v>
      </c>
      <c r="F31" s="4">
        <f t="shared" si="10"/>
        <v>23.348116789572117</v>
      </c>
      <c r="G31" s="4">
        <f t="shared" si="10"/>
        <v>24.156874332242616</v>
      </c>
      <c r="H31" s="4">
        <f t="shared" si="10"/>
        <v>27.050256457943512</v>
      </c>
      <c r="I31" s="4">
        <f t="shared" si="10"/>
        <v>27.788793628185893</v>
      </c>
      <c r="J31" s="4">
        <f t="shared" si="10"/>
        <v>31.24126469605411</v>
      </c>
      <c r="K31" s="4">
        <f t="shared" si="10"/>
        <v>27.554711320657212</v>
      </c>
      <c r="L31" s="4">
        <f t="shared" si="10"/>
        <v>25.273750265314412</v>
      </c>
      <c r="M31" s="4">
        <f t="shared" si="10"/>
        <v>19.98157396867353</v>
      </c>
      <c r="N31" s="4">
        <f>N23+N22</f>
        <v>24.723551221728357</v>
      </c>
      <c r="O31" s="65">
        <f>AVERAGE(C31:N31)</f>
        <v>25.551040343982681</v>
      </c>
    </row>
    <row r="32" spans="1:16" x14ac:dyDescent="0.25">
      <c r="O32" s="65"/>
    </row>
    <row r="33" spans="1:16" x14ac:dyDescent="0.25">
      <c r="B33" s="63" t="s">
        <v>25</v>
      </c>
      <c r="C33" s="64">
        <f>C29+C31</f>
        <v>177.11960234798289</v>
      </c>
      <c r="D33" s="64">
        <f t="shared" ref="D33:M33" si="11">D29+D31</f>
        <v>176.85446461160515</v>
      </c>
      <c r="E33" s="64">
        <f t="shared" si="11"/>
        <v>168.18239161702678</v>
      </c>
      <c r="F33" s="64">
        <f t="shared" si="11"/>
        <v>171.94110135344837</v>
      </c>
      <c r="G33" s="64">
        <f t="shared" si="11"/>
        <v>173.35016516660116</v>
      </c>
      <c r="H33" s="64">
        <f t="shared" si="11"/>
        <v>182.36320551908159</v>
      </c>
      <c r="I33" s="64">
        <f t="shared" si="11"/>
        <v>188.13554855244604</v>
      </c>
      <c r="J33" s="64">
        <f t="shared" si="11"/>
        <v>205.86637147004603</v>
      </c>
      <c r="K33" s="64">
        <f t="shared" si="11"/>
        <v>181.77674134306884</v>
      </c>
      <c r="L33" s="64">
        <f t="shared" si="11"/>
        <v>173.69203561719971</v>
      </c>
      <c r="M33" s="64">
        <f t="shared" si="11"/>
        <v>168.37131973330344</v>
      </c>
      <c r="N33" s="64">
        <f>N29+N31</f>
        <v>173.87256240831908</v>
      </c>
      <c r="O33" s="75">
        <f>O29+O31</f>
        <v>178.46045914501076</v>
      </c>
    </row>
    <row r="34" spans="1:16" x14ac:dyDescent="0.25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6" ht="15.75" thickBot="1" x14ac:dyDescent="0.3">
      <c r="B35" s="20" t="s">
        <v>32</v>
      </c>
      <c r="C35" s="5" t="s">
        <v>7</v>
      </c>
      <c r="D35" s="5" t="s">
        <v>8</v>
      </c>
      <c r="E35" s="5" t="s">
        <v>9</v>
      </c>
      <c r="F35" s="5" t="s">
        <v>10</v>
      </c>
      <c r="G35" s="5" t="s">
        <v>11</v>
      </c>
      <c r="H35" s="5" t="s">
        <v>12</v>
      </c>
      <c r="I35" s="5" t="s">
        <v>13</v>
      </c>
      <c r="J35" s="5" t="s">
        <v>14</v>
      </c>
      <c r="K35" s="5" t="s">
        <v>15</v>
      </c>
      <c r="L35" s="5" t="s">
        <v>16</v>
      </c>
      <c r="M35" s="5" t="s">
        <v>17</v>
      </c>
      <c r="N35" s="5" t="s">
        <v>18</v>
      </c>
      <c r="O35" s="5" t="s">
        <v>23</v>
      </c>
    </row>
    <row r="36" spans="1:16" x14ac:dyDescent="0.25">
      <c r="A36" s="37" t="s">
        <v>86</v>
      </c>
      <c r="B36" s="7" t="s">
        <v>31</v>
      </c>
      <c r="C36" s="61">
        <v>0</v>
      </c>
      <c r="D36" s="61">
        <v>8</v>
      </c>
      <c r="E36" s="61">
        <v>12</v>
      </c>
      <c r="F36" s="61">
        <v>16</v>
      </c>
      <c r="G36" s="61">
        <v>16</v>
      </c>
      <c r="H36" s="61">
        <v>16</v>
      </c>
      <c r="I36" s="61">
        <v>16</v>
      </c>
      <c r="J36" s="61">
        <v>16</v>
      </c>
      <c r="K36" s="61">
        <v>8</v>
      </c>
      <c r="L36" s="61">
        <v>0</v>
      </c>
      <c r="M36" s="61">
        <v>0</v>
      </c>
      <c r="N36" s="61">
        <v>0</v>
      </c>
      <c r="O36" s="62">
        <f>AVERAGE(C36:N36)</f>
        <v>9</v>
      </c>
    </row>
    <row r="37" spans="1:16" x14ac:dyDescent="0.25">
      <c r="A37" s="37" t="s">
        <v>104</v>
      </c>
      <c r="B37" s="10" t="s">
        <v>109</v>
      </c>
      <c r="C37" s="11">
        <v>0.83</v>
      </c>
      <c r="D37" s="11">
        <v>0.83</v>
      </c>
      <c r="E37" s="11">
        <v>0.83</v>
      </c>
      <c r="F37" s="11">
        <v>0.83</v>
      </c>
      <c r="G37" s="11">
        <v>0.83</v>
      </c>
      <c r="H37" s="11">
        <v>0.83</v>
      </c>
      <c r="I37" s="11">
        <v>0.83</v>
      </c>
      <c r="J37" s="11">
        <v>0.83</v>
      </c>
      <c r="K37" s="11">
        <v>0.83</v>
      </c>
      <c r="L37" s="11">
        <v>0.83</v>
      </c>
      <c r="M37" s="11">
        <v>0.83</v>
      </c>
      <c r="N37" s="11">
        <v>0.83</v>
      </c>
      <c r="O37" s="69">
        <f>AVERAGE(C37:N37)</f>
        <v>0.83</v>
      </c>
    </row>
    <row r="38" spans="1:16" x14ac:dyDescent="0.25">
      <c r="A38" s="37" t="s">
        <v>87</v>
      </c>
      <c r="B38" s="10" t="s">
        <v>30</v>
      </c>
      <c r="C38" s="11">
        <v>70</v>
      </c>
      <c r="D38" s="11">
        <v>55</v>
      </c>
      <c r="E38" s="11">
        <v>55</v>
      </c>
      <c r="F38" s="11">
        <v>55</v>
      </c>
      <c r="G38" s="11">
        <v>55</v>
      </c>
      <c r="H38" s="11">
        <v>55</v>
      </c>
      <c r="I38" s="11">
        <v>55</v>
      </c>
      <c r="J38" s="11">
        <v>55</v>
      </c>
      <c r="K38" s="11">
        <v>55</v>
      </c>
      <c r="L38" s="11">
        <v>70</v>
      </c>
      <c r="M38" s="11">
        <v>70</v>
      </c>
      <c r="N38" s="11">
        <v>70</v>
      </c>
      <c r="O38" s="59">
        <f>AVERAGE(C38:N38)</f>
        <v>60</v>
      </c>
      <c r="P38" s="4">
        <f>O38+O37</f>
        <v>60.83</v>
      </c>
    </row>
    <row r="39" spans="1:16" x14ac:dyDescent="0.25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4"/>
    </row>
    <row r="40" spans="1:16" x14ac:dyDescent="0.25">
      <c r="A40" s="37" t="s">
        <v>65</v>
      </c>
      <c r="B40" s="10" t="s">
        <v>64</v>
      </c>
      <c r="C40" s="11">
        <v>0</v>
      </c>
      <c r="D40" s="11">
        <v>0</v>
      </c>
      <c r="E40" s="11">
        <v>0.6</v>
      </c>
      <c r="F40" s="11">
        <v>0.6</v>
      </c>
      <c r="G40" s="11">
        <v>0</v>
      </c>
      <c r="H40" s="11">
        <v>0.6</v>
      </c>
      <c r="I40" s="11">
        <v>0.6</v>
      </c>
      <c r="J40" s="11">
        <v>0.6</v>
      </c>
      <c r="K40" s="11">
        <v>0</v>
      </c>
      <c r="L40" s="11">
        <v>0</v>
      </c>
      <c r="M40" s="11">
        <v>0</v>
      </c>
      <c r="N40" s="11">
        <v>0</v>
      </c>
      <c r="O40" s="70">
        <f>AVERAGE(C40:N40)</f>
        <v>0.25</v>
      </c>
    </row>
    <row r="41" spans="1:16" x14ac:dyDescent="0.25">
      <c r="A41" s="37" t="s">
        <v>66</v>
      </c>
      <c r="B41" s="10" t="s">
        <v>63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70">
        <f>AVERAGE(C41:N41)</f>
        <v>0</v>
      </c>
    </row>
    <row r="42" spans="1:16" ht="15.75" thickBot="1" x14ac:dyDescent="0.3">
      <c r="B42" s="15" t="s">
        <v>34</v>
      </c>
      <c r="C42" s="16">
        <f>C29-C36-C37-C38-C40-C41</f>
        <v>83.817116419552974</v>
      </c>
      <c r="D42" s="16">
        <f t="shared" ref="D42:M42" si="12">D29-D36-D37-D38-D40-D41</f>
        <v>85.200729924363316</v>
      </c>
      <c r="E42" s="16">
        <f t="shared" si="12"/>
        <v>74.555020785278089</v>
      </c>
      <c r="F42" s="16">
        <f t="shared" si="12"/>
        <v>76.16298456387625</v>
      </c>
      <c r="G42" s="16">
        <f t="shared" si="12"/>
        <v>77.363290834358537</v>
      </c>
      <c r="H42" s="16">
        <f t="shared" si="12"/>
        <v>82.882949061138078</v>
      </c>
      <c r="I42" s="16">
        <f t="shared" si="12"/>
        <v>87.916754924260147</v>
      </c>
      <c r="J42" s="16">
        <f t="shared" si="12"/>
        <v>102.19510677399191</v>
      </c>
      <c r="K42" s="16">
        <f t="shared" si="12"/>
        <v>90.392030022411603</v>
      </c>
      <c r="L42" s="16">
        <f t="shared" si="12"/>
        <v>77.588285351885276</v>
      </c>
      <c r="M42" s="16">
        <f t="shared" si="12"/>
        <v>77.559745764629895</v>
      </c>
      <c r="N42" s="16">
        <f>N29-N36-N37-N38-N40-N41</f>
        <v>78.319011186590728</v>
      </c>
      <c r="O42" s="68">
        <f>O29-O36-O37-O38-O40-O41</f>
        <v>82.829418801028055</v>
      </c>
      <c r="P42" s="72">
        <f>SUM(O36:O42)+O31</f>
        <v>178.46045914501073</v>
      </c>
    </row>
    <row r="43" spans="1:16" ht="15.75" thickBot="1" x14ac:dyDescent="0.3"/>
    <row r="44" spans="1:16" x14ac:dyDescent="0.25">
      <c r="A44" s="37" t="s">
        <v>82</v>
      </c>
      <c r="B44" s="7" t="s">
        <v>35</v>
      </c>
      <c r="C44" s="21">
        <v>0</v>
      </c>
      <c r="D44" s="21">
        <v>10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55</v>
      </c>
      <c r="M44" s="21">
        <v>50</v>
      </c>
      <c r="N44" s="21">
        <v>45</v>
      </c>
      <c r="O44" s="9">
        <f t="shared" ref="O44:O47" si="13">AVERAGE(C44:N44)</f>
        <v>13.333333333333334</v>
      </c>
    </row>
    <row r="45" spans="1:16" x14ac:dyDescent="0.25">
      <c r="A45" s="40" t="s">
        <v>83</v>
      </c>
      <c r="B45" s="23" t="s">
        <v>36</v>
      </c>
      <c r="C45" s="11">
        <v>70</v>
      </c>
      <c r="D45" s="11">
        <v>40</v>
      </c>
      <c r="E45" s="11">
        <v>15</v>
      </c>
      <c r="F45" s="11">
        <v>15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120</v>
      </c>
      <c r="M45" s="11">
        <v>155</v>
      </c>
      <c r="N45" s="11">
        <v>155</v>
      </c>
      <c r="O45" s="12">
        <f t="shared" si="13"/>
        <v>47.5</v>
      </c>
    </row>
    <row r="46" spans="1:16" x14ac:dyDescent="0.25">
      <c r="A46" s="40" t="s">
        <v>91</v>
      </c>
      <c r="B46" s="23" t="s">
        <v>89</v>
      </c>
      <c r="C46" s="11">
        <f>IF(C45&gt;C38, C45-C38,0)</f>
        <v>0</v>
      </c>
      <c r="D46" s="11">
        <f t="shared" ref="D46:N46" si="14">IF(D45&gt;D38, D45-D38,0)</f>
        <v>0</v>
      </c>
      <c r="E46" s="11">
        <f t="shared" si="14"/>
        <v>0</v>
      </c>
      <c r="F46" s="11">
        <f t="shared" si="14"/>
        <v>0</v>
      </c>
      <c r="G46" s="11">
        <f t="shared" si="14"/>
        <v>0</v>
      </c>
      <c r="H46" s="11">
        <f t="shared" si="14"/>
        <v>0</v>
      </c>
      <c r="I46" s="11">
        <f t="shared" si="14"/>
        <v>0</v>
      </c>
      <c r="J46" s="11">
        <f t="shared" si="14"/>
        <v>0</v>
      </c>
      <c r="K46" s="11">
        <f t="shared" si="14"/>
        <v>0</v>
      </c>
      <c r="L46" s="11">
        <f>IF(L45&gt;L38, L45-L38,0)</f>
        <v>50</v>
      </c>
      <c r="M46" s="11">
        <f t="shared" si="14"/>
        <v>85</v>
      </c>
      <c r="N46" s="11">
        <f t="shared" si="14"/>
        <v>85</v>
      </c>
      <c r="O46" s="12">
        <f t="shared" si="13"/>
        <v>18.333333333333332</v>
      </c>
    </row>
    <row r="47" spans="1:16" x14ac:dyDescent="0.25">
      <c r="A47" s="40" t="s">
        <v>92</v>
      </c>
      <c r="B47" s="10" t="s">
        <v>90</v>
      </c>
      <c r="C47" s="11">
        <f>IF(C45&gt;C38,C45-C38,C44+C49)</f>
        <v>0</v>
      </c>
      <c r="D47" s="11">
        <f t="shared" ref="D47:N47" si="15">IF(D45&gt;D38,D45-D38,D44+D49)</f>
        <v>15</v>
      </c>
      <c r="E47" s="11">
        <f t="shared" si="15"/>
        <v>40</v>
      </c>
      <c r="F47" s="11">
        <f t="shared" si="15"/>
        <v>40</v>
      </c>
      <c r="G47" s="11">
        <f>IF(G45&gt;G38,G45-G38,G44+G49)</f>
        <v>55</v>
      </c>
      <c r="H47" s="11">
        <f t="shared" si="15"/>
        <v>55</v>
      </c>
      <c r="I47" s="11">
        <f t="shared" si="15"/>
        <v>55</v>
      </c>
      <c r="J47" s="11">
        <f t="shared" si="15"/>
        <v>55</v>
      </c>
      <c r="K47" s="11">
        <f t="shared" si="15"/>
        <v>55</v>
      </c>
      <c r="L47" s="11">
        <f t="shared" si="15"/>
        <v>50</v>
      </c>
      <c r="M47" s="11">
        <f t="shared" si="15"/>
        <v>85</v>
      </c>
      <c r="N47" s="11">
        <f t="shared" si="15"/>
        <v>85</v>
      </c>
      <c r="O47" s="12">
        <f t="shared" si="13"/>
        <v>49.166666666666664</v>
      </c>
    </row>
    <row r="48" spans="1:16" x14ac:dyDescent="0.25">
      <c r="B48" s="10" t="s">
        <v>37</v>
      </c>
      <c r="C48" s="11"/>
      <c r="D48" s="11"/>
      <c r="E48" s="11"/>
      <c r="F48" s="11"/>
      <c r="G48" s="11"/>
      <c r="H48" s="11"/>
      <c r="I48" s="11"/>
      <c r="J48" s="11"/>
      <c r="K48" s="11"/>
      <c r="L48" s="11">
        <v>105</v>
      </c>
      <c r="M48" s="11">
        <v>135</v>
      </c>
      <c r="N48" s="11">
        <v>130</v>
      </c>
      <c r="O48" s="14"/>
    </row>
    <row r="49" spans="1:15" x14ac:dyDescent="0.25">
      <c r="A49" s="40" t="s">
        <v>95</v>
      </c>
      <c r="B49" s="10" t="s">
        <v>88</v>
      </c>
      <c r="C49" s="11">
        <v>0</v>
      </c>
      <c r="D49" s="11">
        <v>5</v>
      </c>
      <c r="E49" s="11">
        <v>40</v>
      </c>
      <c r="F49" s="11">
        <v>40</v>
      </c>
      <c r="G49" s="11">
        <v>55</v>
      </c>
      <c r="H49" s="11">
        <v>55</v>
      </c>
      <c r="I49" s="11">
        <v>55</v>
      </c>
      <c r="J49" s="11">
        <v>55</v>
      </c>
      <c r="K49" s="11">
        <v>55</v>
      </c>
      <c r="L49" s="11">
        <v>0</v>
      </c>
      <c r="M49" s="11">
        <v>0</v>
      </c>
      <c r="N49" s="11">
        <v>0</v>
      </c>
      <c r="O49" s="12">
        <f>AVERAGE(C49:N49)</f>
        <v>30</v>
      </c>
    </row>
    <row r="50" spans="1:15" x14ac:dyDescent="0.25">
      <c r="B50" s="10" t="s">
        <v>38</v>
      </c>
      <c r="C50" s="58">
        <f>C44+C45+C49</f>
        <v>70</v>
      </c>
      <c r="D50" s="58">
        <f>D44+D45+D49</f>
        <v>55</v>
      </c>
      <c r="E50" s="58">
        <f>E44+E45+E49</f>
        <v>55</v>
      </c>
      <c r="F50" s="58">
        <f t="shared" ref="F50:J50" si="16">F44+F45+F49</f>
        <v>55</v>
      </c>
      <c r="G50" s="58">
        <f t="shared" si="16"/>
        <v>55</v>
      </c>
      <c r="H50" s="58">
        <f t="shared" si="16"/>
        <v>55</v>
      </c>
      <c r="I50" s="58">
        <f t="shared" si="16"/>
        <v>55</v>
      </c>
      <c r="J50" s="58">
        <f t="shared" si="16"/>
        <v>55</v>
      </c>
      <c r="K50" s="58">
        <f>K44+K45+K49</f>
        <v>55</v>
      </c>
      <c r="L50" s="58">
        <f>L44+L45-L48</f>
        <v>70</v>
      </c>
      <c r="M50" s="58">
        <f>M44+M45-M48</f>
        <v>70</v>
      </c>
      <c r="N50" s="58">
        <f>N44+N45-N48</f>
        <v>70</v>
      </c>
      <c r="O50" s="59">
        <f>AVERAGE(C50:N50)</f>
        <v>60</v>
      </c>
    </row>
    <row r="51" spans="1:15" ht="30.75" thickBot="1" x14ac:dyDescent="0.3">
      <c r="B51" s="25" t="s">
        <v>39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f>N51+(N48*30)</f>
        <v>3900</v>
      </c>
    </row>
    <row r="52" spans="1:15" ht="15.75" thickBot="1" x14ac:dyDescent="0.3">
      <c r="A52" s="37" t="s">
        <v>84</v>
      </c>
      <c r="B52" s="41" t="s">
        <v>85</v>
      </c>
      <c r="C52" s="42">
        <f>C36+C38</f>
        <v>70</v>
      </c>
      <c r="D52" s="42">
        <f t="shared" ref="D52:N52" si="17">D36+D38</f>
        <v>63</v>
      </c>
      <c r="E52" s="42">
        <f t="shared" si="17"/>
        <v>67</v>
      </c>
      <c r="F52" s="42">
        <f>F36+F38</f>
        <v>71</v>
      </c>
      <c r="G52" s="42">
        <f t="shared" si="17"/>
        <v>71</v>
      </c>
      <c r="H52" s="42">
        <f t="shared" si="17"/>
        <v>71</v>
      </c>
      <c r="I52" s="42">
        <f t="shared" si="17"/>
        <v>71</v>
      </c>
      <c r="J52" s="42">
        <f t="shared" si="17"/>
        <v>71</v>
      </c>
      <c r="K52" s="42">
        <f t="shared" si="17"/>
        <v>63</v>
      </c>
      <c r="L52" s="42">
        <f t="shared" si="17"/>
        <v>70</v>
      </c>
      <c r="M52" s="42">
        <f t="shared" si="17"/>
        <v>70</v>
      </c>
      <c r="N52" s="42">
        <f t="shared" si="17"/>
        <v>70</v>
      </c>
      <c r="O52" s="43">
        <f>AVERAGE(C52:N52)</f>
        <v>69</v>
      </c>
    </row>
    <row r="54" spans="1:15" ht="15.75" thickBot="1" x14ac:dyDescent="0.3">
      <c r="B54" s="6" t="s">
        <v>40</v>
      </c>
    </row>
    <row r="55" spans="1:15" x14ac:dyDescent="0.25">
      <c r="A55" s="37" t="s">
        <v>69</v>
      </c>
      <c r="B55" s="28" t="s">
        <v>41</v>
      </c>
      <c r="C55" s="29">
        <v>26</v>
      </c>
      <c r="D55" s="29">
        <v>27</v>
      </c>
      <c r="E55" s="29">
        <v>22</v>
      </c>
      <c r="F55" s="29">
        <v>24</v>
      </c>
      <c r="G55" s="29">
        <v>24</v>
      </c>
      <c r="H55" s="29">
        <v>26</v>
      </c>
      <c r="I55" s="29">
        <v>26</v>
      </c>
      <c r="J55" s="29">
        <v>34</v>
      </c>
      <c r="K55" s="29">
        <v>27</v>
      </c>
      <c r="L55" s="29">
        <v>30</v>
      </c>
      <c r="M55" s="29">
        <v>30</v>
      </c>
      <c r="N55" s="29">
        <v>28</v>
      </c>
      <c r="O55" s="9">
        <f>AVERAGE(C55:N55)</f>
        <v>27</v>
      </c>
    </row>
    <row r="56" spans="1:15" x14ac:dyDescent="0.25">
      <c r="B56" s="30" t="s">
        <v>42</v>
      </c>
      <c r="C56" s="11">
        <f>C55/2</f>
        <v>13</v>
      </c>
      <c r="D56" s="11">
        <f t="shared" ref="D56:N56" si="18">D55/2</f>
        <v>13.5</v>
      </c>
      <c r="E56" s="11">
        <f t="shared" si="18"/>
        <v>11</v>
      </c>
      <c r="F56" s="11">
        <f t="shared" si="18"/>
        <v>12</v>
      </c>
      <c r="G56" s="11">
        <f t="shared" si="18"/>
        <v>12</v>
      </c>
      <c r="H56" s="11">
        <f t="shared" si="18"/>
        <v>13</v>
      </c>
      <c r="I56" s="11">
        <f t="shared" si="18"/>
        <v>13</v>
      </c>
      <c r="J56" s="11">
        <f t="shared" si="18"/>
        <v>17</v>
      </c>
      <c r="K56" s="11">
        <f t="shared" si="18"/>
        <v>13.5</v>
      </c>
      <c r="L56" s="11">
        <f t="shared" si="18"/>
        <v>15</v>
      </c>
      <c r="M56" s="11">
        <f t="shared" si="18"/>
        <v>15</v>
      </c>
      <c r="N56" s="11">
        <f t="shared" si="18"/>
        <v>14</v>
      </c>
      <c r="O56" s="12">
        <f>AVERAGE(C56:N56)</f>
        <v>13.5</v>
      </c>
    </row>
    <row r="57" spans="1:15" x14ac:dyDescent="0.25">
      <c r="B57" s="30" t="s">
        <v>43</v>
      </c>
      <c r="C57" s="11">
        <f>C55/2</f>
        <v>13</v>
      </c>
      <c r="D57" s="11">
        <f t="shared" ref="D57:N57" si="19">D55/2</f>
        <v>13.5</v>
      </c>
      <c r="E57" s="11">
        <f t="shared" si="19"/>
        <v>11</v>
      </c>
      <c r="F57" s="11">
        <f t="shared" si="19"/>
        <v>12</v>
      </c>
      <c r="G57" s="11">
        <f t="shared" si="19"/>
        <v>12</v>
      </c>
      <c r="H57" s="11">
        <f t="shared" si="19"/>
        <v>13</v>
      </c>
      <c r="I57" s="11">
        <f t="shared" si="19"/>
        <v>13</v>
      </c>
      <c r="J57" s="11">
        <f t="shared" si="19"/>
        <v>17</v>
      </c>
      <c r="K57" s="11">
        <f t="shared" si="19"/>
        <v>13.5</v>
      </c>
      <c r="L57" s="11">
        <f t="shared" si="19"/>
        <v>15</v>
      </c>
      <c r="M57" s="11">
        <f t="shared" si="19"/>
        <v>15</v>
      </c>
      <c r="N57" s="11">
        <f t="shared" si="19"/>
        <v>14</v>
      </c>
      <c r="O57" s="12">
        <f>AVERAGE(C57:N57)</f>
        <v>13.5</v>
      </c>
    </row>
    <row r="58" spans="1:15" x14ac:dyDescent="0.25">
      <c r="B58" s="36" t="s">
        <v>44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4"/>
    </row>
    <row r="59" spans="1:15" x14ac:dyDescent="0.25">
      <c r="B59" s="24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4"/>
    </row>
    <row r="60" spans="1:15" x14ac:dyDescent="0.25">
      <c r="A60" s="37" t="s">
        <v>79</v>
      </c>
      <c r="B60" s="24" t="s">
        <v>45</v>
      </c>
      <c r="C60" s="11">
        <f>C79</f>
        <v>8</v>
      </c>
      <c r="D60" s="11">
        <f t="shared" ref="D60:N60" si="20">D79</f>
        <v>8</v>
      </c>
      <c r="E60" s="11">
        <f t="shared" si="20"/>
        <v>8</v>
      </c>
      <c r="F60" s="11">
        <f t="shared" si="20"/>
        <v>8</v>
      </c>
      <c r="G60" s="11">
        <f t="shared" si="20"/>
        <v>7</v>
      </c>
      <c r="H60" s="11">
        <f t="shared" si="20"/>
        <v>12</v>
      </c>
      <c r="I60" s="11">
        <f t="shared" si="20"/>
        <v>8</v>
      </c>
      <c r="J60" s="11">
        <f t="shared" si="20"/>
        <v>8</v>
      </c>
      <c r="K60" s="11">
        <f t="shared" si="20"/>
        <v>8</v>
      </c>
      <c r="L60" s="11">
        <f t="shared" si="20"/>
        <v>4</v>
      </c>
      <c r="M60" s="11">
        <f t="shared" si="20"/>
        <v>4</v>
      </c>
      <c r="N60" s="11">
        <f t="shared" si="20"/>
        <v>4</v>
      </c>
      <c r="O60" s="12">
        <f t="shared" ref="O60:O66" si="21">AVERAGE(C60:N60)</f>
        <v>7.25</v>
      </c>
    </row>
    <row r="61" spans="1:15" x14ac:dyDescent="0.25">
      <c r="A61" s="37" t="s">
        <v>75</v>
      </c>
      <c r="B61" s="24" t="s">
        <v>46</v>
      </c>
      <c r="C61" s="11">
        <f>C74</f>
        <v>10</v>
      </c>
      <c r="D61" s="11">
        <f t="shared" ref="D61:N61" si="22">D74</f>
        <v>7.9</v>
      </c>
      <c r="E61" s="11">
        <f t="shared" si="22"/>
        <v>8.6</v>
      </c>
      <c r="F61" s="11">
        <f t="shared" si="22"/>
        <v>8</v>
      </c>
      <c r="G61" s="11">
        <f t="shared" si="22"/>
        <v>5.4</v>
      </c>
      <c r="H61" s="11">
        <f t="shared" si="22"/>
        <v>6</v>
      </c>
      <c r="I61" s="11">
        <f t="shared" si="22"/>
        <v>8</v>
      </c>
      <c r="J61" s="11">
        <f t="shared" si="22"/>
        <v>12</v>
      </c>
      <c r="K61" s="11">
        <f t="shared" si="22"/>
        <v>12</v>
      </c>
      <c r="L61" s="11">
        <f t="shared" si="22"/>
        <v>6.6</v>
      </c>
      <c r="M61" s="11">
        <f t="shared" si="22"/>
        <v>6.6</v>
      </c>
      <c r="N61" s="11">
        <f t="shared" si="22"/>
        <v>8.3000000000000007</v>
      </c>
      <c r="O61" s="12">
        <f t="shared" si="21"/>
        <v>8.2833333333333332</v>
      </c>
    </row>
    <row r="62" spans="1:15" x14ac:dyDescent="0.25">
      <c r="A62" s="37" t="s">
        <v>80</v>
      </c>
      <c r="B62" s="24" t="s">
        <v>51</v>
      </c>
      <c r="C62" s="11">
        <f>C73</f>
        <v>14</v>
      </c>
      <c r="D62" s="11">
        <f t="shared" ref="D62:N62" si="23">D73</f>
        <v>14</v>
      </c>
      <c r="E62" s="11">
        <f t="shared" si="23"/>
        <v>10</v>
      </c>
      <c r="F62" s="11">
        <f t="shared" si="23"/>
        <v>10</v>
      </c>
      <c r="G62" s="11">
        <f t="shared" si="23"/>
        <v>14</v>
      </c>
      <c r="H62" s="11">
        <f t="shared" si="23"/>
        <v>10.199999999999999</v>
      </c>
      <c r="I62" s="11">
        <f t="shared" si="23"/>
        <v>15</v>
      </c>
      <c r="J62" s="11">
        <f t="shared" si="23"/>
        <v>16</v>
      </c>
      <c r="K62" s="11">
        <f t="shared" si="23"/>
        <v>15</v>
      </c>
      <c r="L62" s="11">
        <f t="shared" si="23"/>
        <v>10</v>
      </c>
      <c r="M62" s="11">
        <f t="shared" si="23"/>
        <v>10</v>
      </c>
      <c r="N62" s="11">
        <f t="shared" si="23"/>
        <v>15</v>
      </c>
      <c r="O62" s="12">
        <f t="shared" si="21"/>
        <v>12.766666666666666</v>
      </c>
    </row>
    <row r="63" spans="1:15" x14ac:dyDescent="0.25">
      <c r="A63" s="37" t="s">
        <v>98</v>
      </c>
      <c r="B63" s="24" t="s">
        <v>99</v>
      </c>
      <c r="C63" s="47">
        <f>(C2)*0.22</f>
        <v>7.808563491529978</v>
      </c>
      <c r="D63" s="47">
        <f t="shared" ref="D63:N63" si="24">(D2)*0.22</f>
        <v>6.985597281192252</v>
      </c>
      <c r="E63" s="47">
        <f t="shared" si="24"/>
        <v>6.3701159236917526</v>
      </c>
      <c r="F63" s="47">
        <f t="shared" si="24"/>
        <v>6.7026345075743423</v>
      </c>
      <c r="G63" s="47">
        <f t="shared" si="24"/>
        <v>6.2287237077458641</v>
      </c>
      <c r="H63" s="47">
        <f t="shared" si="24"/>
        <v>6.5950331200823147</v>
      </c>
      <c r="I63" s="47">
        <f t="shared" si="24"/>
        <v>6.3793572575475448</v>
      </c>
      <c r="J63" s="47">
        <f t="shared" si="24"/>
        <v>5.8629914780281531</v>
      </c>
      <c r="K63" s="47">
        <f t="shared" si="24"/>
        <v>7.6494610314398077</v>
      </c>
      <c r="L63" s="47">
        <f t="shared" si="24"/>
        <v>7.3929832040457981</v>
      </c>
      <c r="M63" s="47">
        <f t="shared" si="24"/>
        <v>6.8083379505554413</v>
      </c>
      <c r="N63" s="47">
        <f t="shared" si="24"/>
        <v>7.7623393594349936</v>
      </c>
      <c r="O63" s="12">
        <f t="shared" si="21"/>
        <v>6.8788448594056861</v>
      </c>
    </row>
    <row r="64" spans="1:15" x14ac:dyDescent="0.25">
      <c r="A64" s="37" t="s">
        <v>101</v>
      </c>
      <c r="B64" s="24" t="s">
        <v>100</v>
      </c>
      <c r="C64" s="47">
        <f>(C2)*0.17</f>
        <v>6.0338899707277109</v>
      </c>
      <c r="D64" s="47">
        <f t="shared" ref="D64:N64" si="25">(D2)*0.17</f>
        <v>5.3979615354667407</v>
      </c>
      <c r="E64" s="47">
        <f t="shared" si="25"/>
        <v>4.9223623046708997</v>
      </c>
      <c r="F64" s="47">
        <f t="shared" si="25"/>
        <v>5.1793084831256282</v>
      </c>
      <c r="G64" s="47">
        <f t="shared" si="25"/>
        <v>4.8131046832581683</v>
      </c>
      <c r="H64" s="47">
        <f t="shared" si="25"/>
        <v>5.0961619564272436</v>
      </c>
      <c r="I64" s="47">
        <f t="shared" si="25"/>
        <v>4.9295033353776487</v>
      </c>
      <c r="J64" s="47">
        <f t="shared" si="25"/>
        <v>4.5304934148399365</v>
      </c>
      <c r="K64" s="47">
        <f t="shared" si="25"/>
        <v>5.9109471606580337</v>
      </c>
      <c r="L64" s="47">
        <f t="shared" si="25"/>
        <v>5.7127597485808446</v>
      </c>
      <c r="M64" s="47">
        <f t="shared" si="25"/>
        <v>5.2609884163382956</v>
      </c>
      <c r="N64" s="47">
        <f t="shared" si="25"/>
        <v>5.9981713231997684</v>
      </c>
      <c r="O64" s="12">
        <f t="shared" si="21"/>
        <v>5.3154710277225758</v>
      </c>
    </row>
    <row r="65" spans="1:15" x14ac:dyDescent="0.25">
      <c r="A65" s="37" t="s">
        <v>102</v>
      </c>
      <c r="B65" s="24" t="s">
        <v>103</v>
      </c>
      <c r="C65" s="47">
        <f>(C2)*0.34</f>
        <v>12.067779941455422</v>
      </c>
      <c r="D65" s="47">
        <f t="shared" ref="D65:N65" si="26">(D2)*0.34</f>
        <v>10.795923070933481</v>
      </c>
      <c r="E65" s="47">
        <f t="shared" si="26"/>
        <v>9.8447246093417995</v>
      </c>
      <c r="F65" s="47">
        <f t="shared" si="26"/>
        <v>10.358616966251256</v>
      </c>
      <c r="G65" s="47">
        <f t="shared" si="26"/>
        <v>9.6262093665163366</v>
      </c>
      <c r="H65" s="47">
        <f t="shared" si="26"/>
        <v>10.192323912854487</v>
      </c>
      <c r="I65" s="47">
        <f t="shared" si="26"/>
        <v>9.8590066707552975</v>
      </c>
      <c r="J65" s="47">
        <f t="shared" si="26"/>
        <v>9.060986829679873</v>
      </c>
      <c r="K65" s="47">
        <f t="shared" si="26"/>
        <v>11.821894321316067</v>
      </c>
      <c r="L65" s="47">
        <f t="shared" si="26"/>
        <v>11.425519497161689</v>
      </c>
      <c r="M65" s="47">
        <f t="shared" si="26"/>
        <v>10.521976832676591</v>
      </c>
      <c r="N65" s="47">
        <f t="shared" si="26"/>
        <v>11.996342646399537</v>
      </c>
      <c r="O65" s="12">
        <f t="shared" si="21"/>
        <v>10.630942055445152</v>
      </c>
    </row>
    <row r="66" spans="1:15" x14ac:dyDescent="0.25">
      <c r="A66" s="37" t="s">
        <v>81</v>
      </c>
      <c r="B66" s="24" t="s">
        <v>68</v>
      </c>
      <c r="C66" s="13">
        <f t="shared" ref="C66:N66" si="27">C23</f>
        <v>18.472485928429919</v>
      </c>
      <c r="D66" s="13">
        <f t="shared" si="27"/>
        <v>23.823734687241831</v>
      </c>
      <c r="E66" s="13">
        <f t="shared" si="27"/>
        <v>21.197370831748685</v>
      </c>
      <c r="F66" s="13">
        <f t="shared" si="27"/>
        <v>19.348116789572117</v>
      </c>
      <c r="G66" s="13">
        <f t="shared" si="27"/>
        <v>20.156874332242616</v>
      </c>
      <c r="H66" s="13">
        <f t="shared" si="27"/>
        <v>23.050256457943512</v>
      </c>
      <c r="I66" s="13">
        <f t="shared" si="27"/>
        <v>23.788793628185893</v>
      </c>
      <c r="J66" s="13">
        <f t="shared" si="27"/>
        <v>27.24126469605411</v>
      </c>
      <c r="K66" s="13">
        <f t="shared" si="27"/>
        <v>23.554711320657212</v>
      </c>
      <c r="L66" s="13">
        <f t="shared" si="27"/>
        <v>21.273750265314412</v>
      </c>
      <c r="M66" s="13">
        <f t="shared" si="27"/>
        <v>15.98157396867353</v>
      </c>
      <c r="N66" s="13">
        <f t="shared" si="27"/>
        <v>20.723551221728357</v>
      </c>
      <c r="O66" s="12">
        <f t="shared" si="21"/>
        <v>21.551040343982681</v>
      </c>
    </row>
    <row r="67" spans="1:15" x14ac:dyDescent="0.25">
      <c r="B67" s="33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9"/>
    </row>
    <row r="68" spans="1:15" x14ac:dyDescent="0.25">
      <c r="B68" s="10" t="s">
        <v>34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4"/>
    </row>
    <row r="69" spans="1:15" x14ac:dyDescent="0.25">
      <c r="A69" s="37" t="s">
        <v>70</v>
      </c>
      <c r="B69" s="24" t="s">
        <v>47</v>
      </c>
      <c r="C69" s="47">
        <f>C56</f>
        <v>13</v>
      </c>
      <c r="D69" s="47">
        <f t="shared" ref="D69:N70" si="28">D56</f>
        <v>13.5</v>
      </c>
      <c r="E69" s="47">
        <f t="shared" si="28"/>
        <v>11</v>
      </c>
      <c r="F69" s="11">
        <f t="shared" si="28"/>
        <v>12</v>
      </c>
      <c r="G69" s="11">
        <f t="shared" si="28"/>
        <v>12</v>
      </c>
      <c r="H69" s="11">
        <f t="shared" si="28"/>
        <v>13</v>
      </c>
      <c r="I69" s="11">
        <f t="shared" si="28"/>
        <v>13</v>
      </c>
      <c r="J69" s="11">
        <f t="shared" si="28"/>
        <v>17</v>
      </c>
      <c r="K69" s="47">
        <f t="shared" si="28"/>
        <v>13.5</v>
      </c>
      <c r="L69" s="11">
        <f>L56</f>
        <v>15</v>
      </c>
      <c r="M69" s="11">
        <f t="shared" si="28"/>
        <v>15</v>
      </c>
      <c r="N69" s="11">
        <f t="shared" si="28"/>
        <v>14</v>
      </c>
      <c r="O69" s="12">
        <f>AVERAGE(C69:N69)</f>
        <v>13.5</v>
      </c>
    </row>
    <row r="70" spans="1:15" x14ac:dyDescent="0.25">
      <c r="A70" s="37" t="s">
        <v>71</v>
      </c>
      <c r="B70" s="24" t="s">
        <v>48</v>
      </c>
      <c r="C70" s="47">
        <f>C57</f>
        <v>13</v>
      </c>
      <c r="D70" s="47">
        <f t="shared" si="28"/>
        <v>13.5</v>
      </c>
      <c r="E70" s="47">
        <f t="shared" si="28"/>
        <v>11</v>
      </c>
      <c r="F70" s="11">
        <f t="shared" si="28"/>
        <v>12</v>
      </c>
      <c r="G70" s="11">
        <f t="shared" si="28"/>
        <v>12</v>
      </c>
      <c r="H70" s="11">
        <f t="shared" si="28"/>
        <v>13</v>
      </c>
      <c r="I70" s="11">
        <f t="shared" si="28"/>
        <v>13</v>
      </c>
      <c r="J70" s="11">
        <f t="shared" si="28"/>
        <v>17</v>
      </c>
      <c r="K70" s="47">
        <f t="shared" si="28"/>
        <v>13.5</v>
      </c>
      <c r="L70" s="11">
        <f>L56</f>
        <v>15</v>
      </c>
      <c r="M70" s="11">
        <f t="shared" si="28"/>
        <v>15</v>
      </c>
      <c r="N70" s="11">
        <f t="shared" si="28"/>
        <v>14</v>
      </c>
      <c r="O70" s="12">
        <f t="shared" ref="O70:O79" si="29">AVERAGE(C70:N70)</f>
        <v>13.5</v>
      </c>
    </row>
    <row r="71" spans="1:15" x14ac:dyDescent="0.25">
      <c r="A71" s="37" t="s">
        <v>72</v>
      </c>
      <c r="B71" s="24" t="s">
        <v>49</v>
      </c>
      <c r="C71" s="47">
        <v>10</v>
      </c>
      <c r="D71" s="47">
        <v>9.3000000000000007</v>
      </c>
      <c r="E71" s="47">
        <v>9</v>
      </c>
      <c r="F71" s="47">
        <v>9.1999999999999993</v>
      </c>
      <c r="G71" s="47">
        <v>8</v>
      </c>
      <c r="H71" s="67">
        <v>9.6999999999999993</v>
      </c>
      <c r="I71" s="67">
        <v>12</v>
      </c>
      <c r="J71" s="67">
        <v>12</v>
      </c>
      <c r="K71" s="47">
        <v>11.4</v>
      </c>
      <c r="L71" s="67">
        <v>8</v>
      </c>
      <c r="M71" s="67">
        <v>8</v>
      </c>
      <c r="N71" s="67">
        <v>12</v>
      </c>
      <c r="O71" s="12">
        <f t="shared" si="29"/>
        <v>9.8833333333333346</v>
      </c>
    </row>
    <row r="72" spans="1:15" x14ac:dyDescent="0.25">
      <c r="A72" s="37" t="s">
        <v>73</v>
      </c>
      <c r="B72" s="24" t="s">
        <v>57</v>
      </c>
      <c r="C72" s="67">
        <v>6.5</v>
      </c>
      <c r="D72" s="11">
        <v>6</v>
      </c>
      <c r="E72" s="11">
        <v>4</v>
      </c>
      <c r="F72" s="67">
        <v>8</v>
      </c>
      <c r="G72" s="11">
        <v>6</v>
      </c>
      <c r="H72" s="11">
        <v>6</v>
      </c>
      <c r="I72" s="67">
        <v>5.9</v>
      </c>
      <c r="J72" s="11">
        <v>6</v>
      </c>
      <c r="K72" s="11">
        <v>8</v>
      </c>
      <c r="L72" s="11">
        <v>6</v>
      </c>
      <c r="M72" s="11">
        <v>6</v>
      </c>
      <c r="N72" s="11">
        <v>6</v>
      </c>
      <c r="O72" s="12">
        <f t="shared" si="29"/>
        <v>6.2</v>
      </c>
    </row>
    <row r="73" spans="1:15" x14ac:dyDescent="0.25">
      <c r="A73" s="37" t="s">
        <v>74</v>
      </c>
      <c r="B73" s="24" t="s">
        <v>50</v>
      </c>
      <c r="C73" s="47">
        <v>14</v>
      </c>
      <c r="D73" s="11">
        <v>14</v>
      </c>
      <c r="E73" s="11">
        <v>10</v>
      </c>
      <c r="F73" s="11">
        <v>10</v>
      </c>
      <c r="G73" s="11">
        <v>14</v>
      </c>
      <c r="H73" s="67">
        <v>10.199999999999999</v>
      </c>
      <c r="I73" s="11">
        <v>15</v>
      </c>
      <c r="J73" s="11">
        <v>16</v>
      </c>
      <c r="K73" s="11">
        <v>15</v>
      </c>
      <c r="L73" s="67">
        <v>10</v>
      </c>
      <c r="M73" s="11">
        <v>10</v>
      </c>
      <c r="N73" s="11">
        <v>15</v>
      </c>
      <c r="O73" s="12">
        <f t="shared" si="29"/>
        <v>12.766666666666666</v>
      </c>
    </row>
    <row r="74" spans="1:15" x14ac:dyDescent="0.25">
      <c r="A74" s="37" t="s">
        <v>75</v>
      </c>
      <c r="B74" s="24" t="s">
        <v>52</v>
      </c>
      <c r="C74" s="11">
        <v>10</v>
      </c>
      <c r="D74" s="11">
        <v>7.9</v>
      </c>
      <c r="E74" s="47">
        <v>8.6</v>
      </c>
      <c r="F74" s="67">
        <v>8</v>
      </c>
      <c r="G74" s="67">
        <v>5.4</v>
      </c>
      <c r="H74" s="67">
        <v>6</v>
      </c>
      <c r="I74" s="11">
        <v>8</v>
      </c>
      <c r="J74" s="67">
        <v>12</v>
      </c>
      <c r="K74" s="67">
        <v>12</v>
      </c>
      <c r="L74" s="67">
        <v>6.6</v>
      </c>
      <c r="M74" s="67">
        <v>6.6</v>
      </c>
      <c r="N74" s="67">
        <v>8.3000000000000007</v>
      </c>
      <c r="O74" s="12">
        <f t="shared" si="29"/>
        <v>8.2833333333333332</v>
      </c>
    </row>
    <row r="75" spans="1:15" x14ac:dyDescent="0.25">
      <c r="A75" s="37" t="s">
        <v>76</v>
      </c>
      <c r="B75" s="24" t="s">
        <v>53</v>
      </c>
      <c r="C75" s="67">
        <v>4.3</v>
      </c>
      <c r="D75" s="67">
        <v>4</v>
      </c>
      <c r="E75" s="11">
        <v>4</v>
      </c>
      <c r="F75" s="11">
        <v>0</v>
      </c>
      <c r="G75" s="11">
        <v>0</v>
      </c>
      <c r="H75" s="11">
        <v>4</v>
      </c>
      <c r="I75" s="11">
        <v>4</v>
      </c>
      <c r="J75" s="11">
        <v>4</v>
      </c>
      <c r="K75" s="11">
        <v>4</v>
      </c>
      <c r="L75" s="11">
        <v>0</v>
      </c>
      <c r="M75" s="11">
        <v>0</v>
      </c>
      <c r="N75" s="11">
        <v>0</v>
      </c>
      <c r="O75" s="12">
        <f t="shared" si="29"/>
        <v>2.3583333333333334</v>
      </c>
    </row>
    <row r="76" spans="1:15" x14ac:dyDescent="0.25">
      <c r="A76" s="37" t="s">
        <v>77</v>
      </c>
      <c r="B76" s="24" t="s">
        <v>54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2">
        <f t="shared" si="29"/>
        <v>0</v>
      </c>
    </row>
    <row r="77" spans="1:15" x14ac:dyDescent="0.25">
      <c r="A77" s="37" t="s">
        <v>78</v>
      </c>
      <c r="B77" s="24" t="s">
        <v>55</v>
      </c>
      <c r="C77" s="11">
        <v>0</v>
      </c>
      <c r="D77" s="11">
        <v>4</v>
      </c>
      <c r="E77" s="11">
        <v>4</v>
      </c>
      <c r="F77" s="11">
        <v>4</v>
      </c>
      <c r="G77" s="11">
        <v>8</v>
      </c>
      <c r="H77" s="11">
        <v>4</v>
      </c>
      <c r="I77" s="11">
        <v>4</v>
      </c>
      <c r="J77" s="67">
        <v>5.2</v>
      </c>
      <c r="K77" s="11">
        <v>0</v>
      </c>
      <c r="L77" s="11">
        <v>8</v>
      </c>
      <c r="M77" s="11">
        <v>8</v>
      </c>
      <c r="N77" s="11">
        <v>0</v>
      </c>
      <c r="O77" s="12">
        <f t="shared" si="29"/>
        <v>4.1000000000000005</v>
      </c>
    </row>
    <row r="78" spans="1:15" x14ac:dyDescent="0.25">
      <c r="A78" s="37" t="s">
        <v>77</v>
      </c>
      <c r="B78" s="24" t="s">
        <v>56</v>
      </c>
      <c r="C78" s="11">
        <v>5</v>
      </c>
      <c r="D78" s="11">
        <v>5</v>
      </c>
      <c r="E78" s="11">
        <v>5</v>
      </c>
      <c r="F78" s="11">
        <v>5</v>
      </c>
      <c r="G78" s="11">
        <v>5</v>
      </c>
      <c r="H78" s="11">
        <v>5</v>
      </c>
      <c r="I78" s="11">
        <v>5</v>
      </c>
      <c r="J78" s="11">
        <v>5</v>
      </c>
      <c r="K78" s="11">
        <v>5</v>
      </c>
      <c r="L78" s="11">
        <v>5</v>
      </c>
      <c r="M78" s="11">
        <v>5</v>
      </c>
      <c r="N78" s="11">
        <v>5</v>
      </c>
      <c r="O78" s="12">
        <f t="shared" si="29"/>
        <v>5</v>
      </c>
    </row>
    <row r="79" spans="1:15" x14ac:dyDescent="0.25">
      <c r="A79" s="37" t="s">
        <v>79</v>
      </c>
      <c r="B79" s="24" t="s">
        <v>58</v>
      </c>
      <c r="C79" s="11">
        <v>8</v>
      </c>
      <c r="D79" s="11">
        <v>8</v>
      </c>
      <c r="E79" s="11">
        <v>8</v>
      </c>
      <c r="F79" s="11">
        <v>8</v>
      </c>
      <c r="G79" s="11">
        <v>7</v>
      </c>
      <c r="H79" s="11">
        <v>12</v>
      </c>
      <c r="I79" s="11">
        <v>8</v>
      </c>
      <c r="J79" s="11">
        <v>8</v>
      </c>
      <c r="K79" s="67">
        <v>8</v>
      </c>
      <c r="L79" s="11">
        <v>4</v>
      </c>
      <c r="M79" s="11">
        <v>4</v>
      </c>
      <c r="N79" s="11">
        <v>4</v>
      </c>
      <c r="O79" s="12">
        <f t="shared" si="29"/>
        <v>7.25</v>
      </c>
    </row>
    <row r="80" spans="1:15" x14ac:dyDescent="0.25">
      <c r="B80" s="33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5"/>
    </row>
    <row r="81" spans="1:15" x14ac:dyDescent="0.25">
      <c r="B81" s="24" t="s">
        <v>59</v>
      </c>
      <c r="C81" s="47">
        <f>SUM(C69:C79)</f>
        <v>83.8</v>
      </c>
      <c r="D81" s="47">
        <f>SUM(D69:D79)</f>
        <v>85.2</v>
      </c>
      <c r="E81" s="47">
        <f t="shared" ref="E81:N81" si="30">SUM(E69:E79)</f>
        <v>74.599999999999994</v>
      </c>
      <c r="F81" s="47">
        <f t="shared" si="30"/>
        <v>76.2</v>
      </c>
      <c r="G81" s="47">
        <f t="shared" si="30"/>
        <v>77.400000000000006</v>
      </c>
      <c r="H81" s="47">
        <f t="shared" si="30"/>
        <v>82.9</v>
      </c>
      <c r="I81" s="47">
        <f t="shared" si="30"/>
        <v>87.9</v>
      </c>
      <c r="J81" s="47">
        <f t="shared" si="30"/>
        <v>102.2</v>
      </c>
      <c r="K81" s="47">
        <f t="shared" si="30"/>
        <v>90.4</v>
      </c>
      <c r="L81" s="47">
        <f t="shared" si="30"/>
        <v>77.599999999999994</v>
      </c>
      <c r="M81" s="47">
        <f t="shared" si="30"/>
        <v>77.599999999999994</v>
      </c>
      <c r="N81" s="47">
        <f t="shared" si="30"/>
        <v>78.3</v>
      </c>
      <c r="O81" s="12">
        <f>AVERAGE(C81:N81)</f>
        <v>82.841666666666669</v>
      </c>
    </row>
    <row r="82" spans="1:15" ht="15.75" thickBot="1" x14ac:dyDescent="0.3">
      <c r="B82" s="31" t="s">
        <v>60</v>
      </c>
      <c r="C82" s="66">
        <f>C42</f>
        <v>83.817116419552974</v>
      </c>
      <c r="D82" s="66">
        <f t="shared" ref="D82:N82" si="31">D42</f>
        <v>85.200729924363316</v>
      </c>
      <c r="E82" s="66">
        <f t="shared" si="31"/>
        <v>74.555020785278089</v>
      </c>
      <c r="F82" s="66">
        <f t="shared" si="31"/>
        <v>76.16298456387625</v>
      </c>
      <c r="G82" s="66">
        <f t="shared" si="31"/>
        <v>77.363290834358537</v>
      </c>
      <c r="H82" s="66">
        <f t="shared" si="31"/>
        <v>82.882949061138078</v>
      </c>
      <c r="I82" s="66">
        <f t="shared" si="31"/>
        <v>87.916754924260147</v>
      </c>
      <c r="J82" s="66">
        <f t="shared" si="31"/>
        <v>102.19510677399191</v>
      </c>
      <c r="K82" s="66">
        <f t="shared" si="31"/>
        <v>90.392030022411603</v>
      </c>
      <c r="L82" s="66">
        <f t="shared" si="31"/>
        <v>77.588285351885276</v>
      </c>
      <c r="M82" s="66">
        <f>M42</f>
        <v>77.559745764629895</v>
      </c>
      <c r="N82" s="66">
        <f t="shared" si="31"/>
        <v>78.319011186590728</v>
      </c>
      <c r="O82" s="32">
        <f>AVERAGE(C82:N82)</f>
        <v>82.829418801028083</v>
      </c>
    </row>
    <row r="83" spans="1:15" ht="15.75" thickBot="1" x14ac:dyDescent="0.3"/>
    <row r="84" spans="1:15" x14ac:dyDescent="0.25">
      <c r="A84" s="44" t="s">
        <v>94</v>
      </c>
      <c r="B84" s="21" t="s">
        <v>93</v>
      </c>
      <c r="C84" s="21">
        <v>1</v>
      </c>
      <c r="D84" s="21">
        <v>1</v>
      </c>
      <c r="E84" s="21">
        <v>1</v>
      </c>
      <c r="F84" s="21">
        <v>1</v>
      </c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1</v>
      </c>
      <c r="N84" s="21">
        <v>1</v>
      </c>
      <c r="O84" s="22"/>
    </row>
    <row r="85" spans="1:15" x14ac:dyDescent="0.25">
      <c r="A85" s="30" t="s">
        <v>96</v>
      </c>
      <c r="B85" s="11" t="s">
        <v>97</v>
      </c>
      <c r="C85" s="11">
        <v>0</v>
      </c>
      <c r="D85" s="11">
        <v>0</v>
      </c>
      <c r="E85" s="11">
        <v>0</v>
      </c>
      <c r="F85" s="11">
        <v>0</v>
      </c>
      <c r="G85" s="11">
        <v>25</v>
      </c>
      <c r="H85" s="11">
        <v>25</v>
      </c>
      <c r="I85" s="11">
        <v>25</v>
      </c>
      <c r="J85" s="11">
        <v>25</v>
      </c>
      <c r="K85" s="11">
        <v>15</v>
      </c>
      <c r="L85" s="11">
        <v>0</v>
      </c>
      <c r="M85" s="11">
        <v>0</v>
      </c>
      <c r="N85" s="11">
        <v>0</v>
      </c>
      <c r="O85" s="12">
        <f>AVERAGE(C85:N85)</f>
        <v>9.5833333333333339</v>
      </c>
    </row>
    <row r="86" spans="1:15" ht="15.75" thickBot="1" x14ac:dyDescent="0.3">
      <c r="A86" s="45" t="s">
        <v>105</v>
      </c>
      <c r="B86" s="46" t="s">
        <v>106</v>
      </c>
      <c r="C86" s="26">
        <v>2</v>
      </c>
      <c r="D86" s="26">
        <v>2</v>
      </c>
      <c r="E86" s="26">
        <v>2</v>
      </c>
      <c r="F86" s="26">
        <v>2</v>
      </c>
      <c r="G86" s="26">
        <v>2</v>
      </c>
      <c r="H86" s="26">
        <v>2</v>
      </c>
      <c r="I86" s="26">
        <v>2</v>
      </c>
      <c r="J86" s="26">
        <v>2</v>
      </c>
      <c r="K86" s="26">
        <v>2</v>
      </c>
      <c r="L86" s="26">
        <v>2</v>
      </c>
      <c r="M86" s="26">
        <v>2</v>
      </c>
      <c r="N86" s="26">
        <v>2</v>
      </c>
      <c r="O86" s="17">
        <f>AVERAGE(C86:N86)</f>
        <v>2</v>
      </c>
    </row>
  </sheetData>
  <pageMargins left="0.25" right="0.25" top="0.75" bottom="0.75" header="0.3" footer="0.3"/>
  <pageSetup paperSize="17" scale="70" orientation="portrait" r:id="rId1"/>
  <headerFooter>
    <oddFooter>&amp;L&amp;K3F3F76December 12, 2015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D6" sqref="D2:D6"/>
    </sheetView>
  </sheetViews>
  <sheetFormatPr defaultRowHeight="15" x14ac:dyDescent="0.25"/>
  <cols>
    <col min="1" max="2" width="10.140625" customWidth="1"/>
    <col min="3" max="3" width="10.5703125" customWidth="1"/>
  </cols>
  <sheetData>
    <row r="1" spans="1:6" x14ac:dyDescent="0.25">
      <c r="A1" t="s">
        <v>124</v>
      </c>
      <c r="B1" t="s">
        <v>125</v>
      </c>
      <c r="C1" t="s">
        <v>123</v>
      </c>
      <c r="D1" t="s">
        <v>117</v>
      </c>
      <c r="E1" t="s">
        <v>118</v>
      </c>
      <c r="F1" t="s">
        <v>126</v>
      </c>
    </row>
    <row r="2" spans="1:6" x14ac:dyDescent="0.25">
      <c r="A2" t="s">
        <v>116</v>
      </c>
      <c r="B2">
        <v>5</v>
      </c>
      <c r="C2">
        <v>0</v>
      </c>
      <c r="D2">
        <f t="shared" ref="D2:D6" si="0">90-C2+5</f>
        <v>95</v>
      </c>
      <c r="E2" s="77">
        <v>100000</v>
      </c>
      <c r="F2">
        <f>F3</f>
        <v>3000</v>
      </c>
    </row>
    <row r="3" spans="1:6" x14ac:dyDescent="0.25">
      <c r="A3" t="s">
        <v>116</v>
      </c>
      <c r="B3">
        <v>4</v>
      </c>
      <c r="C3">
        <v>75</v>
      </c>
      <c r="D3">
        <f t="shared" si="0"/>
        <v>20</v>
      </c>
      <c r="E3" s="77">
        <v>100000</v>
      </c>
      <c r="F3">
        <f t="shared" ref="F3:F4" si="1">(E3-E4)/D3</f>
        <v>3000</v>
      </c>
    </row>
    <row r="4" spans="1:6" x14ac:dyDescent="0.25">
      <c r="A4" t="s">
        <v>116</v>
      </c>
      <c r="B4">
        <v>3</v>
      </c>
      <c r="C4">
        <v>80</v>
      </c>
      <c r="D4">
        <f t="shared" si="0"/>
        <v>15</v>
      </c>
      <c r="E4" s="77">
        <v>40000</v>
      </c>
      <c r="F4">
        <f t="shared" si="1"/>
        <v>2000</v>
      </c>
    </row>
    <row r="5" spans="1:6" x14ac:dyDescent="0.25">
      <c r="A5" t="s">
        <v>116</v>
      </c>
      <c r="B5">
        <v>2</v>
      </c>
      <c r="C5">
        <v>85</v>
      </c>
      <c r="D5">
        <f t="shared" si="0"/>
        <v>10</v>
      </c>
      <c r="E5" s="77">
        <v>10000</v>
      </c>
      <c r="F5">
        <f>(E5-E6)/D5</f>
        <v>1000</v>
      </c>
    </row>
    <row r="6" spans="1:6" x14ac:dyDescent="0.25">
      <c r="A6" t="s">
        <v>116</v>
      </c>
      <c r="B6">
        <v>1</v>
      </c>
      <c r="C6">
        <v>90</v>
      </c>
      <c r="D6">
        <f t="shared" si="0"/>
        <v>5</v>
      </c>
      <c r="E6" s="77">
        <v>0</v>
      </c>
      <c r="F6">
        <v>0</v>
      </c>
    </row>
    <row r="7" spans="1:6" x14ac:dyDescent="0.25">
      <c r="A7" t="s">
        <v>119</v>
      </c>
      <c r="B7">
        <v>5</v>
      </c>
      <c r="C7">
        <v>0</v>
      </c>
      <c r="D7">
        <f>6-C7</f>
        <v>6</v>
      </c>
      <c r="E7" s="77">
        <v>100000</v>
      </c>
      <c r="F7">
        <f>F8</f>
        <v>13333.333333333334</v>
      </c>
    </row>
    <row r="8" spans="1:6" x14ac:dyDescent="0.25">
      <c r="A8" t="s">
        <v>119</v>
      </c>
      <c r="B8">
        <v>4</v>
      </c>
      <c r="C8">
        <v>1.5</v>
      </c>
      <c r="D8">
        <f t="shared" ref="D8:D11" si="2">6-C8</f>
        <v>4.5</v>
      </c>
      <c r="E8" s="77">
        <v>100000</v>
      </c>
      <c r="F8">
        <f t="shared" ref="F8:F9" si="3">(E8-E9)/D8</f>
        <v>13333.333333333334</v>
      </c>
    </row>
    <row r="9" spans="1:6" x14ac:dyDescent="0.25">
      <c r="A9" t="s">
        <v>119</v>
      </c>
      <c r="B9">
        <v>3</v>
      </c>
      <c r="C9">
        <v>3</v>
      </c>
      <c r="D9">
        <f t="shared" si="2"/>
        <v>3</v>
      </c>
      <c r="E9" s="77">
        <v>40000</v>
      </c>
      <c r="F9">
        <f t="shared" si="3"/>
        <v>10000</v>
      </c>
    </row>
    <row r="10" spans="1:6" x14ac:dyDescent="0.25">
      <c r="A10" t="s">
        <v>119</v>
      </c>
      <c r="B10">
        <v>2</v>
      </c>
      <c r="C10">
        <v>4.5</v>
      </c>
      <c r="D10">
        <f t="shared" si="2"/>
        <v>1.5</v>
      </c>
      <c r="E10" s="77">
        <v>10000</v>
      </c>
      <c r="F10">
        <f>(E10-E11)/D10</f>
        <v>6666.666666666667</v>
      </c>
    </row>
    <row r="11" spans="1:6" x14ac:dyDescent="0.25">
      <c r="A11" t="s">
        <v>119</v>
      </c>
      <c r="B11">
        <v>1</v>
      </c>
      <c r="C11">
        <v>6</v>
      </c>
      <c r="D11">
        <f t="shared" si="2"/>
        <v>0</v>
      </c>
      <c r="E11" s="77">
        <v>0</v>
      </c>
      <c r="F11">
        <v>0</v>
      </c>
    </row>
    <row r="12" spans="1:6" x14ac:dyDescent="0.25">
      <c r="A12" t="s">
        <v>4</v>
      </c>
      <c r="B12">
        <v>5</v>
      </c>
      <c r="C12">
        <v>0</v>
      </c>
      <c r="D12">
        <f>24.1-C12</f>
        <v>24.1</v>
      </c>
      <c r="E12" s="77">
        <v>100000</v>
      </c>
      <c r="F12">
        <f>F13</f>
        <v>9836.0655737704892</v>
      </c>
    </row>
    <row r="13" spans="1:6" x14ac:dyDescent="0.25">
      <c r="A13" t="s">
        <v>4</v>
      </c>
      <c r="B13">
        <v>4</v>
      </c>
      <c r="C13">
        <v>18</v>
      </c>
      <c r="D13">
        <f t="shared" ref="D13:D16" si="4">24.1-C13</f>
        <v>6.1000000000000014</v>
      </c>
      <c r="E13" s="77">
        <v>100000</v>
      </c>
      <c r="F13">
        <f t="shared" ref="F13:F14" si="5">(E13-E14)/D13</f>
        <v>9836.0655737704892</v>
      </c>
    </row>
    <row r="14" spans="1:6" x14ac:dyDescent="0.25">
      <c r="A14" t="s">
        <v>4</v>
      </c>
      <c r="B14">
        <v>3</v>
      </c>
      <c r="C14">
        <v>20</v>
      </c>
      <c r="D14">
        <f t="shared" si="4"/>
        <v>4.1000000000000014</v>
      </c>
      <c r="E14" s="77">
        <v>40000</v>
      </c>
      <c r="F14">
        <f t="shared" si="5"/>
        <v>7317.0731707317045</v>
      </c>
    </row>
    <row r="15" spans="1:6" x14ac:dyDescent="0.25">
      <c r="A15" t="s">
        <v>4</v>
      </c>
      <c r="B15">
        <v>2</v>
      </c>
      <c r="C15">
        <v>22</v>
      </c>
      <c r="D15">
        <f t="shared" si="4"/>
        <v>2.1000000000000014</v>
      </c>
      <c r="E15" s="77">
        <v>10000</v>
      </c>
      <c r="F15">
        <f>(E15-E16)/D15</f>
        <v>4761.9047619047587</v>
      </c>
    </row>
    <row r="16" spans="1:6" x14ac:dyDescent="0.25">
      <c r="A16" t="s">
        <v>4</v>
      </c>
      <c r="B16">
        <v>1</v>
      </c>
      <c r="C16">
        <v>24.1</v>
      </c>
      <c r="D16">
        <f t="shared" si="4"/>
        <v>0</v>
      </c>
      <c r="E16" s="77">
        <v>0</v>
      </c>
      <c r="F16">
        <v>0</v>
      </c>
    </row>
    <row r="17" spans="1:6" x14ac:dyDescent="0.25">
      <c r="A17" t="s">
        <v>120</v>
      </c>
      <c r="B17">
        <v>5</v>
      </c>
      <c r="C17">
        <v>0</v>
      </c>
      <c r="D17">
        <f>$C$21-C17</f>
        <v>240</v>
      </c>
      <c r="E17" s="77">
        <v>100000</v>
      </c>
      <c r="F17">
        <f>F18</f>
        <v>500</v>
      </c>
    </row>
    <row r="18" spans="1:6" x14ac:dyDescent="0.25">
      <c r="A18" t="s">
        <v>120</v>
      </c>
      <c r="B18">
        <v>4</v>
      </c>
      <c r="C18">
        <f t="shared" ref="C18:C20" si="6">C19-40</f>
        <v>120</v>
      </c>
      <c r="D18">
        <f t="shared" ref="D18:D21" si="7">$C$21-C18</f>
        <v>120</v>
      </c>
      <c r="E18" s="77">
        <v>100000</v>
      </c>
      <c r="F18">
        <f t="shared" ref="F18:F19" si="8">(E18-E19)/D18</f>
        <v>500</v>
      </c>
    </row>
    <row r="19" spans="1:6" x14ac:dyDescent="0.25">
      <c r="A19" t="s">
        <v>120</v>
      </c>
      <c r="B19">
        <v>3</v>
      </c>
      <c r="C19">
        <f t="shared" si="6"/>
        <v>160</v>
      </c>
      <c r="D19">
        <f t="shared" si="7"/>
        <v>80</v>
      </c>
      <c r="E19" s="77">
        <v>40000</v>
      </c>
      <c r="F19">
        <f t="shared" si="8"/>
        <v>375</v>
      </c>
    </row>
    <row r="20" spans="1:6" x14ac:dyDescent="0.25">
      <c r="A20" t="s">
        <v>120</v>
      </c>
      <c r="B20">
        <v>2</v>
      </c>
      <c r="C20">
        <f t="shared" si="6"/>
        <v>200</v>
      </c>
      <c r="D20">
        <f t="shared" si="7"/>
        <v>40</v>
      </c>
      <c r="E20" s="77">
        <v>10000</v>
      </c>
      <c r="F20">
        <f>(E20-E21)/D20</f>
        <v>250</v>
      </c>
    </row>
    <row r="21" spans="1:6" x14ac:dyDescent="0.25">
      <c r="A21" t="s">
        <v>120</v>
      </c>
      <c r="B21">
        <v>1</v>
      </c>
      <c r="C21">
        <v>240</v>
      </c>
      <c r="D21">
        <f t="shared" si="7"/>
        <v>0</v>
      </c>
      <c r="E21" s="77">
        <v>0</v>
      </c>
      <c r="F21">
        <v>0</v>
      </c>
    </row>
    <row r="22" spans="1:6" x14ac:dyDescent="0.25">
      <c r="A22" t="s">
        <v>121</v>
      </c>
      <c r="B22">
        <v>5</v>
      </c>
      <c r="C22">
        <v>0</v>
      </c>
      <c r="D22">
        <f>$C$26-C22</f>
        <v>60</v>
      </c>
      <c r="E22" s="77">
        <v>100000</v>
      </c>
      <c r="F22">
        <f>F23</f>
        <v>2000</v>
      </c>
    </row>
    <row r="23" spans="1:6" x14ac:dyDescent="0.25">
      <c r="A23" t="s">
        <v>121</v>
      </c>
      <c r="B23">
        <v>4</v>
      </c>
      <c r="C23">
        <f t="shared" ref="C23:C25" si="9">C24-10</f>
        <v>30</v>
      </c>
      <c r="D23">
        <f t="shared" ref="D23:D26" si="10">$C$26-C23</f>
        <v>30</v>
      </c>
      <c r="E23" s="77">
        <v>100000</v>
      </c>
      <c r="F23">
        <f t="shared" ref="F23:F24" si="11">(E23-E24)/D23</f>
        <v>2000</v>
      </c>
    </row>
    <row r="24" spans="1:6" x14ac:dyDescent="0.25">
      <c r="A24" t="s">
        <v>121</v>
      </c>
      <c r="B24">
        <v>3</v>
      </c>
      <c r="C24">
        <f t="shared" si="9"/>
        <v>40</v>
      </c>
      <c r="D24">
        <f t="shared" si="10"/>
        <v>20</v>
      </c>
      <c r="E24" s="77">
        <v>40000</v>
      </c>
      <c r="F24">
        <f t="shared" si="11"/>
        <v>1500</v>
      </c>
    </row>
    <row r="25" spans="1:6" x14ac:dyDescent="0.25">
      <c r="A25" t="s">
        <v>121</v>
      </c>
      <c r="B25">
        <v>2</v>
      </c>
      <c r="C25">
        <f t="shared" si="9"/>
        <v>50</v>
      </c>
      <c r="D25">
        <f t="shared" si="10"/>
        <v>10</v>
      </c>
      <c r="E25" s="77">
        <v>10000</v>
      </c>
      <c r="F25">
        <f>(E25-E26)/D25</f>
        <v>1000</v>
      </c>
    </row>
    <row r="26" spans="1:6" x14ac:dyDescent="0.25">
      <c r="A26" t="s">
        <v>121</v>
      </c>
      <c r="B26">
        <v>1</v>
      </c>
      <c r="C26">
        <v>60</v>
      </c>
      <c r="D26">
        <f t="shared" si="10"/>
        <v>0</v>
      </c>
      <c r="E26" s="77">
        <v>0</v>
      </c>
      <c r="F26">
        <v>0</v>
      </c>
    </row>
    <row r="27" spans="1:6" x14ac:dyDescent="0.25">
      <c r="A27" t="s">
        <v>122</v>
      </c>
      <c r="B27">
        <v>5</v>
      </c>
      <c r="C27">
        <v>0</v>
      </c>
      <c r="D27">
        <f>$C$31-C27</f>
        <v>100</v>
      </c>
      <c r="E27" s="77">
        <v>100000</v>
      </c>
      <c r="F27">
        <f>F28</f>
        <v>1000</v>
      </c>
    </row>
    <row r="28" spans="1:6" x14ac:dyDescent="0.25">
      <c r="A28" t="s">
        <v>122</v>
      </c>
      <c r="B28">
        <v>4</v>
      </c>
      <c r="C28">
        <f t="shared" ref="C28:C30" si="12">C29-20</f>
        <v>40</v>
      </c>
      <c r="D28">
        <f t="shared" ref="D28:D31" si="13">$C$31-C28</f>
        <v>60</v>
      </c>
      <c r="E28" s="77">
        <v>100000</v>
      </c>
      <c r="F28">
        <f t="shared" ref="F28:F29" si="14">(E28-E29)/D28</f>
        <v>1000</v>
      </c>
    </row>
    <row r="29" spans="1:6" x14ac:dyDescent="0.25">
      <c r="A29" t="s">
        <v>122</v>
      </c>
      <c r="B29">
        <v>3</v>
      </c>
      <c r="C29">
        <f t="shared" si="12"/>
        <v>60</v>
      </c>
      <c r="D29">
        <f t="shared" si="13"/>
        <v>40</v>
      </c>
      <c r="E29" s="77">
        <v>40000</v>
      </c>
      <c r="F29">
        <f t="shared" si="14"/>
        <v>750</v>
      </c>
    </row>
    <row r="30" spans="1:6" x14ac:dyDescent="0.25">
      <c r="A30" t="s">
        <v>122</v>
      </c>
      <c r="B30">
        <v>2</v>
      </c>
      <c r="C30">
        <f t="shared" si="12"/>
        <v>80</v>
      </c>
      <c r="D30">
        <f t="shared" si="13"/>
        <v>20</v>
      </c>
      <c r="E30" s="77">
        <v>10000</v>
      </c>
      <c r="F30">
        <f>(E30-E31)/D30</f>
        <v>500</v>
      </c>
    </row>
    <row r="31" spans="1:6" x14ac:dyDescent="0.25">
      <c r="A31" t="s">
        <v>122</v>
      </c>
      <c r="B31">
        <v>1</v>
      </c>
      <c r="C31">
        <v>100</v>
      </c>
      <c r="D31">
        <f t="shared" si="13"/>
        <v>0</v>
      </c>
      <c r="E31" s="77">
        <v>0</v>
      </c>
      <c r="F3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Desal 9 mgd</vt:lpstr>
      <vt:lpstr>pencost</vt:lpstr>
      <vt:lpstr>'Desal 9 mgd'!Print_Area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 Bracciano</dc:creator>
  <cp:lastModifiedBy>wanakule</cp:lastModifiedBy>
  <cp:lastPrinted>2017-11-20T21:47:11Z</cp:lastPrinted>
  <dcterms:created xsi:type="dcterms:W3CDTF">2014-01-15T20:08:56Z</dcterms:created>
  <dcterms:modified xsi:type="dcterms:W3CDTF">2018-09-26T21:14:43Z</dcterms:modified>
</cp:coreProperties>
</file>