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9FEC706-9933-4617-AEC5-57E6A164A568}" xr6:coauthVersionLast="47" xr6:coauthVersionMax="47" xr10:uidLastSave="{00000000-0000-0000-0000-000000000000}"/>
  <bookViews>
    <workbookView xWindow="-120" yWindow="-120" windowWidth="29040" windowHeight="15840" tabRatio="604" xr2:uid="{F1B06429-2F9D-4E31-9A7A-A24CFBB29ACC}"/>
  </bookViews>
  <sheets>
    <sheet name="Orçamento" sheetId="2" r:id="rId1"/>
    <sheet name="Calculadora" sheetId="3" r:id="rId2"/>
    <sheet name="Revendas" sheetId="7" r:id="rId3"/>
    <sheet name="Dados" sheetId="8" r:id="rId4"/>
  </sheets>
  <definedNames>
    <definedName name="_xlnm._FilterDatabase" localSheetId="2" hidden="1">Revendas!$C$5:$E$174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3" l="1"/>
  <c r="F25" i="2"/>
  <c r="E3" i="3" l="1"/>
  <c r="E3" i="2"/>
  <c r="Q3" i="2" l="1"/>
  <c r="O3" i="3"/>
  <c r="O6" i="3"/>
  <c r="O4" i="3"/>
  <c r="Q6" i="2" l="1"/>
  <c r="Q4" i="2"/>
  <c r="C7" i="8"/>
  <c r="AA5" i="8" l="1"/>
  <c r="E4" i="3"/>
  <c r="H17" i="2" s="1"/>
  <c r="G5" i="3"/>
  <c r="E39" i="3"/>
  <c r="E41" i="3" s="1"/>
  <c r="H21" i="2" l="1"/>
  <c r="H13" i="2"/>
  <c r="U12" i="3"/>
  <c r="U9" i="3"/>
  <c r="U8" i="3"/>
  <c r="U11" i="3"/>
  <c r="U7" i="3"/>
  <c r="U10" i="3"/>
  <c r="U6" i="3"/>
  <c r="AA6" i="8"/>
  <c r="AG5" i="8"/>
  <c r="AG12" i="8" s="1"/>
  <c r="E40" i="3"/>
  <c r="AG14" i="8" l="1"/>
  <c r="AG10" i="8"/>
  <c r="AG15" i="8"/>
  <c r="AG17" i="8"/>
  <c r="AG13" i="8"/>
  <c r="AG16" i="8"/>
  <c r="AG11" i="8"/>
  <c r="E43" i="3"/>
  <c r="B36" i="3"/>
  <c r="O37" i="3" s="1"/>
  <c r="B35" i="3"/>
  <c r="B34" i="3"/>
  <c r="B33" i="3"/>
  <c r="B32" i="3"/>
  <c r="B31" i="3"/>
  <c r="B30" i="3"/>
  <c r="B29" i="3"/>
  <c r="B28" i="3"/>
  <c r="B26" i="3"/>
  <c r="B25" i="3"/>
  <c r="B24" i="3"/>
  <c r="B23" i="3"/>
  <c r="B22" i="3"/>
  <c r="B21" i="3"/>
  <c r="B20" i="3"/>
  <c r="B19" i="3"/>
  <c r="B18" i="3"/>
  <c r="B17" i="3"/>
  <c r="B15" i="3"/>
  <c r="B14" i="3"/>
  <c r="B13" i="3"/>
  <c r="B11" i="3"/>
  <c r="B10" i="3"/>
  <c r="B9" i="3"/>
  <c r="H36" i="3"/>
  <c r="H35" i="3"/>
  <c r="H34" i="3"/>
  <c r="H33" i="3"/>
  <c r="H32" i="3"/>
  <c r="H31" i="3"/>
  <c r="H30" i="3"/>
  <c r="H29" i="3"/>
  <c r="H28" i="3"/>
  <c r="H26" i="3"/>
  <c r="H25" i="3"/>
  <c r="H24" i="3"/>
  <c r="H23" i="3"/>
  <c r="H22" i="3"/>
  <c r="H21" i="3"/>
  <c r="H20" i="3"/>
  <c r="H19" i="3"/>
  <c r="H18" i="3"/>
  <c r="H17" i="3"/>
  <c r="H15" i="3"/>
  <c r="H14" i="3"/>
  <c r="H13" i="3"/>
  <c r="H11" i="3"/>
  <c r="H10" i="3"/>
  <c r="H9" i="3"/>
  <c r="AG6" i="8" l="1"/>
  <c r="A32" i="3"/>
  <c r="A11" i="3"/>
  <c r="A17" i="3"/>
  <c r="A21" i="3"/>
  <c r="O22" i="3"/>
  <c r="A25" i="3"/>
  <c r="O26" i="3"/>
  <c r="A30" i="3"/>
  <c r="O31" i="3"/>
  <c r="A33" i="3"/>
  <c r="O34" i="3"/>
  <c r="A13" i="3"/>
  <c r="A18" i="3"/>
  <c r="O19" i="3"/>
  <c r="A22" i="3"/>
  <c r="A26" i="3"/>
  <c r="O27" i="3"/>
  <c r="A31" i="3"/>
  <c r="A34" i="3"/>
  <c r="A14" i="3"/>
  <c r="A19" i="3"/>
  <c r="O20" i="3"/>
  <c r="A23" i="3"/>
  <c r="O24" i="3"/>
  <c r="A28" i="3"/>
  <c r="A35" i="3"/>
  <c r="A15" i="3"/>
  <c r="A20" i="3"/>
  <c r="O21" i="3"/>
  <c r="A24" i="3"/>
  <c r="O25" i="3"/>
  <c r="A29" i="3"/>
  <c r="A9" i="3"/>
  <c r="A36" i="3"/>
  <c r="A10" i="3"/>
  <c r="H37" i="3"/>
  <c r="O41" i="3" s="1"/>
  <c r="E22" i="2" l="1"/>
  <c r="E18" i="2"/>
  <c r="E14" i="2"/>
  <c r="F18" i="2" l="1"/>
  <c r="F14" i="2"/>
  <c r="F22" i="2"/>
  <c r="J18" i="2"/>
  <c r="J22" i="2"/>
  <c r="J14" i="2"/>
  <c r="J15" i="2" s="1"/>
  <c r="J36" i="3" l="1"/>
  <c r="J30" i="3"/>
  <c r="J22" i="3"/>
  <c r="O23" i="3" s="1"/>
  <c r="J19" i="3"/>
  <c r="J17" i="3"/>
  <c r="O18" i="3" s="1"/>
  <c r="J9" i="3"/>
  <c r="O10" i="3" s="1"/>
  <c r="J34" i="3"/>
  <c r="O35" i="3" s="1"/>
  <c r="J31" i="3"/>
  <c r="O32" i="3" s="1"/>
  <c r="J29" i="3"/>
  <c r="O30" i="3" s="1"/>
  <c r="J26" i="3"/>
  <c r="J23" i="3"/>
  <c r="J21" i="3"/>
  <c r="J15" i="3"/>
  <c r="O16" i="3" s="1"/>
  <c r="J10" i="3"/>
  <c r="O11" i="3" s="1"/>
  <c r="J35" i="3"/>
  <c r="O36" i="3" s="1"/>
  <c r="J33" i="3"/>
  <c r="J28" i="3"/>
  <c r="O29" i="3" s="1"/>
  <c r="J25" i="3"/>
  <c r="J20" i="3"/>
  <c r="J13" i="3"/>
  <c r="O14" i="3" s="1"/>
  <c r="J32" i="3"/>
  <c r="O33" i="3" s="1"/>
  <c r="J24" i="3"/>
  <c r="J18" i="3"/>
  <c r="J14" i="3"/>
  <c r="O15" i="3" s="1"/>
  <c r="J11" i="3"/>
  <c r="O12" i="3" s="1"/>
  <c r="K24" i="3" l="1"/>
  <c r="K25" i="3"/>
  <c r="K10" i="3"/>
  <c r="K26" i="3"/>
  <c r="K9" i="3"/>
  <c r="K30" i="3"/>
  <c r="K11" i="3"/>
  <c r="K32" i="3"/>
  <c r="K28" i="3"/>
  <c r="K15" i="3"/>
  <c r="K29" i="3"/>
  <c r="K17" i="3"/>
  <c r="K36" i="3"/>
  <c r="K14" i="3"/>
  <c r="K13" i="3"/>
  <c r="K33" i="3"/>
  <c r="K21" i="3"/>
  <c r="K31" i="3"/>
  <c r="K19" i="3"/>
  <c r="K18" i="3"/>
  <c r="K20" i="3"/>
  <c r="K35" i="3"/>
  <c r="K23" i="3"/>
  <c r="K34" i="3"/>
  <c r="K22" i="3"/>
  <c r="K37" i="3" l="1"/>
  <c r="AA10" i="8" s="1"/>
  <c r="AA12" i="8" s="1"/>
  <c r="O5" i="3"/>
  <c r="O45" i="3" l="1"/>
  <c r="Q5" i="2"/>
  <c r="O39" i="3" l="1"/>
  <c r="O40" i="3"/>
  <c r="F39" i="3" l="1"/>
  <c r="A23" i="2" l="1"/>
  <c r="G21" i="2"/>
  <c r="A20" i="2"/>
  <c r="A19" i="2"/>
  <c r="J19" i="2"/>
  <c r="G17" i="2"/>
  <c r="G13" i="2"/>
  <c r="F7" i="2"/>
  <c r="F6" i="2"/>
  <c r="B6" i="2"/>
  <c r="A6" i="2" s="1"/>
  <c r="O43" i="3" l="1"/>
  <c r="Q10" i="2"/>
  <c r="Q25" i="2"/>
  <c r="G22" i="2"/>
  <c r="J23" i="2"/>
  <c r="Q40" i="2" s="1"/>
  <c r="I13" i="2"/>
  <c r="I17" i="2"/>
  <c r="B13" i="2"/>
  <c r="A13" i="2" s="1"/>
  <c r="G14" i="2"/>
  <c r="B17" i="2"/>
  <c r="A17" i="2" s="1"/>
  <c r="G18" i="2"/>
  <c r="B21" i="2"/>
  <c r="A21" i="2" s="1"/>
  <c r="I21" i="2"/>
  <c r="M19" i="8" l="1"/>
  <c r="M20" i="8" s="1"/>
  <c r="K22" i="2"/>
  <c r="M13" i="8"/>
  <c r="M14" i="8" s="1"/>
  <c r="K18" i="2"/>
  <c r="M7" i="8"/>
  <c r="M8" i="8" s="1"/>
  <c r="K13" i="2" s="1"/>
  <c r="H22" i="2"/>
  <c r="I22" i="2" s="1"/>
  <c r="H18" i="2"/>
  <c r="I18" i="2" s="1"/>
  <c r="I19" i="2" s="1"/>
  <c r="H14" i="2"/>
  <c r="I14" i="2" s="1"/>
  <c r="I15" i="2" s="1"/>
  <c r="K14" i="2"/>
  <c r="B22" i="2"/>
  <c r="A22" i="2" s="1"/>
  <c r="B18" i="2"/>
  <c r="A18" i="2" s="1"/>
  <c r="B14" i="2"/>
  <c r="A14" i="2" s="1"/>
  <c r="M13" i="2" l="1"/>
  <c r="M14" i="2"/>
  <c r="M22" i="2"/>
  <c r="M21" i="2"/>
  <c r="M18" i="2"/>
  <c r="M17" i="2"/>
  <c r="Q12" i="2"/>
  <c r="L14" i="2"/>
  <c r="L22" i="2"/>
  <c r="K21" i="2"/>
  <c r="L21" i="2" s="1"/>
  <c r="K17" i="2"/>
  <c r="L17" i="2" s="1"/>
  <c r="L18" i="2"/>
  <c r="I23" i="2"/>
  <c r="Q46" i="2"/>
  <c r="Q31" i="2"/>
  <c r="Q43" i="2" l="1"/>
  <c r="Q27" i="2"/>
  <c r="Q28" i="2"/>
  <c r="Q42" i="2"/>
  <c r="L23" i="2"/>
  <c r="M21" i="8" s="1"/>
  <c r="L19" i="2"/>
  <c r="Q36" i="2" s="1"/>
  <c r="L13" i="2"/>
  <c r="L15" i="2" s="1"/>
  <c r="Q21" i="2" s="1"/>
  <c r="Q16" i="2"/>
  <c r="Q51" i="2" l="1"/>
  <c r="S7" i="8"/>
  <c r="M9" i="8"/>
  <c r="R7" i="8"/>
  <c r="M15" i="8"/>
  <c r="Q34" i="2" s="1"/>
  <c r="S8" i="8"/>
  <c r="R8" i="8"/>
  <c r="Q49" i="2"/>
  <c r="S9" i="8"/>
  <c r="R9" i="8"/>
  <c r="M15" i="2"/>
  <c r="Q47" i="2"/>
  <c r="Q45" i="2" s="1"/>
  <c r="M23" i="2"/>
  <c r="M19" i="2"/>
  <c r="Q32" i="2"/>
  <c r="Q30" i="2" s="1"/>
  <c r="Q17" i="2"/>
  <c r="Q15" i="2" s="1"/>
  <c r="U9" i="8" l="1"/>
  <c r="T8" i="8"/>
  <c r="T7" i="8"/>
  <c r="T9" i="8"/>
  <c r="U8" i="8"/>
  <c r="U7" i="8"/>
  <c r="Q19" i="2"/>
  <c r="Q13" i="2"/>
  <c r="V9" i="8" l="1"/>
  <c r="P38" i="2" s="1"/>
  <c r="V8" i="8"/>
  <c r="P23" i="2" s="1"/>
  <c r="V7" i="8"/>
  <c r="P8" i="2" s="1"/>
  <c r="E4" i="2" l="1"/>
</calcChain>
</file>

<file path=xl/sharedStrings.xml><?xml version="1.0" encoding="utf-8"?>
<sst xmlns="http://schemas.openxmlformats.org/spreadsheetml/2006/main" count="542" uniqueCount="309">
  <si>
    <t>Sigla</t>
  </si>
  <si>
    <t>Condições de Faturamento</t>
  </si>
  <si>
    <t>Quantidade</t>
  </si>
  <si>
    <t>Percentual</t>
  </si>
  <si>
    <t>Faturamento</t>
  </si>
  <si>
    <t>Prazo</t>
  </si>
  <si>
    <t>3 a 6</t>
  </si>
  <si>
    <t>IPTOP-G</t>
  </si>
  <si>
    <t>20 funcionários</t>
  </si>
  <si>
    <t>Até R$ 150,00</t>
  </si>
  <si>
    <t>7 a 10</t>
  </si>
  <si>
    <t>IPTOP-Q</t>
  </si>
  <si>
    <t>50 funcionários</t>
  </si>
  <si>
    <t>Acima de R$ 150,00</t>
  </si>
  <si>
    <t>11 a 20</t>
  </si>
  <si>
    <t>IPTOP-N</t>
  </si>
  <si>
    <t>250 funcionários</t>
  </si>
  <si>
    <t>Acima de R$ 250,00</t>
  </si>
  <si>
    <t>Acima de 21</t>
  </si>
  <si>
    <t>IPTOA-G</t>
  </si>
  <si>
    <t>Acima de R$ 500,00</t>
  </si>
  <si>
    <t>Acima de 50</t>
  </si>
  <si>
    <t>IPTOA-Q</t>
  </si>
  <si>
    <t>Acima de R$ 1.000,00</t>
  </si>
  <si>
    <t>Acima de 100</t>
  </si>
  <si>
    <t>IPTOA-N</t>
  </si>
  <si>
    <t>Acima de R$ 2.000,00</t>
  </si>
  <si>
    <t>Acima de 200</t>
  </si>
  <si>
    <t>IP100-P</t>
  </si>
  <si>
    <t>pacote 100 funcionários</t>
  </si>
  <si>
    <t>Acima de R$ 5.000,00</t>
  </si>
  <si>
    <t>IP250-P</t>
  </si>
  <si>
    <t>pacote 250 funcionários</t>
  </si>
  <si>
    <t>IP500-P</t>
  </si>
  <si>
    <t>pacote 500 funcionários</t>
  </si>
  <si>
    <t>TOTAL</t>
  </si>
  <si>
    <t>IP750-P</t>
  </si>
  <si>
    <t>pacote 750 funcionários</t>
  </si>
  <si>
    <t>I1000-P</t>
  </si>
  <si>
    <t>pacote 1000 funcionários</t>
  </si>
  <si>
    <t>I2000-P</t>
  </si>
  <si>
    <t>pacote 2000 funcionários</t>
  </si>
  <si>
    <t>I3000-P</t>
  </si>
  <si>
    <t>pacote 3000 funcionários</t>
  </si>
  <si>
    <t>I5000-P</t>
  </si>
  <si>
    <t>pacote 5000 funcionários</t>
  </si>
  <si>
    <t>IPFUL-P</t>
  </si>
  <si>
    <t>pacote ilimitado</t>
  </si>
  <si>
    <t>IP100-A</t>
  </si>
  <si>
    <t>IP250-A</t>
  </si>
  <si>
    <t>IP500-A</t>
  </si>
  <si>
    <t>IP750-A</t>
  </si>
  <si>
    <t>I1000-A</t>
  </si>
  <si>
    <t>I2000-A</t>
  </si>
  <si>
    <t>I3000-A</t>
  </si>
  <si>
    <t>I5000-A</t>
  </si>
  <si>
    <t>IPFUL-A</t>
  </si>
  <si>
    <t>atualização 20 funcionários</t>
  </si>
  <si>
    <t>atualização 50 funcionários</t>
  </si>
  <si>
    <t>atualização 250 funcionários</t>
  </si>
  <si>
    <t>atualização pacote 100 funcionários</t>
  </si>
  <si>
    <t>atualização pacote 250 funcionários</t>
  </si>
  <si>
    <t>atualização pacote 500 funcionários</t>
  </si>
  <si>
    <t>atualização pacote 750 funcionários</t>
  </si>
  <si>
    <t>atualização pacote 1000 funcionários</t>
  </si>
  <si>
    <t>atualização pacote 2000 funcionários</t>
  </si>
  <si>
    <t>atualização pacote 3000 funcionários</t>
  </si>
  <si>
    <t>atualização pacote 5000 funcionários</t>
  </si>
  <si>
    <t>Desconto Total</t>
  </si>
  <si>
    <t>Pacote de Funcionários</t>
  </si>
  <si>
    <t>Quantidade de CNPJs:</t>
  </si>
  <si>
    <t>Quantidade de funcionários:</t>
  </si>
  <si>
    <t>Valor Unitário</t>
  </si>
  <si>
    <t>Valor Total</t>
  </si>
  <si>
    <t>Empresa Principal</t>
  </si>
  <si>
    <t>Desc. Tabela Progressiva</t>
  </si>
  <si>
    <t>atualização pacote cadastros ilimitados</t>
  </si>
  <si>
    <t>*Licença Vitalícia - iPonto Plus:*</t>
  </si>
  <si>
    <t>1ª opção</t>
  </si>
  <si>
    <t>2ª opção</t>
  </si>
  <si>
    <t>3ª opção</t>
  </si>
  <si>
    <t>Desconto Progressivo</t>
  </si>
  <si>
    <t>Código</t>
  </si>
  <si>
    <t>Próxima faixa</t>
  </si>
  <si>
    <t>Até 2</t>
  </si>
  <si>
    <t>Condição especial:</t>
  </si>
  <si>
    <t>Hoje</t>
  </si>
  <si>
    <t>Valor Unitário com desconto</t>
  </si>
  <si>
    <t>Valor Total com desconto</t>
  </si>
  <si>
    <t>Limite de Cadastros</t>
  </si>
  <si>
    <t>Modo de Pagamento</t>
  </si>
  <si>
    <t>Não possui</t>
  </si>
  <si>
    <t>Mais barato?</t>
  </si>
  <si>
    <t>Mais viável?</t>
  </si>
  <si>
    <t>Valor por Funcionário</t>
  </si>
  <si>
    <t>Não</t>
  </si>
  <si>
    <t>Sim</t>
  </si>
  <si>
    <t>Não recomendar</t>
  </si>
  <si>
    <t>Resultado da Análise</t>
  </si>
  <si>
    <t>Menor valor por funcionário</t>
  </si>
  <si>
    <t>Menor valor total</t>
  </si>
  <si>
    <t>Melhor opção - Menor valor total e Menor valor por funcionário</t>
  </si>
  <si>
    <t>IP10K-P</t>
  </si>
  <si>
    <t>pacote 10000 funcionários</t>
  </si>
  <si>
    <t>Revenda com opção de pacote?</t>
  </si>
  <si>
    <t>Quantidade de licenças:</t>
  </si>
  <si>
    <t>Modo de Pagamento: 6 x - 28/56/84/112/140/168 dias (sem juros)</t>
  </si>
  <si>
    <t>Modo de Pagamento: 8 x - 28/56/84/112/140/168/196/224 dias (sem juros)</t>
  </si>
  <si>
    <t>Desconto Especial</t>
  </si>
  <si>
    <t>Conforme a tabela progressiva no Acesso Restrito</t>
  </si>
  <si>
    <t>Modo de Pagamento: 1 x - 7 dias (sem juros)</t>
  </si>
  <si>
    <t>Modo de Pagamento: 1 x - 14 dias (sem juros)</t>
  </si>
  <si>
    <t>Modo de Pagamento: 1 x - 28 dias (sem juros)</t>
  </si>
  <si>
    <t>Modo de Pagamento: 2 x - 28/56 dias (sem juros)</t>
  </si>
  <si>
    <t>Modo de Pagamento: 3 x - 28/56/84 dias (sem juros)</t>
  </si>
  <si>
    <t>Modo de Pagamento: 4 x - 28/56/84/112 dias (sem juros)</t>
  </si>
  <si>
    <t>Modo de Pagamento: 5 x - 28/56/84/112/140 dias (sem juros)</t>
  </si>
  <si>
    <t>Acima de 50 licenças para Revendas específicas</t>
  </si>
  <si>
    <t>Acima de 100 licenças para Revendas específicas</t>
  </si>
  <si>
    <t>A partir de 50 licenças: 10% acumulativo com a tabela progressiva</t>
  </si>
  <si>
    <t>Faixa</t>
  </si>
  <si>
    <t>Porcentagem</t>
  </si>
  <si>
    <t>Normal</t>
  </si>
  <si>
    <t>Para Revendedoras específicas</t>
  </si>
  <si>
    <t>Revenda:</t>
  </si>
  <si>
    <t>Código da Revenda:</t>
  </si>
  <si>
    <t>Contato:</t>
  </si>
  <si>
    <t>Canal:</t>
  </si>
  <si>
    <t>Revendas ativas</t>
  </si>
  <si>
    <t>Data</t>
  </si>
  <si>
    <t>Orçamento - Modo de Pagamento</t>
  </si>
  <si>
    <t>Orçamento - Melhor Opção</t>
  </si>
  <si>
    <t>Tabela da Análise</t>
  </si>
  <si>
    <t>Calculadora - Modo de Pagamento</t>
  </si>
  <si>
    <t>Calculadora - Volume de Licenças</t>
  </si>
  <si>
    <t>Nome Fantasia ↓</t>
  </si>
  <si>
    <t>Condição Especial</t>
  </si>
  <si>
    <t>Desconto Extra</t>
  </si>
  <si>
    <t xml:space="preserve">São Paulo  </t>
  </si>
  <si>
    <t xml:space="preserve">Rio de Janeiro  </t>
  </si>
  <si>
    <t xml:space="preserve">Belo Horizonte  </t>
  </si>
  <si>
    <t xml:space="preserve">Salvador  </t>
  </si>
  <si>
    <t xml:space="preserve">Brasília  </t>
  </si>
  <si>
    <t xml:space="preserve">Fortaleza  </t>
  </si>
  <si>
    <t xml:space="preserve">Curitiba  </t>
  </si>
  <si>
    <t xml:space="preserve">Manaus  </t>
  </si>
  <si>
    <t xml:space="preserve">Recife  </t>
  </si>
  <si>
    <t xml:space="preserve">Porto Alegre  </t>
  </si>
  <si>
    <t xml:space="preserve">Belém  </t>
  </si>
  <si>
    <t xml:space="preserve">Goiânia  </t>
  </si>
  <si>
    <t xml:space="preserve">Guarulhos  </t>
  </si>
  <si>
    <t xml:space="preserve">Campinas  </t>
  </si>
  <si>
    <t xml:space="preserve">São Luís  </t>
  </si>
  <si>
    <t xml:space="preserve">São Gonçalo  </t>
  </si>
  <si>
    <t xml:space="preserve">Maceió  </t>
  </si>
  <si>
    <t xml:space="preserve">Duque de Caxias  </t>
  </si>
  <si>
    <t xml:space="preserve">Natal  </t>
  </si>
  <si>
    <t xml:space="preserve">Teresina  </t>
  </si>
  <si>
    <t xml:space="preserve">Campo Grande  </t>
  </si>
  <si>
    <t xml:space="preserve">Osasco  </t>
  </si>
  <si>
    <t xml:space="preserve">São Bernardo do Campo  </t>
  </si>
  <si>
    <t xml:space="preserve">João Pessoa  </t>
  </si>
  <si>
    <t xml:space="preserve">Jaboatão dos Guararapes  </t>
  </si>
  <si>
    <t xml:space="preserve">Contagem  </t>
  </si>
  <si>
    <t xml:space="preserve">São José dos Campos  </t>
  </si>
  <si>
    <t xml:space="preserve">Uberlândia  </t>
  </si>
  <si>
    <t xml:space="preserve">Sorocaba  </t>
  </si>
  <si>
    <t xml:space="preserve">Ribeirão Preto  </t>
  </si>
  <si>
    <t xml:space="preserve">Cuiabá  </t>
  </si>
  <si>
    <t xml:space="preserve">Aracaju  </t>
  </si>
  <si>
    <t xml:space="preserve">Feira de Santana  </t>
  </si>
  <si>
    <t xml:space="preserve">Joinville  </t>
  </si>
  <si>
    <t xml:space="preserve">Juiz de Fora  </t>
  </si>
  <si>
    <t xml:space="preserve">Londrina  </t>
  </si>
  <si>
    <t xml:space="preserve">Ananindeua  </t>
  </si>
  <si>
    <t xml:space="preserve">Niterói  </t>
  </si>
  <si>
    <t xml:space="preserve">Belford Roxo  </t>
  </si>
  <si>
    <t xml:space="preserve">Campos dos Goytacazes  </t>
  </si>
  <si>
    <t xml:space="preserve">Vila Velha  </t>
  </si>
  <si>
    <t xml:space="preserve">Serra  </t>
  </si>
  <si>
    <t xml:space="preserve">Caxias do Sul  </t>
  </si>
  <si>
    <t xml:space="preserve">Florianópolis  </t>
  </si>
  <si>
    <t xml:space="preserve">Macapá  </t>
  </si>
  <si>
    <t xml:space="preserve">Mauá  </t>
  </si>
  <si>
    <t xml:space="preserve">São José do Rio Preto  </t>
  </si>
  <si>
    <t xml:space="preserve">Santos  </t>
  </si>
  <si>
    <t xml:space="preserve">Diadema  </t>
  </si>
  <si>
    <t xml:space="preserve">Mogi das Cruzes  </t>
  </si>
  <si>
    <t xml:space="preserve">Betim  </t>
  </si>
  <si>
    <t xml:space="preserve">Jundiaí  </t>
  </si>
  <si>
    <t xml:space="preserve">Carapicuíba  </t>
  </si>
  <si>
    <t xml:space="preserve">Olinda  </t>
  </si>
  <si>
    <t xml:space="preserve">Campina Grande  </t>
  </si>
  <si>
    <t xml:space="preserve">Piracicaba  </t>
  </si>
  <si>
    <t xml:space="preserve">Bauru  </t>
  </si>
  <si>
    <t xml:space="preserve">Montes Claros  </t>
  </si>
  <si>
    <t xml:space="preserve">Rio Branco  </t>
  </si>
  <si>
    <t xml:space="preserve">Cariacica  </t>
  </si>
  <si>
    <t xml:space="preserve">Vitória  </t>
  </si>
  <si>
    <t xml:space="preserve">Maringá  </t>
  </si>
  <si>
    <t xml:space="preserve">Anápolis  </t>
  </si>
  <si>
    <t xml:space="preserve">São Vicente  </t>
  </si>
  <si>
    <t xml:space="preserve">Pelotas  </t>
  </si>
  <si>
    <t xml:space="preserve">Itaquaquecetuba  </t>
  </si>
  <si>
    <t xml:space="preserve">Vitória da Conquista  </t>
  </si>
  <si>
    <t xml:space="preserve">Canoas  </t>
  </si>
  <si>
    <t xml:space="preserve">Franca  </t>
  </si>
  <si>
    <t xml:space="preserve">Blumenau  </t>
  </si>
  <si>
    <t xml:space="preserve">Ponta Grossa  </t>
  </si>
  <si>
    <t xml:space="preserve">Petrolina  </t>
  </si>
  <si>
    <t xml:space="preserve">Paulista  </t>
  </si>
  <si>
    <t xml:space="preserve">Uberaba  </t>
  </si>
  <si>
    <t xml:space="preserve">Caucaia  </t>
  </si>
  <si>
    <t xml:space="preserve">Santa Maria  </t>
  </si>
  <si>
    <t xml:space="preserve">Caruaru  </t>
  </si>
  <si>
    <t xml:space="preserve">Novo Hamburgo  </t>
  </si>
  <si>
    <t xml:space="preserve">Barueri  </t>
  </si>
  <si>
    <t xml:space="preserve">Governador Valadares  </t>
  </si>
  <si>
    <t xml:space="preserve">Taubaté  </t>
  </si>
  <si>
    <t xml:space="preserve">Imperatriz  </t>
  </si>
  <si>
    <t xml:space="preserve">Suzano  </t>
  </si>
  <si>
    <t xml:space="preserve">Taboão da Serra  </t>
  </si>
  <si>
    <t xml:space="preserve">Marabá  </t>
  </si>
  <si>
    <t xml:space="preserve">São Carlos  </t>
  </si>
  <si>
    <t xml:space="preserve">Sumaré  </t>
  </si>
  <si>
    <t xml:space="preserve">Hortolândia  </t>
  </si>
  <si>
    <t xml:space="preserve">Divinópolis  </t>
  </si>
  <si>
    <t xml:space="preserve">Rio Verde  </t>
  </si>
  <si>
    <t xml:space="preserve">Juazeiro do Norte  </t>
  </si>
  <si>
    <t xml:space="preserve">Colombo  </t>
  </si>
  <si>
    <t xml:space="preserve">Itaboraí  </t>
  </si>
  <si>
    <t xml:space="preserve">Americana  </t>
  </si>
  <si>
    <t xml:space="preserve">Alvorada  </t>
  </si>
  <si>
    <t xml:space="preserve">Araraquara  </t>
  </si>
  <si>
    <t xml:space="preserve">Jacareí  </t>
  </si>
  <si>
    <t xml:space="preserve">São Leopoldo  </t>
  </si>
  <si>
    <t xml:space="preserve">Itapevi  </t>
  </si>
  <si>
    <t xml:space="preserve">Marília  </t>
  </si>
  <si>
    <t xml:space="preserve">Presidente Prudente  </t>
  </si>
  <si>
    <t xml:space="preserve">Arapiraca  </t>
  </si>
  <si>
    <t xml:space="preserve">Poços de Caldas  </t>
  </si>
  <si>
    <t xml:space="preserve">Cotia  </t>
  </si>
  <si>
    <t xml:space="preserve">Santa Bárbara d'Oeste  </t>
  </si>
  <si>
    <t xml:space="preserve">Rio Claro  </t>
  </si>
  <si>
    <t xml:space="preserve">Ferraz de Vasconcelos  </t>
  </si>
  <si>
    <t xml:space="preserve">Indaiatuba  </t>
  </si>
  <si>
    <t xml:space="preserve">Mossoró  </t>
  </si>
  <si>
    <t xml:space="preserve">Passo Fundo  </t>
  </si>
  <si>
    <t xml:space="preserve">Francisco Morato  </t>
  </si>
  <si>
    <t xml:space="preserve">Parnamirim  </t>
  </si>
  <si>
    <t xml:space="preserve">Itajaí  </t>
  </si>
  <si>
    <t xml:space="preserve">Bragança Paulista  </t>
  </si>
  <si>
    <t xml:space="preserve">Limeira  </t>
  </si>
  <si>
    <t xml:space="preserve">São José  </t>
  </si>
  <si>
    <t xml:space="preserve">Foz do Iguaçu  </t>
  </si>
  <si>
    <t xml:space="preserve">Petrópolis  </t>
  </si>
  <si>
    <t xml:space="preserve">Palmas  </t>
  </si>
  <si>
    <t xml:space="preserve">Barreiras  </t>
  </si>
  <si>
    <t xml:space="preserve">Araguaína  </t>
  </si>
  <si>
    <t xml:space="preserve">Parauapebas  </t>
  </si>
  <si>
    <t xml:space="preserve">Castanhal  </t>
  </si>
  <si>
    <t xml:space="preserve">Cabo Frio  </t>
  </si>
  <si>
    <t xml:space="preserve">Paranaguá  </t>
  </si>
  <si>
    <t xml:space="preserve">Pindamonhangaba  </t>
  </si>
  <si>
    <t xml:space="preserve">Itapecerica da Serra  </t>
  </si>
  <si>
    <t xml:space="preserve">Jequié  </t>
  </si>
  <si>
    <t xml:space="preserve">Teixeira de Freitas  </t>
  </si>
  <si>
    <t xml:space="preserve">Uruguaiana  </t>
  </si>
  <si>
    <t xml:space="preserve">Dourados  </t>
  </si>
  <si>
    <t xml:space="preserve">Chapecó  </t>
  </si>
  <si>
    <t xml:space="preserve">Itapetininga  </t>
  </si>
  <si>
    <t xml:space="preserve">Barbacena  </t>
  </si>
  <si>
    <t xml:space="preserve">Sabará  </t>
  </si>
  <si>
    <t xml:space="preserve">Santa Luzia  </t>
  </si>
  <si>
    <t xml:space="preserve">Valparaíso de Goiás  </t>
  </si>
  <si>
    <t xml:space="preserve">Cachoeiro de Itapemirim  </t>
  </si>
  <si>
    <t xml:space="preserve">Nova Friburgo  </t>
  </si>
  <si>
    <t xml:space="preserve">Angra dos Reis  </t>
  </si>
  <si>
    <t xml:space="preserve">Rio das Ostras  </t>
  </si>
  <si>
    <t xml:space="preserve">Nova Iguaçu  </t>
  </si>
  <si>
    <t xml:space="preserve">Queimados  </t>
  </si>
  <si>
    <t xml:space="preserve">Mesquita  </t>
  </si>
  <si>
    <t xml:space="preserve">Nilópolis  </t>
  </si>
  <si>
    <t xml:space="preserve">Maricá  </t>
  </si>
  <si>
    <t xml:space="preserve">Itaguaí  </t>
  </si>
  <si>
    <t xml:space="preserve">Seropédica  </t>
  </si>
  <si>
    <t xml:space="preserve">Magé  </t>
  </si>
  <si>
    <t xml:space="preserve">Guapimirim  </t>
  </si>
  <si>
    <t xml:space="preserve">Tanguá  </t>
  </si>
  <si>
    <t xml:space="preserve">São João de Meriti  </t>
  </si>
  <si>
    <t xml:space="preserve">Paris  </t>
  </si>
  <si>
    <t xml:space="preserve">Londres  </t>
  </si>
  <si>
    <t xml:space="preserve">Nova York  </t>
  </si>
  <si>
    <t xml:space="preserve">Tóquio  </t>
  </si>
  <si>
    <t xml:space="preserve">Berlim  </t>
  </si>
  <si>
    <t xml:space="preserve">Roma  </t>
  </si>
  <si>
    <t xml:space="preserve">Madri  </t>
  </si>
  <si>
    <t xml:space="preserve">Lisboa  </t>
  </si>
  <si>
    <t xml:space="preserve">Buenos Aires  </t>
  </si>
  <si>
    <t xml:space="preserve">Santiago  </t>
  </si>
  <si>
    <t xml:space="preserve">Lima  </t>
  </si>
  <si>
    <t xml:space="preserve">Cidade do México  </t>
  </si>
  <si>
    <t xml:space="preserve">Toronto  </t>
  </si>
  <si>
    <t xml:space="preserve">Los Angeles  </t>
  </si>
  <si>
    <t xml:space="preserve">Chicago  </t>
  </si>
  <si>
    <t xml:space="preserve">Miami  </t>
  </si>
  <si>
    <t>Hong Kong</t>
  </si>
  <si>
    <r>
      <rPr>
        <b/>
        <sz val="11"/>
        <color rgb="FFFF0000"/>
        <rFont val="Calibri"/>
        <family val="2"/>
        <scheme val="minor"/>
      </rPr>
      <t>ATENÇÃO:</t>
    </r>
    <r>
      <rPr>
        <sz val="11"/>
        <rFont val="Calibri"/>
        <family val="2"/>
        <scheme val="minor"/>
      </rPr>
      <t xml:space="preserve"> Para orçamentos para Salvador, Marabá , Marília, Indaiatuba e Parnamirim, não incluí os 10% de desconto que tem a mais porque o objetivo dessa planilha é fazer o orçamento para um cliente específico.</t>
    </r>
  </si>
  <si>
    <t>Automático para: Salvador, Marabá , Marília, Indaiatuba e Parnamirim para quantidades acima de 50 licenças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</si>
</sst>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1499679555650502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4" borderId="0" applyNumberFormat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44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/>
    </xf>
    <xf numFmtId="9" fontId="2" fillId="0" borderId="3" xfId="2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3" xfId="1" applyNumberFormat="1" applyFont="1" applyFill="1" applyBorder="1" applyAlignment="1">
      <alignment horizontal="center"/>
    </xf>
    <xf numFmtId="44" fontId="2" fillId="2" borderId="3" xfId="1" applyFont="1" applyFill="1" applyBorder="1" applyAlignment="1">
      <alignment horizontal="center"/>
    </xf>
    <xf numFmtId="44" fontId="2" fillId="0" borderId="3" xfId="1" applyFont="1" applyBorder="1" applyAlignment="1">
      <alignment horizontal="center"/>
    </xf>
    <xf numFmtId="44" fontId="2" fillId="0" borderId="3" xfId="1" applyFont="1" applyFill="1" applyBorder="1" applyAlignment="1">
      <alignment horizontal="center"/>
    </xf>
    <xf numFmtId="44" fontId="2" fillId="0" borderId="3" xfId="0" applyNumberFormat="1" applyFont="1" applyBorder="1"/>
    <xf numFmtId="44" fontId="2" fillId="2" borderId="3" xfId="0" applyNumberFormat="1" applyFont="1" applyFill="1" applyBorder="1"/>
    <xf numFmtId="0" fontId="2" fillId="0" borderId="3" xfId="0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/>
    </xf>
    <xf numFmtId="0" fontId="2" fillId="0" borderId="3" xfId="4" applyFont="1" applyFill="1" applyBorder="1" applyAlignment="1">
      <alignment horizontal="center"/>
    </xf>
    <xf numFmtId="9" fontId="0" fillId="0" borderId="3" xfId="2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2" fillId="0" borderId="6" xfId="0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7" fillId="0" borderId="0" xfId="0" applyFont="1"/>
    <xf numFmtId="0" fontId="2" fillId="0" borderId="5" xfId="0" applyFont="1" applyBorder="1"/>
    <xf numFmtId="0" fontId="7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11" fillId="0" borderId="0" xfId="0" applyFont="1" applyAlignment="1">
      <alignment horizontal="left"/>
    </xf>
    <xf numFmtId="0" fontId="9" fillId="0" borderId="0" xfId="0" applyFont="1"/>
    <xf numFmtId="0" fontId="0" fillId="0" borderId="0" xfId="0" quotePrefix="1"/>
    <xf numFmtId="0" fontId="0" fillId="0" borderId="13" xfId="0" applyBorder="1" applyAlignment="1">
      <alignment wrapText="1"/>
    </xf>
    <xf numFmtId="0" fontId="3" fillId="0" borderId="4" xfId="0" applyFont="1" applyBorder="1"/>
    <xf numFmtId="0" fontId="2" fillId="0" borderId="9" xfId="0" applyFont="1" applyBorder="1"/>
    <xf numFmtId="0" fontId="0" fillId="0" borderId="5" xfId="0" applyBorder="1" applyAlignment="1">
      <alignment horizontal="center" vertical="center" wrapText="1"/>
    </xf>
    <xf numFmtId="0" fontId="0" fillId="0" borderId="5" xfId="0" quotePrefix="1" applyBorder="1"/>
    <xf numFmtId="0" fontId="2" fillId="0" borderId="1" xfId="0" applyFont="1" applyBorder="1"/>
    <xf numFmtId="0" fontId="2" fillId="0" borderId="8" xfId="0" applyFont="1" applyBorder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11" xfId="0" applyFont="1" applyBorder="1"/>
    <xf numFmtId="9" fontId="2" fillId="3" borderId="3" xfId="2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6" fillId="0" borderId="0" xfId="3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44" fontId="2" fillId="0" borderId="0" xfId="0" applyNumberFormat="1" applyFont="1"/>
    <xf numFmtId="44" fontId="8" fillId="0" borderId="0" xfId="0" applyNumberFormat="1" applyFont="1" applyAlignment="1">
      <alignment horizontal="right"/>
    </xf>
    <xf numFmtId="0" fontId="8" fillId="0" borderId="0" xfId="0" applyFont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3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5">
    <cellStyle name="Bom" xfId="4" builtinId="26"/>
    <cellStyle name="Hiperlink" xfId="3" builtinId="8"/>
    <cellStyle name="Moeda" xfId="1" builtinId="4"/>
    <cellStyle name="Normal" xfId="0" builtinId="0"/>
    <cellStyle name="Porcentagem" xfId="2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rgb="FFB4C6E7"/>
        </patternFill>
      </fill>
    </dxf>
    <dxf>
      <font>
        <color theme="4" tint="-0.499984740745262"/>
      </font>
      <fill>
        <patternFill>
          <bgColor rgb="FFB4C6E7"/>
        </patternFill>
      </fill>
    </dxf>
  </dxfs>
  <tableStyles count="0" defaultTableStyle="TableStyleMedium2" defaultPivotStyle="PivotStyleLight16"/>
  <colors>
    <mruColors>
      <color rgb="FFC6EFCE"/>
      <color rgb="FF006100"/>
      <color rgb="FFB4C6E7"/>
      <color rgb="FFB4FFFF"/>
      <color rgb="FFFFC7CE"/>
      <color rgb="FF9C0006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8601-79CF-4766-B8BC-6DBF54373DFC}">
  <sheetPr>
    <tabColor theme="7" tint="0.79998168889431442"/>
  </sheetPr>
  <dimension ref="A2:R52"/>
  <sheetViews>
    <sheetView showGridLines="0" tabSelected="1" topLeftCell="C1" zoomScale="85" zoomScaleNormal="85" workbookViewId="0">
      <selection activeCell="C1" sqref="C1"/>
    </sheetView>
  </sheetViews>
  <sheetFormatPr defaultRowHeight="15" x14ac:dyDescent="0.25"/>
  <cols>
    <col min="1" max="2" width="3.5703125" hidden="1" customWidth="1"/>
    <col min="3" max="3" width="3.5703125" customWidth="1"/>
    <col min="4" max="4" width="26.7109375" bestFit="1" customWidth="1"/>
    <col min="5" max="5" width="12.28515625" bestFit="1" customWidth="1"/>
    <col min="6" max="6" width="28" customWidth="1"/>
    <col min="7" max="7" width="11.42578125" bestFit="1" customWidth="1"/>
    <col min="8" max="8" width="13.5703125" bestFit="1" customWidth="1"/>
    <col min="9" max="9" width="13.5703125" customWidth="1"/>
    <col min="10" max="10" width="2.85546875" style="4" customWidth="1"/>
    <col min="11" max="11" width="20.7109375" style="5" customWidth="1"/>
    <col min="12" max="12" width="20.7109375" style="4" customWidth="1"/>
    <col min="13" max="13" width="29.85546875" style="4" bestFit="1" customWidth="1"/>
    <col min="14" max="14" width="2.85546875" style="4" customWidth="1"/>
    <col min="15" max="15" width="2.85546875" customWidth="1"/>
    <col min="16" max="16" width="18.5703125" style="5" customWidth="1"/>
    <col min="17" max="17" width="80" bestFit="1" customWidth="1"/>
    <col min="18" max="19" width="2.85546875" customWidth="1"/>
  </cols>
  <sheetData>
    <row r="2" spans="1:18" x14ac:dyDescent="0.25">
      <c r="D2" s="7" t="s">
        <v>124</v>
      </c>
      <c r="E2" s="80"/>
      <c r="F2" s="80"/>
      <c r="G2" s="80"/>
      <c r="H2" s="80"/>
      <c r="I2" s="80"/>
      <c r="J2"/>
      <c r="K2"/>
      <c r="L2" s="7" t="s">
        <v>126</v>
      </c>
      <c r="M2" s="46"/>
      <c r="O2" s="47"/>
      <c r="P2" s="58"/>
      <c r="Q2" s="48"/>
      <c r="R2" s="49"/>
    </row>
    <row r="3" spans="1:18" x14ac:dyDescent="0.25">
      <c r="D3" s="7" t="s">
        <v>125</v>
      </c>
      <c r="E3" s="45">
        <f>_xlfn.XLOOKUP(E2,Revendas!D:D,Revendas!C:C)</f>
        <v>0</v>
      </c>
      <c r="F3" s="1"/>
      <c r="G3" s="1"/>
      <c r="H3" s="1"/>
      <c r="L3" s="7" t="s">
        <v>127</v>
      </c>
      <c r="M3" s="46"/>
      <c r="N3" s="8"/>
      <c r="O3" s="38"/>
      <c r="Q3" t="str">
        <f>"Revenda: "&amp;E2</f>
        <v xml:space="preserve">Revenda: </v>
      </c>
      <c r="R3" s="37"/>
    </row>
    <row r="4" spans="1:18" x14ac:dyDescent="0.25">
      <c r="D4" s="7" t="s">
        <v>85</v>
      </c>
      <c r="E4" s="81" t="str">
        <f>IFERROR(_xlfn.XLOOKUP(E3,Revendas!C:C,Revendas!E:E),"")</f>
        <v/>
      </c>
      <c r="F4" s="81"/>
      <c r="G4" s="81"/>
      <c r="H4" s="81"/>
      <c r="I4" s="5"/>
      <c r="J4" s="5"/>
      <c r="N4" s="8"/>
      <c r="O4" s="38"/>
      <c r="Q4" t="str">
        <f>"Contato: "&amp;M2</f>
        <v xml:space="preserve">Contato: </v>
      </c>
      <c r="R4" s="37"/>
    </row>
    <row r="5" spans="1:18" x14ac:dyDescent="0.25">
      <c r="D5" s="7"/>
      <c r="E5" s="7"/>
      <c r="F5" s="5"/>
      <c r="G5" s="5"/>
      <c r="O5" s="38"/>
      <c r="Q5" t="str">
        <f ca="1">"Data: "&amp;TEXT(Dados!C7,"dd/mm/aaaa")</f>
        <v>Data: 18/06/2025</v>
      </c>
      <c r="R5" s="37"/>
    </row>
    <row r="6" spans="1:18" x14ac:dyDescent="0.25">
      <c r="A6" t="str">
        <f>IF(B6=1,0,"")</f>
        <v/>
      </c>
      <c r="B6">
        <f>LEN(E6)</f>
        <v>0</v>
      </c>
      <c r="D6" s="7" t="s">
        <v>70</v>
      </c>
      <c r="E6" s="29"/>
      <c r="F6" s="84" t="str">
        <f>IF(E6="","Preencher com a quantidade de CNPJs desejado","")</f>
        <v>Preencher com a quantidade de CNPJs desejado</v>
      </c>
      <c r="G6" s="84"/>
      <c r="H6" s="84"/>
      <c r="O6" s="38"/>
      <c r="Q6" t="str">
        <f>"Canal: "&amp;M3</f>
        <v xml:space="preserve">Canal: </v>
      </c>
      <c r="R6" s="37"/>
    </row>
    <row r="7" spans="1:18" x14ac:dyDescent="0.25">
      <c r="D7" s="7" t="s">
        <v>71</v>
      </c>
      <c r="E7" s="29"/>
      <c r="F7" s="84" t="str">
        <f>IF(E7="","Preencher com a quantidade total de funcionários","")</f>
        <v>Preencher com a quantidade total de funcionários</v>
      </c>
      <c r="G7" s="84"/>
      <c r="H7" s="84"/>
      <c r="O7" s="38"/>
      <c r="R7" s="37"/>
    </row>
    <row r="8" spans="1:18" x14ac:dyDescent="0.25">
      <c r="D8" s="7"/>
      <c r="F8" s="1"/>
      <c r="O8" s="59"/>
      <c r="P8" s="82" t="str">
        <f>Dados!V7</f>
        <v>Não recomendar</v>
      </c>
      <c r="Q8" s="56" t="s">
        <v>77</v>
      </c>
      <c r="R8" s="37"/>
    </row>
    <row r="9" spans="1:18" ht="15" customHeight="1" x14ac:dyDescent="0.25">
      <c r="D9" s="7"/>
      <c r="F9" s="1"/>
      <c r="O9" s="59"/>
      <c r="P9" s="82"/>
      <c r="R9" s="37"/>
    </row>
    <row r="10" spans="1:18" x14ac:dyDescent="0.25">
      <c r="K10" s="83" t="s">
        <v>87</v>
      </c>
      <c r="L10" s="83" t="s">
        <v>88</v>
      </c>
      <c r="O10" s="59"/>
      <c r="P10" s="82"/>
      <c r="Q10" t="str">
        <f>IFERROR("*1ª opção:* Banco centralizado - "&amp;$A$6&amp;$E$6&amp;" CNPJ"&amp;IF(E6&gt;1,"s","")&amp;" - Capacidade "&amp;J15&amp;" funcionários","")</f>
        <v>*1ª opção:* Banco centralizado -  CNPJ - Capacidade 20 funcionários</v>
      </c>
      <c r="R10" s="37"/>
    </row>
    <row r="11" spans="1:18" x14ac:dyDescent="0.25">
      <c r="E11" s="11" t="s">
        <v>0</v>
      </c>
      <c r="F11" s="11" t="s">
        <v>89</v>
      </c>
      <c r="G11" s="11" t="s">
        <v>2</v>
      </c>
      <c r="H11" s="11" t="s">
        <v>72</v>
      </c>
      <c r="I11" s="11" t="s">
        <v>73</v>
      </c>
      <c r="K11" s="83"/>
      <c r="L11" s="83"/>
      <c r="M11" s="5"/>
      <c r="O11" s="59"/>
      <c r="P11" s="82"/>
      <c r="R11" s="37"/>
    </row>
    <row r="12" spans="1:18" x14ac:dyDescent="0.25">
      <c r="E12" s="11"/>
      <c r="F12" s="11"/>
      <c r="G12" s="11"/>
      <c r="H12" s="11"/>
      <c r="I12" s="11"/>
      <c r="K12" s="11"/>
      <c r="L12" s="11"/>
      <c r="M12" s="5"/>
      <c r="N12" s="5"/>
      <c r="O12" s="59"/>
      <c r="P12" s="82"/>
      <c r="Q12" t="str">
        <f>IF(G13&lt;=0,"","    • "&amp;A13&amp;G13&amp;" - "&amp;E13&amp;" ("&amp;F13&amp;") - "&amp;IF(Dados!M8&gt;=0.1,"de ~","")&amp;"R$ "&amp;TEXT(H13,"#.##0,00")&amp;" cada"&amp;IF(Dados!M8&gt;=0.1,"~ por *R$ "&amp;TEXT(K13,"#.##0,00")&amp;" cada*",""))</f>
        <v/>
      </c>
      <c r="R12" s="37"/>
    </row>
    <row r="13" spans="1:18" x14ac:dyDescent="0.25">
      <c r="A13">
        <f>IF(B13=1,0,"")</f>
        <v>0</v>
      </c>
      <c r="B13">
        <f>LEN(G13)</f>
        <v>1</v>
      </c>
      <c r="D13" s="7" t="s">
        <v>74</v>
      </c>
      <c r="E13" s="25" t="s">
        <v>7</v>
      </c>
      <c r="F13" s="25" t="s">
        <v>8</v>
      </c>
      <c r="G13" s="25">
        <f>E6</f>
        <v>0</v>
      </c>
      <c r="H13" s="26">
        <f>IFERROR(_xlfn.XLOOKUP(E13,Calculadora!E:E,Calculadora!G:G),"")</f>
        <v>500</v>
      </c>
      <c r="I13" s="26">
        <f>G13*H13</f>
        <v>0</v>
      </c>
      <c r="J13" s="10">
        <v>20</v>
      </c>
      <c r="K13" s="26">
        <f>H13*(1-Dados!M8)</f>
        <v>500</v>
      </c>
      <c r="L13" s="26">
        <f>G13*K13</f>
        <v>0</v>
      </c>
      <c r="M13" s="12" t="str">
        <f>"Valor com "&amp;Dados!M8*100&amp;"% de desconto"</f>
        <v>Valor com 0% de desconto</v>
      </c>
      <c r="N13" s="5"/>
      <c r="O13" s="59"/>
      <c r="P13" s="82"/>
      <c r="Q13" t="str">
        <f>IF(G14&lt;=0,"","    • "&amp;A14&amp;G14&amp;" - "&amp;E14&amp;" ("&amp;F14&amp;") - "&amp;IF(Dados!M9&gt;=0.1,"de ~","")&amp;"R$ "&amp;TEXT(H14,"#.##0,00")&amp;" cada"&amp;IF(Dados!M9&gt;=0.1,"~ por *R$ "&amp;TEXT(K14,"#.##0,00")&amp;" cada*",""))</f>
        <v/>
      </c>
      <c r="R13" s="37"/>
    </row>
    <row r="14" spans="1:18" x14ac:dyDescent="0.25">
      <c r="A14">
        <f>IF(B14=1,0,"")</f>
        <v>0</v>
      </c>
      <c r="B14">
        <f>LEN(G14)</f>
        <v>1</v>
      </c>
      <c r="D14" s="7" t="s">
        <v>69</v>
      </c>
      <c r="E14" s="25">
        <f>IF(E7&lt;=20,0,IF(E7&lt;=120,"IP100-P",IF(E7&lt;=270,"IP250-P",IF(E7&lt;=520,"IP500-P",IF(E7&lt;=770,"IP750-P",IF(E7&lt;=1020,"I1000-P",IF(E7&lt;=2020,"I2000-P",IF(E7&lt;=3020,"I3000-P",IF(E7&lt;=5020,"I5000-P",IF(E7&lt;=10020,"IP10K-P",IF(E7&gt;10020,"IPFUL-P","")))))))))))</f>
        <v>0</v>
      </c>
      <c r="F14" s="27">
        <f>IFERROR(IF(E14=0,0,_xlfn.XLOOKUP(E14,Dados!#REF!,Dados!#REF!)),"")</f>
        <v>0</v>
      </c>
      <c r="G14" s="25">
        <f>IF(F14="",0,IF(F14=0,0,1))</f>
        <v>0</v>
      </c>
      <c r="H14" s="26">
        <f>IFERROR(IF(G14=0,0,_xlfn.XLOOKUP(E14,Calculadora!E:E,Calculadora!G:G)),"")</f>
        <v>0</v>
      </c>
      <c r="I14" s="26">
        <f>IFERROR(G14*H14,"")</f>
        <v>0</v>
      </c>
      <c r="J14" s="10">
        <f>IF(E14=0,0,IF(E14="IP100-P",100,IF(E14="IP250-P",250,IF(E14="IP500-P",500,IF(E14="IP750-P",750,IF(E14="I1000-P",1000,IF(E14="I2000-P",2000,IF(E14="I3000-P",3000,IF(E14="I5000-P",5000,IF(E14="IP10K-P",10000,IF(E14="IPFUL-P","Ilimitado","Erro")))))))))))</f>
        <v>0</v>
      </c>
      <c r="K14" s="19">
        <f>IF(G14=0,0,H14*(1-Dados!M8))</f>
        <v>0</v>
      </c>
      <c r="L14" s="26">
        <f>K14</f>
        <v>0</v>
      </c>
      <c r="M14" s="12" t="str">
        <f>"Valor com "&amp;Dados!M8*100&amp;"% de desconto"</f>
        <v>Valor com 0% de desconto</v>
      </c>
      <c r="N14" s="8"/>
      <c r="O14" s="59"/>
      <c r="P14" s="82"/>
      <c r="R14" s="37"/>
    </row>
    <row r="15" spans="1:18" x14ac:dyDescent="0.25">
      <c r="E15" s="3"/>
      <c r="F15" s="3"/>
      <c r="G15" s="3"/>
      <c r="H15" s="7" t="s">
        <v>35</v>
      </c>
      <c r="I15" s="28">
        <f>SUM(I13:I14)</f>
        <v>0</v>
      </c>
      <c r="J15" s="10">
        <f>IF(J14="Ilimitado","Ilimitada de",J13+J14)</f>
        <v>20</v>
      </c>
      <c r="K15" s="7" t="s">
        <v>35</v>
      </c>
      <c r="L15" s="28">
        <f>L13+L14</f>
        <v>0</v>
      </c>
      <c r="M15" s="12" t="str">
        <f>"Valor por funcionário: R$ "&amp;TEXT(L15/J15,"#.##0,00")</f>
        <v>Valor por funcionário: R$ 0,00</v>
      </c>
      <c r="N15" s="8"/>
      <c r="O15" s="59"/>
      <c r="P15" s="82"/>
      <c r="Q15" t="str">
        <f>IF(Q17="","*","")&amp;"Investimento: R$ "&amp;TEXT(I15,"#.##0,00")&amp;IF(Q17="","*","")</f>
        <v>*Investimento: R$ 0,00*</v>
      </c>
      <c r="R15" s="37"/>
    </row>
    <row r="16" spans="1:18" x14ac:dyDescent="0.25">
      <c r="I16" s="2"/>
      <c r="M16" s="8"/>
      <c r="N16" s="12"/>
      <c r="O16" s="59"/>
      <c r="P16" s="82"/>
      <c r="Q16" t="str">
        <f>IFERROR(G13+G14&amp;" licença"&amp;IF(G13+G14&gt;1,"s","")&amp;IF(Dados!$M$8=0,""," | "&amp;Dados!$M$8*100&amp;"% de desconto"),"")</f>
        <v>0 licença</v>
      </c>
      <c r="R16" s="37"/>
    </row>
    <row r="17" spans="1:18" x14ac:dyDescent="0.25">
      <c r="A17">
        <f>IF(B17=1,0,"")</f>
        <v>0</v>
      </c>
      <c r="B17">
        <f>LEN(G17)</f>
        <v>1</v>
      </c>
      <c r="D17" s="7" t="s">
        <v>74</v>
      </c>
      <c r="E17" s="25" t="s">
        <v>11</v>
      </c>
      <c r="F17" s="25" t="s">
        <v>12</v>
      </c>
      <c r="G17" s="25">
        <f>E6</f>
        <v>0</v>
      </c>
      <c r="H17" s="26">
        <f>IFERROR(_xlfn.XLOOKUP(E17,Calculadora!E:E,Calculadora!G:G),"")</f>
        <v>550</v>
      </c>
      <c r="I17" s="26">
        <f>G17*H17</f>
        <v>0</v>
      </c>
      <c r="J17" s="10">
        <v>50</v>
      </c>
      <c r="K17" s="26">
        <f>H17*(1-Dados!M14)</f>
        <v>550</v>
      </c>
      <c r="L17" s="26">
        <f>G17*K17</f>
        <v>0</v>
      </c>
      <c r="M17" s="12" t="str">
        <f>"Valor com "&amp;Dados!M14*100&amp;"% de desconto"</f>
        <v>Valor com 0% de desconto</v>
      </c>
      <c r="N17" s="8"/>
      <c r="O17" s="59"/>
      <c r="P17" s="82"/>
      <c r="Q17" t="str">
        <f>IF(Dados!$M$8=0,"","*Investimento com desconto: R$ "&amp;TEXT(L15,"#.##0,00")&amp;"*")</f>
        <v/>
      </c>
      <c r="R17" s="37"/>
    </row>
    <row r="18" spans="1:18" x14ac:dyDescent="0.25">
      <c r="A18">
        <f t="shared" ref="A18:A23" si="0">IF(B18=1,0,"")</f>
        <v>0</v>
      </c>
      <c r="B18">
        <f>LEN(G18)</f>
        <v>1</v>
      </c>
      <c r="D18" s="7" t="s">
        <v>69</v>
      </c>
      <c r="E18" s="25">
        <f>IF(E7&lt;=50,0,IF(E7&lt;=150,"IP100-P",IF(E7&lt;=300,"IP250-P",IF(E7&lt;=550,"IP500-P",IF(E7&lt;=800,"IP750-P",IF(E7&lt;=1050,"I1000-P",IF(E7&lt;=2050,"I2000-P",IF(E7&lt;=3050,"I3000-P",IF(E7&lt;=5050,"I5000-P",IF(E7&lt;=10050,"IP10K-P",IF(E7&gt;10050,"IPFUL-P","")))))))))))</f>
        <v>0</v>
      </c>
      <c r="F18" s="27">
        <f>IFERROR(IF(E18=0,0,_xlfn.XLOOKUP(E18,Dados!#REF!,Dados!#REF!)),"")</f>
        <v>0</v>
      </c>
      <c r="G18" s="25">
        <f>IF(F18="",0,IF(F18=0,0,1))</f>
        <v>0</v>
      </c>
      <c r="H18" s="26">
        <f>IFERROR(IF(G14=0,0,_xlfn.XLOOKUP(E18,Calculadora!E:E,Calculadora!G:G)),"")</f>
        <v>0</v>
      </c>
      <c r="I18" s="26">
        <f>IFERROR(G18*H18,"")</f>
        <v>0</v>
      </c>
      <c r="J18" s="10">
        <f>IF(E18=0,0,IF(E18="IP100-P",100,IF(E18="IP250-P",250,IF(E18="IP500-P",500,IF(E18="IP750-P",750,IF(E18="I1000-P",1000,IF(E18="I2000-P",2000,IF(E18="I3000-P",3000,IF(E18="I5000-P",5000,IF(E18="IP10K-P",10000,IF(E18="IPFUL-P","Ilimitado","Erro")))))))))))</f>
        <v>0</v>
      </c>
      <c r="K18" s="19">
        <f>IF(G18=0,0,H18*(1-Dados!M14))</f>
        <v>0</v>
      </c>
      <c r="L18" s="26">
        <f>K18</f>
        <v>0</v>
      </c>
      <c r="M18" s="12" t="str">
        <f>"Valor com "&amp;Dados!M14*100&amp;"% de desconto"</f>
        <v>Valor com 0% de desconto</v>
      </c>
      <c r="N18" s="8"/>
      <c r="O18" s="59"/>
      <c r="P18" s="82"/>
      <c r="R18" s="37"/>
    </row>
    <row r="19" spans="1:18" x14ac:dyDescent="0.25">
      <c r="A19" t="str">
        <f t="shared" si="0"/>
        <v/>
      </c>
      <c r="E19" s="3"/>
      <c r="F19" s="3"/>
      <c r="G19" s="3"/>
      <c r="H19" s="7" t="s">
        <v>35</v>
      </c>
      <c r="I19" s="28">
        <f>SUM(I17:I18)</f>
        <v>0</v>
      </c>
      <c r="J19" s="10">
        <f>IF(J18="Ilimitado","Ilimitada de",J17+J18)</f>
        <v>50</v>
      </c>
      <c r="K19" s="7" t="s">
        <v>35</v>
      </c>
      <c r="L19" s="28">
        <f>L17+L18</f>
        <v>0</v>
      </c>
      <c r="M19" s="12" t="str">
        <f>"Valor por funcionário: R$ "&amp;TEXT(L19/J19,"#.##0,00")</f>
        <v>Valor por funcionário: R$ 0,00</v>
      </c>
      <c r="N19" s="8"/>
      <c r="O19" s="59"/>
      <c r="P19" s="82"/>
      <c r="Q19" s="54" t="str">
        <f>Dados!M9</f>
        <v>Modo de Pagamento: 1 x - 7 dias (sem juros)</v>
      </c>
      <c r="R19" s="37"/>
    </row>
    <row r="20" spans="1:18" x14ac:dyDescent="0.25">
      <c r="A20" t="str">
        <f t="shared" si="0"/>
        <v/>
      </c>
      <c r="E20" s="3"/>
      <c r="F20" s="3"/>
      <c r="I20" s="2"/>
      <c r="J20" s="10"/>
      <c r="K20" s="6"/>
      <c r="L20" s="10"/>
      <c r="M20" s="8"/>
      <c r="N20" s="12"/>
      <c r="O20" s="59"/>
      <c r="P20" s="82"/>
      <c r="Q20" s="54"/>
      <c r="R20" s="37"/>
    </row>
    <row r="21" spans="1:18" x14ac:dyDescent="0.25">
      <c r="A21">
        <f t="shared" si="0"/>
        <v>0</v>
      </c>
      <c r="B21">
        <f>LEN(G21)</f>
        <v>1</v>
      </c>
      <c r="D21" s="7" t="s">
        <v>74</v>
      </c>
      <c r="E21" s="25" t="s">
        <v>15</v>
      </c>
      <c r="F21" s="25" t="s">
        <v>16</v>
      </c>
      <c r="G21" s="25">
        <f>E6</f>
        <v>0</v>
      </c>
      <c r="H21" s="26">
        <f>IFERROR(_xlfn.XLOOKUP(E21,Calculadora!E:E,Calculadora!G:G),"")</f>
        <v>600</v>
      </c>
      <c r="I21" s="26">
        <f>G21*H21</f>
        <v>0</v>
      </c>
      <c r="J21" s="10">
        <v>250</v>
      </c>
      <c r="K21" s="26">
        <f>H21*(1-Dados!M20)</f>
        <v>600</v>
      </c>
      <c r="L21" s="26">
        <f>G21*K21</f>
        <v>0</v>
      </c>
      <c r="M21" s="12" t="str">
        <f>"Valor com "&amp;Dados!M20*100&amp;"% de desconto"</f>
        <v>Valor com 0% de desconto</v>
      </c>
      <c r="N21" s="8"/>
      <c r="O21" s="59"/>
      <c r="P21" s="82"/>
      <c r="Q21" s="57" t="str">
        <f>"Valor do desconto: R$ "&amp;TEXT(I15-L15,"#.##0,00")</f>
        <v>Valor do desconto: R$ 0,00</v>
      </c>
      <c r="R21" s="37"/>
    </row>
    <row r="22" spans="1:18" x14ac:dyDescent="0.25">
      <c r="A22">
        <f t="shared" si="0"/>
        <v>0</v>
      </c>
      <c r="B22">
        <f>LEN(G22)</f>
        <v>1</v>
      </c>
      <c r="D22" s="7" t="s">
        <v>69</v>
      </c>
      <c r="E22" s="25">
        <f>IF(E7&lt;=250,0,IF(E7&lt;=350,"IP100-P",IF(E7&lt;=500,"IP250-P",IF(E7&lt;=750,"IP500-P",IF(E7&lt;=1000,"IP750-P",IF(E7&lt;=1250,"I1000-P",IF(E7&lt;=2250,"I2000-P",IF(E7&lt;=3250,"I3000-P",IF(E7&lt;=5250,"I5000-P",IF(E7&lt;=10250,"IP10K-P",IF(E7&gt;10250,"IPFUL-P","")))))))))))</f>
        <v>0</v>
      </c>
      <c r="F22" s="27">
        <f>IFERROR(IF(E22=0,0,_xlfn.XLOOKUP(E22,Dados!#REF!,Dados!#REF!)),"")</f>
        <v>0</v>
      </c>
      <c r="G22" s="25">
        <f>IF(F22="",0,IF(F22=0,0,1))</f>
        <v>0</v>
      </c>
      <c r="H22" s="26">
        <f>IFERROR(IF(G14=0,0,_xlfn.XLOOKUP(E22,Calculadora!E:E,Calculadora!G:G)),"")</f>
        <v>0</v>
      </c>
      <c r="I22" s="26">
        <f>IFERROR(G22*H22,"")</f>
        <v>0</v>
      </c>
      <c r="J22" s="10">
        <f>IF(E22=0,0,IF(E22="IP100-P",100,IF(E22="IP250-P",250,IF(E22="IP500-P",500,IF(E22="IP750-P",750,IF(E22="I1000-P",1000,IF(E22="I2000-P",2000,IF(E22="I3000-P",3000,IF(E22="I5000-P",5000,IF(E22="IP10K-P",10000,IF(E22="IPFUL-P","Ilimitado","Erro")))))))))))</f>
        <v>0</v>
      </c>
      <c r="K22" s="19">
        <f>IF(G22=0,0,H22*(1-Dados!M20))</f>
        <v>0</v>
      </c>
      <c r="L22" s="26">
        <f>K22</f>
        <v>0</v>
      </c>
      <c r="M22" s="12" t="str">
        <f>"Valor com "&amp;Dados!M20*100&amp;"% de desconto"</f>
        <v>Valor com 0% de desconto</v>
      </c>
      <c r="N22" s="8"/>
      <c r="O22" s="60"/>
      <c r="Q22" s="55"/>
      <c r="R22" s="37"/>
    </row>
    <row r="23" spans="1:18" x14ac:dyDescent="0.25">
      <c r="A23" t="str">
        <f t="shared" si="0"/>
        <v/>
      </c>
      <c r="G23" s="3"/>
      <c r="H23" s="7" t="s">
        <v>35</v>
      </c>
      <c r="I23" s="28">
        <f>SUM(I21:I22)</f>
        <v>0</v>
      </c>
      <c r="J23" s="10">
        <f>IF(J22="Ilimitado","Ilimitada de",J21+J22)</f>
        <v>250</v>
      </c>
      <c r="K23" s="7" t="s">
        <v>35</v>
      </c>
      <c r="L23" s="28">
        <f>L21+L22</f>
        <v>0</v>
      </c>
      <c r="M23" s="12" t="str">
        <f>"Valor por funcionário: R$ "&amp;TEXT(L23/J23,"#.##0,00")</f>
        <v>Valor por funcionário: R$ 0,00</v>
      </c>
      <c r="N23" s="8"/>
      <c r="O23" s="59"/>
      <c r="P23" s="82" t="str">
        <f>Dados!V8</f>
        <v>Não recomendar</v>
      </c>
      <c r="Q23" s="56" t="s">
        <v>77</v>
      </c>
      <c r="R23" s="37"/>
    </row>
    <row r="24" spans="1:18" x14ac:dyDescent="0.25">
      <c r="G24" s="3"/>
      <c r="H24" s="7"/>
      <c r="I24" s="13"/>
      <c r="J24" s="10"/>
      <c r="K24" s="7"/>
      <c r="L24" s="13"/>
      <c r="M24" s="12"/>
      <c r="N24" s="12"/>
      <c r="O24" s="59"/>
      <c r="P24" s="82"/>
      <c r="Q24" s="55"/>
      <c r="R24" s="37"/>
    </row>
    <row r="25" spans="1:18" x14ac:dyDescent="0.25">
      <c r="D25" s="7" t="s">
        <v>137</v>
      </c>
      <c r="E25" s="67"/>
      <c r="F25" s="1" t="str">
        <f>IF(E25=0,"Preencher com a porcentagem pretendida de desconto. Ex.: 10 para 10%","")</f>
        <v>Preencher com a porcentagem pretendida de desconto. Ex.: 10 para 10%</v>
      </c>
      <c r="J25" s="10"/>
      <c r="K25" s="6"/>
      <c r="L25" s="10"/>
      <c r="M25" s="10"/>
      <c r="N25" s="12"/>
      <c r="O25" s="59"/>
      <c r="P25" s="82"/>
      <c r="Q25" t="str">
        <f>IFERROR("*2ª opção:* Banco centralizado - "&amp;$A$6&amp;$E$6&amp;" CNPJ"&amp;IF(E6&gt;1,"s","")&amp;" - Capacidade "&amp;J19&amp;" funcionários","")</f>
        <v>*2ª opção:* Banco centralizado -  CNPJ - Capacidade 50 funcionários</v>
      </c>
      <c r="R25" s="37"/>
    </row>
    <row r="26" spans="1:18" x14ac:dyDescent="0.25">
      <c r="J26" s="10"/>
      <c r="K26" s="6"/>
      <c r="L26" s="10"/>
      <c r="M26" s="10"/>
      <c r="N26" s="12"/>
      <c r="O26" s="59"/>
      <c r="P26" s="82"/>
      <c r="R26" s="37"/>
    </row>
    <row r="27" spans="1:18" ht="15" customHeight="1" x14ac:dyDescent="0.25">
      <c r="D27" s="85" t="s">
        <v>307</v>
      </c>
      <c r="E27" s="86"/>
      <c r="F27" s="86"/>
      <c r="G27" s="86"/>
      <c r="H27" s="86"/>
      <c r="I27" s="87"/>
      <c r="J27" s="9"/>
      <c r="K27" s="9"/>
      <c r="N27" s="10"/>
      <c r="O27" s="59"/>
      <c r="P27" s="82"/>
      <c r="Q27" t="str">
        <f>IF(G17&lt;=0,"","    • "&amp;A17&amp;G17&amp;" - "&amp;E17&amp;" ("&amp;F17&amp;") - "&amp;IF(Dados!M14&gt;=0.1,"de ~","")&amp;"R$ "&amp;TEXT(H17,"#.##0,00")&amp;" cada"&amp;IF(Dados!M14&gt;=0.1,"~ por *R$ "&amp;TEXT(K17,"#.##0,00")&amp;" cada*",""))</f>
        <v/>
      </c>
      <c r="R27" s="37"/>
    </row>
    <row r="28" spans="1:18" x14ac:dyDescent="0.25">
      <c r="D28" s="88"/>
      <c r="E28" s="89"/>
      <c r="F28" s="89"/>
      <c r="G28" s="89"/>
      <c r="H28" s="89"/>
      <c r="I28" s="90"/>
      <c r="J28" s="9"/>
      <c r="K28" s="9"/>
      <c r="N28" s="10"/>
      <c r="O28" s="59"/>
      <c r="P28" s="82"/>
      <c r="Q28" t="str">
        <f>IF(G18&lt;=0,"","    • "&amp;A18&amp;G18&amp;" - "&amp;E18&amp;" ("&amp;F18&amp;") - "&amp;IF(Dados!M14&gt;=0.1,"de ~","")&amp;"R$ "&amp;TEXT(H18,"#.##0,00")&amp;" cada"&amp;IF(Dados!M14&gt;=0.1,"~ por *R$ "&amp;TEXT(K18,"#.##0,00")&amp;" cada*",""))</f>
        <v/>
      </c>
      <c r="R28" s="37"/>
    </row>
    <row r="29" spans="1:18" ht="15" customHeight="1" x14ac:dyDescent="0.25">
      <c r="D29" s="88"/>
      <c r="E29" s="89"/>
      <c r="F29" s="89"/>
      <c r="G29" s="89"/>
      <c r="H29" s="89"/>
      <c r="I29" s="90"/>
      <c r="N29" s="10"/>
      <c r="O29" s="59"/>
      <c r="P29" s="82"/>
      <c r="R29" s="37"/>
    </row>
    <row r="30" spans="1:18" x14ac:dyDescent="0.25">
      <c r="D30" s="91"/>
      <c r="E30" s="92"/>
      <c r="F30" s="92"/>
      <c r="G30" s="92"/>
      <c r="H30" s="92"/>
      <c r="I30" s="93"/>
      <c r="J30" s="9"/>
      <c r="K30" s="9"/>
      <c r="L30" s="9"/>
      <c r="O30" s="59"/>
      <c r="P30" s="82"/>
      <c r="Q30" t="str">
        <f>IF(Q32="","*","")&amp;"Investimento: R$ "&amp;TEXT(I19,"#.##0,00")&amp;IF(Q32="","*","")</f>
        <v>*Investimento: R$ 0,00*</v>
      </c>
      <c r="R30" s="37"/>
    </row>
    <row r="31" spans="1:18" x14ac:dyDescent="0.25">
      <c r="E31" s="9"/>
      <c r="F31" s="9"/>
      <c r="G31" s="9"/>
      <c r="H31" s="9"/>
      <c r="I31" s="9"/>
      <c r="J31" s="9"/>
      <c r="K31" s="9"/>
      <c r="L31" s="9"/>
      <c r="O31" s="59"/>
      <c r="P31" s="82"/>
      <c r="Q31" t="str">
        <f>IFERROR(G17+G18&amp;" licença"&amp;IF(G17+G18&gt;1,"s","")&amp;IF(Dados!$M$14=0,""," | "&amp;Dados!$M$14*100&amp;"% de desconto"),"")</f>
        <v>0 licença</v>
      </c>
      <c r="R31" s="37"/>
    </row>
    <row r="32" spans="1:18" x14ac:dyDescent="0.25">
      <c r="E32" s="9"/>
      <c r="F32" s="9"/>
      <c r="G32" s="9"/>
      <c r="H32" s="9"/>
      <c r="I32" s="9"/>
      <c r="J32" s="9"/>
      <c r="K32" s="9"/>
      <c r="L32" s="9"/>
      <c r="O32" s="59"/>
      <c r="P32" s="82"/>
      <c r="Q32" t="str">
        <f>IF(Dados!$M$14=0,"","*Investimento com desconto: R$ "&amp;TEXT(L19,"#.##0,00")&amp;"*")</f>
        <v/>
      </c>
      <c r="R32" s="37"/>
    </row>
    <row r="33" spans="15:18" x14ac:dyDescent="0.25">
      <c r="O33" s="59"/>
      <c r="P33" s="82"/>
      <c r="R33" s="37"/>
    </row>
    <row r="34" spans="15:18" x14ac:dyDescent="0.25">
      <c r="O34" s="59"/>
      <c r="P34" s="82"/>
      <c r="Q34" s="54" t="str">
        <f>Dados!M15</f>
        <v>Modo de Pagamento: 1 x - 7 dias (sem juros)</v>
      </c>
      <c r="R34" s="37"/>
    </row>
    <row r="35" spans="15:18" x14ac:dyDescent="0.25">
      <c r="O35" s="59"/>
      <c r="P35" s="82"/>
      <c r="Q35" s="54"/>
      <c r="R35" s="37"/>
    </row>
    <row r="36" spans="15:18" x14ac:dyDescent="0.25">
      <c r="O36" s="59"/>
      <c r="P36" s="82"/>
      <c r="Q36" s="57" t="str">
        <f>"Valor do desconto: R$ "&amp;TEXT(I19-L19,"#.##0,00")</f>
        <v>Valor do desconto: R$ 0,00</v>
      </c>
      <c r="R36" s="37"/>
    </row>
    <row r="37" spans="15:18" x14ac:dyDescent="0.25">
      <c r="O37" s="60"/>
      <c r="Q37" s="55"/>
      <c r="R37" s="37"/>
    </row>
    <row r="38" spans="15:18" x14ac:dyDescent="0.25">
      <c r="O38" s="59"/>
      <c r="P38" s="82" t="str">
        <f>Dados!V9</f>
        <v>Não recomendar</v>
      </c>
      <c r="Q38" s="56" t="s">
        <v>77</v>
      </c>
      <c r="R38" s="37"/>
    </row>
    <row r="39" spans="15:18" x14ac:dyDescent="0.25">
      <c r="O39" s="59"/>
      <c r="P39" s="82"/>
      <c r="R39" s="37"/>
    </row>
    <row r="40" spans="15:18" x14ac:dyDescent="0.25">
      <c r="O40" s="59"/>
      <c r="P40" s="82"/>
      <c r="Q40" t="str">
        <f>IFERROR("*3ª opção:* Banco centralizado - "&amp;$A$6&amp;$E$6&amp;" CNPJ"&amp;IF(E6&gt;1,"s","")&amp;" - Capacidade "&amp;J23&amp;" funcionários","")</f>
        <v>*3ª opção:* Banco centralizado -  CNPJ - Capacidade 250 funcionários</v>
      </c>
      <c r="R40" s="37"/>
    </row>
    <row r="41" spans="15:18" x14ac:dyDescent="0.25">
      <c r="O41" s="59"/>
      <c r="P41" s="82"/>
      <c r="R41" s="37"/>
    </row>
    <row r="42" spans="15:18" x14ac:dyDescent="0.25">
      <c r="O42" s="59"/>
      <c r="P42" s="82"/>
      <c r="Q42" t="str">
        <f>IF(G21&lt;=0,"","    • "&amp;A21&amp;G21&amp;" - "&amp;E21&amp;" ("&amp;F21&amp;") - "&amp;IF(Dados!M20&gt;=0.1,"de ~","")&amp;"R$ "&amp;TEXT(H21,"#.##0,00")&amp;" cada"&amp;IF(Dados!M20&gt;=0.1,"~ por *R$ "&amp;TEXT(K21,"#.##0,00")&amp;" cada*",""))</f>
        <v/>
      </c>
      <c r="R42" s="37"/>
    </row>
    <row r="43" spans="15:18" x14ac:dyDescent="0.25">
      <c r="O43" s="59"/>
      <c r="P43" s="82"/>
      <c r="Q43" t="str">
        <f>IF(G22&lt;=0,"","    • "&amp;A22&amp;G22&amp;" - "&amp;E22&amp;" ("&amp;F22&amp;") - "&amp;IF(Dados!M20&gt;=0.1,"de ~","")&amp;"R$ "&amp;TEXT(H22,"#.##0,00")&amp;" cada"&amp;IF(Dados!M20&gt;=0.1,"~ por *R$ "&amp;TEXT(K22,"#.##0,00")&amp;" cada*",""))</f>
        <v/>
      </c>
      <c r="R43" s="37"/>
    </row>
    <row r="44" spans="15:18" x14ac:dyDescent="0.25">
      <c r="O44" s="59"/>
      <c r="P44" s="82"/>
      <c r="R44" s="37"/>
    </row>
    <row r="45" spans="15:18" x14ac:dyDescent="0.25">
      <c r="O45" s="59"/>
      <c r="P45" s="82"/>
      <c r="Q45" t="str">
        <f>IF(Q47="","*","")&amp;"Investimento: R$ "&amp;TEXT(I23,"#.##0,00")&amp;IF(Q47="","*","")</f>
        <v>*Investimento: R$ 0,00*</v>
      </c>
      <c r="R45" s="37"/>
    </row>
    <row r="46" spans="15:18" x14ac:dyDescent="0.25">
      <c r="O46" s="59"/>
      <c r="P46" s="82"/>
      <c r="Q46" t="str">
        <f>IFERROR(G21+G22&amp;" licença"&amp;IF(G21+G22&gt;1,"s","")&amp;IF(Dados!$M$20=0,""," | "&amp;Dados!$M$20*100&amp;"% de desconto"),"")</f>
        <v>0 licença</v>
      </c>
      <c r="R46" s="37"/>
    </row>
    <row r="47" spans="15:18" x14ac:dyDescent="0.25">
      <c r="O47" s="59"/>
      <c r="P47" s="82"/>
      <c r="Q47" t="str">
        <f>IF(Dados!$M$20=0,"","*Investimento com desconto: R$ "&amp;TEXT(L23,"#.##0,00")&amp;"*")</f>
        <v/>
      </c>
      <c r="R47" s="37"/>
    </row>
    <row r="48" spans="15:18" x14ac:dyDescent="0.25">
      <c r="O48" s="59"/>
      <c r="P48" s="82"/>
      <c r="R48" s="37"/>
    </row>
    <row r="49" spans="15:18" x14ac:dyDescent="0.25">
      <c r="O49" s="59"/>
      <c r="P49" s="82"/>
      <c r="Q49" s="54" t="str">
        <f>Dados!M21</f>
        <v>Modo de Pagamento: 1 x - 7 dias (sem juros)</v>
      </c>
      <c r="R49" s="37"/>
    </row>
    <row r="50" spans="15:18" x14ac:dyDescent="0.25">
      <c r="O50" s="59"/>
      <c r="P50" s="82"/>
      <c r="R50" s="37"/>
    </row>
    <row r="51" spans="15:18" x14ac:dyDescent="0.25">
      <c r="O51" s="59"/>
      <c r="P51" s="82"/>
      <c r="Q51" s="57" t="str">
        <f>"Valor do desconto: R$ "&amp;TEXT(I23-L23,"#.##0,00")</f>
        <v>Valor do desconto: R$ 0,00</v>
      </c>
      <c r="R51" s="37"/>
    </row>
    <row r="52" spans="15:18" x14ac:dyDescent="0.25">
      <c r="O52" s="50"/>
      <c r="P52" s="61"/>
      <c r="Q52" s="51"/>
      <c r="R52" s="52"/>
    </row>
  </sheetData>
  <mergeCells count="10">
    <mergeCell ref="E2:I2"/>
    <mergeCell ref="E4:H4"/>
    <mergeCell ref="P38:P51"/>
    <mergeCell ref="K10:K11"/>
    <mergeCell ref="L10:L11"/>
    <mergeCell ref="P23:P36"/>
    <mergeCell ref="P8:P21"/>
    <mergeCell ref="F6:H6"/>
    <mergeCell ref="F7:H7"/>
    <mergeCell ref="D27:I30"/>
  </mergeCells>
  <conditionalFormatting sqref="O8:P8 O23:P23 O38:P38">
    <cfRule type="cellIs" dxfId="7" priority="2" operator="equal">
      <formula>"Menor valor total"</formula>
    </cfRule>
    <cfRule type="cellIs" dxfId="6" priority="3" operator="equal">
      <formula>"Menor valor por funcionário"</formula>
    </cfRule>
    <cfRule type="cellIs" dxfId="5" priority="4" operator="equal">
      <formula>"Melhor opção - Menor valor total e Menor valor por funcionário"</formula>
    </cfRule>
    <cfRule type="cellIs" dxfId="4" priority="5" operator="equal">
      <formula>"Não recomendar"</formula>
    </cfRule>
  </conditionalFormatting>
  <dataValidations count="1">
    <dataValidation type="list" allowBlank="1" showInputMessage="1" showErrorMessage="1" sqref="M3" xr:uid="{6EAD82AD-E1CF-42A6-B5DA-7147C7FA3301}">
      <formula1>"E-MAIL, TELEFONE, WPP"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5CA071-8096-4175-9A41-8C2F68D4D893}">
          <x14:formula1>
            <xm:f>Revendas!$D$6:$D$174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3A25A-A3F7-48D1-A651-2990C5547EE9}">
  <sheetPr>
    <tabColor theme="7" tint="0.79998168889431442"/>
  </sheetPr>
  <dimension ref="A2:AR90"/>
  <sheetViews>
    <sheetView showGridLines="0" topLeftCell="C1" zoomScale="85" zoomScaleNormal="85" workbookViewId="0">
      <selection activeCell="E2" sqref="E2:G2"/>
    </sheetView>
  </sheetViews>
  <sheetFormatPr defaultRowHeight="15" x14ac:dyDescent="0.25"/>
  <cols>
    <col min="1" max="1" width="2.140625" style="5" hidden="1" customWidth="1"/>
    <col min="2" max="2" width="3.140625" style="5" hidden="1" customWidth="1"/>
    <col min="3" max="3" width="3.140625" style="5" customWidth="1"/>
    <col min="4" max="4" width="21.140625" style="5" bestFit="1" customWidth="1"/>
    <col min="5" max="5" width="8.5703125" style="5" bestFit="1" customWidth="1"/>
    <col min="6" max="6" width="39.28515625" style="5" bestFit="1" customWidth="1"/>
    <col min="7" max="8" width="20.7109375" style="5" customWidth="1"/>
    <col min="9" max="9" width="3.28515625" style="5" customWidth="1"/>
    <col min="10" max="11" width="20.7109375" style="5" customWidth="1"/>
    <col min="12" max="13" width="2.85546875" style="5" customWidth="1"/>
    <col min="14" max="14" width="3.28515625" style="5" customWidth="1"/>
    <col min="15" max="15" width="96.140625" style="5" bestFit="1" customWidth="1"/>
    <col min="16" max="18" width="2.85546875" customWidth="1"/>
    <col min="19" max="19" width="13.140625" bestFit="1" customWidth="1"/>
    <col min="20" max="20" width="10.28515625" customWidth="1"/>
    <col min="21" max="22" width="2.85546875" customWidth="1"/>
    <col min="45" max="16384" width="9.140625" style="5"/>
  </cols>
  <sheetData>
    <row r="2" spans="1:21" x14ac:dyDescent="0.25">
      <c r="D2" s="7" t="s">
        <v>124</v>
      </c>
      <c r="E2" s="80"/>
      <c r="F2" s="80"/>
      <c r="G2" s="80"/>
      <c r="J2" s="7" t="s">
        <v>126</v>
      </c>
      <c r="K2" s="46"/>
      <c r="N2" s="62"/>
      <c r="O2" s="58"/>
      <c r="P2" s="49"/>
      <c r="R2" s="47"/>
      <c r="S2" s="48"/>
      <c r="T2" s="48"/>
      <c r="U2" s="49"/>
    </row>
    <row r="3" spans="1:21" x14ac:dyDescent="0.25">
      <c r="D3" s="7" t="s">
        <v>125</v>
      </c>
      <c r="E3" s="45">
        <f>_xlfn.XLOOKUP(E2,Revendas!D:D,Revendas!C:C)</f>
        <v>0</v>
      </c>
      <c r="J3" s="7" t="s">
        <v>127</v>
      </c>
      <c r="K3" s="46"/>
      <c r="N3" s="43"/>
      <c r="O3" t="str">
        <f>"Revenda: "&amp;E2</f>
        <v xml:space="preserve">Revenda: </v>
      </c>
      <c r="P3" s="37"/>
      <c r="R3" s="38"/>
      <c r="S3" s="94" t="s">
        <v>81</v>
      </c>
      <c r="T3" s="94"/>
      <c r="U3" s="37"/>
    </row>
    <row r="4" spans="1:21" ht="15" customHeight="1" x14ac:dyDescent="0.25">
      <c r="D4" s="7" t="s">
        <v>85</v>
      </c>
      <c r="E4" s="81" t="str">
        <f>IFERROR(_xlfn.XLOOKUP(E3,Revendas!C:C,Revendas!E:E),"")</f>
        <v/>
      </c>
      <c r="F4" s="81"/>
      <c r="G4" s="81"/>
      <c r="N4" s="43"/>
      <c r="O4" t="str">
        <f>"Contato: "&amp;K2</f>
        <v xml:space="preserve">Contato: </v>
      </c>
      <c r="P4" s="37"/>
      <c r="R4" s="38"/>
      <c r="S4" s="5"/>
      <c r="T4" s="5"/>
      <c r="U4" s="37"/>
    </row>
    <row r="5" spans="1:21" ht="15" customHeight="1" x14ac:dyDescent="0.25">
      <c r="D5" s="7"/>
      <c r="E5" s="7"/>
      <c r="G5" s="1" t="str">
        <f>IF(E3="","Preencher com o código da Revendedora","")</f>
        <v/>
      </c>
      <c r="N5" s="43"/>
      <c r="O5" t="str">
        <f ca="1">"Data: "&amp;TEXT(Dados!C7,"dd/mm/aaaa")</f>
        <v>Data: 18/06/2025</v>
      </c>
      <c r="P5" s="37"/>
      <c r="R5" s="38"/>
      <c r="S5" s="44" t="s">
        <v>2</v>
      </c>
      <c r="T5" s="44" t="s">
        <v>3</v>
      </c>
      <c r="U5" s="37"/>
    </row>
    <row r="6" spans="1:21" x14ac:dyDescent="0.25">
      <c r="D6" s="83" t="s">
        <v>2</v>
      </c>
      <c r="E6" s="83" t="s">
        <v>0</v>
      </c>
      <c r="F6" s="83" t="s">
        <v>89</v>
      </c>
      <c r="G6" s="83" t="s">
        <v>72</v>
      </c>
      <c r="H6" s="83" t="s">
        <v>73</v>
      </c>
      <c r="J6" s="83" t="s">
        <v>87</v>
      </c>
      <c r="K6" s="83" t="s">
        <v>88</v>
      </c>
      <c r="N6" s="43"/>
      <c r="O6" t="str">
        <f>"Canal: "&amp;K3</f>
        <v xml:space="preserve">Canal: </v>
      </c>
      <c r="P6" s="37"/>
      <c r="R6" s="38"/>
      <c r="S6" s="23" t="s">
        <v>6</v>
      </c>
      <c r="T6" s="24">
        <v>0.1</v>
      </c>
      <c r="U6" s="68" t="str">
        <f>IF(AND($E$39&gt;=3,$E$39&lt;=6),"S","N")</f>
        <v>N</v>
      </c>
    </row>
    <row r="7" spans="1:21" ht="15" customHeight="1" x14ac:dyDescent="0.25">
      <c r="D7" s="83"/>
      <c r="E7" s="83"/>
      <c r="F7" s="83"/>
      <c r="G7" s="83"/>
      <c r="H7" s="83"/>
      <c r="J7" s="83"/>
      <c r="K7" s="83"/>
      <c r="N7" s="43"/>
      <c r="P7" s="37"/>
      <c r="R7" s="38"/>
      <c r="S7" s="23" t="s">
        <v>10</v>
      </c>
      <c r="T7" s="24">
        <v>0.15</v>
      </c>
      <c r="U7" s="68" t="str">
        <f>IF(AND($E$39&gt;=7,$E$39&lt;=10),"S","N")</f>
        <v>N</v>
      </c>
    </row>
    <row r="8" spans="1:21" customFormat="1" ht="15" customHeight="1" x14ac:dyDescent="0.25">
      <c r="N8" s="43"/>
      <c r="O8" s="63" t="s">
        <v>77</v>
      </c>
      <c r="P8" s="37"/>
      <c r="R8" s="38"/>
      <c r="S8" s="23" t="s">
        <v>14</v>
      </c>
      <c r="T8" s="24">
        <v>0.2</v>
      </c>
      <c r="U8" s="68" t="str">
        <f>IF(AND($E$39&gt;=11,$E$39&lt;=20),"S","N")</f>
        <v>N</v>
      </c>
    </row>
    <row r="9" spans="1:21" customFormat="1" ht="15" customHeight="1" x14ac:dyDescent="0.25">
      <c r="A9" s="5" t="str">
        <f t="shared" ref="A9:A11" si="0">IF(B9=1,0,"")</f>
        <v/>
      </c>
      <c r="B9" s="5">
        <f t="shared" ref="B9:B11" si="1">LEN(D9)</f>
        <v>0</v>
      </c>
      <c r="D9" s="16"/>
      <c r="E9" s="17" t="s">
        <v>7</v>
      </c>
      <c r="F9" s="17" t="s">
        <v>8</v>
      </c>
      <c r="G9" s="18">
        <v>500</v>
      </c>
      <c r="H9" s="18">
        <f t="shared" ref="H9:H11" si="2">IFERROR(D9*G9,"")</f>
        <v>0</v>
      </c>
      <c r="I9" s="5"/>
      <c r="J9" s="19" t="str">
        <f>IFERROR(G9*(1-$E$43),"")</f>
        <v/>
      </c>
      <c r="K9" s="20" t="str">
        <f t="shared" ref="K9:K11" si="3">IFERROR(D9*J9,"")</f>
        <v/>
      </c>
      <c r="N9" s="38"/>
      <c r="P9" s="37"/>
      <c r="R9" s="38"/>
      <c r="S9" s="23" t="s">
        <v>18</v>
      </c>
      <c r="T9" s="24">
        <v>0.25</v>
      </c>
      <c r="U9" s="68" t="str">
        <f>IF(AND($E$39&gt;=21,$E$39&lt;=49),"S","N")</f>
        <v>N</v>
      </c>
    </row>
    <row r="10" spans="1:21" customFormat="1" x14ac:dyDescent="0.25">
      <c r="A10" s="5" t="str">
        <f t="shared" si="0"/>
        <v/>
      </c>
      <c r="B10" s="5">
        <f t="shared" si="1"/>
        <v>0</v>
      </c>
      <c r="D10" s="16"/>
      <c r="E10" s="17" t="s">
        <v>11</v>
      </c>
      <c r="F10" s="17" t="s">
        <v>12</v>
      </c>
      <c r="G10" s="18">
        <v>550</v>
      </c>
      <c r="H10" s="18">
        <f t="shared" si="2"/>
        <v>0</v>
      </c>
      <c r="I10" s="5"/>
      <c r="J10" s="19" t="str">
        <f>IFERROR(G10*(1-$E$43),"")</f>
        <v/>
      </c>
      <c r="K10" s="20" t="str">
        <f t="shared" si="3"/>
        <v/>
      </c>
      <c r="N10" s="38"/>
      <c r="O10" s="9" t="str">
        <f>IF(F9=0,"",IF(B9=0,"","    • "&amp;A9&amp;D9&amp;" - "&amp;E9&amp;" ("&amp;F9&amp;") - "&amp;IF($E$43&gt;=0.1,"de ~","")&amp;"R$ "&amp;TEXT(G9,"#.##0,00")&amp;" cada"&amp;IF($E$43&gt;=0.1,"~ por *R$ "&amp;TEXT(J9,"#.##0,00")&amp;" cada*","")))</f>
        <v/>
      </c>
      <c r="P10" s="37"/>
      <c r="R10" s="38"/>
      <c r="S10" s="23" t="s">
        <v>21</v>
      </c>
      <c r="T10" s="24">
        <v>0.3</v>
      </c>
      <c r="U10" s="68" t="str">
        <f>IF(AND($E$39&gt;=50,$E$39&lt;=99),"S","N")</f>
        <v>N</v>
      </c>
    </row>
    <row r="11" spans="1:21" customFormat="1" x14ac:dyDescent="0.25">
      <c r="A11" s="5" t="str">
        <f t="shared" si="0"/>
        <v/>
      </c>
      <c r="B11" s="5">
        <f t="shared" si="1"/>
        <v>0</v>
      </c>
      <c r="D11" s="16"/>
      <c r="E11" s="17" t="s">
        <v>15</v>
      </c>
      <c r="F11" s="17" t="s">
        <v>16</v>
      </c>
      <c r="G11" s="18">
        <v>600</v>
      </c>
      <c r="H11" s="18">
        <f t="shared" si="2"/>
        <v>0</v>
      </c>
      <c r="I11" s="5"/>
      <c r="J11" s="19" t="str">
        <f>IFERROR(G11*(1-$E$43),"")</f>
        <v/>
      </c>
      <c r="K11" s="20" t="str">
        <f t="shared" si="3"/>
        <v/>
      </c>
      <c r="N11" s="38"/>
      <c r="O11" s="9" t="str">
        <f>IF(F10=0,"",IF(B10=0,"","    • "&amp;A10&amp;D10&amp;" - "&amp;E10&amp;" ("&amp;F10&amp;") - "&amp;IF($E$43&gt;=0.1,"de ~","")&amp;"R$ "&amp;TEXT(G10,"#.##0,00")&amp;" cada"&amp;IF($E$43&gt;=0.1,"~ por *R$ "&amp;TEXT(J10,"#.##0,00")&amp;" cada*","")))</f>
        <v/>
      </c>
      <c r="P11" s="37"/>
      <c r="R11" s="38"/>
      <c r="S11" s="23" t="s">
        <v>24</v>
      </c>
      <c r="T11" s="24">
        <v>0.4</v>
      </c>
      <c r="U11" s="68" t="str">
        <f>IF(AND($E$39&gt;=100,$E$39&lt;=199),"S","N")</f>
        <v>N</v>
      </c>
    </row>
    <row r="12" spans="1:21" customFormat="1" x14ac:dyDescent="0.25">
      <c r="N12" s="38"/>
      <c r="O12" s="9" t="str">
        <f>IF(F11=0,"",IF(B11=0,"","    • "&amp;A11&amp;D11&amp;" - "&amp;E11&amp;" ("&amp;F11&amp;") - "&amp;IF($E$43&gt;=0.1,"de ~","")&amp;"R$ "&amp;TEXT(G11,"#.##0,00")&amp;" cada"&amp;IF($E$43&gt;=0.1,"~ por *R$ "&amp;TEXT(J11,"#.##0,00")&amp;" cada*","")))</f>
        <v/>
      </c>
      <c r="P12" s="37"/>
      <c r="R12" s="38"/>
      <c r="S12" s="23" t="s">
        <v>27</v>
      </c>
      <c r="T12" s="24">
        <v>0.5</v>
      </c>
      <c r="U12" s="68" t="str">
        <f>IF($E$39&gt;=200,"S","N")</f>
        <v>N</v>
      </c>
    </row>
    <row r="13" spans="1:21" customFormat="1" x14ac:dyDescent="0.25">
      <c r="A13" s="5" t="str">
        <f t="shared" ref="A13:A15" si="4">IF(B13=1,0,"")</f>
        <v/>
      </c>
      <c r="B13" s="5">
        <f t="shared" ref="B13:B15" si="5">LEN(D13)</f>
        <v>0</v>
      </c>
      <c r="D13" s="16"/>
      <c r="E13" s="17" t="s">
        <v>19</v>
      </c>
      <c r="F13" s="17" t="s">
        <v>57</v>
      </c>
      <c r="G13" s="18">
        <v>250</v>
      </c>
      <c r="H13" s="18">
        <f t="shared" ref="H13:H15" si="6">IFERROR(D13*G13,"")</f>
        <v>0</v>
      </c>
      <c r="I13" s="5"/>
      <c r="J13" s="19" t="str">
        <f>IFERROR(G13*(1-$E$43),"")</f>
        <v/>
      </c>
      <c r="K13" s="20" t="str">
        <f t="shared" ref="K13:K15" si="7">IFERROR(D13*J13,"")</f>
        <v/>
      </c>
      <c r="N13" s="38"/>
      <c r="P13" s="37"/>
      <c r="R13" s="50"/>
      <c r="S13" s="51"/>
      <c r="T13" s="51"/>
      <c r="U13" s="52"/>
    </row>
    <row r="14" spans="1:21" customFormat="1" x14ac:dyDescent="0.25">
      <c r="A14" s="5" t="str">
        <f t="shared" si="4"/>
        <v/>
      </c>
      <c r="B14" s="5">
        <f t="shared" si="5"/>
        <v>0</v>
      </c>
      <c r="D14" s="16"/>
      <c r="E14" s="17" t="s">
        <v>22</v>
      </c>
      <c r="F14" s="17" t="s">
        <v>58</v>
      </c>
      <c r="G14" s="18">
        <v>275</v>
      </c>
      <c r="H14" s="18">
        <f t="shared" si="6"/>
        <v>0</v>
      </c>
      <c r="I14" s="5"/>
      <c r="J14" s="19" t="str">
        <f>IFERROR(G14*(1-$E$43),"")</f>
        <v/>
      </c>
      <c r="K14" s="20" t="str">
        <f t="shared" si="7"/>
        <v/>
      </c>
      <c r="N14" s="38"/>
      <c r="O14" s="9" t="str">
        <f>IF(F13=0,"",IF(B13=0,"","    • "&amp;A13&amp;D13&amp;" - "&amp;E13&amp;" ("&amp;F13&amp;") - "&amp;IF($E$43&gt;=0.1,"de ~","")&amp;"R$ "&amp;TEXT(G13,"#.##0,00")&amp;" cada"&amp;IF($E$43&gt;=0.1,"~ por *R$ "&amp;TEXT(J13,"#.##0,00")&amp;" cada*","")))</f>
        <v/>
      </c>
      <c r="P14" s="37"/>
    </row>
    <row r="15" spans="1:21" customFormat="1" x14ac:dyDescent="0.25">
      <c r="A15" s="5" t="str">
        <f t="shared" si="4"/>
        <v/>
      </c>
      <c r="B15" s="5">
        <f t="shared" si="5"/>
        <v>0</v>
      </c>
      <c r="D15" s="16"/>
      <c r="E15" s="17" t="s">
        <v>25</v>
      </c>
      <c r="F15" s="17" t="s">
        <v>59</v>
      </c>
      <c r="G15" s="18">
        <v>300</v>
      </c>
      <c r="H15" s="18">
        <f t="shared" si="6"/>
        <v>0</v>
      </c>
      <c r="I15" s="5"/>
      <c r="J15" s="19" t="str">
        <f>IFERROR(G15*(1-$E$43),"")</f>
        <v/>
      </c>
      <c r="K15" s="20" t="str">
        <f t="shared" si="7"/>
        <v/>
      </c>
      <c r="N15" s="38"/>
      <c r="O15" s="9" t="str">
        <f>IF(F14=0,"",IF(B14=0,"","    • "&amp;A14&amp;D14&amp;" - "&amp;E14&amp;" ("&amp;F14&amp;") - "&amp;IF($E$43&gt;=0.1,"de ~","")&amp;"R$ "&amp;TEXT(G14,"#.##0,00")&amp;" cada"&amp;IF($E$43&gt;=0.1,"~ por *R$ "&amp;TEXT(J14,"#.##0,00")&amp;" cada*","")))</f>
        <v/>
      </c>
      <c r="P15" s="37"/>
    </row>
    <row r="16" spans="1:21" customFormat="1" x14ac:dyDescent="0.25">
      <c r="N16" s="38"/>
      <c r="O16" s="9" t="str">
        <f>IF(F15=0,"",IF(B15=0,"","    • "&amp;A15&amp;D15&amp;" - "&amp;E15&amp;" ("&amp;F15&amp;") - "&amp;IF($E$43&gt;=0.1,"de ~","")&amp;"R$ "&amp;TEXT(G15,"#.##0,00")&amp;" cada"&amp;IF($E$43&gt;=0.1,"~ por *R$ "&amp;TEXT(J15,"#.##0,00")&amp;" cada*","")))</f>
        <v/>
      </c>
      <c r="P16" s="37"/>
    </row>
    <row r="17" spans="1:16" customFormat="1" x14ac:dyDescent="0.25">
      <c r="A17" s="5" t="str">
        <f t="shared" ref="A17:A26" si="8">IF(B17=1,0,"")</f>
        <v/>
      </c>
      <c r="B17" s="5">
        <f t="shared" ref="B17:B26" si="9">LEN(D17)</f>
        <v>0</v>
      </c>
      <c r="D17" s="16"/>
      <c r="E17" s="17" t="s">
        <v>28</v>
      </c>
      <c r="F17" s="17" t="s">
        <v>29</v>
      </c>
      <c r="G17" s="18">
        <v>345</v>
      </c>
      <c r="H17" s="18">
        <f t="shared" ref="H17:H26" si="10">IFERROR(D17*G17,"")</f>
        <v>0</v>
      </c>
      <c r="I17" s="5"/>
      <c r="J17" s="19" t="str">
        <f t="shared" ref="J17:J26" si="11">IFERROR(G17*(1-$E$43),"")</f>
        <v/>
      </c>
      <c r="K17" s="20" t="str">
        <f t="shared" ref="K17:K26" si="12">IFERROR(D17*J17,"")</f>
        <v/>
      </c>
      <c r="N17" s="38"/>
      <c r="P17" s="37"/>
    </row>
    <row r="18" spans="1:16" customFormat="1" x14ac:dyDescent="0.25">
      <c r="A18" s="5" t="str">
        <f t="shared" si="8"/>
        <v/>
      </c>
      <c r="B18" s="5">
        <f t="shared" si="9"/>
        <v>0</v>
      </c>
      <c r="D18" s="16"/>
      <c r="E18" s="17" t="s">
        <v>31</v>
      </c>
      <c r="F18" s="17" t="s">
        <v>32</v>
      </c>
      <c r="G18" s="18">
        <v>450</v>
      </c>
      <c r="H18" s="18">
        <f t="shared" si="10"/>
        <v>0</v>
      </c>
      <c r="I18" s="5"/>
      <c r="J18" s="19" t="str">
        <f t="shared" si="11"/>
        <v/>
      </c>
      <c r="K18" s="20" t="str">
        <f t="shared" si="12"/>
        <v/>
      </c>
      <c r="N18" s="38"/>
      <c r="O18" s="9" t="str">
        <f t="shared" ref="O18:O27" si="13">IF(F17=0,"",IF(B17=0,"","    • "&amp;A17&amp;D17&amp;" - "&amp;E17&amp;" ("&amp;F17&amp;") - "&amp;IF($E$43&gt;=0.1,"de ~","")&amp;"R$ "&amp;TEXT(G17,"#.##0,00")&amp;" cada"&amp;IF($E$43&gt;=0.1,"~ por *R$ "&amp;TEXT(J17,"#.##0,00")&amp;" cada*","")))</f>
        <v/>
      </c>
      <c r="P18" s="37"/>
    </row>
    <row r="19" spans="1:16" customFormat="1" x14ac:dyDescent="0.25">
      <c r="A19" s="5" t="str">
        <f t="shared" si="8"/>
        <v/>
      </c>
      <c r="B19" s="5">
        <f t="shared" si="9"/>
        <v>0</v>
      </c>
      <c r="D19" s="16"/>
      <c r="E19" s="17" t="s">
        <v>33</v>
      </c>
      <c r="F19" s="17" t="s">
        <v>34</v>
      </c>
      <c r="G19" s="18">
        <v>890</v>
      </c>
      <c r="H19" s="18">
        <f t="shared" si="10"/>
        <v>0</v>
      </c>
      <c r="I19" s="5"/>
      <c r="J19" s="19" t="str">
        <f t="shared" si="11"/>
        <v/>
      </c>
      <c r="K19" s="20" t="str">
        <f t="shared" si="12"/>
        <v/>
      </c>
      <c r="N19" s="38"/>
      <c r="O19" s="9" t="str">
        <f t="shared" si="13"/>
        <v/>
      </c>
      <c r="P19" s="37"/>
    </row>
    <row r="20" spans="1:16" customFormat="1" x14ac:dyDescent="0.25">
      <c r="A20" s="5" t="str">
        <f t="shared" si="8"/>
        <v/>
      </c>
      <c r="B20" s="5">
        <f t="shared" si="9"/>
        <v>0</v>
      </c>
      <c r="D20" s="16"/>
      <c r="E20" s="17" t="s">
        <v>36</v>
      </c>
      <c r="F20" s="17" t="s">
        <v>37</v>
      </c>
      <c r="G20" s="18">
        <v>1345</v>
      </c>
      <c r="H20" s="18">
        <f t="shared" si="10"/>
        <v>0</v>
      </c>
      <c r="I20" s="5"/>
      <c r="J20" s="19" t="str">
        <f t="shared" si="11"/>
        <v/>
      </c>
      <c r="K20" s="20" t="str">
        <f t="shared" si="12"/>
        <v/>
      </c>
      <c r="N20" s="38"/>
      <c r="O20" s="9" t="str">
        <f t="shared" si="13"/>
        <v/>
      </c>
      <c r="P20" s="37"/>
    </row>
    <row r="21" spans="1:16" customFormat="1" x14ac:dyDescent="0.25">
      <c r="A21" s="5" t="str">
        <f t="shared" si="8"/>
        <v/>
      </c>
      <c r="B21" s="5">
        <f t="shared" si="9"/>
        <v>0</v>
      </c>
      <c r="D21" s="16"/>
      <c r="E21" s="17" t="s">
        <v>38</v>
      </c>
      <c r="F21" s="17" t="s">
        <v>39</v>
      </c>
      <c r="G21" s="18">
        <v>2000</v>
      </c>
      <c r="H21" s="18">
        <f t="shared" si="10"/>
        <v>0</v>
      </c>
      <c r="I21" s="5"/>
      <c r="J21" s="19" t="str">
        <f t="shared" si="11"/>
        <v/>
      </c>
      <c r="K21" s="20" t="str">
        <f t="shared" si="12"/>
        <v/>
      </c>
      <c r="N21" s="38"/>
      <c r="O21" s="9" t="str">
        <f t="shared" si="13"/>
        <v/>
      </c>
      <c r="P21" s="37"/>
    </row>
    <row r="22" spans="1:16" customFormat="1" x14ac:dyDescent="0.25">
      <c r="A22" s="5" t="str">
        <f t="shared" si="8"/>
        <v/>
      </c>
      <c r="B22" s="5">
        <f t="shared" si="9"/>
        <v>0</v>
      </c>
      <c r="D22" s="16"/>
      <c r="E22" s="17" t="s">
        <v>40</v>
      </c>
      <c r="F22" s="17" t="s">
        <v>41</v>
      </c>
      <c r="G22" s="18">
        <v>2700</v>
      </c>
      <c r="H22" s="18">
        <f t="shared" si="10"/>
        <v>0</v>
      </c>
      <c r="I22" s="5"/>
      <c r="J22" s="19" t="str">
        <f t="shared" si="11"/>
        <v/>
      </c>
      <c r="K22" s="20" t="str">
        <f t="shared" si="12"/>
        <v/>
      </c>
      <c r="N22" s="38"/>
      <c r="O22" s="9" t="str">
        <f t="shared" si="13"/>
        <v/>
      </c>
      <c r="P22" s="37"/>
    </row>
    <row r="23" spans="1:16" customFormat="1" x14ac:dyDescent="0.25">
      <c r="A23" s="5" t="str">
        <f t="shared" si="8"/>
        <v/>
      </c>
      <c r="B23" s="5">
        <f t="shared" si="9"/>
        <v>0</v>
      </c>
      <c r="D23" s="16"/>
      <c r="E23" s="17" t="s">
        <v>42</v>
      </c>
      <c r="F23" s="17" t="s">
        <v>43</v>
      </c>
      <c r="G23" s="18">
        <v>3375</v>
      </c>
      <c r="H23" s="18">
        <f t="shared" si="10"/>
        <v>0</v>
      </c>
      <c r="I23" s="5"/>
      <c r="J23" s="19" t="str">
        <f t="shared" si="11"/>
        <v/>
      </c>
      <c r="K23" s="20" t="str">
        <f t="shared" si="12"/>
        <v/>
      </c>
      <c r="N23" s="38"/>
      <c r="O23" s="9" t="str">
        <f t="shared" si="13"/>
        <v/>
      </c>
      <c r="P23" s="37"/>
    </row>
    <row r="24" spans="1:16" customFormat="1" x14ac:dyDescent="0.25">
      <c r="A24" s="5" t="str">
        <f t="shared" si="8"/>
        <v/>
      </c>
      <c r="B24" s="5">
        <f t="shared" si="9"/>
        <v>0</v>
      </c>
      <c r="D24" s="16"/>
      <c r="E24" s="17" t="s">
        <v>44</v>
      </c>
      <c r="F24" s="17" t="s">
        <v>45</v>
      </c>
      <c r="G24" s="18">
        <v>4500</v>
      </c>
      <c r="H24" s="18">
        <f t="shared" si="10"/>
        <v>0</v>
      </c>
      <c r="I24" s="5"/>
      <c r="J24" s="19" t="str">
        <f t="shared" si="11"/>
        <v/>
      </c>
      <c r="K24" s="20" t="str">
        <f t="shared" si="12"/>
        <v/>
      </c>
      <c r="N24" s="38"/>
      <c r="O24" s="9" t="str">
        <f t="shared" si="13"/>
        <v/>
      </c>
      <c r="P24" s="37"/>
    </row>
    <row r="25" spans="1:16" customFormat="1" x14ac:dyDescent="0.25">
      <c r="A25" s="5" t="str">
        <f t="shared" si="8"/>
        <v/>
      </c>
      <c r="B25" s="5">
        <f t="shared" si="9"/>
        <v>0</v>
      </c>
      <c r="D25" s="16"/>
      <c r="E25" s="17" t="s">
        <v>102</v>
      </c>
      <c r="F25" s="17" t="s">
        <v>103</v>
      </c>
      <c r="G25" s="18">
        <v>7500</v>
      </c>
      <c r="H25" s="18">
        <f t="shared" si="10"/>
        <v>0</v>
      </c>
      <c r="I25" s="5"/>
      <c r="J25" s="19" t="str">
        <f t="shared" si="11"/>
        <v/>
      </c>
      <c r="K25" s="20" t="str">
        <f t="shared" si="12"/>
        <v/>
      </c>
      <c r="N25" s="38"/>
      <c r="O25" s="9" t="str">
        <f t="shared" si="13"/>
        <v/>
      </c>
      <c r="P25" s="37"/>
    </row>
    <row r="26" spans="1:16" customFormat="1" x14ac:dyDescent="0.25">
      <c r="A26" s="5" t="str">
        <f t="shared" si="8"/>
        <v/>
      </c>
      <c r="B26" s="5">
        <f t="shared" si="9"/>
        <v>0</v>
      </c>
      <c r="D26" s="16"/>
      <c r="E26" s="17" t="s">
        <v>46</v>
      </c>
      <c r="F26" s="17" t="s">
        <v>47</v>
      </c>
      <c r="G26" s="18">
        <v>11250</v>
      </c>
      <c r="H26" s="18">
        <f t="shared" si="10"/>
        <v>0</v>
      </c>
      <c r="I26" s="5"/>
      <c r="J26" s="19" t="str">
        <f t="shared" si="11"/>
        <v/>
      </c>
      <c r="K26" s="20" t="str">
        <f t="shared" si="12"/>
        <v/>
      </c>
      <c r="N26" s="38"/>
      <c r="O26" s="9" t="str">
        <f t="shared" si="13"/>
        <v/>
      </c>
      <c r="P26" s="37"/>
    </row>
    <row r="27" spans="1:16" customFormat="1" x14ac:dyDescent="0.25">
      <c r="N27" s="38"/>
      <c r="O27" s="9" t="str">
        <f t="shared" si="13"/>
        <v/>
      </c>
      <c r="P27" s="37"/>
    </row>
    <row r="28" spans="1:16" customFormat="1" x14ac:dyDescent="0.25">
      <c r="A28" s="5" t="str">
        <f t="shared" ref="A28:A36" si="14">IF(B28=1,0,"")</f>
        <v/>
      </c>
      <c r="B28" s="5">
        <f t="shared" ref="B28:B36" si="15">LEN(D28)</f>
        <v>0</v>
      </c>
      <c r="D28" s="16"/>
      <c r="E28" s="17" t="s">
        <v>48</v>
      </c>
      <c r="F28" s="17" t="s">
        <v>60</v>
      </c>
      <c r="G28" s="18">
        <v>172.5</v>
      </c>
      <c r="H28" s="18">
        <f t="shared" ref="H28:H36" si="16">IFERROR(D28*G28,"")</f>
        <v>0</v>
      </c>
      <c r="I28" s="5"/>
      <c r="J28" s="19" t="str">
        <f t="shared" ref="J28:J36" si="17">IFERROR(G28*(1-$E$43),"")</f>
        <v/>
      </c>
      <c r="K28" s="20" t="str">
        <f t="shared" ref="K28:K36" si="18">IFERROR(D28*J28,"")</f>
        <v/>
      </c>
      <c r="N28" s="38"/>
      <c r="P28" s="37"/>
    </row>
    <row r="29" spans="1:16" customFormat="1" x14ac:dyDescent="0.25">
      <c r="A29" s="5" t="str">
        <f t="shared" si="14"/>
        <v/>
      </c>
      <c r="B29" s="5">
        <f t="shared" si="15"/>
        <v>0</v>
      </c>
      <c r="D29" s="16"/>
      <c r="E29" s="17" t="s">
        <v>49</v>
      </c>
      <c r="F29" s="17" t="s">
        <v>61</v>
      </c>
      <c r="G29" s="18">
        <v>225</v>
      </c>
      <c r="H29" s="18">
        <f t="shared" si="16"/>
        <v>0</v>
      </c>
      <c r="I29" s="5"/>
      <c r="J29" s="19" t="str">
        <f t="shared" si="17"/>
        <v/>
      </c>
      <c r="K29" s="20" t="str">
        <f t="shared" si="18"/>
        <v/>
      </c>
      <c r="N29" s="38"/>
      <c r="O29" s="9" t="str">
        <f t="shared" ref="O29:O37" si="19">IF(F28=0,"",IF(B28=0,"","    • "&amp;A28&amp;D28&amp;" - "&amp;E28&amp;" ("&amp;F28&amp;") - "&amp;IF($E$43&gt;=0.1,"de ~","")&amp;"R$ "&amp;TEXT(G28,"#.##0,00")&amp;" cada"&amp;IF($E$43&gt;=0.1,"~ por *R$ "&amp;TEXT(J28,"#.##0,00")&amp;" cada*","")))</f>
        <v/>
      </c>
      <c r="P29" s="37"/>
    </row>
    <row r="30" spans="1:16" customFormat="1" x14ac:dyDescent="0.25">
      <c r="A30" s="5" t="str">
        <f t="shared" si="14"/>
        <v/>
      </c>
      <c r="B30" s="5">
        <f t="shared" si="15"/>
        <v>0</v>
      </c>
      <c r="D30" s="16"/>
      <c r="E30" s="17" t="s">
        <v>50</v>
      </c>
      <c r="F30" s="17" t="s">
        <v>62</v>
      </c>
      <c r="G30" s="18">
        <v>445</v>
      </c>
      <c r="H30" s="18">
        <f t="shared" si="16"/>
        <v>0</v>
      </c>
      <c r="I30" s="5"/>
      <c r="J30" s="19" t="str">
        <f t="shared" si="17"/>
        <v/>
      </c>
      <c r="K30" s="20" t="str">
        <f t="shared" si="18"/>
        <v/>
      </c>
      <c r="N30" s="38"/>
      <c r="O30" s="9" t="str">
        <f t="shared" si="19"/>
        <v/>
      </c>
      <c r="P30" s="37"/>
    </row>
    <row r="31" spans="1:16" customFormat="1" x14ac:dyDescent="0.25">
      <c r="A31" s="5" t="str">
        <f t="shared" si="14"/>
        <v/>
      </c>
      <c r="B31" s="5">
        <f t="shared" si="15"/>
        <v>0</v>
      </c>
      <c r="D31" s="16"/>
      <c r="E31" s="17" t="s">
        <v>51</v>
      </c>
      <c r="F31" s="17" t="s">
        <v>63</v>
      </c>
      <c r="G31" s="18">
        <v>672.5</v>
      </c>
      <c r="H31" s="18">
        <f t="shared" si="16"/>
        <v>0</v>
      </c>
      <c r="I31" s="5"/>
      <c r="J31" s="19" t="str">
        <f t="shared" si="17"/>
        <v/>
      </c>
      <c r="K31" s="20" t="str">
        <f t="shared" si="18"/>
        <v/>
      </c>
      <c r="N31" s="38"/>
      <c r="O31" s="9" t="str">
        <f t="shared" si="19"/>
        <v/>
      </c>
      <c r="P31" s="37"/>
    </row>
    <row r="32" spans="1:16" customFormat="1" x14ac:dyDescent="0.25">
      <c r="A32" s="5" t="str">
        <f t="shared" si="14"/>
        <v/>
      </c>
      <c r="B32" s="5">
        <f t="shared" si="15"/>
        <v>0</v>
      </c>
      <c r="D32" s="16"/>
      <c r="E32" s="17" t="s">
        <v>52</v>
      </c>
      <c r="F32" s="17" t="s">
        <v>64</v>
      </c>
      <c r="G32" s="18">
        <v>1000</v>
      </c>
      <c r="H32" s="18">
        <f t="shared" si="16"/>
        <v>0</v>
      </c>
      <c r="I32" s="5"/>
      <c r="J32" s="19" t="str">
        <f t="shared" si="17"/>
        <v/>
      </c>
      <c r="K32" s="20" t="str">
        <f t="shared" si="18"/>
        <v/>
      </c>
      <c r="N32" s="38"/>
      <c r="O32" s="9" t="str">
        <f t="shared" si="19"/>
        <v/>
      </c>
      <c r="P32" s="37"/>
    </row>
    <row r="33" spans="1:16" customFormat="1" x14ac:dyDescent="0.25">
      <c r="A33" s="5" t="str">
        <f t="shared" si="14"/>
        <v/>
      </c>
      <c r="B33" s="5">
        <f t="shared" si="15"/>
        <v>0</v>
      </c>
      <c r="D33" s="16"/>
      <c r="E33" s="17" t="s">
        <v>53</v>
      </c>
      <c r="F33" s="17" t="s">
        <v>65</v>
      </c>
      <c r="G33" s="18">
        <v>1350</v>
      </c>
      <c r="H33" s="18">
        <f t="shared" si="16"/>
        <v>0</v>
      </c>
      <c r="I33" s="5"/>
      <c r="J33" s="19" t="str">
        <f t="shared" si="17"/>
        <v/>
      </c>
      <c r="K33" s="20" t="str">
        <f t="shared" si="18"/>
        <v/>
      </c>
      <c r="N33" s="38"/>
      <c r="O33" s="9" t="str">
        <f t="shared" si="19"/>
        <v/>
      </c>
      <c r="P33" s="37"/>
    </row>
    <row r="34" spans="1:16" customFormat="1" x14ac:dyDescent="0.25">
      <c r="A34" s="5" t="str">
        <f t="shared" si="14"/>
        <v/>
      </c>
      <c r="B34" s="5">
        <f t="shared" si="15"/>
        <v>0</v>
      </c>
      <c r="D34" s="16"/>
      <c r="E34" s="17" t="s">
        <v>54</v>
      </c>
      <c r="F34" s="17" t="s">
        <v>66</v>
      </c>
      <c r="G34" s="18">
        <v>1687.5</v>
      </c>
      <c r="H34" s="18">
        <f t="shared" si="16"/>
        <v>0</v>
      </c>
      <c r="I34" s="5"/>
      <c r="J34" s="19" t="str">
        <f t="shared" si="17"/>
        <v/>
      </c>
      <c r="K34" s="20" t="str">
        <f t="shared" si="18"/>
        <v/>
      </c>
      <c r="N34" s="38"/>
      <c r="O34" s="9" t="str">
        <f t="shared" si="19"/>
        <v/>
      </c>
      <c r="P34" s="37"/>
    </row>
    <row r="35" spans="1:16" customFormat="1" x14ac:dyDescent="0.25">
      <c r="A35" s="5" t="str">
        <f t="shared" si="14"/>
        <v/>
      </c>
      <c r="B35" s="5">
        <f t="shared" si="15"/>
        <v>0</v>
      </c>
      <c r="D35" s="16"/>
      <c r="E35" s="17" t="s">
        <v>55</v>
      </c>
      <c r="F35" s="17" t="s">
        <v>67</v>
      </c>
      <c r="G35" s="18">
        <v>2250</v>
      </c>
      <c r="H35" s="18">
        <f t="shared" si="16"/>
        <v>0</v>
      </c>
      <c r="I35" s="5"/>
      <c r="J35" s="19" t="str">
        <f t="shared" si="17"/>
        <v/>
      </c>
      <c r="K35" s="20" t="str">
        <f t="shared" si="18"/>
        <v/>
      </c>
      <c r="N35" s="38"/>
      <c r="O35" s="9" t="str">
        <f t="shared" si="19"/>
        <v/>
      </c>
      <c r="P35" s="37"/>
    </row>
    <row r="36" spans="1:16" customFormat="1" ht="15" customHeight="1" x14ac:dyDescent="0.25">
      <c r="A36" s="5" t="str">
        <f t="shared" si="14"/>
        <v/>
      </c>
      <c r="B36" s="5">
        <f t="shared" si="15"/>
        <v>0</v>
      </c>
      <c r="D36" s="16"/>
      <c r="E36" s="17" t="s">
        <v>56</v>
      </c>
      <c r="F36" s="17" t="s">
        <v>76</v>
      </c>
      <c r="G36" s="18">
        <v>5625</v>
      </c>
      <c r="H36" s="18">
        <f t="shared" si="16"/>
        <v>0</v>
      </c>
      <c r="I36" s="5"/>
      <c r="J36" s="19" t="str">
        <f t="shared" si="17"/>
        <v/>
      </c>
      <c r="K36" s="20" t="str">
        <f t="shared" si="18"/>
        <v/>
      </c>
      <c r="N36" s="38"/>
      <c r="O36" s="9" t="str">
        <f t="shared" si="19"/>
        <v/>
      </c>
      <c r="P36" s="37"/>
    </row>
    <row r="37" spans="1:16" customFormat="1" x14ac:dyDescent="0.25">
      <c r="D37" s="5"/>
      <c r="E37" s="42"/>
      <c r="F37" s="42"/>
      <c r="G37" s="7" t="s">
        <v>35</v>
      </c>
      <c r="H37" s="22">
        <f>SUM(H9:H36)</f>
        <v>0</v>
      </c>
      <c r="J37" s="7" t="s">
        <v>35</v>
      </c>
      <c r="K37" s="21">
        <f>SUM(K9:K36)</f>
        <v>0</v>
      </c>
      <c r="N37" s="38"/>
      <c r="O37" s="9" t="str">
        <f t="shared" si="19"/>
        <v/>
      </c>
      <c r="P37" s="37"/>
    </row>
    <row r="38" spans="1:16" customFormat="1" x14ac:dyDescent="0.25">
      <c r="N38" s="38"/>
      <c r="P38" s="37"/>
    </row>
    <row r="39" spans="1:16" customFormat="1" x14ac:dyDescent="0.25">
      <c r="B39" s="5"/>
      <c r="C39" s="5"/>
      <c r="D39" s="7" t="s">
        <v>2</v>
      </c>
      <c r="E39" s="14">
        <f>SUM(D9:D36)</f>
        <v>0</v>
      </c>
      <c r="F39" s="1" t="str">
        <f>IF(E39&gt;=200,"","Falta"&amp;IF(Dados!AG6&gt;=2,"m","")&amp;" "&amp;Dados!AG6&amp;" Número"&amp;IF(Dados!AG6&lt;=1,"","s")&amp;" de Série para a próxima faixa de desconto")</f>
        <v>Faltam 3 Números de Série para a próxima faixa de desconto</v>
      </c>
      <c r="G39" s="5"/>
      <c r="H39" s="5"/>
      <c r="I39" s="5"/>
      <c r="J39" s="5"/>
      <c r="K39" s="5"/>
      <c r="N39" s="38"/>
      <c r="O39" s="9" t="e">
        <f>IF(E43=0,"*","")&amp;"Investimento: R$ "&amp;TEXT(H37,"#.##0,00")&amp;IF(E43=0,"*","")</f>
        <v>#N/A</v>
      </c>
      <c r="P39" s="37"/>
    </row>
    <row r="40" spans="1:16" customFormat="1" x14ac:dyDescent="0.25">
      <c r="A40" s="5"/>
      <c r="B40" s="5"/>
      <c r="C40" s="5"/>
      <c r="D40" s="7" t="s">
        <v>81</v>
      </c>
      <c r="E40" s="15">
        <f>IF(E39&lt;=2,0,IF(E39&lt;=6,0.1,IF(E39&lt;=10,0.15,IF(E39&lt;=20,0.2,IF(E39&lt;=49,0.25,IF(E39&lt;=99,0.3,IF(E39&lt;=199,0.4,0.5)))))))</f>
        <v>0</v>
      </c>
      <c r="F40" s="5" t="s">
        <v>109</v>
      </c>
      <c r="G40" s="5"/>
      <c r="H40" s="5"/>
      <c r="I40" s="5"/>
      <c r="J40" s="5"/>
      <c r="K40" s="5"/>
      <c r="N40" s="38"/>
      <c r="O40" s="9" t="e">
        <f>E39&amp;" licença"&amp;IF(E39&lt;=1,"","s")&amp;IF(E43=0,""," | "&amp;E43*100&amp;"% de desconto")</f>
        <v>#N/A</v>
      </c>
      <c r="P40" s="37"/>
    </row>
    <row r="41" spans="1:16" customFormat="1" x14ac:dyDescent="0.25">
      <c r="A41" s="5"/>
      <c r="B41" s="5"/>
      <c r="C41" s="5"/>
      <c r="D41" s="7" t="s">
        <v>108</v>
      </c>
      <c r="E41" s="15" t="e">
        <f>IF(AND(E39&gt;=50,_xlfn.XLOOKUP(E3,Revendas!C:C,Revendas!E:E)&lt;&gt;"Não possui"),0.1,0)</f>
        <v>#N/A</v>
      </c>
      <c r="F41" s="5" t="s">
        <v>308</v>
      </c>
      <c r="G41" s="5"/>
      <c r="H41" s="5"/>
      <c r="I41" s="5"/>
      <c r="J41" s="5"/>
      <c r="K41" s="5"/>
      <c r="N41" s="38"/>
      <c r="O41" s="9" t="e">
        <f>IF(E43=0,"","*Investimento com desconto: R$ "&amp;TEXT(H37*(1-E43),"#.##0,00")&amp;"*")</f>
        <v>#N/A</v>
      </c>
      <c r="P41" s="37"/>
    </row>
    <row r="42" spans="1:16" customFormat="1" x14ac:dyDescent="0.25">
      <c r="A42" s="5"/>
      <c r="B42" s="5"/>
      <c r="C42" s="5"/>
      <c r="D42" s="7" t="s">
        <v>137</v>
      </c>
      <c r="E42" s="67">
        <v>0</v>
      </c>
      <c r="F42" s="1" t="str">
        <f>IF(E42=0,"Preencher com a porcentagem pretendida de desconto. Ex.: 10 para 10%","")</f>
        <v>Preencher com a porcentagem pretendida de desconto. Ex.: 10 para 10%</v>
      </c>
      <c r="G42" s="5"/>
      <c r="H42" s="5"/>
      <c r="I42" s="5"/>
      <c r="J42" s="5"/>
      <c r="K42" s="5"/>
      <c r="N42" s="38"/>
      <c r="P42" s="37"/>
    </row>
    <row r="43" spans="1:16" customFormat="1" x14ac:dyDescent="0.25">
      <c r="A43" s="5"/>
      <c r="B43" s="5"/>
      <c r="C43" s="5"/>
      <c r="D43" s="7" t="s">
        <v>68</v>
      </c>
      <c r="E43" s="15" t="e">
        <f>E40+E41+E42</f>
        <v>#N/A</v>
      </c>
      <c r="F43" s="1"/>
      <c r="G43" s="5"/>
      <c r="H43" s="5"/>
      <c r="I43" s="5"/>
      <c r="J43" s="5"/>
      <c r="K43" s="5"/>
      <c r="N43" s="38"/>
      <c r="O43" s="64" t="e">
        <f>Dados!AA12</f>
        <v>#N/A</v>
      </c>
      <c r="P43" s="37"/>
    </row>
    <row r="44" spans="1:16" ht="15" customHeight="1" x14ac:dyDescent="0.25">
      <c r="N44" s="38"/>
      <c r="O44"/>
      <c r="P44" s="37"/>
    </row>
    <row r="45" spans="1:16" ht="15" customHeight="1" x14ac:dyDescent="0.25">
      <c r="N45" s="43"/>
      <c r="O45" s="65" t="str">
        <f>"Valor do desconto: R$ "&amp;TEXT(H37-K37,"#.##0,00")</f>
        <v>Valor do desconto: R$ 0,00</v>
      </c>
      <c r="P45" s="37"/>
    </row>
    <row r="46" spans="1:16" ht="15" customHeight="1" x14ac:dyDescent="0.25">
      <c r="N46" s="66"/>
      <c r="O46" s="61"/>
      <c r="P46" s="52"/>
    </row>
    <row r="47" spans="1:16" ht="15" customHeight="1" x14ac:dyDescent="0.25">
      <c r="K47"/>
    </row>
    <row r="48" spans="1:16" ht="15" customHeight="1" x14ac:dyDescent="0.25">
      <c r="K48"/>
      <c r="O48" s="9"/>
    </row>
    <row r="49" spans="11:15" ht="15" customHeight="1" x14ac:dyDescent="0.25">
      <c r="K49"/>
    </row>
    <row r="50" spans="11:15" ht="15" customHeight="1" x14ac:dyDescent="0.25">
      <c r="K50"/>
    </row>
    <row r="51" spans="11:15" ht="15" customHeight="1" x14ac:dyDescent="0.25">
      <c r="K51"/>
    </row>
    <row r="52" spans="11:15" ht="15" customHeight="1" x14ac:dyDescent="0.25">
      <c r="K52"/>
    </row>
    <row r="53" spans="11:15" ht="15" customHeight="1" x14ac:dyDescent="0.25"/>
    <row r="54" spans="11:15" ht="15" customHeight="1" x14ac:dyDescent="0.25">
      <c r="L54"/>
      <c r="M54"/>
    </row>
    <row r="55" spans="11:15" ht="15" customHeight="1" x14ac:dyDescent="0.25">
      <c r="L55"/>
      <c r="M55"/>
      <c r="N55"/>
    </row>
    <row r="56" spans="11:15" ht="15" customHeight="1" x14ac:dyDescent="0.25">
      <c r="L56"/>
      <c r="M56"/>
      <c r="N56"/>
      <c r="O56"/>
    </row>
    <row r="57" spans="11:15" ht="15" customHeight="1" x14ac:dyDescent="0.25">
      <c r="L57"/>
      <c r="M57"/>
      <c r="N57"/>
      <c r="O57"/>
    </row>
    <row r="58" spans="11:15" ht="15" customHeight="1" x14ac:dyDescent="0.25">
      <c r="L58"/>
      <c r="M58"/>
      <c r="N58"/>
      <c r="O58"/>
    </row>
    <row r="59" spans="11:15" ht="15" customHeight="1" x14ac:dyDescent="0.25">
      <c r="L59"/>
      <c r="M59"/>
      <c r="N59"/>
      <c r="O59"/>
    </row>
    <row r="60" spans="11:15" ht="15" customHeight="1" x14ac:dyDescent="0.25">
      <c r="N60"/>
      <c r="O60"/>
    </row>
    <row r="61" spans="11:15" ht="15" customHeight="1" x14ac:dyDescent="0.25">
      <c r="O61"/>
    </row>
    <row r="62" spans="11:15" ht="15" customHeight="1" x14ac:dyDescent="0.25"/>
    <row r="63" spans="11:15" ht="15" customHeight="1" x14ac:dyDescent="0.25"/>
    <row r="64" spans="11:15" ht="15" customHeight="1" x14ac:dyDescent="0.25"/>
    <row r="65" spans="19:20" ht="15" customHeight="1" x14ac:dyDescent="0.25"/>
    <row r="66" spans="19:20" ht="15" customHeight="1" x14ac:dyDescent="0.25"/>
    <row r="67" spans="19:20" ht="15" customHeight="1" x14ac:dyDescent="0.25"/>
    <row r="68" spans="19:20" ht="15" customHeight="1" x14ac:dyDescent="0.25"/>
    <row r="69" spans="19:20" ht="15" customHeight="1" x14ac:dyDescent="0.25"/>
    <row r="80" spans="19:20" x14ac:dyDescent="0.25">
      <c r="S80" s="5"/>
      <c r="T80" s="5"/>
    </row>
    <row r="81" spans="16:44" x14ac:dyDescent="0.25">
      <c r="S81" s="5"/>
      <c r="T81" s="5"/>
    </row>
    <row r="83" spans="16:44" x14ac:dyDescent="0.25">
      <c r="S83" s="5"/>
      <c r="T83" s="5"/>
    </row>
    <row r="84" spans="16:44" x14ac:dyDescent="0.25"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6:44" x14ac:dyDescent="0.25"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6:44" x14ac:dyDescent="0.25">
      <c r="P86" s="5"/>
      <c r="Q86" s="5"/>
    </row>
    <row r="87" spans="16:44" x14ac:dyDescent="0.25">
      <c r="R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6:44" x14ac:dyDescent="0.25">
      <c r="P88" s="5"/>
      <c r="Q88" s="5"/>
      <c r="R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6:44" x14ac:dyDescent="0.25">
      <c r="P89" s="5"/>
      <c r="Q89" s="5"/>
      <c r="R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6:44" x14ac:dyDescent="0.25">
      <c r="P90" s="5"/>
      <c r="Q90" s="5"/>
    </row>
  </sheetData>
  <mergeCells count="10">
    <mergeCell ref="J6:J7"/>
    <mergeCell ref="K6:K7"/>
    <mergeCell ref="S3:T3"/>
    <mergeCell ref="E2:G2"/>
    <mergeCell ref="E4:G4"/>
    <mergeCell ref="D6:D7"/>
    <mergeCell ref="E6:E7"/>
    <mergeCell ref="F6:F7"/>
    <mergeCell ref="G6:G7"/>
    <mergeCell ref="H6:H7"/>
  </mergeCells>
  <conditionalFormatting sqref="S6:T12">
    <cfRule type="expression" dxfId="3" priority="750">
      <formula>$U6="S"</formula>
    </cfRule>
  </conditionalFormatting>
  <dataValidations count="1">
    <dataValidation type="list" allowBlank="1" showInputMessage="1" showErrorMessage="1" sqref="K3" xr:uid="{10C838E8-B6BA-40E6-A219-F8F69E5AEA10}">
      <formula1>"E-MAIL, TELEFONE, WPP"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552CE6-4C9C-4E80-A32A-95B8B074D6B3}">
          <x14:formula1>
            <xm:f>Revendas!$D$6:$D$174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B352B-0D67-4F5C-9D40-AD714C6AF088}">
  <sheetPr filterMode="1">
    <tabColor rgb="FFC00000"/>
  </sheetPr>
  <dimension ref="B2:F175"/>
  <sheetViews>
    <sheetView showGridLines="0" zoomScale="85" zoomScaleNormal="85" workbookViewId="0">
      <selection activeCell="D9" sqref="D9:D117"/>
    </sheetView>
  </sheetViews>
  <sheetFormatPr defaultRowHeight="15" x14ac:dyDescent="0.25"/>
  <cols>
    <col min="1" max="2" width="2.85546875" customWidth="1"/>
    <col min="3" max="3" width="12.140625" bestFit="1" customWidth="1"/>
    <col min="4" max="4" width="67.7109375" bestFit="1" customWidth="1"/>
    <col min="5" max="5" width="63.140625" bestFit="1" customWidth="1"/>
    <col min="6" max="6" width="2.85546875" customWidth="1"/>
  </cols>
  <sheetData>
    <row r="2" spans="2:6" ht="26.25" x14ac:dyDescent="0.4">
      <c r="B2" s="53" t="s">
        <v>128</v>
      </c>
      <c r="C2" s="77"/>
      <c r="D2" s="77"/>
      <c r="E2" s="77"/>
      <c r="F2" s="77"/>
    </row>
    <row r="3" spans="2:6" x14ac:dyDescent="0.25">
      <c r="C3" s="70"/>
      <c r="D3" s="70"/>
      <c r="E3" s="70"/>
      <c r="F3" s="70"/>
    </row>
    <row r="4" spans="2:6" x14ac:dyDescent="0.25">
      <c r="B4" s="47"/>
      <c r="C4" s="48"/>
      <c r="D4" s="48"/>
      <c r="E4" s="48"/>
      <c r="F4" s="49"/>
    </row>
    <row r="5" spans="2:6" x14ac:dyDescent="0.25">
      <c r="B5" s="38"/>
      <c r="C5" s="44" t="s">
        <v>82</v>
      </c>
      <c r="D5" s="44" t="s">
        <v>135</v>
      </c>
      <c r="E5" s="44" t="s">
        <v>136</v>
      </c>
      <c r="F5" s="37"/>
    </row>
    <row r="6" spans="2:6" hidden="1" x14ac:dyDescent="0.25">
      <c r="B6" s="38"/>
      <c r="C6" s="30">
        <v>1014</v>
      </c>
      <c r="D6" s="31" t="s">
        <v>138</v>
      </c>
      <c r="E6" s="23" t="s">
        <v>91</v>
      </c>
      <c r="F6" s="37"/>
    </row>
    <row r="7" spans="2:6" hidden="1" x14ac:dyDescent="0.25">
      <c r="B7" s="38"/>
      <c r="C7" s="30">
        <v>1639</v>
      </c>
      <c r="D7" s="31" t="s">
        <v>139</v>
      </c>
      <c r="E7" s="23" t="s">
        <v>91</v>
      </c>
      <c r="F7" s="37"/>
    </row>
    <row r="8" spans="2:6" hidden="1" x14ac:dyDescent="0.25">
      <c r="B8" s="38"/>
      <c r="C8" s="30">
        <v>1332</v>
      </c>
      <c r="D8" s="31" t="s">
        <v>140</v>
      </c>
      <c r="E8" s="23" t="s">
        <v>91</v>
      </c>
      <c r="F8" s="37"/>
    </row>
    <row r="9" spans="2:6" x14ac:dyDescent="0.25">
      <c r="B9" s="38"/>
      <c r="C9" s="30">
        <v>80</v>
      </c>
      <c r="D9" s="31" t="s">
        <v>141</v>
      </c>
      <c r="E9" s="78" t="s">
        <v>119</v>
      </c>
      <c r="F9" s="37"/>
    </row>
    <row r="10" spans="2:6" hidden="1" x14ac:dyDescent="0.25">
      <c r="B10" s="38"/>
      <c r="C10" s="30">
        <v>461</v>
      </c>
      <c r="D10" s="31" t="s">
        <v>142</v>
      </c>
      <c r="E10" s="23" t="s">
        <v>91</v>
      </c>
      <c r="F10" s="37"/>
    </row>
    <row r="11" spans="2:6" hidden="1" x14ac:dyDescent="0.25">
      <c r="B11" s="38"/>
      <c r="C11" s="30">
        <v>1215</v>
      </c>
      <c r="D11" s="31" t="s">
        <v>143</v>
      </c>
      <c r="E11" s="23" t="s">
        <v>91</v>
      </c>
      <c r="F11" s="37"/>
    </row>
    <row r="12" spans="2:6" hidden="1" x14ac:dyDescent="0.25">
      <c r="B12" s="38"/>
      <c r="C12" s="30">
        <v>358</v>
      </c>
      <c r="D12" s="31" t="s">
        <v>144</v>
      </c>
      <c r="E12" s="23" t="s">
        <v>91</v>
      </c>
      <c r="F12" s="37"/>
    </row>
    <row r="13" spans="2:6" hidden="1" x14ac:dyDescent="0.25">
      <c r="B13" s="38"/>
      <c r="C13" s="30">
        <v>1313</v>
      </c>
      <c r="D13" s="31" t="s">
        <v>145</v>
      </c>
      <c r="E13" s="23" t="s">
        <v>91</v>
      </c>
      <c r="F13" s="37"/>
    </row>
    <row r="14" spans="2:6" hidden="1" x14ac:dyDescent="0.25">
      <c r="B14" s="38"/>
      <c r="C14" s="14">
        <v>1571</v>
      </c>
      <c r="D14" s="31" t="s">
        <v>146</v>
      </c>
      <c r="E14" s="23" t="s">
        <v>91</v>
      </c>
      <c r="F14" s="37"/>
    </row>
    <row r="15" spans="2:6" hidden="1" x14ac:dyDescent="0.25">
      <c r="B15" s="38"/>
      <c r="C15" s="30">
        <v>1558</v>
      </c>
      <c r="D15" s="31" t="s">
        <v>147</v>
      </c>
      <c r="E15" s="23" t="s">
        <v>91</v>
      </c>
      <c r="F15" s="37"/>
    </row>
    <row r="16" spans="2:6" hidden="1" x14ac:dyDescent="0.25">
      <c r="B16" s="38"/>
      <c r="C16" s="30">
        <v>894</v>
      </c>
      <c r="D16" s="31" t="s">
        <v>148</v>
      </c>
      <c r="E16" s="23" t="s">
        <v>91</v>
      </c>
      <c r="F16" s="37"/>
    </row>
    <row r="17" spans="2:6" hidden="1" x14ac:dyDescent="0.25">
      <c r="B17" s="38"/>
      <c r="C17" s="30">
        <v>1501</v>
      </c>
      <c r="D17" s="31" t="s">
        <v>149</v>
      </c>
      <c r="E17" s="23" t="s">
        <v>91</v>
      </c>
      <c r="F17" s="37"/>
    </row>
    <row r="18" spans="2:6" hidden="1" x14ac:dyDescent="0.25">
      <c r="B18" s="38"/>
      <c r="C18" s="30">
        <v>1183</v>
      </c>
      <c r="D18" s="31" t="s">
        <v>150</v>
      </c>
      <c r="E18" s="23" t="s">
        <v>91</v>
      </c>
      <c r="F18" s="37"/>
    </row>
    <row r="19" spans="2:6" hidden="1" x14ac:dyDescent="0.25">
      <c r="B19" s="38"/>
      <c r="C19" s="30">
        <v>1140</v>
      </c>
      <c r="D19" s="31" t="s">
        <v>151</v>
      </c>
      <c r="E19" s="23" t="s">
        <v>91</v>
      </c>
      <c r="F19" s="37"/>
    </row>
    <row r="20" spans="2:6" hidden="1" x14ac:dyDescent="0.25">
      <c r="B20" s="38"/>
      <c r="C20" s="30">
        <v>1144</v>
      </c>
      <c r="D20" s="31" t="s">
        <v>152</v>
      </c>
      <c r="E20" s="23" t="s">
        <v>91</v>
      </c>
      <c r="F20" s="37"/>
    </row>
    <row r="21" spans="2:6" hidden="1" x14ac:dyDescent="0.25">
      <c r="B21" s="38"/>
      <c r="C21" s="14">
        <v>1495</v>
      </c>
      <c r="D21" s="31" t="s">
        <v>153</v>
      </c>
      <c r="E21" s="23" t="s">
        <v>91</v>
      </c>
      <c r="F21" s="37"/>
    </row>
    <row r="22" spans="2:6" hidden="1" x14ac:dyDescent="0.25">
      <c r="B22" s="38"/>
      <c r="C22" s="30">
        <v>1627</v>
      </c>
      <c r="D22" s="31" t="s">
        <v>154</v>
      </c>
      <c r="E22" s="23" t="s">
        <v>91</v>
      </c>
      <c r="F22" s="37"/>
    </row>
    <row r="23" spans="2:6" hidden="1" x14ac:dyDescent="0.25">
      <c r="B23" s="38"/>
      <c r="C23" s="30">
        <v>1236</v>
      </c>
      <c r="D23" s="31" t="s">
        <v>155</v>
      </c>
      <c r="E23" s="23" t="s">
        <v>91</v>
      </c>
      <c r="F23" s="37"/>
    </row>
    <row r="24" spans="2:6" hidden="1" x14ac:dyDescent="0.25">
      <c r="B24" s="38"/>
      <c r="C24" s="30">
        <v>1227</v>
      </c>
      <c r="D24" s="31" t="s">
        <v>156</v>
      </c>
      <c r="E24" s="23" t="s">
        <v>91</v>
      </c>
      <c r="F24" s="37"/>
    </row>
    <row r="25" spans="2:6" hidden="1" x14ac:dyDescent="0.25">
      <c r="B25" s="38"/>
      <c r="C25" s="30">
        <v>670</v>
      </c>
      <c r="D25" s="31" t="s">
        <v>157</v>
      </c>
      <c r="E25" s="23" t="s">
        <v>91</v>
      </c>
      <c r="F25" s="37"/>
    </row>
    <row r="26" spans="2:6" hidden="1" x14ac:dyDescent="0.25">
      <c r="B26" s="38"/>
      <c r="C26" s="30">
        <v>1115</v>
      </c>
      <c r="D26" s="31" t="s">
        <v>158</v>
      </c>
      <c r="E26" s="23" t="s">
        <v>91</v>
      </c>
      <c r="F26" s="37"/>
    </row>
    <row r="27" spans="2:6" hidden="1" x14ac:dyDescent="0.25">
      <c r="B27" s="38"/>
      <c r="C27" s="30">
        <v>778</v>
      </c>
      <c r="D27" s="31" t="s">
        <v>159</v>
      </c>
      <c r="E27" s="23" t="s">
        <v>91</v>
      </c>
      <c r="F27" s="37"/>
    </row>
    <row r="28" spans="2:6" hidden="1" x14ac:dyDescent="0.25">
      <c r="B28" s="38"/>
      <c r="C28" s="30">
        <v>1111</v>
      </c>
      <c r="D28" s="31" t="s">
        <v>160</v>
      </c>
      <c r="E28" s="23" t="s">
        <v>91</v>
      </c>
      <c r="F28" s="37"/>
    </row>
    <row r="29" spans="2:6" hidden="1" x14ac:dyDescent="0.25">
      <c r="B29" s="38"/>
      <c r="C29" s="30">
        <v>596</v>
      </c>
      <c r="D29" s="31" t="s">
        <v>161</v>
      </c>
      <c r="E29" s="23" t="s">
        <v>91</v>
      </c>
      <c r="F29" s="37"/>
    </row>
    <row r="30" spans="2:6" hidden="1" x14ac:dyDescent="0.25">
      <c r="B30" s="38"/>
      <c r="C30" s="30">
        <v>1376</v>
      </c>
      <c r="D30" s="31" t="s">
        <v>162</v>
      </c>
      <c r="E30" s="23" t="s">
        <v>91</v>
      </c>
      <c r="F30" s="37"/>
    </row>
    <row r="31" spans="2:6" hidden="1" x14ac:dyDescent="0.25">
      <c r="B31" s="38"/>
      <c r="C31" s="30">
        <v>916</v>
      </c>
      <c r="D31" s="31" t="s">
        <v>163</v>
      </c>
      <c r="E31" s="23" t="s">
        <v>91</v>
      </c>
      <c r="F31" s="37"/>
    </row>
    <row r="32" spans="2:6" hidden="1" x14ac:dyDescent="0.25">
      <c r="B32" s="38"/>
      <c r="C32" s="30">
        <v>1100</v>
      </c>
      <c r="D32" s="31" t="s">
        <v>164</v>
      </c>
      <c r="E32" s="23" t="s">
        <v>91</v>
      </c>
      <c r="F32" s="37"/>
    </row>
    <row r="33" spans="2:6" hidden="1" x14ac:dyDescent="0.25">
      <c r="B33" s="38"/>
      <c r="C33" s="30">
        <v>1593</v>
      </c>
      <c r="D33" s="31" t="s">
        <v>165</v>
      </c>
      <c r="E33" s="23" t="s">
        <v>91</v>
      </c>
      <c r="F33" s="37"/>
    </row>
    <row r="34" spans="2:6" hidden="1" x14ac:dyDescent="0.25">
      <c r="B34" s="38"/>
      <c r="C34" s="30">
        <v>881</v>
      </c>
      <c r="D34" s="31" t="s">
        <v>166</v>
      </c>
      <c r="E34" s="23" t="s">
        <v>91</v>
      </c>
      <c r="F34" s="37"/>
    </row>
    <row r="35" spans="2:6" hidden="1" x14ac:dyDescent="0.25">
      <c r="B35" s="38"/>
      <c r="C35" s="30">
        <v>1233</v>
      </c>
      <c r="D35" s="31" t="s">
        <v>167</v>
      </c>
      <c r="E35" s="23" t="s">
        <v>91</v>
      </c>
      <c r="F35" s="37"/>
    </row>
    <row r="36" spans="2:6" hidden="1" x14ac:dyDescent="0.25">
      <c r="B36" s="38"/>
      <c r="C36" s="30">
        <v>1551</v>
      </c>
      <c r="D36" s="31" t="s">
        <v>168</v>
      </c>
      <c r="E36" s="23" t="s">
        <v>91</v>
      </c>
      <c r="F36" s="37"/>
    </row>
    <row r="37" spans="2:6" hidden="1" x14ac:dyDescent="0.25">
      <c r="B37" s="38"/>
      <c r="C37" s="30">
        <v>1117</v>
      </c>
      <c r="D37" s="31" t="s">
        <v>169</v>
      </c>
      <c r="E37" s="23" t="s">
        <v>91</v>
      </c>
      <c r="F37" s="37"/>
    </row>
    <row r="38" spans="2:6" hidden="1" x14ac:dyDescent="0.25">
      <c r="B38" s="38"/>
      <c r="C38" s="30">
        <v>1345</v>
      </c>
      <c r="D38" s="31" t="s">
        <v>170</v>
      </c>
      <c r="E38" s="23" t="s">
        <v>91</v>
      </c>
      <c r="F38" s="37"/>
    </row>
    <row r="39" spans="2:6" hidden="1" x14ac:dyDescent="0.25">
      <c r="B39" s="38"/>
      <c r="C39" s="30">
        <v>979</v>
      </c>
      <c r="D39" s="31" t="s">
        <v>171</v>
      </c>
      <c r="E39" s="23" t="s">
        <v>91</v>
      </c>
      <c r="F39" s="37"/>
    </row>
    <row r="40" spans="2:6" hidden="1" x14ac:dyDescent="0.25">
      <c r="B40" s="38"/>
      <c r="C40" s="30">
        <v>1567</v>
      </c>
      <c r="D40" s="31" t="s">
        <v>172</v>
      </c>
      <c r="E40" s="23" t="s">
        <v>91</v>
      </c>
      <c r="F40" s="37"/>
    </row>
    <row r="41" spans="2:6" hidden="1" x14ac:dyDescent="0.25">
      <c r="B41" s="38"/>
      <c r="C41" s="30">
        <v>1390</v>
      </c>
      <c r="D41" s="31" t="s">
        <v>173</v>
      </c>
      <c r="E41" s="23" t="s">
        <v>91</v>
      </c>
      <c r="F41" s="37"/>
    </row>
    <row r="42" spans="2:6" hidden="1" x14ac:dyDescent="0.25">
      <c r="B42" s="38"/>
      <c r="C42" s="30">
        <v>526</v>
      </c>
      <c r="D42" s="31" t="s">
        <v>174</v>
      </c>
      <c r="E42" s="23" t="s">
        <v>91</v>
      </c>
      <c r="F42" s="37"/>
    </row>
    <row r="43" spans="2:6" hidden="1" x14ac:dyDescent="0.25">
      <c r="B43" s="38"/>
      <c r="C43" s="30">
        <v>638</v>
      </c>
      <c r="D43" s="31" t="s">
        <v>175</v>
      </c>
      <c r="E43" s="23" t="s">
        <v>91</v>
      </c>
      <c r="F43" s="37"/>
    </row>
    <row r="44" spans="2:6" hidden="1" x14ac:dyDescent="0.25">
      <c r="B44" s="38"/>
      <c r="C44" s="30">
        <v>1211</v>
      </c>
      <c r="D44" s="31" t="s">
        <v>176</v>
      </c>
      <c r="E44" s="23" t="s">
        <v>91</v>
      </c>
      <c r="F44" s="37"/>
    </row>
    <row r="45" spans="2:6" hidden="1" x14ac:dyDescent="0.25">
      <c r="B45" s="38"/>
      <c r="C45" s="30">
        <v>1328</v>
      </c>
      <c r="D45" s="31" t="s">
        <v>177</v>
      </c>
      <c r="E45" s="23" t="s">
        <v>91</v>
      </c>
      <c r="F45" s="37"/>
    </row>
    <row r="46" spans="2:6" hidden="1" x14ac:dyDescent="0.25">
      <c r="B46" s="38"/>
      <c r="C46" s="30">
        <v>875</v>
      </c>
      <c r="D46" s="31" t="s">
        <v>178</v>
      </c>
      <c r="E46" s="23" t="s">
        <v>91</v>
      </c>
      <c r="F46" s="37"/>
    </row>
    <row r="47" spans="2:6" hidden="1" x14ac:dyDescent="0.25">
      <c r="B47" s="38"/>
      <c r="C47" s="30">
        <v>1066</v>
      </c>
      <c r="D47" s="31" t="s">
        <v>179</v>
      </c>
      <c r="E47" s="23" t="s">
        <v>91</v>
      </c>
      <c r="F47" s="37"/>
    </row>
    <row r="48" spans="2:6" hidden="1" x14ac:dyDescent="0.25">
      <c r="B48" s="38"/>
      <c r="C48" s="30">
        <v>1635</v>
      </c>
      <c r="D48" s="31" t="s">
        <v>180</v>
      </c>
      <c r="E48" s="23" t="s">
        <v>91</v>
      </c>
      <c r="F48" s="37"/>
    </row>
    <row r="49" spans="2:6" hidden="1" x14ac:dyDescent="0.25">
      <c r="B49" s="38"/>
      <c r="C49" s="30">
        <v>1290</v>
      </c>
      <c r="D49" s="31" t="s">
        <v>181</v>
      </c>
      <c r="E49" s="23" t="s">
        <v>91</v>
      </c>
      <c r="F49" s="37"/>
    </row>
    <row r="50" spans="2:6" hidden="1" x14ac:dyDescent="0.25">
      <c r="B50" s="38"/>
      <c r="C50" s="30">
        <v>1250</v>
      </c>
      <c r="D50" s="31" t="s">
        <v>182</v>
      </c>
      <c r="E50" s="23" t="s">
        <v>91</v>
      </c>
      <c r="F50" s="37"/>
    </row>
    <row r="51" spans="2:6" hidden="1" x14ac:dyDescent="0.25">
      <c r="B51" s="38"/>
      <c r="C51" s="30">
        <v>1588</v>
      </c>
      <c r="D51" s="31" t="s">
        <v>183</v>
      </c>
      <c r="E51" s="23" t="s">
        <v>91</v>
      </c>
      <c r="F51" s="37"/>
    </row>
    <row r="52" spans="2:6" hidden="1" x14ac:dyDescent="0.25">
      <c r="B52" s="38"/>
      <c r="C52" s="30">
        <v>73</v>
      </c>
      <c r="D52" s="31" t="s">
        <v>184</v>
      </c>
      <c r="E52" s="23" t="s">
        <v>91</v>
      </c>
      <c r="F52" s="37"/>
    </row>
    <row r="53" spans="2:6" hidden="1" x14ac:dyDescent="0.25">
      <c r="B53" s="38"/>
      <c r="C53" s="30">
        <v>1093</v>
      </c>
      <c r="D53" s="31" t="s">
        <v>185</v>
      </c>
      <c r="E53" s="23" t="s">
        <v>91</v>
      </c>
      <c r="F53" s="37"/>
    </row>
    <row r="54" spans="2:6" hidden="1" x14ac:dyDescent="0.25">
      <c r="B54" s="38"/>
      <c r="C54" s="30">
        <v>1196</v>
      </c>
      <c r="D54" s="31" t="s">
        <v>186</v>
      </c>
      <c r="E54" s="23" t="s">
        <v>91</v>
      </c>
      <c r="F54" s="37"/>
    </row>
    <row r="55" spans="2:6" hidden="1" x14ac:dyDescent="0.25">
      <c r="B55" s="38"/>
      <c r="C55" s="30">
        <v>1204</v>
      </c>
      <c r="D55" s="31" t="s">
        <v>187</v>
      </c>
      <c r="E55" s="23" t="s">
        <v>91</v>
      </c>
      <c r="F55" s="37"/>
    </row>
    <row r="56" spans="2:6" hidden="1" x14ac:dyDescent="0.25">
      <c r="B56" s="38"/>
      <c r="C56" s="30">
        <v>1356</v>
      </c>
      <c r="D56" s="31" t="s">
        <v>188</v>
      </c>
      <c r="E56" s="23" t="s">
        <v>91</v>
      </c>
      <c r="F56" s="37"/>
    </row>
    <row r="57" spans="2:6" hidden="1" x14ac:dyDescent="0.25">
      <c r="B57" s="38"/>
      <c r="C57" s="30">
        <v>1180</v>
      </c>
      <c r="D57" s="31" t="s">
        <v>189</v>
      </c>
      <c r="E57" s="23" t="s">
        <v>91</v>
      </c>
      <c r="F57" s="37"/>
    </row>
    <row r="58" spans="2:6" hidden="1" x14ac:dyDescent="0.25">
      <c r="B58" s="38"/>
      <c r="C58" s="30">
        <v>1281</v>
      </c>
      <c r="D58" s="31" t="s">
        <v>190</v>
      </c>
      <c r="E58" s="23" t="s">
        <v>91</v>
      </c>
      <c r="F58" s="37"/>
    </row>
    <row r="59" spans="2:6" hidden="1" x14ac:dyDescent="0.25">
      <c r="B59" s="38"/>
      <c r="C59" s="32">
        <v>1561</v>
      </c>
      <c r="D59" s="31" t="s">
        <v>191</v>
      </c>
      <c r="E59" s="23" t="s">
        <v>91</v>
      </c>
      <c r="F59" s="37"/>
    </row>
    <row r="60" spans="2:6" hidden="1" x14ac:dyDescent="0.25">
      <c r="B60" s="38"/>
      <c r="C60" s="30">
        <v>100</v>
      </c>
      <c r="D60" s="31" t="s">
        <v>192</v>
      </c>
      <c r="E60" s="23" t="s">
        <v>91</v>
      </c>
      <c r="F60" s="37"/>
    </row>
    <row r="61" spans="2:6" hidden="1" x14ac:dyDescent="0.25">
      <c r="B61" s="38"/>
      <c r="C61" s="30">
        <v>998</v>
      </c>
      <c r="D61" s="31" t="s">
        <v>193</v>
      </c>
      <c r="E61" s="23" t="s">
        <v>91</v>
      </c>
      <c r="F61" s="37"/>
    </row>
    <row r="62" spans="2:6" hidden="1" x14ac:dyDescent="0.25">
      <c r="B62" s="38"/>
      <c r="C62" s="30">
        <v>905</v>
      </c>
      <c r="D62" s="31" t="s">
        <v>194</v>
      </c>
      <c r="E62" s="23" t="s">
        <v>91</v>
      </c>
      <c r="F62" s="37"/>
    </row>
    <row r="63" spans="2:6" hidden="1" x14ac:dyDescent="0.25">
      <c r="B63" s="38"/>
      <c r="C63" s="30">
        <v>1419</v>
      </c>
      <c r="D63" s="31" t="s">
        <v>195</v>
      </c>
      <c r="E63" s="23" t="s">
        <v>91</v>
      </c>
      <c r="F63" s="37"/>
    </row>
    <row r="64" spans="2:6" hidden="1" x14ac:dyDescent="0.25">
      <c r="B64" s="38"/>
      <c r="C64" s="30">
        <v>1547</v>
      </c>
      <c r="D64" s="31" t="s">
        <v>196</v>
      </c>
      <c r="E64" s="23" t="s">
        <v>91</v>
      </c>
      <c r="F64" s="37"/>
    </row>
    <row r="65" spans="2:6" hidden="1" x14ac:dyDescent="0.25">
      <c r="B65" s="38"/>
      <c r="C65" s="30">
        <v>1371</v>
      </c>
      <c r="D65" s="31" t="s">
        <v>197</v>
      </c>
      <c r="E65" s="23" t="s">
        <v>91</v>
      </c>
      <c r="F65" s="37"/>
    </row>
    <row r="66" spans="2:6" hidden="1" x14ac:dyDescent="0.25">
      <c r="B66" s="38"/>
      <c r="C66" s="30">
        <v>914</v>
      </c>
      <c r="D66" s="31" t="s">
        <v>198</v>
      </c>
      <c r="E66" s="23" t="s">
        <v>91</v>
      </c>
      <c r="F66" s="37"/>
    </row>
    <row r="67" spans="2:6" hidden="1" x14ac:dyDescent="0.25">
      <c r="B67" s="38"/>
      <c r="C67" s="30">
        <v>1520</v>
      </c>
      <c r="D67" s="31" t="s">
        <v>199</v>
      </c>
      <c r="E67" s="23" t="s">
        <v>91</v>
      </c>
      <c r="F67" s="37"/>
    </row>
    <row r="68" spans="2:6" hidden="1" x14ac:dyDescent="0.25">
      <c r="B68" s="38"/>
      <c r="C68" s="30">
        <v>1400</v>
      </c>
      <c r="D68" s="31" t="s">
        <v>200</v>
      </c>
      <c r="E68" s="23" t="s">
        <v>91</v>
      </c>
      <c r="F68" s="37"/>
    </row>
    <row r="69" spans="2:6" hidden="1" x14ac:dyDescent="0.25">
      <c r="B69" s="38"/>
      <c r="C69" s="30">
        <v>323</v>
      </c>
      <c r="D69" s="31" t="s">
        <v>201</v>
      </c>
      <c r="E69" s="23" t="s">
        <v>91</v>
      </c>
      <c r="F69" s="37"/>
    </row>
    <row r="70" spans="2:6" hidden="1" x14ac:dyDescent="0.25">
      <c r="B70" s="38"/>
      <c r="C70" s="30">
        <v>1245</v>
      </c>
      <c r="D70" s="31" t="s">
        <v>202</v>
      </c>
      <c r="E70" s="23" t="s">
        <v>91</v>
      </c>
      <c r="F70" s="37"/>
    </row>
    <row r="71" spans="2:6" hidden="1" x14ac:dyDescent="0.25">
      <c r="B71" s="38"/>
      <c r="C71" s="30">
        <v>921</v>
      </c>
      <c r="D71" s="31" t="s">
        <v>203</v>
      </c>
      <c r="E71" s="23" t="s">
        <v>91</v>
      </c>
      <c r="F71" s="37"/>
    </row>
    <row r="72" spans="2:6" hidden="1" x14ac:dyDescent="0.25">
      <c r="B72" s="38"/>
      <c r="C72" s="30">
        <v>940</v>
      </c>
      <c r="D72" s="31" t="s">
        <v>204</v>
      </c>
      <c r="E72" s="23" t="s">
        <v>91</v>
      </c>
      <c r="F72" s="37"/>
    </row>
    <row r="73" spans="2:6" hidden="1" x14ac:dyDescent="0.25">
      <c r="B73" s="38"/>
      <c r="C73" s="30">
        <v>1584</v>
      </c>
      <c r="D73" s="31" t="s">
        <v>205</v>
      </c>
      <c r="E73" s="23" t="s">
        <v>91</v>
      </c>
      <c r="F73" s="37"/>
    </row>
    <row r="74" spans="2:6" hidden="1" x14ac:dyDescent="0.25">
      <c r="B74" s="38"/>
      <c r="C74" s="30">
        <v>36</v>
      </c>
      <c r="D74" s="31" t="s">
        <v>206</v>
      </c>
      <c r="E74" s="23" t="s">
        <v>91</v>
      </c>
      <c r="F74" s="37"/>
    </row>
    <row r="75" spans="2:6" hidden="1" x14ac:dyDescent="0.25">
      <c r="B75" s="38"/>
      <c r="C75" s="30">
        <v>1158</v>
      </c>
      <c r="D75" s="31" t="s">
        <v>207</v>
      </c>
      <c r="E75" s="23" t="s">
        <v>91</v>
      </c>
      <c r="F75" s="37"/>
    </row>
    <row r="76" spans="2:6" hidden="1" x14ac:dyDescent="0.25">
      <c r="B76" s="38"/>
      <c r="C76" s="30">
        <v>595</v>
      </c>
      <c r="D76" s="31" t="s">
        <v>208</v>
      </c>
      <c r="E76" s="23" t="s">
        <v>91</v>
      </c>
      <c r="F76" s="37"/>
    </row>
    <row r="77" spans="2:6" hidden="1" x14ac:dyDescent="0.25">
      <c r="B77" s="38"/>
      <c r="C77" s="30">
        <v>1344</v>
      </c>
      <c r="D77" s="31" t="s">
        <v>209</v>
      </c>
      <c r="E77" s="23" t="s">
        <v>91</v>
      </c>
      <c r="F77" s="37"/>
    </row>
    <row r="78" spans="2:6" hidden="1" x14ac:dyDescent="0.25">
      <c r="B78" s="38"/>
      <c r="C78" s="30">
        <v>1621</v>
      </c>
      <c r="D78" s="31" t="s">
        <v>210</v>
      </c>
      <c r="E78" s="23" t="s">
        <v>91</v>
      </c>
      <c r="F78" s="37"/>
    </row>
    <row r="79" spans="2:6" hidden="1" x14ac:dyDescent="0.25">
      <c r="B79" s="38"/>
      <c r="C79" s="30">
        <v>1513</v>
      </c>
      <c r="D79" s="31" t="s">
        <v>211</v>
      </c>
      <c r="E79" s="23" t="s">
        <v>91</v>
      </c>
      <c r="F79" s="37"/>
    </row>
    <row r="80" spans="2:6" hidden="1" x14ac:dyDescent="0.25">
      <c r="B80" s="38"/>
      <c r="C80" s="30">
        <v>1348</v>
      </c>
      <c r="D80" s="31" t="s">
        <v>212</v>
      </c>
      <c r="E80" s="23" t="s">
        <v>91</v>
      </c>
      <c r="F80" s="37"/>
    </row>
    <row r="81" spans="2:6" hidden="1" x14ac:dyDescent="0.25">
      <c r="B81" s="38"/>
      <c r="C81" s="30">
        <v>1410</v>
      </c>
      <c r="D81" s="31" t="s">
        <v>213</v>
      </c>
      <c r="E81" s="23" t="s">
        <v>91</v>
      </c>
      <c r="F81" s="37"/>
    </row>
    <row r="82" spans="2:6" hidden="1" x14ac:dyDescent="0.25">
      <c r="B82" s="38"/>
      <c r="C82" s="30">
        <v>943</v>
      </c>
      <c r="D82" s="31" t="s">
        <v>214</v>
      </c>
      <c r="E82" s="23" t="s">
        <v>91</v>
      </c>
      <c r="F82" s="37"/>
    </row>
    <row r="83" spans="2:6" hidden="1" x14ac:dyDescent="0.25">
      <c r="B83" s="38"/>
      <c r="C83" s="30">
        <v>1550</v>
      </c>
      <c r="D83" s="31" t="s">
        <v>215</v>
      </c>
      <c r="E83" s="23" t="s">
        <v>91</v>
      </c>
      <c r="F83" s="37"/>
    </row>
    <row r="84" spans="2:6" hidden="1" x14ac:dyDescent="0.25">
      <c r="B84" s="38"/>
      <c r="C84" s="30">
        <v>1240</v>
      </c>
      <c r="D84" s="31" t="s">
        <v>216</v>
      </c>
      <c r="E84" s="23" t="s">
        <v>91</v>
      </c>
      <c r="F84" s="37"/>
    </row>
    <row r="85" spans="2:6" hidden="1" x14ac:dyDescent="0.25">
      <c r="B85" s="38"/>
      <c r="C85" s="30">
        <v>871</v>
      </c>
      <c r="D85" s="31" t="s">
        <v>217</v>
      </c>
      <c r="E85" s="23" t="s">
        <v>91</v>
      </c>
      <c r="F85" s="37"/>
    </row>
    <row r="86" spans="2:6" hidden="1" x14ac:dyDescent="0.25">
      <c r="B86" s="38"/>
      <c r="C86" s="30">
        <v>1315</v>
      </c>
      <c r="D86" s="31" t="s">
        <v>218</v>
      </c>
      <c r="E86" s="23" t="s">
        <v>91</v>
      </c>
      <c r="F86" s="37"/>
    </row>
    <row r="87" spans="2:6" hidden="1" x14ac:dyDescent="0.25">
      <c r="B87" s="38"/>
      <c r="C87" s="30">
        <v>1508</v>
      </c>
      <c r="D87" s="31" t="s">
        <v>219</v>
      </c>
      <c r="E87" s="23" t="s">
        <v>91</v>
      </c>
      <c r="F87" s="37"/>
    </row>
    <row r="88" spans="2:6" hidden="1" x14ac:dyDescent="0.25">
      <c r="B88" s="38"/>
      <c r="C88" s="30">
        <v>851</v>
      </c>
      <c r="D88" s="31" t="s">
        <v>220</v>
      </c>
      <c r="E88" s="23" t="s">
        <v>91</v>
      </c>
      <c r="F88" s="37"/>
    </row>
    <row r="89" spans="2:6" hidden="1" x14ac:dyDescent="0.25">
      <c r="B89" s="38"/>
      <c r="C89" s="30">
        <v>1577</v>
      </c>
      <c r="D89" s="31" t="s">
        <v>221</v>
      </c>
      <c r="E89" s="23" t="s">
        <v>91</v>
      </c>
      <c r="F89" s="37"/>
    </row>
    <row r="90" spans="2:6" x14ac:dyDescent="0.25">
      <c r="B90" s="38"/>
      <c r="C90" s="30">
        <v>1572</v>
      </c>
      <c r="D90" s="31" t="s">
        <v>222</v>
      </c>
      <c r="E90" s="78" t="s">
        <v>119</v>
      </c>
      <c r="F90" s="37"/>
    </row>
    <row r="91" spans="2:6" hidden="1" x14ac:dyDescent="0.25">
      <c r="B91" s="38"/>
      <c r="C91" s="30">
        <v>1333</v>
      </c>
      <c r="D91" s="31" t="s">
        <v>223</v>
      </c>
      <c r="E91" s="23" t="s">
        <v>91</v>
      </c>
      <c r="F91" s="37"/>
    </row>
    <row r="92" spans="2:6" hidden="1" x14ac:dyDescent="0.25">
      <c r="B92" s="38"/>
      <c r="C92" s="30">
        <v>997</v>
      </c>
      <c r="D92" s="31" t="s">
        <v>224</v>
      </c>
      <c r="E92" s="23" t="s">
        <v>91</v>
      </c>
      <c r="F92" s="37"/>
    </row>
    <row r="93" spans="2:6" hidden="1" x14ac:dyDescent="0.25">
      <c r="B93" s="38"/>
      <c r="C93" s="30">
        <v>1275</v>
      </c>
      <c r="D93" s="31" t="s">
        <v>225</v>
      </c>
      <c r="E93" s="23" t="s">
        <v>91</v>
      </c>
      <c r="F93" s="37"/>
    </row>
    <row r="94" spans="2:6" hidden="1" x14ac:dyDescent="0.25">
      <c r="B94" s="38"/>
      <c r="C94" s="30">
        <v>68</v>
      </c>
      <c r="D94" s="31" t="s">
        <v>226</v>
      </c>
      <c r="E94" s="23" t="s">
        <v>91</v>
      </c>
      <c r="F94" s="37"/>
    </row>
    <row r="95" spans="2:6" hidden="1" x14ac:dyDescent="0.25">
      <c r="B95" s="38"/>
      <c r="C95" s="30">
        <v>1099</v>
      </c>
      <c r="D95" s="31" t="s">
        <v>227</v>
      </c>
      <c r="E95" s="23" t="s">
        <v>91</v>
      </c>
      <c r="F95" s="37"/>
    </row>
    <row r="96" spans="2:6" hidden="1" x14ac:dyDescent="0.25">
      <c r="B96" s="38"/>
      <c r="C96" s="30">
        <v>915</v>
      </c>
      <c r="D96" s="31" t="s">
        <v>228</v>
      </c>
      <c r="E96" s="23" t="s">
        <v>91</v>
      </c>
      <c r="F96" s="37"/>
    </row>
    <row r="97" spans="2:6" hidden="1" x14ac:dyDescent="0.25">
      <c r="B97" s="38"/>
      <c r="C97" s="30">
        <v>1622</v>
      </c>
      <c r="D97" s="31" t="s">
        <v>229</v>
      </c>
      <c r="E97" s="23" t="s">
        <v>91</v>
      </c>
      <c r="F97" s="37"/>
    </row>
    <row r="98" spans="2:6" hidden="1" x14ac:dyDescent="0.25">
      <c r="B98" s="38"/>
      <c r="C98" s="30">
        <v>1369</v>
      </c>
      <c r="D98" s="31" t="s">
        <v>230</v>
      </c>
      <c r="E98" s="23" t="s">
        <v>91</v>
      </c>
      <c r="F98" s="37"/>
    </row>
    <row r="99" spans="2:6" hidden="1" x14ac:dyDescent="0.25">
      <c r="B99" s="38"/>
      <c r="C99" s="30">
        <v>1425</v>
      </c>
      <c r="D99" s="31" t="s">
        <v>231</v>
      </c>
      <c r="E99" s="23" t="s">
        <v>91</v>
      </c>
      <c r="F99" s="37"/>
    </row>
    <row r="100" spans="2:6" hidden="1" x14ac:dyDescent="0.25">
      <c r="B100" s="38"/>
      <c r="C100" s="30">
        <v>919</v>
      </c>
      <c r="D100" s="31" t="s">
        <v>232</v>
      </c>
      <c r="E100" s="23" t="s">
        <v>91</v>
      </c>
      <c r="F100" s="37"/>
    </row>
    <row r="101" spans="2:6" hidden="1" x14ac:dyDescent="0.25">
      <c r="B101" s="38"/>
      <c r="C101" s="30">
        <v>1587</v>
      </c>
      <c r="D101" s="31" t="s">
        <v>233</v>
      </c>
      <c r="E101" s="23" t="s">
        <v>91</v>
      </c>
      <c r="F101" s="37"/>
    </row>
    <row r="102" spans="2:6" hidden="1" x14ac:dyDescent="0.25">
      <c r="B102" s="38"/>
      <c r="C102" s="30">
        <v>1201</v>
      </c>
      <c r="D102" s="31" t="s">
        <v>234</v>
      </c>
      <c r="E102" s="23" t="s">
        <v>91</v>
      </c>
      <c r="F102" s="37"/>
    </row>
    <row r="103" spans="2:6" hidden="1" x14ac:dyDescent="0.25">
      <c r="B103" s="38"/>
      <c r="C103" s="30">
        <v>1138</v>
      </c>
      <c r="D103" s="31" t="s">
        <v>235</v>
      </c>
      <c r="E103" s="23" t="s">
        <v>91</v>
      </c>
      <c r="F103" s="37"/>
    </row>
    <row r="104" spans="2:6" hidden="1" x14ac:dyDescent="0.25">
      <c r="B104" s="38"/>
      <c r="C104" s="30">
        <v>868</v>
      </c>
      <c r="D104" s="31" t="s">
        <v>236</v>
      </c>
      <c r="E104" s="23" t="s">
        <v>91</v>
      </c>
      <c r="F104" s="37"/>
    </row>
    <row r="105" spans="2:6" x14ac:dyDescent="0.25">
      <c r="B105" s="38"/>
      <c r="C105" s="30">
        <v>60</v>
      </c>
      <c r="D105" s="31" t="s">
        <v>237</v>
      </c>
      <c r="E105" s="78" t="s">
        <v>119</v>
      </c>
      <c r="F105" s="37"/>
    </row>
    <row r="106" spans="2:6" hidden="1" x14ac:dyDescent="0.25">
      <c r="B106" s="38"/>
      <c r="C106" s="30">
        <v>954</v>
      </c>
      <c r="D106" s="31" t="s">
        <v>238</v>
      </c>
      <c r="E106" s="23" t="s">
        <v>91</v>
      </c>
      <c r="F106" s="37"/>
    </row>
    <row r="107" spans="2:6" hidden="1" x14ac:dyDescent="0.25">
      <c r="B107" s="38"/>
      <c r="C107" s="30">
        <v>1606</v>
      </c>
      <c r="D107" s="31" t="s">
        <v>239</v>
      </c>
      <c r="E107" s="23" t="s">
        <v>91</v>
      </c>
      <c r="F107" s="37"/>
    </row>
    <row r="108" spans="2:6" hidden="1" x14ac:dyDescent="0.25">
      <c r="B108" s="38"/>
      <c r="C108" s="30">
        <v>980</v>
      </c>
      <c r="D108" s="31" t="s">
        <v>240</v>
      </c>
      <c r="E108" s="23" t="s">
        <v>91</v>
      </c>
      <c r="F108" s="37"/>
    </row>
    <row r="109" spans="2:6" hidden="1" x14ac:dyDescent="0.25">
      <c r="B109" s="38"/>
      <c r="C109" s="30">
        <v>1304</v>
      </c>
      <c r="D109" s="31" t="s">
        <v>241</v>
      </c>
      <c r="E109" s="23" t="s">
        <v>91</v>
      </c>
      <c r="F109" s="37"/>
    </row>
    <row r="110" spans="2:6" hidden="1" x14ac:dyDescent="0.25">
      <c r="B110" s="38"/>
      <c r="C110" s="30">
        <v>1339</v>
      </c>
      <c r="D110" s="31" t="s">
        <v>242</v>
      </c>
      <c r="E110" s="23" t="s">
        <v>91</v>
      </c>
      <c r="F110" s="37"/>
    </row>
    <row r="111" spans="2:6" hidden="1" x14ac:dyDescent="0.25">
      <c r="B111" s="38"/>
      <c r="C111" s="30">
        <v>1590</v>
      </c>
      <c r="D111" s="31" t="s">
        <v>243</v>
      </c>
      <c r="E111" s="23" t="s">
        <v>91</v>
      </c>
      <c r="F111" s="37"/>
    </row>
    <row r="112" spans="2:6" hidden="1" x14ac:dyDescent="0.25">
      <c r="B112" s="38"/>
      <c r="C112" s="30">
        <v>14</v>
      </c>
      <c r="D112" s="31" t="s">
        <v>244</v>
      </c>
      <c r="E112" s="23" t="s">
        <v>91</v>
      </c>
      <c r="F112" s="37"/>
    </row>
    <row r="113" spans="2:6" x14ac:dyDescent="0.25">
      <c r="B113" s="38"/>
      <c r="C113" s="30">
        <v>1161</v>
      </c>
      <c r="D113" s="31" t="s">
        <v>245</v>
      </c>
      <c r="E113" s="78" t="s">
        <v>119</v>
      </c>
      <c r="F113" s="37"/>
    </row>
    <row r="114" spans="2:6" hidden="1" x14ac:dyDescent="0.25">
      <c r="B114" s="38"/>
      <c r="C114" s="30">
        <v>1131</v>
      </c>
      <c r="D114" s="31" t="s">
        <v>246</v>
      </c>
      <c r="E114" s="23" t="s">
        <v>91</v>
      </c>
      <c r="F114" s="37"/>
    </row>
    <row r="115" spans="2:6" hidden="1" x14ac:dyDescent="0.25">
      <c r="B115" s="38"/>
      <c r="C115" s="30">
        <v>1205</v>
      </c>
      <c r="D115" s="31" t="s">
        <v>247</v>
      </c>
      <c r="E115" s="23" t="s">
        <v>91</v>
      </c>
      <c r="F115" s="37"/>
    </row>
    <row r="116" spans="2:6" hidden="1" x14ac:dyDescent="0.25">
      <c r="B116" s="38"/>
      <c r="C116" s="30">
        <v>1239</v>
      </c>
      <c r="D116" s="31" t="s">
        <v>248</v>
      </c>
      <c r="E116" s="23" t="s">
        <v>91</v>
      </c>
      <c r="F116" s="37"/>
    </row>
    <row r="117" spans="2:6" x14ac:dyDescent="0.25">
      <c r="B117" s="38"/>
      <c r="C117" s="30">
        <v>1031</v>
      </c>
      <c r="D117" s="31" t="s">
        <v>249</v>
      </c>
      <c r="E117" s="78" t="s">
        <v>119</v>
      </c>
      <c r="F117" s="37"/>
    </row>
    <row r="118" spans="2:6" hidden="1" x14ac:dyDescent="0.25">
      <c r="B118" s="38"/>
      <c r="C118" s="30">
        <v>1177</v>
      </c>
      <c r="D118" s="31" t="s">
        <v>250</v>
      </c>
      <c r="E118" s="23" t="s">
        <v>91</v>
      </c>
      <c r="F118" s="37"/>
    </row>
    <row r="119" spans="2:6" hidden="1" x14ac:dyDescent="0.25">
      <c r="B119" s="38"/>
      <c r="C119" s="30">
        <v>1012</v>
      </c>
      <c r="D119" s="31" t="s">
        <v>251</v>
      </c>
      <c r="E119" s="23" t="s">
        <v>91</v>
      </c>
      <c r="F119" s="37"/>
    </row>
    <row r="120" spans="2:6" hidden="1" x14ac:dyDescent="0.25">
      <c r="B120" s="38"/>
      <c r="C120" s="30">
        <v>33</v>
      </c>
      <c r="D120" s="31" t="s">
        <v>252</v>
      </c>
      <c r="E120" s="23" t="s">
        <v>91</v>
      </c>
      <c r="F120" s="37"/>
    </row>
    <row r="121" spans="2:6" hidden="1" x14ac:dyDescent="0.25">
      <c r="B121" s="38"/>
      <c r="C121" s="30">
        <v>953</v>
      </c>
      <c r="D121" s="31" t="s">
        <v>253</v>
      </c>
      <c r="E121" s="23" t="s">
        <v>91</v>
      </c>
      <c r="F121" s="37"/>
    </row>
    <row r="122" spans="2:6" hidden="1" x14ac:dyDescent="0.25">
      <c r="B122" s="38"/>
      <c r="C122" s="30">
        <v>1556</v>
      </c>
      <c r="D122" s="31" t="s">
        <v>254</v>
      </c>
      <c r="E122" s="23" t="s">
        <v>91</v>
      </c>
      <c r="F122" s="37"/>
    </row>
    <row r="123" spans="2:6" hidden="1" x14ac:dyDescent="0.25">
      <c r="B123" s="38"/>
      <c r="C123" s="30">
        <v>1366</v>
      </c>
      <c r="D123" s="31" t="s">
        <v>255</v>
      </c>
      <c r="E123" s="23" t="s">
        <v>91</v>
      </c>
      <c r="F123" s="37"/>
    </row>
    <row r="124" spans="2:6" hidden="1" x14ac:dyDescent="0.25">
      <c r="B124" s="38"/>
      <c r="C124" s="30">
        <v>1499</v>
      </c>
      <c r="D124" s="31" t="s">
        <v>256</v>
      </c>
      <c r="E124" s="23" t="s">
        <v>91</v>
      </c>
      <c r="F124" s="37"/>
    </row>
    <row r="125" spans="2:6" hidden="1" x14ac:dyDescent="0.25">
      <c r="B125" s="38"/>
      <c r="C125" s="30">
        <v>977</v>
      </c>
      <c r="D125" s="31" t="s">
        <v>257</v>
      </c>
      <c r="E125" s="23" t="s">
        <v>91</v>
      </c>
      <c r="F125" s="37"/>
    </row>
    <row r="126" spans="2:6" hidden="1" x14ac:dyDescent="0.25">
      <c r="B126" s="38"/>
      <c r="C126" s="30">
        <v>1581</v>
      </c>
      <c r="D126" s="31" t="s">
        <v>258</v>
      </c>
      <c r="E126" s="23" t="s">
        <v>91</v>
      </c>
      <c r="F126" s="37"/>
    </row>
    <row r="127" spans="2:6" hidden="1" x14ac:dyDescent="0.25">
      <c r="B127" s="38"/>
      <c r="C127" s="30">
        <v>1278</v>
      </c>
      <c r="D127" s="31" t="s">
        <v>259</v>
      </c>
      <c r="E127" s="23" t="s">
        <v>91</v>
      </c>
      <c r="F127" s="37"/>
    </row>
    <row r="128" spans="2:6" hidden="1" x14ac:dyDescent="0.25">
      <c r="B128" s="38"/>
      <c r="C128" s="30">
        <v>1359</v>
      </c>
      <c r="D128" s="31" t="s">
        <v>260</v>
      </c>
      <c r="E128" s="23" t="s">
        <v>91</v>
      </c>
      <c r="F128" s="37"/>
    </row>
    <row r="129" spans="2:6" hidden="1" x14ac:dyDescent="0.25">
      <c r="B129" s="38"/>
      <c r="C129" s="30">
        <v>1479</v>
      </c>
      <c r="D129" s="31" t="s">
        <v>261</v>
      </c>
      <c r="E129" s="23" t="s">
        <v>91</v>
      </c>
      <c r="F129" s="37"/>
    </row>
    <row r="130" spans="2:6" hidden="1" x14ac:dyDescent="0.25">
      <c r="B130" s="38"/>
      <c r="C130" s="30">
        <v>611</v>
      </c>
      <c r="D130" s="31" t="s">
        <v>262</v>
      </c>
      <c r="E130" s="23" t="s">
        <v>91</v>
      </c>
      <c r="F130" s="37"/>
    </row>
    <row r="131" spans="2:6" hidden="1" x14ac:dyDescent="0.25">
      <c r="B131" s="38"/>
      <c r="C131" s="30">
        <v>1262</v>
      </c>
      <c r="D131" s="31" t="s">
        <v>263</v>
      </c>
      <c r="E131" s="23" t="s">
        <v>91</v>
      </c>
      <c r="F131" s="37"/>
    </row>
    <row r="132" spans="2:6" hidden="1" x14ac:dyDescent="0.25">
      <c r="B132" s="38"/>
      <c r="C132" s="30">
        <v>1607</v>
      </c>
      <c r="D132" s="31" t="s">
        <v>264</v>
      </c>
      <c r="E132" s="23" t="s">
        <v>91</v>
      </c>
      <c r="F132" s="37"/>
    </row>
    <row r="133" spans="2:6" hidden="1" x14ac:dyDescent="0.25">
      <c r="B133" s="38"/>
      <c r="C133" s="30">
        <v>1268</v>
      </c>
      <c r="D133" s="31" t="s">
        <v>265</v>
      </c>
      <c r="E133" s="23" t="s">
        <v>91</v>
      </c>
      <c r="F133" s="37"/>
    </row>
    <row r="134" spans="2:6" hidden="1" x14ac:dyDescent="0.25">
      <c r="B134" s="38"/>
      <c r="C134" s="30">
        <v>1023</v>
      </c>
      <c r="D134" s="31" t="s">
        <v>266</v>
      </c>
      <c r="E134" s="23" t="s">
        <v>91</v>
      </c>
      <c r="F134" s="37"/>
    </row>
    <row r="135" spans="2:6" hidden="1" x14ac:dyDescent="0.25">
      <c r="B135" s="38"/>
      <c r="C135" s="30">
        <v>1061</v>
      </c>
      <c r="D135" s="31" t="s">
        <v>267</v>
      </c>
      <c r="E135" s="23" t="s">
        <v>91</v>
      </c>
      <c r="F135" s="37"/>
    </row>
    <row r="136" spans="2:6" hidden="1" x14ac:dyDescent="0.25">
      <c r="B136" s="38"/>
      <c r="C136" s="30">
        <v>1514</v>
      </c>
      <c r="D136" s="31" t="s">
        <v>268</v>
      </c>
      <c r="E136" s="23" t="s">
        <v>91</v>
      </c>
      <c r="F136" s="37"/>
    </row>
    <row r="137" spans="2:6" hidden="1" x14ac:dyDescent="0.25">
      <c r="B137" s="38"/>
      <c r="C137" s="30">
        <v>1562</v>
      </c>
      <c r="D137" s="31" t="s">
        <v>269</v>
      </c>
      <c r="E137" s="23" t="s">
        <v>91</v>
      </c>
      <c r="F137" s="37"/>
    </row>
    <row r="138" spans="2:6" hidden="1" x14ac:dyDescent="0.25">
      <c r="B138" s="38"/>
      <c r="C138" s="30">
        <v>1453</v>
      </c>
      <c r="D138" s="31" t="s">
        <v>270</v>
      </c>
      <c r="E138" s="23" t="s">
        <v>91</v>
      </c>
      <c r="F138" s="37"/>
    </row>
    <row r="139" spans="2:6" hidden="1" x14ac:dyDescent="0.25">
      <c r="B139" s="38"/>
      <c r="C139" s="30">
        <v>1050</v>
      </c>
      <c r="D139" s="31" t="s">
        <v>271</v>
      </c>
      <c r="E139" s="23" t="s">
        <v>91</v>
      </c>
      <c r="F139" s="37"/>
    </row>
    <row r="140" spans="2:6" hidden="1" x14ac:dyDescent="0.25">
      <c r="B140" s="38"/>
      <c r="C140" s="30">
        <v>19</v>
      </c>
      <c r="D140" s="31" t="s">
        <v>272</v>
      </c>
      <c r="E140" s="23" t="s">
        <v>91</v>
      </c>
      <c r="F140" s="37"/>
    </row>
    <row r="141" spans="2:6" hidden="1" x14ac:dyDescent="0.25">
      <c r="B141" s="38"/>
      <c r="C141" s="30">
        <v>1399</v>
      </c>
      <c r="D141" s="31" t="s">
        <v>273</v>
      </c>
      <c r="E141" s="23" t="s">
        <v>91</v>
      </c>
      <c r="F141" s="37"/>
    </row>
    <row r="142" spans="2:6" hidden="1" x14ac:dyDescent="0.25">
      <c r="B142" s="38"/>
      <c r="C142" s="30">
        <v>90</v>
      </c>
      <c r="D142" s="31" t="s">
        <v>274</v>
      </c>
      <c r="E142" s="23" t="s">
        <v>91</v>
      </c>
      <c r="F142" s="37"/>
    </row>
    <row r="143" spans="2:6" hidden="1" x14ac:dyDescent="0.25">
      <c r="B143" s="38"/>
      <c r="C143" s="30">
        <v>1530</v>
      </c>
      <c r="D143" s="31" t="s">
        <v>275</v>
      </c>
      <c r="E143" s="23" t="s">
        <v>91</v>
      </c>
      <c r="F143" s="37"/>
    </row>
    <row r="144" spans="2:6" hidden="1" x14ac:dyDescent="0.25">
      <c r="B144" s="38"/>
      <c r="C144" s="30">
        <v>1114</v>
      </c>
      <c r="D144" s="31" t="s">
        <v>276</v>
      </c>
      <c r="E144" s="23" t="s">
        <v>91</v>
      </c>
      <c r="F144" s="37"/>
    </row>
    <row r="145" spans="2:6" hidden="1" x14ac:dyDescent="0.25">
      <c r="B145" s="38"/>
      <c r="C145" s="30">
        <v>1638</v>
      </c>
      <c r="D145" s="31" t="s">
        <v>277</v>
      </c>
      <c r="E145" s="23" t="s">
        <v>91</v>
      </c>
      <c r="F145" s="37"/>
    </row>
    <row r="146" spans="2:6" hidden="1" x14ac:dyDescent="0.25">
      <c r="B146" s="38"/>
      <c r="C146" s="30">
        <v>1484</v>
      </c>
      <c r="D146" s="31" t="s">
        <v>278</v>
      </c>
      <c r="E146" s="23" t="s">
        <v>91</v>
      </c>
      <c r="F146" s="37"/>
    </row>
    <row r="147" spans="2:6" hidden="1" x14ac:dyDescent="0.25">
      <c r="B147" s="38"/>
      <c r="C147" s="30">
        <v>1209</v>
      </c>
      <c r="D147" s="31" t="s">
        <v>279</v>
      </c>
      <c r="E147" s="23" t="s">
        <v>91</v>
      </c>
      <c r="F147" s="37"/>
    </row>
    <row r="148" spans="2:6" hidden="1" x14ac:dyDescent="0.25">
      <c r="B148" s="38"/>
      <c r="C148" s="30">
        <v>1470</v>
      </c>
      <c r="D148" s="31" t="s">
        <v>280</v>
      </c>
      <c r="E148" s="23" t="s">
        <v>91</v>
      </c>
      <c r="F148" s="37"/>
    </row>
    <row r="149" spans="2:6" hidden="1" x14ac:dyDescent="0.25">
      <c r="B149" s="38"/>
      <c r="C149" s="30">
        <v>1384</v>
      </c>
      <c r="D149" s="31" t="s">
        <v>281</v>
      </c>
      <c r="E149" s="23" t="s">
        <v>91</v>
      </c>
      <c r="F149" s="37"/>
    </row>
    <row r="150" spans="2:6" hidden="1" x14ac:dyDescent="0.25">
      <c r="B150" s="38"/>
      <c r="C150" s="30">
        <v>1148</v>
      </c>
      <c r="D150" s="31" t="s">
        <v>282</v>
      </c>
      <c r="E150" s="23" t="s">
        <v>91</v>
      </c>
      <c r="F150" s="37"/>
    </row>
    <row r="151" spans="2:6" hidden="1" x14ac:dyDescent="0.25">
      <c r="B151" s="38"/>
      <c r="C151" s="30">
        <v>263</v>
      </c>
      <c r="D151" s="31" t="s">
        <v>283</v>
      </c>
      <c r="E151" s="23" t="s">
        <v>91</v>
      </c>
      <c r="F151" s="37"/>
    </row>
    <row r="152" spans="2:6" hidden="1" x14ac:dyDescent="0.25">
      <c r="B152" s="38"/>
      <c r="C152" s="30">
        <v>1028</v>
      </c>
      <c r="D152" s="31" t="s">
        <v>284</v>
      </c>
      <c r="E152" s="23" t="s">
        <v>91</v>
      </c>
      <c r="F152" s="37"/>
    </row>
    <row r="153" spans="2:6" hidden="1" x14ac:dyDescent="0.25">
      <c r="B153" s="38"/>
      <c r="C153" s="30">
        <v>1318</v>
      </c>
      <c r="D153" s="31" t="s">
        <v>285</v>
      </c>
      <c r="E153" s="23" t="s">
        <v>91</v>
      </c>
      <c r="F153" s="37"/>
    </row>
    <row r="154" spans="2:6" hidden="1" x14ac:dyDescent="0.25">
      <c r="B154" s="38"/>
      <c r="C154" s="30">
        <v>1108</v>
      </c>
      <c r="D154" s="31" t="s">
        <v>286</v>
      </c>
      <c r="E154" s="23" t="s">
        <v>91</v>
      </c>
      <c r="F154" s="37"/>
    </row>
    <row r="155" spans="2:6" hidden="1" x14ac:dyDescent="0.25">
      <c r="B155" s="38"/>
      <c r="C155" s="30">
        <v>1531</v>
      </c>
      <c r="D155" s="31" t="s">
        <v>287</v>
      </c>
      <c r="E155" s="23" t="s">
        <v>91</v>
      </c>
      <c r="F155" s="37"/>
    </row>
    <row r="156" spans="2:6" hidden="1" x14ac:dyDescent="0.25">
      <c r="B156" s="38"/>
      <c r="C156" s="30">
        <v>1353</v>
      </c>
      <c r="D156" s="31" t="s">
        <v>288</v>
      </c>
      <c r="E156" s="23" t="s">
        <v>91</v>
      </c>
      <c r="F156" s="37"/>
    </row>
    <row r="157" spans="2:6" hidden="1" x14ac:dyDescent="0.25">
      <c r="B157" s="38"/>
      <c r="C157" s="30">
        <v>849</v>
      </c>
      <c r="D157" s="31" t="s">
        <v>289</v>
      </c>
      <c r="E157" s="23" t="s">
        <v>91</v>
      </c>
      <c r="F157" s="37"/>
    </row>
    <row r="158" spans="2:6" hidden="1" x14ac:dyDescent="0.25">
      <c r="B158" s="38"/>
      <c r="C158" s="30">
        <v>531</v>
      </c>
      <c r="D158" s="31" t="s">
        <v>306</v>
      </c>
      <c r="E158" s="23" t="s">
        <v>91</v>
      </c>
      <c r="F158" s="37"/>
    </row>
    <row r="159" spans="2:6" hidden="1" x14ac:dyDescent="0.25">
      <c r="B159" s="38"/>
      <c r="C159" s="30">
        <v>35</v>
      </c>
      <c r="D159" s="31" t="s">
        <v>290</v>
      </c>
      <c r="E159" s="23" t="s">
        <v>91</v>
      </c>
      <c r="F159" s="37"/>
    </row>
    <row r="160" spans="2:6" hidden="1" x14ac:dyDescent="0.25">
      <c r="B160" s="38"/>
      <c r="C160" s="30">
        <v>1549</v>
      </c>
      <c r="D160" s="31" t="s">
        <v>291</v>
      </c>
      <c r="E160" s="23" t="s">
        <v>91</v>
      </c>
      <c r="F160" s="37"/>
    </row>
    <row r="161" spans="2:6" hidden="1" x14ac:dyDescent="0.25">
      <c r="B161" s="38"/>
      <c r="C161" s="30">
        <v>1022</v>
      </c>
      <c r="D161" s="31" t="s">
        <v>292</v>
      </c>
      <c r="E161" s="23" t="s">
        <v>91</v>
      </c>
      <c r="F161" s="37"/>
    </row>
    <row r="162" spans="2:6" hidden="1" x14ac:dyDescent="0.25">
      <c r="B162" s="38"/>
      <c r="C162" s="30">
        <v>885</v>
      </c>
      <c r="D162" s="31" t="s">
        <v>293</v>
      </c>
      <c r="E162" s="23" t="s">
        <v>91</v>
      </c>
      <c r="F162" s="37"/>
    </row>
    <row r="163" spans="2:6" hidden="1" x14ac:dyDescent="0.25">
      <c r="B163" s="38"/>
      <c r="C163" s="30">
        <v>53</v>
      </c>
      <c r="D163" s="31" t="s">
        <v>294</v>
      </c>
      <c r="E163" s="23" t="s">
        <v>91</v>
      </c>
      <c r="F163" s="37"/>
    </row>
    <row r="164" spans="2:6" hidden="1" x14ac:dyDescent="0.25">
      <c r="B164" s="38"/>
      <c r="C164" s="30">
        <v>91</v>
      </c>
      <c r="D164" s="31" t="s">
        <v>295</v>
      </c>
      <c r="E164" s="23" t="s">
        <v>91</v>
      </c>
      <c r="F164" s="37"/>
    </row>
    <row r="165" spans="2:6" hidden="1" x14ac:dyDescent="0.25">
      <c r="B165" s="38"/>
      <c r="C165" s="30">
        <v>1326</v>
      </c>
      <c r="D165" s="31" t="s">
        <v>296</v>
      </c>
      <c r="E165" s="23" t="s">
        <v>91</v>
      </c>
      <c r="F165" s="37"/>
    </row>
    <row r="166" spans="2:6" hidden="1" x14ac:dyDescent="0.25">
      <c r="B166" s="38"/>
      <c r="C166" s="30">
        <v>901</v>
      </c>
      <c r="D166" s="31" t="s">
        <v>297</v>
      </c>
      <c r="E166" s="23" t="s">
        <v>91</v>
      </c>
      <c r="F166" s="37"/>
    </row>
    <row r="167" spans="2:6" hidden="1" x14ac:dyDescent="0.25">
      <c r="B167" s="38"/>
      <c r="C167" s="30">
        <v>1386</v>
      </c>
      <c r="D167" s="31" t="s">
        <v>298</v>
      </c>
      <c r="E167" s="23" t="s">
        <v>91</v>
      </c>
      <c r="F167" s="37"/>
    </row>
    <row r="168" spans="2:6" hidden="1" x14ac:dyDescent="0.25">
      <c r="B168" s="38"/>
      <c r="C168" s="30">
        <v>1351</v>
      </c>
      <c r="D168" s="31" t="s">
        <v>299</v>
      </c>
      <c r="E168" s="23" t="s">
        <v>91</v>
      </c>
      <c r="F168" s="37"/>
    </row>
    <row r="169" spans="2:6" hidden="1" x14ac:dyDescent="0.25">
      <c r="B169" s="38"/>
      <c r="C169" s="30">
        <v>113</v>
      </c>
      <c r="D169" s="31" t="s">
        <v>300</v>
      </c>
      <c r="E169" s="23" t="s">
        <v>91</v>
      </c>
      <c r="F169" s="37"/>
    </row>
    <row r="170" spans="2:6" hidden="1" x14ac:dyDescent="0.25">
      <c r="B170" s="38"/>
      <c r="C170" s="30">
        <v>804</v>
      </c>
      <c r="D170" s="31" t="s">
        <v>301</v>
      </c>
      <c r="E170" s="23" t="s">
        <v>91</v>
      </c>
      <c r="F170" s="37"/>
    </row>
    <row r="171" spans="2:6" hidden="1" x14ac:dyDescent="0.25">
      <c r="B171" s="38"/>
      <c r="C171" s="30">
        <v>409</v>
      </c>
      <c r="D171" s="31" t="s">
        <v>302</v>
      </c>
      <c r="E171" s="23" t="s">
        <v>91</v>
      </c>
      <c r="F171" s="37"/>
    </row>
    <row r="172" spans="2:6" hidden="1" x14ac:dyDescent="0.25">
      <c r="B172" s="38"/>
      <c r="C172" s="30">
        <v>949</v>
      </c>
      <c r="D172" s="31" t="s">
        <v>303</v>
      </c>
      <c r="E172" s="23" t="s">
        <v>91</v>
      </c>
      <c r="F172" s="37"/>
    </row>
    <row r="173" spans="2:6" hidden="1" x14ac:dyDescent="0.25">
      <c r="B173" s="38"/>
      <c r="C173" s="30">
        <v>785</v>
      </c>
      <c r="D173" s="31" t="s">
        <v>304</v>
      </c>
      <c r="E173" s="23" t="s">
        <v>91</v>
      </c>
      <c r="F173" s="37"/>
    </row>
    <row r="174" spans="2:6" hidden="1" x14ac:dyDescent="0.25">
      <c r="B174" s="38"/>
      <c r="C174" s="30">
        <v>1482</v>
      </c>
      <c r="D174" s="31" t="s">
        <v>305</v>
      </c>
      <c r="E174" s="23" t="s">
        <v>91</v>
      </c>
      <c r="F174" s="37"/>
    </row>
    <row r="175" spans="2:6" x14ac:dyDescent="0.25">
      <c r="B175" s="50"/>
      <c r="C175" s="51"/>
      <c r="D175" s="51"/>
      <c r="E175" s="51"/>
      <c r="F175" s="52"/>
    </row>
  </sheetData>
  <autoFilter ref="C5:E174" xr:uid="{FD6B352B-0D67-4F5C-9D40-AD714C6AF088}">
    <filterColumn colId="2">
      <filters>
        <filter val="A partir de 50 licenças: 10% acumulativo com a tabela progressiva"/>
      </filters>
    </filterColumn>
  </autoFilter>
  <conditionalFormatting sqref="C1:C1048576">
    <cfRule type="duplicateValues" dxfId="2" priority="2"/>
  </conditionalFormatting>
  <conditionalFormatting sqref="D1:D104857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3517-7E4A-4ECF-A503-A6A3E29EC9CB}">
  <sheetPr>
    <tabColor rgb="FFC00000"/>
  </sheetPr>
  <dimension ref="B2:AH23"/>
  <sheetViews>
    <sheetView showGridLines="0" zoomScale="85" zoomScaleNormal="85" workbookViewId="0"/>
  </sheetViews>
  <sheetFormatPr defaultRowHeight="15" x14ac:dyDescent="0.25"/>
  <cols>
    <col min="1" max="2" width="2.85546875" customWidth="1"/>
    <col min="3" max="3" width="10.85546875" bestFit="1" customWidth="1"/>
    <col min="4" max="6" width="2.85546875" customWidth="1"/>
    <col min="7" max="7" width="47.5703125" bestFit="1" customWidth="1"/>
    <col min="8" max="8" width="69.7109375" bestFit="1" customWidth="1"/>
    <col min="9" max="11" width="2.85546875" customWidth="1"/>
    <col min="12" max="12" width="23" bestFit="1" customWidth="1"/>
    <col min="13" max="13" width="56" customWidth="1"/>
    <col min="14" max="16" width="2.85546875" customWidth="1"/>
    <col min="17" max="17" width="8.5703125" bestFit="1" customWidth="1"/>
    <col min="18" max="18" width="23.7109375" bestFit="1" customWidth="1"/>
    <col min="19" max="19" width="20.28515625" bestFit="1" customWidth="1"/>
    <col min="20" max="20" width="12.42578125" bestFit="1" customWidth="1"/>
    <col min="21" max="21" width="12" bestFit="1" customWidth="1"/>
    <col min="22" max="22" width="61" bestFit="1" customWidth="1"/>
    <col min="23" max="25" width="2.85546875" customWidth="1"/>
    <col min="26" max="26" width="30.28515625" bestFit="1" customWidth="1"/>
    <col min="27" max="27" width="67.42578125" customWidth="1"/>
    <col min="28" max="30" width="2.85546875" customWidth="1"/>
    <col min="31" max="31" width="13.140625" bestFit="1" customWidth="1"/>
    <col min="32" max="32" width="12.7109375" bestFit="1" customWidth="1"/>
    <col min="33" max="33" width="12.85546875" bestFit="1" customWidth="1"/>
    <col min="34" max="34" width="2.85546875" customWidth="1"/>
  </cols>
  <sheetData>
    <row r="2" spans="2:34" ht="26.25" x14ac:dyDescent="0.4">
      <c r="B2" s="69" t="s">
        <v>129</v>
      </c>
      <c r="F2" s="69" t="s">
        <v>1</v>
      </c>
      <c r="G2" s="77"/>
      <c r="H2" s="77"/>
      <c r="K2" s="69" t="s">
        <v>130</v>
      </c>
      <c r="L2" s="77"/>
      <c r="M2" s="77"/>
      <c r="N2" s="77"/>
      <c r="O2" s="77"/>
      <c r="P2" s="69" t="s">
        <v>131</v>
      </c>
      <c r="R2" s="77"/>
      <c r="S2" s="77"/>
      <c r="T2" s="77"/>
      <c r="U2" s="77"/>
      <c r="V2" s="77"/>
      <c r="Y2" s="69" t="s">
        <v>133</v>
      </c>
      <c r="Z2" s="77"/>
      <c r="AA2" s="77"/>
      <c r="AD2" s="69" t="s">
        <v>134</v>
      </c>
    </row>
    <row r="3" spans="2:34" ht="15" customHeight="1" x14ac:dyDescent="0.25">
      <c r="F3" s="70"/>
      <c r="G3" s="70"/>
      <c r="H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Z3" s="70"/>
      <c r="AA3" s="70"/>
    </row>
    <row r="4" spans="2:34" x14ac:dyDescent="0.25">
      <c r="B4" s="47"/>
      <c r="C4" s="48"/>
      <c r="D4" s="49"/>
      <c r="F4" s="47"/>
      <c r="G4" s="48"/>
      <c r="H4" s="48"/>
      <c r="I4" s="49"/>
      <c r="J4" s="38"/>
      <c r="K4" s="47"/>
      <c r="L4" s="48"/>
      <c r="M4" s="48"/>
      <c r="N4" s="49"/>
      <c r="O4" s="38"/>
      <c r="P4" s="47"/>
      <c r="Q4" s="48"/>
      <c r="R4" s="48"/>
      <c r="S4" s="48"/>
      <c r="T4" s="48"/>
      <c r="U4" s="48"/>
      <c r="V4" s="48"/>
      <c r="W4" s="49"/>
      <c r="X4" s="38"/>
      <c r="Y4" s="47"/>
      <c r="Z4" s="48"/>
      <c r="AA4" s="48"/>
      <c r="AB4" s="49"/>
      <c r="AD4" s="47"/>
      <c r="AE4" s="48"/>
      <c r="AF4" s="48"/>
      <c r="AG4" s="48"/>
      <c r="AH4" s="49"/>
    </row>
    <row r="5" spans="2:34" ht="15" customHeight="1" x14ac:dyDescent="0.25">
      <c r="B5" s="38"/>
      <c r="C5" s="44" t="s">
        <v>86</v>
      </c>
      <c r="D5" s="37"/>
      <c r="F5" s="38"/>
      <c r="G5" s="11" t="s">
        <v>4</v>
      </c>
      <c r="H5" s="11" t="s">
        <v>5</v>
      </c>
      <c r="I5" s="37"/>
      <c r="J5" s="38"/>
      <c r="K5" s="38"/>
      <c r="L5" s="95" t="s">
        <v>78</v>
      </c>
      <c r="M5" s="95"/>
      <c r="N5" s="37"/>
      <c r="P5" s="38"/>
      <c r="R5" s="72" t="s">
        <v>88</v>
      </c>
      <c r="S5" s="72" t="s">
        <v>94</v>
      </c>
      <c r="T5" s="72" t="s">
        <v>92</v>
      </c>
      <c r="U5" s="72" t="s">
        <v>93</v>
      </c>
      <c r="V5" s="72" t="s">
        <v>98</v>
      </c>
      <c r="W5" s="37"/>
      <c r="X5" s="38"/>
      <c r="Y5" s="38"/>
      <c r="Z5" s="73" t="s">
        <v>104</v>
      </c>
      <c r="AA5" s="14" t="e">
        <f>IF(AND(_xlfn.XLOOKUP(Calculadora!E3,Revendas!C:C,Revendas!E:E)&lt;&gt;"Não possui"),"Sim","Não")</f>
        <v>#N/A</v>
      </c>
      <c r="AB5" s="37"/>
      <c r="AD5" s="38"/>
      <c r="AE5" s="96" t="s">
        <v>2</v>
      </c>
      <c r="AF5" s="97"/>
      <c r="AG5" s="14">
        <f>Calculadora!E39</f>
        <v>0</v>
      </c>
      <c r="AH5" s="37"/>
    </row>
    <row r="6" spans="2:34" x14ac:dyDescent="0.25">
      <c r="B6" s="38"/>
      <c r="C6" s="44"/>
      <c r="D6" s="37"/>
      <c r="F6" s="38"/>
      <c r="G6" s="11"/>
      <c r="H6" s="11"/>
      <c r="I6" s="37"/>
      <c r="J6" s="38"/>
      <c r="K6" s="38"/>
      <c r="N6" s="37"/>
      <c r="P6" s="38"/>
      <c r="W6" s="37"/>
      <c r="X6" s="38"/>
      <c r="Y6" s="38"/>
      <c r="Z6" s="73" t="s">
        <v>105</v>
      </c>
      <c r="AA6" s="14">
        <f>Calculadora!E39</f>
        <v>0</v>
      </c>
      <c r="AB6" s="37"/>
      <c r="AD6" s="38"/>
      <c r="AE6" s="96" t="s">
        <v>83</v>
      </c>
      <c r="AF6" s="97"/>
      <c r="AG6" s="14">
        <f>IF(AG10="Faixa atual",3-$AG$5,IF(AG11="Faixa atual",7-$AG$5,IF(AG12="Faixa atual",11-$AG$5,IF(AG13="Faixa atual",21-$AG$5,IF(AG14="Faixa atual",50-$AG$5,IF(AG15="Faixa atual",100-$AG$5,IF(AG16="Faixa atual",200-$AG$5,IF(AG17="Faixa atual",0))))))))</f>
        <v>3</v>
      </c>
      <c r="AH6" s="37"/>
    </row>
    <row r="7" spans="2:34" x14ac:dyDescent="0.25">
      <c r="B7" s="38"/>
      <c r="C7" s="36">
        <f ca="1">TODAY()</f>
        <v>45826</v>
      </c>
      <c r="D7" s="37"/>
      <c r="F7" s="38"/>
      <c r="G7" s="78" t="s">
        <v>9</v>
      </c>
      <c r="H7" s="79" t="s">
        <v>110</v>
      </c>
      <c r="I7" s="37"/>
      <c r="J7" s="38"/>
      <c r="K7" s="38"/>
      <c r="L7" s="7" t="s">
        <v>75</v>
      </c>
      <c r="M7" s="33">
        <f>IF((Orçamento!G13+Orçamento!G14)&lt;=2,0,IF((Orçamento!G13+Orçamento!G14)&lt;=6,0.1,IF((Orçamento!G13+Orçamento!G14)&lt;=10,0.15,IF((Orçamento!G13+Orçamento!G14)&lt;=20,0.2,IF((Orçamento!G13+Orçamento!G14)&lt;=49,0.25,IF((Orçamento!G13+Orçamento!G14)&lt;=99,0.3,IF((Orçamento!G13+Orçamento!G14)&lt;=199,0.4,0.5)))))))</f>
        <v>0</v>
      </c>
      <c r="N7" s="37"/>
      <c r="P7" s="38"/>
      <c r="Q7" s="35" t="s">
        <v>78</v>
      </c>
      <c r="R7" s="28">
        <f>Orçamento!L15</f>
        <v>0</v>
      </c>
      <c r="S7" s="28">
        <f>Orçamento!L15/Orçamento!J15</f>
        <v>0</v>
      </c>
      <c r="T7" s="25" t="str">
        <f>IF(AND(R7&lt;R8,R7&lt;R9),"Sim","Não")</f>
        <v>Não</v>
      </c>
      <c r="U7" s="25" t="str">
        <f>IF(AND(S7&lt;S8,S7&lt;S9),"Sim","Não")</f>
        <v>Não</v>
      </c>
      <c r="V7" s="25" t="str">
        <f>IF(AND(T7=$T$15,U7=$U$15),$V$15,IF(AND(T7=$T$16,U7=$U$16),$V$16,IF(AND(T7=$T$17,U7=$U$17),$V$17,IF(AND(T7=$T$18,U7=$U$18),$V$18,"Verificar"))))</f>
        <v>Não recomendar</v>
      </c>
      <c r="W7" s="37"/>
      <c r="X7" s="38"/>
      <c r="Y7" s="38"/>
      <c r="AB7" s="37"/>
      <c r="AD7" s="38"/>
      <c r="AE7" s="5"/>
      <c r="AF7" s="5"/>
      <c r="AG7" s="5"/>
      <c r="AH7" s="37"/>
    </row>
    <row r="8" spans="2:34" x14ac:dyDescent="0.25">
      <c r="B8" s="50"/>
      <c r="C8" s="51"/>
      <c r="D8" s="52"/>
      <c r="F8" s="38"/>
      <c r="G8" s="78" t="s">
        <v>13</v>
      </c>
      <c r="H8" s="79" t="s">
        <v>111</v>
      </c>
      <c r="I8" s="37"/>
      <c r="J8" s="38"/>
      <c r="K8" s="38"/>
      <c r="L8" s="7" t="s">
        <v>68</v>
      </c>
      <c r="M8" s="33">
        <f>Orçamento!$E$25+M7</f>
        <v>0</v>
      </c>
      <c r="N8" s="37"/>
      <c r="P8" s="38"/>
      <c r="Q8" s="35" t="s">
        <v>79</v>
      </c>
      <c r="R8" s="28">
        <f>Orçamento!L19</f>
        <v>0</v>
      </c>
      <c r="S8" s="28">
        <f>Orçamento!L19/Orçamento!J19</f>
        <v>0</v>
      </c>
      <c r="T8" s="25" t="str">
        <f>IF(AND(R8&lt;R7,R8&lt;R9),"Sim","Não")</f>
        <v>Não</v>
      </c>
      <c r="U8" s="25" t="str">
        <f>IF(AND(S8&lt;S7,S8&lt;S9),"Sim","Não")</f>
        <v>Não</v>
      </c>
      <c r="V8" s="25" t="str">
        <f>IF(AND(T8=$T$15,U8=$U$15),$V$15,IF(AND(T8=$T$16,U8=$U$16),$V$16,IF(AND(T8=$T$17,U8=$U$17),$V$17,IF(AND(T8=$T$18,U8=$U$18),$V$18,"Verificar"))))</f>
        <v>Não recomendar</v>
      </c>
      <c r="W8" s="37"/>
      <c r="X8" s="38"/>
      <c r="Y8" s="38"/>
      <c r="Z8" s="98" t="s">
        <v>81</v>
      </c>
      <c r="AA8" s="98"/>
      <c r="AB8" s="37"/>
      <c r="AD8" s="38"/>
      <c r="AE8" s="11" t="s">
        <v>2</v>
      </c>
      <c r="AF8" s="11" t="s">
        <v>121</v>
      </c>
      <c r="AG8" s="11" t="s">
        <v>120</v>
      </c>
      <c r="AH8" s="37"/>
    </row>
    <row r="9" spans="2:34" x14ac:dyDescent="0.25">
      <c r="F9" s="38"/>
      <c r="G9" s="78" t="s">
        <v>17</v>
      </c>
      <c r="H9" s="79" t="s">
        <v>112</v>
      </c>
      <c r="I9" s="37"/>
      <c r="J9" s="38"/>
      <c r="K9" s="38"/>
      <c r="L9" s="7" t="s">
        <v>90</v>
      </c>
      <c r="M9" s="25" t="str">
        <f>IF(Orçamento!L15&lt;150,H7,IF(Orçamento!L15&lt;250,H8,IF(Orçamento!L15&lt;500,H9,IF(Orçamento!L15&lt;1000,H10,IF(Orçamento!L15&lt;2000,H11,IF(Orçamento!L15&lt;5000,H12,H13))))))</f>
        <v>Modo de Pagamento: 1 x - 7 dias (sem juros)</v>
      </c>
      <c r="N9" s="37"/>
      <c r="P9" s="38"/>
      <c r="Q9" s="35" t="s">
        <v>80</v>
      </c>
      <c r="R9" s="28">
        <f>Orçamento!L23</f>
        <v>0</v>
      </c>
      <c r="S9" s="28">
        <f>Orçamento!L23/Orçamento!J23</f>
        <v>0</v>
      </c>
      <c r="T9" s="25" t="str">
        <f>IF(AND(R9&lt;R7,R9&lt;R8),"Sim","Não")</f>
        <v>Não</v>
      </c>
      <c r="U9" s="25" t="str">
        <f>IF(AND(S9&lt;S7,S9&lt;S8),"Sim","Não")</f>
        <v>Não</v>
      </c>
      <c r="V9" s="25" t="str">
        <f>IF(AND(T9=$T$15,U9=$U$15),$V$15,IF(AND(T9=$T$16,U9=$U$16),$V$16,IF(AND(T9=$T$17,U9=$U$17),$V$17,IF(AND(T9=$T$18,U9=$U$18),$V$18,"Verificar"))))</f>
        <v>Não recomendar</v>
      </c>
      <c r="W9" s="37"/>
      <c r="X9" s="38"/>
      <c r="Y9" s="38"/>
      <c r="AB9" s="37"/>
      <c r="AD9" s="38"/>
      <c r="AE9" s="11"/>
      <c r="AF9" s="11"/>
      <c r="AG9" s="11"/>
      <c r="AH9" s="37"/>
    </row>
    <row r="10" spans="2:34" x14ac:dyDescent="0.25">
      <c r="F10" s="38"/>
      <c r="G10" s="78" t="s">
        <v>20</v>
      </c>
      <c r="H10" s="79" t="s">
        <v>113</v>
      </c>
      <c r="I10" s="37"/>
      <c r="J10" s="38"/>
      <c r="K10" s="38"/>
      <c r="N10" s="37"/>
      <c r="P10" s="38"/>
      <c r="W10" s="37"/>
      <c r="X10" s="38"/>
      <c r="Y10" s="38"/>
      <c r="Z10" s="74" t="s">
        <v>122</v>
      </c>
      <c r="AA10" s="14" t="str">
        <f>IF(Calculadora!K37&lt;150,H7,IF(Calculadora!K37&lt;250,H8,IF(Calculadora!K37&lt;500,H9,IF(Calculadora!K37&lt;1000,H10,IF(Calculadora!K37&lt;2000,H11,IF(Calculadora!K37&lt;5000,H12,H13))))))</f>
        <v>Modo de Pagamento: 1 x - 7 dias (sem juros)</v>
      </c>
      <c r="AB10" s="37"/>
      <c r="AD10" s="38"/>
      <c r="AE10" s="39" t="s">
        <v>84</v>
      </c>
      <c r="AF10" s="40">
        <v>0</v>
      </c>
      <c r="AG10" s="41" t="str">
        <f>IF(AND($AG$5&gt;=0,$AG$5&lt;=2),"Faixa atual","Não")</f>
        <v>Faixa atual</v>
      </c>
      <c r="AH10" s="37"/>
    </row>
    <row r="11" spans="2:34" x14ac:dyDescent="0.25">
      <c r="F11" s="38"/>
      <c r="G11" s="78" t="s">
        <v>23</v>
      </c>
      <c r="H11" s="79" t="s">
        <v>114</v>
      </c>
      <c r="I11" s="37"/>
      <c r="J11" s="38"/>
      <c r="K11" s="38"/>
      <c r="L11" s="95" t="s">
        <v>79</v>
      </c>
      <c r="M11" s="95"/>
      <c r="N11" s="37"/>
      <c r="P11" s="38"/>
      <c r="Q11" s="95" t="s">
        <v>132</v>
      </c>
      <c r="R11" s="95"/>
      <c r="S11" s="95"/>
      <c r="T11" s="95"/>
      <c r="U11" s="95"/>
      <c r="V11" s="95"/>
      <c r="W11" s="37"/>
      <c r="X11" s="38"/>
      <c r="Y11" s="38"/>
      <c r="Z11" s="75"/>
      <c r="AB11" s="37"/>
      <c r="AD11" s="38"/>
      <c r="AE11" s="39" t="s">
        <v>6</v>
      </c>
      <c r="AF11" s="40">
        <v>0.1</v>
      </c>
      <c r="AG11" s="41" t="str">
        <f>IF(AND($AG$5&gt;=3,$AG$5&lt;=6),"Faixa atual","Não")</f>
        <v>Não</v>
      </c>
      <c r="AH11" s="37"/>
    </row>
    <row r="12" spans="2:34" x14ac:dyDescent="0.25">
      <c r="F12" s="38"/>
      <c r="G12" s="78" t="s">
        <v>26</v>
      </c>
      <c r="H12" s="79" t="s">
        <v>115</v>
      </c>
      <c r="I12" s="37"/>
      <c r="J12" s="38"/>
      <c r="K12" s="38"/>
      <c r="L12" s="70"/>
      <c r="M12" s="70"/>
      <c r="N12" s="37"/>
      <c r="P12" s="38"/>
      <c r="W12" s="37"/>
      <c r="X12" s="38"/>
      <c r="Y12" s="38"/>
      <c r="Z12" s="76" t="s">
        <v>123</v>
      </c>
      <c r="AA12" s="14" t="e">
        <f>IF(AND(AA5="Sim",AA6&gt;=100),H15,IF(AND(AA5="Sim",AA6&gt;=50),H14,AA10))</f>
        <v>#N/A</v>
      </c>
      <c r="AB12" s="37"/>
      <c r="AD12" s="38"/>
      <c r="AE12" s="39" t="s">
        <v>10</v>
      </c>
      <c r="AF12" s="40">
        <v>0.15</v>
      </c>
      <c r="AG12" s="41" t="str">
        <f>IF(AND($AG$5&gt;=7,$AG$5&lt;=10),"Faixa atual","Não")</f>
        <v>Não</v>
      </c>
      <c r="AH12" s="37"/>
    </row>
    <row r="13" spans="2:34" x14ac:dyDescent="0.25">
      <c r="F13" s="38"/>
      <c r="G13" s="78" t="s">
        <v>30</v>
      </c>
      <c r="H13" s="79" t="s">
        <v>116</v>
      </c>
      <c r="I13" s="37"/>
      <c r="J13" s="38"/>
      <c r="K13" s="38"/>
      <c r="L13" s="7" t="s">
        <v>75</v>
      </c>
      <c r="M13" s="33">
        <f>IF((Orçamento!G17+Orçamento!G18)&lt;=2,0,IF((Orçamento!G17+Orçamento!G18)&lt;=6,0.1,IF((Orçamento!G17+Orçamento!G18)&lt;=10,0.15,IF((Orçamento!G17+Orçamento!G18)&lt;=20,0.2,IF((Orçamento!G17+Orçamento!G18)&lt;=49,0.25,IF((Orçamento!G17+Orçamento!G18)&lt;=99,0.3,IF((Orçamento!G17+Orçamento!G18)&lt;=199,0.4,0.5)))))))</f>
        <v>0</v>
      </c>
      <c r="N13" s="37"/>
      <c r="P13" s="38"/>
      <c r="T13" s="11" t="s">
        <v>92</v>
      </c>
      <c r="U13" s="11" t="s">
        <v>93</v>
      </c>
      <c r="V13" s="11" t="s">
        <v>98</v>
      </c>
      <c r="W13" s="37"/>
      <c r="X13" s="38"/>
      <c r="Y13" s="50"/>
      <c r="Z13" s="51"/>
      <c r="AA13" s="51"/>
      <c r="AB13" s="52"/>
      <c r="AD13" s="38"/>
      <c r="AE13" s="39" t="s">
        <v>14</v>
      </c>
      <c r="AF13" s="40">
        <v>0.2</v>
      </c>
      <c r="AG13" s="41" t="str">
        <f>IF(AND($AG$5&gt;=11,$AG$5&lt;=20),"Faixa atual","Não")</f>
        <v>Não</v>
      </c>
      <c r="AH13" s="37"/>
    </row>
    <row r="14" spans="2:34" x14ac:dyDescent="0.25">
      <c r="F14" s="38"/>
      <c r="G14" s="78" t="s">
        <v>117</v>
      </c>
      <c r="H14" s="34" t="s">
        <v>106</v>
      </c>
      <c r="I14" s="37"/>
      <c r="J14" s="38"/>
      <c r="K14" s="38"/>
      <c r="L14" s="7" t="s">
        <v>68</v>
      </c>
      <c r="M14" s="33">
        <f>Orçamento!$E$25+M13</f>
        <v>0</v>
      </c>
      <c r="N14" s="37"/>
      <c r="P14" s="38"/>
      <c r="T14" s="11"/>
      <c r="U14" s="11"/>
      <c r="V14" s="11"/>
      <c r="W14" s="37"/>
      <c r="X14" s="38"/>
      <c r="AD14" s="38"/>
      <c r="AE14" s="39" t="s">
        <v>18</v>
      </c>
      <c r="AF14" s="40">
        <v>0.25</v>
      </c>
      <c r="AG14" s="41" t="str">
        <f>IF(AND($AG$5&gt;=21,$AG$5&lt;=49),"Faixa atual","Não")</f>
        <v>Não</v>
      </c>
      <c r="AH14" s="37"/>
    </row>
    <row r="15" spans="2:34" x14ac:dyDescent="0.25">
      <c r="F15" s="38"/>
      <c r="G15" s="78" t="s">
        <v>118</v>
      </c>
      <c r="H15" s="34" t="s">
        <v>107</v>
      </c>
      <c r="I15" s="37"/>
      <c r="J15" s="38"/>
      <c r="K15" s="38"/>
      <c r="L15" s="7" t="s">
        <v>90</v>
      </c>
      <c r="M15" s="25" t="str">
        <f>IF(Orçamento!L19&lt;150,Dados!$H$7,IF(Orçamento!L19&lt;250,Dados!$H$8,IF(Orçamento!L19&lt;500,Dados!$H$9,IF(Orçamento!L19&lt;1000,Dados!$H$10,IF(Orçamento!L19&lt;2000,Dados!$H$11,IF(Orçamento!L19&lt;5000,Dados!$H$12,Dados!$H$13))))))</f>
        <v>Modo de Pagamento: 1 x - 7 dias (sem juros)</v>
      </c>
      <c r="N15" s="37"/>
      <c r="P15" s="38"/>
      <c r="T15" s="25" t="s">
        <v>95</v>
      </c>
      <c r="U15" s="14" t="s">
        <v>95</v>
      </c>
      <c r="V15" s="25" t="s">
        <v>97</v>
      </c>
      <c r="W15" s="37"/>
      <c r="X15" s="38"/>
      <c r="AD15" s="38"/>
      <c r="AE15" s="39" t="s">
        <v>21</v>
      </c>
      <c r="AF15" s="40">
        <v>0.3</v>
      </c>
      <c r="AG15" s="41" t="str">
        <f>IF(AND($AG$5&gt;=50,$AG$5&lt;=99),"Faixa atual","Não")</f>
        <v>Não</v>
      </c>
      <c r="AH15" s="37"/>
    </row>
    <row r="16" spans="2:34" x14ac:dyDescent="0.25">
      <c r="F16" s="50"/>
      <c r="G16" s="51"/>
      <c r="H16" s="51"/>
      <c r="I16" s="52"/>
      <c r="J16" s="38"/>
      <c r="K16" s="38"/>
      <c r="L16" s="71"/>
      <c r="N16" s="37"/>
      <c r="P16" s="38"/>
      <c r="T16" s="25" t="s">
        <v>95</v>
      </c>
      <c r="U16" s="14" t="s">
        <v>96</v>
      </c>
      <c r="V16" s="25" t="s">
        <v>99</v>
      </c>
      <c r="W16" s="37"/>
      <c r="X16" s="38"/>
      <c r="AD16" s="38"/>
      <c r="AE16" s="39" t="s">
        <v>24</v>
      </c>
      <c r="AF16" s="40">
        <v>0.4</v>
      </c>
      <c r="AG16" s="41" t="str">
        <f>IF(AND($AG$5&gt;=100,$AG$5&lt;=199),"Faixa atual","Não")</f>
        <v>Não</v>
      </c>
      <c r="AH16" s="37"/>
    </row>
    <row r="17" spans="9:34" x14ac:dyDescent="0.25">
      <c r="I17" s="48"/>
      <c r="K17" s="38"/>
      <c r="L17" s="95" t="s">
        <v>80</v>
      </c>
      <c r="M17" s="95"/>
      <c r="N17" s="37"/>
      <c r="P17" s="38"/>
      <c r="T17" s="25" t="s">
        <v>96</v>
      </c>
      <c r="U17" s="14" t="s">
        <v>95</v>
      </c>
      <c r="V17" s="25" t="s">
        <v>100</v>
      </c>
      <c r="W17" s="37"/>
      <c r="X17" s="38"/>
      <c r="AD17" s="38"/>
      <c r="AE17" s="39" t="s">
        <v>27</v>
      </c>
      <c r="AF17" s="40">
        <v>0.5</v>
      </c>
      <c r="AG17" s="41" t="str">
        <f>IF($AG$5&gt;=200,"Faixa atual","Não")</f>
        <v>Não</v>
      </c>
      <c r="AH17" s="37"/>
    </row>
    <row r="18" spans="9:34" x14ac:dyDescent="0.25">
      <c r="K18" s="38"/>
      <c r="L18" s="70"/>
      <c r="M18" s="70"/>
      <c r="N18" s="37"/>
      <c r="P18" s="38"/>
      <c r="T18" s="25" t="s">
        <v>96</v>
      </c>
      <c r="U18" s="14" t="s">
        <v>96</v>
      </c>
      <c r="V18" s="25" t="s">
        <v>101</v>
      </c>
      <c r="W18" s="37"/>
      <c r="X18" s="38"/>
      <c r="AD18" s="50"/>
      <c r="AE18" s="51"/>
      <c r="AF18" s="51"/>
      <c r="AG18" s="51"/>
      <c r="AH18" s="52"/>
    </row>
    <row r="19" spans="9:34" x14ac:dyDescent="0.25">
      <c r="K19" s="38"/>
      <c r="L19" s="7" t="s">
        <v>75</v>
      </c>
      <c r="M19" s="33">
        <f>IF((Orçamento!G21+Orçamento!G22)&lt;=2,0,IF((Orçamento!G21+Orçamento!G22)&lt;=6,0.1,IF((Orçamento!G21+Orçamento!G22)&lt;=10,0.15,IF((Orçamento!G21+Orçamento!G22)&lt;=20,0.2,IF((Orçamento!G21+Orçamento!G22)&lt;=49,0.25,IF((Orçamento!G21+Orçamento!G22)&lt;=99,0.3,IF((Orçamento!G21+Orçamento!G22)&lt;=199,0.4,0.5)))))))</f>
        <v>0</v>
      </c>
      <c r="N19" s="37"/>
      <c r="P19" s="50"/>
      <c r="Q19" s="51"/>
      <c r="R19" s="51"/>
      <c r="S19" s="51"/>
      <c r="T19" s="51"/>
      <c r="U19" s="51"/>
      <c r="V19" s="51"/>
      <c r="W19" s="52"/>
      <c r="X19" s="38"/>
    </row>
    <row r="20" spans="9:34" x14ac:dyDescent="0.25">
      <c r="K20" s="38"/>
      <c r="L20" s="7" t="s">
        <v>68</v>
      </c>
      <c r="M20" s="33">
        <f>Orçamento!$E$25+M19</f>
        <v>0</v>
      </c>
      <c r="N20" s="37"/>
      <c r="W20" s="48"/>
    </row>
    <row r="21" spans="9:34" x14ac:dyDescent="0.25">
      <c r="K21" s="38"/>
      <c r="L21" s="7" t="s">
        <v>90</v>
      </c>
      <c r="M21" s="25" t="str">
        <f>IF(Orçamento!L23&lt;150,Dados!$H$7,IF(Orçamento!L23&lt;250,Dados!$H$8,IF(Orçamento!L23&lt;500,Dados!$H$9,IF(Orçamento!L23&lt;1000,Dados!$H$10,IF(Orçamento!L23&lt;2000,Dados!$H$11,IF(Orçamento!L23&lt;5000,Dados!$H$12,Dados!$H$13))))))</f>
        <v>Modo de Pagamento: 1 x - 7 dias (sem juros)</v>
      </c>
      <c r="N21" s="37"/>
    </row>
    <row r="22" spans="9:34" x14ac:dyDescent="0.25">
      <c r="K22" s="50"/>
      <c r="L22" s="51"/>
      <c r="M22" s="51"/>
      <c r="N22" s="52"/>
    </row>
    <row r="23" spans="9:34" x14ac:dyDescent="0.25">
      <c r="K23" s="48"/>
    </row>
  </sheetData>
  <mergeCells count="7">
    <mergeCell ref="Q11:V11"/>
    <mergeCell ref="AE5:AF5"/>
    <mergeCell ref="AE6:AF6"/>
    <mergeCell ref="L5:M5"/>
    <mergeCell ref="L17:M17"/>
    <mergeCell ref="L11:M11"/>
    <mergeCell ref="Z8:AA8"/>
  </mergeCells>
  <conditionalFormatting sqref="AE10:AG17">
    <cfRule type="expression" dxfId="0" priority="1">
      <formula>$AG10="Faixa atual"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Orçamento</vt:lpstr>
      <vt:lpstr>Calculadora</vt:lpstr>
      <vt:lpstr>Revendas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Vendas-05</dc:creator>
  <cp:lastModifiedBy>Wander Novaes</cp:lastModifiedBy>
  <dcterms:created xsi:type="dcterms:W3CDTF">2022-10-27T11:15:11Z</dcterms:created>
  <dcterms:modified xsi:type="dcterms:W3CDTF">2025-06-19T00:24:00Z</dcterms:modified>
</cp:coreProperties>
</file>