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sum" sheetId="1" r:id="rId4"/>
    <sheet name="Cabina de discos" sheetId="2" r:id="rId5"/>
    <sheet name="SAN" sheetId="3" r:id="rId6"/>
    <sheet name="Electricitat" sheetId="4" r:id="rId7"/>
    <sheet name="Infraestructura" sheetId="5" r:id="rId8"/>
    <sheet name="Backup" sheetId="6" r:id="rId9"/>
    <sheet name="Bandwidth provider" sheetId="7" r:id="rId10"/>
  </sheets>
</workbook>
</file>

<file path=xl/sharedStrings.xml><?xml version="1.0" encoding="utf-8"?>
<sst xmlns="http://schemas.openxmlformats.org/spreadsheetml/2006/main" uniqueCount="242">
  <si>
    <t>TAULA 1: ESCENARI ORIGINAL: EXTRET DE L’ENUNCIAT. OMPLIU EL QUE HI HA EN GRIS.</t>
  </si>
  <si>
    <t>TAULA 3: OPEX</t>
  </si>
  <si>
    <t>anual</t>
  </si>
  <si>
    <t>cinc anys</t>
  </si>
  <si>
    <t>Nombre de Us</t>
  </si>
  <si>
    <t>Consum energètic (hardware només)</t>
  </si>
  <si>
    <t>Alçada Rack (en Us)</t>
  </si>
  <si>
    <t>Empresa de Housing escollida</t>
  </si>
  <si>
    <t>Mordor</t>
  </si>
  <si>
    <t>Consum</t>
  </si>
  <si>
    <t>Cost Housing (inclou electricitat addicional)</t>
  </si>
  <si>
    <t>Sobreprovisionament d’electricitat</t>
  </si>
  <si>
    <t>Off-site: empresa escollida</t>
  </si>
  <si>
    <t>MonsoonS3 MS3</t>
  </si>
  <si>
    <t>Nombre de servidors</t>
  </si>
  <si>
    <t>Cost mirror</t>
  </si>
  <si>
    <t>Diners Totals</t>
  </si>
  <si>
    <t>Cost backup</t>
  </si>
  <si>
    <t>Diners gastats</t>
  </si>
  <si>
    <t>Cost Bandwidth provider</t>
  </si>
  <si>
    <r>
      <rPr>
        <b val="1"/>
        <sz val="10"/>
        <color indexed="8"/>
        <rFont val="Helvetica"/>
      </rPr>
      <t xml:space="preserve">taula 2: Elements que escolliu </t>
    </r>
    <r>
      <rPr>
        <b val="1"/>
        <sz val="12"/>
        <color indexed="8"/>
        <rFont val="Helvetica"/>
      </rPr>
      <t>vosaltres</t>
    </r>
  </si>
  <si>
    <t>TAULA 4: CAPEX</t>
  </si>
  <si>
    <t>Cost</t>
  </si>
  <si>
    <t>Elements de disc, mirror i backup</t>
  </si>
  <si>
    <t>Diners gastats en servers, xarxa, etc</t>
  </si>
  <si>
    <t>GB a emmagatzemar</t>
  </si>
  <si>
    <t>SAN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</si>
  <si>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</si>
  <si>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</si>
  <si>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</si>
  <si>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</si>
  <si>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</si>
  <si>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Sistema de backup on-site? (0=N=; 1=SI)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</si>
  <si>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</si>
  <si>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</si>
  <si>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</si>
  <si>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</si>
  <si>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sz val="12"/>
        <color indexed="8"/>
        <rFont val="Calibri"/>
      </rPr>
      <t xml:space="preserve">Gestió local de </t>
    </r>
    <r>
      <rPr>
        <i val="1"/>
        <sz val="12"/>
        <color indexed="8"/>
        <rFont val="Calibri"/>
      </rPr>
      <t>backup</t>
    </r>
    <r>
      <rPr>
        <sz val="12"/>
        <color indexed="8"/>
        <rFont val="Calibri"/>
      </rPr>
      <t>? (0=No, 1=Si)</t>
    </r>
  </si>
  <si>
    <t>Capex a 5 anys, total</t>
  </si>
  <si>
    <t>Monitorització? (0=NO; 1=SI)</t>
  </si>
  <si>
    <t>Despeses totals a 5 anys</t>
  </si>
  <si>
    <t>Bandwidth provider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</si>
  <si>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</si>
  <si>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</si>
  <si>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</si>
  <si>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</si>
  <si>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SAN? (0=no, 1=8Gbps, 2=16Gbps, 3=32Gbps)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</si>
  <si>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</si>
  <si>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</si>
  <si>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</si>
  <si>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</si>
  <si>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</si>
  <si>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</si>
  <si>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</si>
  <si>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</si>
  <si>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Discos</t>
  </si>
  <si>
    <t>És principal?</t>
  </si>
  <si>
    <t>Cabina 2?</t>
  </si>
  <si>
    <t>Cabina 3?</t>
  </si>
  <si>
    <t># pral</t>
  </si>
  <si>
    <t>#2</t>
  </si>
  <si>
    <t>#3</t>
  </si>
  <si>
    <t>Preu</t>
  </si>
  <si>
    <t>Consum Total</t>
  </si>
  <si>
    <t>Preu Total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</si>
  <si>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</si>
  <si>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</si>
  <si>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</si>
  <si>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</si>
  <si>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</si>
  <si>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</si>
  <si>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</si>
  <si>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</si>
  <si>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</si>
  <si>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</si>
  <si>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Cabines</t>
  </si>
  <si>
    <t>#U per cabina</t>
  </si>
  <si>
    <t>#U Total</t>
  </si>
  <si>
    <t>TOTAL</t>
  </si>
  <si>
    <t>U’s</t>
  </si>
  <si>
    <t>Individual</t>
  </si>
  <si>
    <t>Total</t>
  </si>
  <si>
    <t>INFORMACIÓ A INTRODUIR</t>
  </si>
  <si>
    <t>ACTIU?</t>
  </si>
  <si>
    <t>Pels càlculs</t>
  </si>
  <si>
    <t>Quantitat</t>
  </si>
  <si>
    <t>Número de servers</t>
  </si>
  <si>
    <t>SPF</t>
  </si>
  <si>
    <t>Us per rack</t>
  </si>
  <si>
    <t>Switch rack</t>
  </si>
  <si>
    <t>Número de racks d’emmagatzematge</t>
  </si>
  <si>
    <t>Cablejat</t>
  </si>
  <si>
    <t>OPCIÓ ESCOLLIDA</t>
  </si>
  <si>
    <t>HBA 8Gbps</t>
  </si>
  <si>
    <t>Switch core 8GBPS</t>
  </si>
  <si>
    <t>HBA 16Gbps</t>
  </si>
  <si>
    <t>Switch core 16GBPS</t>
  </si>
  <si>
    <t>HBA 32Gbps</t>
  </si>
  <si>
    <t>Switch core 32GBPS</t>
  </si>
  <si>
    <t>RESULTATS</t>
  </si>
  <si>
    <t>Total=</t>
  </si>
  <si>
    <t>Cost económic</t>
  </si>
  <si>
    <t>Racks=</t>
  </si>
  <si/>
  <si>
    <t>DADES DE CONSUM DELS EQUIPS DE COMPUTACIÓ I COMUNICACIÓ</t>
  </si>
  <si>
    <t>Càlcul aproximat de factura, per una línia d'alta tensió (20kV) en mode tarifari 6.1A</t>
  </si>
  <si>
    <t>Períodes</t>
  </si>
  <si>
    <t>P1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</si>
  <si>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</si>
  <si>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</si>
  <si>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</si>
  <si>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</si>
  <si>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</si>
  <si>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</si>
  <si>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</si>
  <si>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Week Days</t>
  </si>
  <si>
    <t>Weekend Days</t>
  </si>
  <si>
    <t>Days</t>
  </si>
  <si>
    <t>Total Hours</t>
  </si>
  <si>
    <t>Cost €/kWh consumit</t>
  </si>
  <si>
    <t>January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</si>
  <si>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</si>
  <si>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</si>
  <si>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</si>
  <si>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</si>
  <si>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</si>
  <si>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 xml:space="preserve">  -&gt; Potència màxima que espero consumir basat en HW</t>
  </si>
  <si>
    <t>April</t>
  </si>
  <si>
    <t>May</t>
  </si>
  <si>
    <t xml:space="preserve">Tarifas vigentes de electricidad a partir del 1 de enero de 2013, publicadas en el BOE de 27 de diciembre de 2012. </t>
  </si>
  <si>
    <t>June H1</t>
  </si>
  <si>
    <t>June H2</t>
  </si>
  <si>
    <t>Caselles que es modifiquen</t>
  </si>
  <si>
    <t>July</t>
  </si>
  <si>
    <t>August</t>
  </si>
  <si>
    <t>September</t>
  </si>
  <si>
    <t>PUE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</si>
  <si>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</si>
  <si>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</si>
  <si>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</si>
  <si>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</si>
  <si>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</si>
  <si>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</si>
  <si>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</si>
  <si>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</si>
  <si>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</si>
  <si>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</si>
  <si>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</si>
  <si>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</si>
  <si>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INFORMACIÓ PROVINENT D’ALTRES FULLS</t>
  </si>
  <si>
    <t>Opció 1: containers (Modular Containers S.A.)</t>
  </si>
  <si>
    <t>Finals</t>
  </si>
  <si>
    <t>Nombre de Us Total</t>
  </si>
  <si>
    <t>Especificacions</t>
  </si>
  <si>
    <t>Resultats</t>
  </si>
  <si>
    <t>Opció</t>
  </si>
  <si>
    <t>Cost anual</t>
  </si>
  <si>
    <t>Cost cinc anys</t>
  </si>
  <si>
    <t>- sistema emmagatzematge</t>
  </si>
  <si>
    <t xml:space="preserve">Racks / container </t>
  </si>
  <si>
    <t>Nombre de containers</t>
  </si>
  <si>
    <t>- només màquines</t>
  </si>
  <si>
    <t>Us / Rack</t>
  </si>
  <si>
    <t>Lloguer containers (e/any)</t>
  </si>
  <si>
    <t>- backup propi</t>
  </si>
  <si>
    <t>Lloguer d'un container (e/any)</t>
  </si>
  <si>
    <t>Monitorització</t>
  </si>
  <si>
    <t>Cost energia (euros/any)</t>
  </si>
  <si>
    <t>Preu Monitorització (e/container)</t>
  </si>
  <si>
    <t>Gestió local backup</t>
  </si>
  <si>
    <t>Monitorització? (0=no; 1=si)</t>
  </si>
  <si>
    <r>
      <rPr>
        <sz val="12"/>
        <color indexed="8"/>
        <rFont val="Calibri"/>
      </rPr>
      <t>Electricitat addicional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(30%)</t>
    </r>
  </si>
  <si>
    <t>Total any</t>
  </si>
  <si>
    <t>Informació addicional</t>
  </si>
  <si>
    <t>Nombre de racks</t>
  </si>
  <si>
    <t>Opció 2: Colocation tier 2 (CPDs Céspedes S.L.)</t>
  </si>
  <si>
    <t>Preu (euros/rack)</t>
  </si>
  <si>
    <t>Lloguer espai (e/any)</t>
  </si>
  <si>
    <t>Monitorització (e/rack)</t>
  </si>
  <si>
    <t>Electricitat addicional (40%)</t>
  </si>
  <si>
    <t>Opció 3: Colocation tier 3 (Mordor)</t>
  </si>
  <si>
    <t>Electricitat addicional (15%)</t>
  </si>
  <si>
    <t>Informació provinent d’altres fulls</t>
  </si>
  <si>
    <t>Mirroring opció 1: Microworks Apure</t>
  </si>
  <si>
    <t>GB a aquest preu</t>
  </si>
  <si>
    <t>Preu 1TB (euros per GB i mes)</t>
  </si>
  <si>
    <t>Preu (e/mes)</t>
  </si>
  <si>
    <t>OPCIÓ MIRRORING</t>
  </si>
  <si>
    <t>Preu 1-50 TB</t>
  </si>
  <si>
    <t>Codi</t>
  </si>
  <si>
    <t>Mida cintes (GB comprimit)</t>
  </si>
  <si>
    <t>Preu 51-500 TB</t>
  </si>
  <si>
    <t>M-A</t>
  </si>
  <si>
    <t>Preu 501-5000 TB</t>
  </si>
  <si>
    <t>X</t>
  </si>
  <si>
    <t>M S3</t>
  </si>
  <si>
    <t>Empresa escollida</t>
  </si>
  <si>
    <t>Preu &gt;5000 TB TB</t>
  </si>
  <si>
    <t>Sense</t>
  </si>
  <si>
    <t>Amb mirror? (0=no; 1 =si)</t>
  </si>
  <si>
    <t>Mirroring opció 2: Monsoon S3</t>
  </si>
  <si>
    <t>Backup on-site? (0=no; 1 =si)</t>
  </si>
  <si>
    <t>Backup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</si>
  <si>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</si>
  <si>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</si>
  <si>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</si>
  <si>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</si>
  <si>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</si>
  <si>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</si>
  <si>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>Auxiliar per càlculs</t>
  </si>
  <si>
    <t>Microworks Apure sense mirror</t>
  </si>
  <si>
    <t>M-A amb</t>
  </si>
  <si>
    <t>Monsoon S3 amb mirror</t>
  </si>
  <si>
    <t>M-A sense</t>
  </si>
  <si>
    <t>Monsoon S3 sense mirror</t>
  </si>
  <si>
    <t>M S3 amb</t>
  </si>
  <si>
    <t>N. cintes</t>
  </si>
  <si>
    <t>Numero transports any</t>
  </si>
  <si>
    <t>Cost / transport (viatge+personal)</t>
  </si>
  <si>
    <t>cost mant. copies</t>
  </si>
  <si>
    <t>M S3 sense</t>
  </si>
  <si>
    <t>Take the tapes and run</t>
  </si>
  <si>
    <t>TTTAR</t>
  </si>
  <si>
    <t>Robot de cintes</t>
  </si>
  <si>
    <t>N. Cintes</t>
  </si>
  <si>
    <t>Cost robot</t>
  </si>
  <si>
    <t>cost cintes</t>
  </si>
  <si>
    <t>Consum robot</t>
  </si>
  <si>
    <t>U’s Robot</t>
  </si>
  <si>
    <t>U’s total</t>
  </si>
  <si>
    <t>Consum total</t>
  </si>
  <si>
    <t>Backup on-site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</si>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</sst>
</file>

<file path=xl/styles.xml><?xml version="1.0" encoding="utf-8"?>
<styleSheet xmlns="http://schemas.openxmlformats.org/spreadsheetml/2006/main">
  <numFmts count="11">
    <numFmt numFmtId="0" formatCode="General"/>
    <numFmt numFmtId="59" formatCode="0&quot;U&quot;"/>
    <numFmt numFmtId="60" formatCode="&quot;€&quot;#,##0.00"/>
    <numFmt numFmtId="61" formatCode="#.##&quot;kW&quot;"/>
    <numFmt numFmtId="62" formatCode="0.##&quot;W&quot;"/>
    <numFmt numFmtId="63" formatCode="[$€-2] 0.00"/>
    <numFmt numFmtId="64" formatCode="#,##0&quot;€&quot;"/>
    <numFmt numFmtId="65" formatCode="&quot;€&quot;#,##0.000000"/>
    <numFmt numFmtId="66" formatCode="0&quot;kW&quot;"/>
    <numFmt numFmtId="67" formatCode="#,##0.00&quot; €&quot;"/>
    <numFmt numFmtId="68" formatCode="0&quot;Mbps&quot;"/>
  </numFmts>
  <fonts count="24">
    <font>
      <sz val="12"/>
      <color indexed="8"/>
      <name val="Calibri"/>
    </font>
    <font>
      <sz val="12"/>
      <color indexed="8"/>
      <name val="Helvetica"/>
    </font>
    <font>
      <b val="1"/>
      <sz val="10"/>
      <color indexed="8"/>
      <name val="Calibri"/>
    </font>
    <font>
      <b val="1"/>
      <sz val="10"/>
      <color indexed="8"/>
      <name val="Helvetica"/>
    </font>
    <font>
      <sz val="11"/>
      <color indexed="8"/>
      <name val="Calibri"/>
    </font>
    <font>
      <b val="1"/>
      <sz val="12"/>
      <color indexed="8"/>
      <name val="Helvetica"/>
    </font>
    <font>
      <b val="1"/>
      <sz val="12"/>
      <color indexed="8"/>
      <name val="Calibri"/>
    </font>
    <font>
      <i val="1"/>
      <sz val="12"/>
      <color indexed="8"/>
      <name val="Calibri"/>
    </font>
    <font>
      <sz val="15"/>
      <color indexed="8"/>
      <name val="Calibri"/>
    </font>
    <font>
      <sz val="10"/>
      <color indexed="8"/>
      <name val="Calibri"/>
    </font>
    <font>
      <b val="1"/>
      <sz val="10"/>
      <color indexed="8"/>
      <name val="Verdana"/>
    </font>
    <font>
      <i val="1"/>
      <sz val="12"/>
      <color indexed="26"/>
      <name val="Calibri"/>
    </font>
    <font>
      <sz val="12"/>
      <color indexed="27"/>
      <name val="Calibri"/>
    </font>
    <font>
      <b val="1"/>
      <sz val="12"/>
      <color indexed="28"/>
      <name val="Calibri"/>
    </font>
    <font>
      <sz val="12"/>
      <color indexed="9"/>
      <name val="Calibri"/>
    </font>
    <font>
      <b val="1"/>
      <sz val="12"/>
      <color indexed="30"/>
      <name val="Calibri"/>
    </font>
    <font>
      <b val="1"/>
      <sz val="12"/>
      <color indexed="25"/>
      <name val="Calibri"/>
    </font>
    <font>
      <b val="1"/>
      <sz val="12"/>
      <color indexed="24"/>
      <name val="Calibri"/>
    </font>
    <font>
      <sz val="12"/>
      <color indexed="30"/>
      <name val="Calibri"/>
    </font>
    <font>
      <b val="1"/>
      <sz val="12"/>
      <color indexed="31"/>
      <name val="Calibri"/>
    </font>
    <font>
      <sz val="12"/>
      <color indexed="25"/>
      <name val="Calibri"/>
    </font>
    <font>
      <sz val="11"/>
      <color indexed="8"/>
      <name val="Liberation Sans"/>
    </font>
    <font>
      <sz val="12"/>
      <color indexed="8"/>
      <name val="Liberation Sans"/>
    </font>
    <font>
      <sz val="12"/>
      <color indexed="8"/>
      <name val="Cambria"/>
    </font>
  </fonts>
  <fills count="2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3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37"/>
        <bgColor auto="1"/>
      </patternFill>
    </fill>
    <fill>
      <patternFill patternType="solid">
        <fgColor indexed="38"/>
        <bgColor auto="1"/>
      </patternFill>
    </fill>
    <fill>
      <patternFill patternType="solid">
        <fgColor indexed="39"/>
        <bgColor auto="1"/>
      </patternFill>
    </fill>
    <fill>
      <patternFill patternType="solid">
        <fgColor indexed="40"/>
        <bgColor auto="1"/>
      </patternFill>
    </fill>
    <fill>
      <patternFill patternType="solid">
        <fgColor indexed="41"/>
        <bgColor auto="1"/>
      </patternFill>
    </fill>
    <fill>
      <patternFill patternType="solid">
        <fgColor indexed="42"/>
        <bgColor auto="1"/>
      </patternFill>
    </fill>
  </fills>
  <borders count="6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ck">
        <color indexed="8"/>
      </left>
      <right style="thin">
        <color indexed="9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ck">
        <color indexed="10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ck">
        <color indexed="10"/>
      </right>
      <top style="thick">
        <color indexed="8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8"/>
      </bottom>
      <diagonal/>
    </border>
    <border>
      <left style="thick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ck">
        <color indexed="10"/>
      </right>
      <top style="thin">
        <color indexed="8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10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>
        <color indexed="16"/>
      </left>
      <right style="thin">
        <color indexed="16"/>
      </right>
      <top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>
        <color indexed="8"/>
      </top>
      <bottom style="thin">
        <color indexed="8"/>
      </bottom>
      <diagonal/>
    </border>
    <border>
      <left style="thin">
        <color indexed="16"/>
      </left>
      <right>
        <color indexed="8"/>
      </right>
      <top>
        <color indexed="8"/>
      </top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>
        <color indexed="8"/>
      </right>
      <top style="thin">
        <color indexed="8"/>
      </top>
      <bottom style="thin">
        <color indexed="16"/>
      </bottom>
      <diagonal/>
    </border>
    <border>
      <left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>
        <color indexed="8"/>
      </bottom>
      <diagonal/>
    </border>
    <border>
      <left style="thin">
        <color indexed="16"/>
      </left>
      <right>
        <color indexed="8"/>
      </right>
      <top style="thin">
        <color indexed="16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hair">
        <color indexed="8"/>
      </bottom>
      <diagonal/>
    </border>
    <border>
      <left style="thin">
        <color indexed="16"/>
      </left>
      <right style="hair">
        <color indexed="8"/>
      </right>
      <top style="thin">
        <color indexed="16"/>
      </top>
      <bottom style="thin">
        <color indexed="16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hair">
        <color indexed="8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hair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 style="thin">
        <color indexed="8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49" fontId="2" fillId="2" borderId="4" applyNumberFormat="1" applyFont="1" applyFill="1" applyBorder="1" applyAlignment="1" applyProtection="0">
      <alignment horizontal="left" vertical="top" wrapText="1"/>
    </xf>
    <xf numFmtId="0" fontId="2" borderId="5" applyNumberFormat="0" applyFont="1" applyFill="0" applyBorder="1" applyAlignment="1" applyProtection="0">
      <alignment horizontal="left" vertical="top" wrapText="1"/>
    </xf>
    <xf numFmtId="0" fontId="0" borderId="6" applyNumberFormat="0" applyFont="1" applyFill="0" applyBorder="1" applyAlignment="1" applyProtection="0">
      <alignment vertical="top" wrapText="1"/>
    </xf>
    <xf numFmtId="49" fontId="3" fillId="2" borderId="7" applyNumberFormat="1" applyFont="1" applyFill="1" applyBorder="1" applyAlignment="1" applyProtection="0">
      <alignment horizontal="left" vertical="top" wrapText="1"/>
    </xf>
    <xf numFmtId="49" fontId="0" fillId="3" borderId="8" applyNumberFormat="1" applyFont="1" applyFill="1" applyBorder="1" applyAlignment="1" applyProtection="0">
      <alignment vertical="top" wrapText="1"/>
    </xf>
    <xf numFmtId="49" fontId="0" fillId="3" borderId="9" applyNumberFormat="1" applyFont="1" applyFill="1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49" fontId="0" fillId="3" borderId="7" applyNumberFormat="1" applyFont="1" applyFill="1" applyBorder="1" applyAlignment="1" applyProtection="0">
      <alignment vertical="top" wrapText="1"/>
    </xf>
    <xf numFmtId="59" fontId="0" fillId="4" borderId="7" applyNumberFormat="1" applyFont="1" applyFill="1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49" fontId="0" fillId="3" borderId="12" applyNumberFormat="1" applyFont="1" applyFill="1" applyBorder="1" applyAlignment="1" applyProtection="0">
      <alignment vertical="top" wrapText="1"/>
    </xf>
    <xf numFmtId="60" fontId="0" fillId="5" borderId="9" applyNumberFormat="1" applyFont="1" applyFill="1" applyBorder="1" applyAlignment="1" applyProtection="0">
      <alignment vertical="top" wrapText="1"/>
    </xf>
    <xf numFmtId="49" fontId="0" fillId="5" borderId="9" applyNumberFormat="1" applyFont="1" applyFill="1" applyBorder="1" applyAlignment="1" applyProtection="0">
      <alignment horizontal="center" vertical="top" wrapText="1"/>
    </xf>
    <xf numFmtId="0" fontId="0" borderId="13" applyNumberFormat="0" applyFont="1" applyFill="0" applyBorder="1" applyAlignment="1" applyProtection="0">
      <alignment vertical="top" wrapText="1"/>
    </xf>
    <xf numFmtId="61" fontId="0" fillId="4" borderId="7" applyNumberFormat="1" applyFont="1" applyFill="1" applyBorder="1" applyAlignment="1" applyProtection="0">
      <alignment vertical="top" wrapText="1"/>
    </xf>
    <xf numFmtId="60" fontId="0" fillId="5" borderId="14" applyNumberFormat="1" applyFont="1" applyFill="1" applyBorder="1" applyAlignment="1" applyProtection="0">
      <alignment vertical="top" wrapText="1"/>
    </xf>
    <xf numFmtId="9" fontId="0" fillId="4" borderId="7" applyNumberFormat="1" applyFont="1" applyFill="1" applyBorder="1" applyAlignment="1" applyProtection="0">
      <alignment vertical="top" wrapText="1"/>
    </xf>
    <xf numFmtId="49" fontId="0" fillId="5" borderId="9" applyNumberFormat="1" applyFont="1" applyFill="1" applyBorder="1" applyAlignment="1" applyProtection="0">
      <alignment horizontal="center" vertical="bottom"/>
    </xf>
    <xf numFmtId="0" fontId="0" borderId="15" applyNumberFormat="1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60" fontId="0" fillId="5" borderId="17" applyNumberFormat="1" applyFont="1" applyFill="1" applyBorder="1" applyAlignment="1" applyProtection="0">
      <alignment vertical="top" wrapText="1"/>
    </xf>
    <xf numFmtId="60" fontId="0" fillId="4" borderId="7" applyNumberFormat="1" applyFont="1" applyFill="1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top" wrapText="1"/>
    </xf>
    <xf numFmtId="0" fontId="0" borderId="20" applyNumberFormat="0" applyFont="1" applyFill="0" applyBorder="1" applyAlignment="1" applyProtection="0">
      <alignment vertical="top" wrapText="1"/>
    </xf>
    <xf numFmtId="0" fontId="0" borderId="21" applyNumberFormat="0" applyFont="1" applyFill="0" applyBorder="1" applyAlignment="1" applyProtection="0">
      <alignment vertical="top" wrapText="1"/>
    </xf>
    <xf numFmtId="49" fontId="4" fillId="2" borderId="4" applyNumberFormat="1" applyFont="1" applyFill="1" applyBorder="1" applyAlignment="1" applyProtection="0">
      <alignment vertical="top" wrapText="1"/>
    </xf>
    <xf numFmtId="0" fontId="3" borderId="5" applyNumberFormat="0" applyFont="1" applyFill="0" applyBorder="1" applyAlignment="1" applyProtection="0">
      <alignment horizontal="left" vertical="top" wrapText="1"/>
    </xf>
    <xf numFmtId="49" fontId="2" fillId="2" borderId="22" applyNumberFormat="1" applyFont="1" applyFill="1" applyBorder="1" applyAlignment="1" applyProtection="0">
      <alignment horizontal="left" vertical="top" wrapText="1"/>
    </xf>
    <xf numFmtId="49" fontId="6" fillId="3" borderId="7" applyNumberFormat="1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23" applyNumberFormat="0" applyFont="1" applyFill="0" applyBorder="1" applyAlignment="1" applyProtection="0">
      <alignment vertical="top" wrapText="1"/>
    </xf>
    <xf numFmtId="0" fontId="0" borderId="24" applyNumberFormat="0" applyFont="1" applyFill="0" applyBorder="1" applyAlignment="1" applyProtection="0">
      <alignment vertical="top" wrapText="1"/>
    </xf>
    <xf numFmtId="49" fontId="0" fillId="6" borderId="9" applyNumberFormat="1" applyFont="1" applyFill="1" applyBorder="1" applyAlignment="1" applyProtection="0">
      <alignment vertical="top" wrapText="1"/>
    </xf>
    <xf numFmtId="60" fontId="0" fillId="6" borderId="9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0" fontId="6" borderId="25" applyNumberFormat="1" applyFont="1" applyFill="0" applyBorder="1" applyAlignment="1" applyProtection="0">
      <alignment vertical="bottom"/>
    </xf>
    <xf numFmtId="1" fontId="6" borderId="25" applyNumberFormat="1" applyFont="1" applyFill="0" applyBorder="1" applyAlignment="1" applyProtection="0">
      <alignment vertical="bottom"/>
    </xf>
    <xf numFmtId="49" fontId="6" fillId="3" borderId="25" applyNumberFormat="1" applyFont="1" applyFill="1" applyBorder="1" applyAlignment="1" applyProtection="0">
      <alignment vertical="bottom"/>
    </xf>
    <xf numFmtId="49" fontId="0" borderId="25" applyNumberFormat="1" applyFont="1" applyFill="0" applyBorder="1" applyAlignment="1" applyProtection="0">
      <alignment vertical="bottom"/>
    </xf>
    <xf numFmtId="0" fontId="0" borderId="25" applyNumberFormat="1" applyFont="1" applyFill="0" applyBorder="1" applyAlignment="1" applyProtection="0">
      <alignment vertical="bottom"/>
    </xf>
    <xf numFmtId="62" fontId="0" borderId="25" applyNumberFormat="1" applyFont="1" applyFill="0" applyBorder="1" applyAlignment="1" applyProtection="0">
      <alignment vertical="bottom"/>
    </xf>
    <xf numFmtId="60" fontId="0" borderId="25" applyNumberFormat="1" applyFont="1" applyFill="0" applyBorder="1" applyAlignment="1" applyProtection="0">
      <alignment vertical="bottom"/>
    </xf>
    <xf numFmtId="49" fontId="6" borderId="25" applyNumberFormat="1" applyFont="1" applyFill="0" applyBorder="1" applyAlignment="1" applyProtection="0">
      <alignment vertical="bottom"/>
    </xf>
    <xf numFmtId="60" fontId="6" borderId="25" applyNumberFormat="1" applyFont="1" applyFill="0" applyBorder="1" applyAlignment="1" applyProtection="0">
      <alignment vertical="bottom"/>
    </xf>
    <xf numFmtId="61" fontId="6" fillId="6" borderId="25" applyNumberFormat="1" applyFont="1" applyFill="1" applyBorder="1" applyAlignment="1" applyProtection="0">
      <alignment vertical="bottom"/>
    </xf>
    <xf numFmtId="60" fontId="6" fillId="6" borderId="25" applyNumberFormat="1" applyFont="1" applyFill="1" applyBorder="1" applyAlignment="1" applyProtection="0">
      <alignment vertical="bottom"/>
    </xf>
    <xf numFmtId="0" fontId="6" fillId="6" borderId="25" applyNumberFormat="1" applyFont="1" applyFill="1" applyBorder="1" applyAlignment="1" applyProtection="0">
      <alignment vertical="bottom"/>
    </xf>
    <xf numFmtId="62" fontId="6" borderId="25" applyNumberFormat="1" applyFont="1" applyFill="0" applyBorder="1" applyAlignment="1" applyProtection="0">
      <alignment vertical="bottom"/>
    </xf>
    <xf numFmtId="0" fontId="0" fillId="6" borderId="2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vertical="top" wrapText="1"/>
    </xf>
    <xf numFmtId="49" fontId="3" fillId="2" borderId="2" applyNumberFormat="1" applyFont="1" applyFill="1" applyBorder="1" applyAlignment="1" applyProtection="0">
      <alignment horizontal="left" vertical="top" wrapText="1"/>
    </xf>
    <xf numFmtId="49" fontId="0" borderId="2" applyNumberFormat="1" applyFont="1" applyFill="0" applyBorder="1" applyAlignment="1" applyProtection="0">
      <alignment vertical="top" wrapText="1"/>
    </xf>
    <xf numFmtId="0" fontId="0" fillId="4" borderId="2" applyNumberFormat="1" applyFont="1" applyFill="1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60" fontId="0" borderId="2" applyNumberFormat="1" applyFont="1" applyFill="0" applyBorder="1" applyAlignment="1" applyProtection="0">
      <alignment vertical="top" wrapText="1"/>
    </xf>
    <xf numFmtId="62" fontId="0" borderId="2" applyNumberFormat="1" applyFont="1" applyFill="0" applyBorder="1" applyAlignment="1" applyProtection="0">
      <alignment vertical="top" wrapText="1"/>
    </xf>
    <xf numFmtId="59" fontId="0" fillId="4" borderId="2" applyNumberFormat="1" applyFont="1" applyFill="1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60" fontId="0" fillId="7" borderId="2" applyNumberFormat="1" applyFont="1" applyFill="1" applyBorder="1" applyAlignment="1" applyProtection="0">
      <alignment vertical="top" wrapText="1"/>
    </xf>
    <xf numFmtId="63" fontId="0" borderId="2" applyNumberFormat="1" applyFont="1" applyFill="0" applyBorder="1" applyAlignment="1" applyProtection="0">
      <alignment vertical="top" wrapText="1"/>
    </xf>
    <xf numFmtId="61" fontId="0" fillId="7" borderId="2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bottom"/>
    </xf>
    <xf numFmtId="1" fontId="0" fillId="8" borderId="26" applyNumberFormat="1" applyFont="1" applyFill="1" applyBorder="1" applyAlignment="1" applyProtection="0">
      <alignment vertical="bottom"/>
    </xf>
    <xf numFmtId="49" fontId="6" fillId="8" borderId="26" applyNumberFormat="1" applyFont="1" applyFill="1" applyBorder="1" applyAlignment="1" applyProtection="0">
      <alignment horizontal="center" vertical="bottom"/>
    </xf>
    <xf numFmtId="1" fontId="6" fillId="8" borderId="26" applyNumberFormat="1" applyFont="1" applyFill="1" applyBorder="1" applyAlignment="1" applyProtection="0">
      <alignment horizontal="center" vertical="bottom"/>
    </xf>
    <xf numFmtId="49" fontId="11" borderId="27" applyNumberFormat="1" applyFont="1" applyFill="0" applyBorder="1" applyAlignment="1" applyProtection="0">
      <alignment vertical="bottom"/>
    </xf>
    <xf numFmtId="0" fontId="0" borderId="28" applyNumberFormat="0" applyFont="1" applyFill="0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0" fontId="0" borderId="30" applyNumberFormat="0" applyFont="1" applyFill="0" applyBorder="1" applyAlignment="1" applyProtection="0">
      <alignment vertical="bottom"/>
    </xf>
    <xf numFmtId="49" fontId="6" borderId="31" applyNumberFormat="1" applyFont="1" applyFill="0" applyBorder="1" applyAlignment="1" applyProtection="0">
      <alignment horizontal="center" vertical="bottom"/>
    </xf>
    <xf numFmtId="1" fontId="6" borderId="31" applyNumberFormat="1" applyFont="1" applyFill="0" applyBorder="1" applyAlignment="1" applyProtection="0">
      <alignment horizontal="center" vertical="bottom"/>
    </xf>
    <xf numFmtId="1" fontId="0" fillId="8" borderId="32" applyNumberFormat="1" applyFont="1" applyFill="1" applyBorder="1" applyAlignment="1" applyProtection="0">
      <alignment vertical="bottom"/>
    </xf>
    <xf numFmtId="1" fontId="0" fillId="8" borderId="33" applyNumberFormat="1" applyFont="1" applyFill="1" applyBorder="1" applyAlignment="1" applyProtection="0">
      <alignment vertical="bottom"/>
    </xf>
    <xf numFmtId="1" fontId="0" borderId="31" applyNumberFormat="1" applyFont="1" applyFill="0" applyBorder="1" applyAlignment="1" applyProtection="0">
      <alignment vertical="bottom"/>
    </xf>
    <xf numFmtId="1" fontId="0" fillId="8" borderId="34" applyNumberFormat="1" applyFont="1" applyFill="1" applyBorder="1" applyAlignment="1" applyProtection="0">
      <alignment vertical="bottom"/>
    </xf>
    <xf numFmtId="49" fontId="0" borderId="31" applyNumberFormat="1" applyFont="1" applyFill="0" applyBorder="1" applyAlignment="1" applyProtection="0">
      <alignment horizontal="right" vertical="bottom"/>
    </xf>
    <xf numFmtId="49" fontId="0" borderId="31" applyNumberFormat="1" applyFont="1" applyFill="0" applyBorder="1" applyAlignment="1" applyProtection="0">
      <alignment vertical="bottom"/>
    </xf>
    <xf numFmtId="65" fontId="12" borderId="31" applyNumberFormat="1" applyFont="1" applyFill="0" applyBorder="1" applyAlignment="1" applyProtection="0">
      <alignment vertical="bottom"/>
    </xf>
    <xf numFmtId="1" fontId="12" borderId="31" applyNumberFormat="1" applyFont="1" applyFill="0" applyBorder="1" applyAlignment="1" applyProtection="0">
      <alignment vertical="bottom"/>
    </xf>
    <xf numFmtId="0" fontId="0" borderId="31" applyNumberFormat="1" applyFont="1" applyFill="0" applyBorder="1" applyAlignment="1" applyProtection="0">
      <alignment vertical="bottom"/>
    </xf>
    <xf numFmtId="1" fontId="0" borderId="35" applyNumberFormat="1" applyFont="1" applyFill="0" applyBorder="1" applyAlignment="1" applyProtection="0">
      <alignment vertical="bottom"/>
    </xf>
    <xf numFmtId="1" fontId="0" borderId="36" applyNumberFormat="1" applyFont="1" applyFill="0" applyBorder="1" applyAlignment="1" applyProtection="0">
      <alignment vertical="bottom"/>
    </xf>
    <xf numFmtId="1" fontId="0" borderId="37" applyNumberFormat="1" applyFont="1" applyFill="0" applyBorder="1" applyAlignment="1" applyProtection="0">
      <alignment vertical="bottom"/>
    </xf>
    <xf numFmtId="1" fontId="0" fillId="8" borderId="38" applyNumberFormat="1" applyFont="1" applyFill="1" applyBorder="1" applyAlignment="1" applyProtection="0">
      <alignment vertical="bottom"/>
    </xf>
    <xf numFmtId="49" fontId="0" borderId="30" applyNumberFormat="1" applyFont="1" applyFill="0" applyBorder="1" applyAlignment="1" applyProtection="0">
      <alignment vertical="bottom"/>
    </xf>
    <xf numFmtId="9" fontId="13" fillId="9" borderId="31" applyNumberFormat="1" applyFont="1" applyFill="1" applyBorder="1" applyAlignment="1" applyProtection="0">
      <alignment vertical="bottom"/>
    </xf>
    <xf numFmtId="49" fontId="14" borderId="39" applyNumberFormat="1" applyFont="1" applyFill="0" applyBorder="1" applyAlignment="1" applyProtection="0">
      <alignment vertical="bottom"/>
    </xf>
    <xf numFmtId="0" fontId="0" borderId="40" applyNumberFormat="0" applyFont="1" applyFill="0" applyBorder="1" applyAlignment="1" applyProtection="0">
      <alignment vertical="bottom"/>
    </xf>
    <xf numFmtId="66" fontId="13" fillId="9" borderId="31" applyNumberFormat="1" applyFont="1" applyFill="1" applyBorder="1" applyAlignment="1" applyProtection="0">
      <alignment vertical="bottom"/>
    </xf>
    <xf numFmtId="0" fontId="0" borderId="35" applyNumberFormat="0" applyFont="1" applyFill="0" applyBorder="1" applyAlignment="1" applyProtection="0">
      <alignment vertical="bottom"/>
    </xf>
    <xf numFmtId="49" fontId="15" borderId="25" applyNumberFormat="1" applyFont="1" applyFill="0" applyBorder="1" applyAlignment="1" applyProtection="0">
      <alignment vertical="bottom"/>
    </xf>
    <xf numFmtId="0" fontId="0" borderId="41" applyNumberFormat="0" applyFont="1" applyFill="0" applyBorder="1" applyAlignment="1" applyProtection="0">
      <alignment vertical="bottom"/>
    </xf>
    <xf numFmtId="60" fontId="0" borderId="41" applyNumberFormat="1" applyFont="1" applyFill="0" applyBorder="1" applyAlignment="1" applyProtection="0">
      <alignment vertical="bottom"/>
    </xf>
    <xf numFmtId="0" fontId="0" borderId="42" applyNumberFormat="0" applyFont="1" applyFill="0" applyBorder="1" applyAlignment="1" applyProtection="0">
      <alignment vertical="bottom"/>
    </xf>
    <xf numFmtId="49" fontId="13" fillId="9" borderId="26" applyNumberFormat="1" applyFont="1" applyFill="1" applyBorder="1" applyAlignment="1" applyProtection="0">
      <alignment vertical="bottom"/>
    </xf>
    <xf numFmtId="60" fontId="0" fillId="8" borderId="26" applyNumberFormat="1" applyFont="1" applyFill="1" applyBorder="1" applyAlignment="1" applyProtection="0">
      <alignment vertical="bottom"/>
    </xf>
    <xf numFmtId="49" fontId="6" borderId="31" applyNumberFormat="1" applyFont="1" applyFill="0" applyBorder="1" applyAlignment="1" applyProtection="0">
      <alignment horizontal="center" vertical="center"/>
    </xf>
    <xf numFmtId="49" fontId="6" borderId="31" applyNumberFormat="1" applyFont="1" applyFill="0" applyBorder="1" applyAlignment="1" applyProtection="0">
      <alignment horizontal="center" vertical="center" wrapText="1"/>
    </xf>
    <xf numFmtId="49" fontId="15" borderId="31" applyNumberFormat="1" applyFont="1" applyFill="0" applyBorder="1" applyAlignment="1" applyProtection="0">
      <alignment horizontal="center" vertical="center" wrapText="1"/>
    </xf>
    <xf numFmtId="49" fontId="16" fillId="10" borderId="31" applyNumberFormat="1" applyFont="1" applyFill="1" applyBorder="1" applyAlignment="1" applyProtection="0">
      <alignment horizontal="center" vertical="center" wrapText="1"/>
    </xf>
    <xf numFmtId="49" fontId="6" fillId="8" borderId="32" applyNumberFormat="1" applyFont="1" applyFill="1" applyBorder="1" applyAlignment="1" applyProtection="0">
      <alignment horizontal="right" vertical="center" wrapText="1"/>
    </xf>
    <xf numFmtId="2" fontId="17" borderId="31" applyNumberFormat="1" applyFont="1" applyFill="0" applyBorder="1" applyAlignment="1" applyProtection="0">
      <alignment horizontal="center" vertical="bottom"/>
    </xf>
    <xf numFmtId="0" fontId="0" borderId="31" applyNumberFormat="1" applyFont="1" applyFill="0" applyBorder="1" applyAlignment="1" applyProtection="0">
      <alignment horizontal="center" vertical="bottom"/>
    </xf>
    <xf numFmtId="1" fontId="18" borderId="31" applyNumberFormat="1" applyFont="1" applyFill="0" applyBorder="1" applyAlignment="1" applyProtection="0">
      <alignment horizontal="center" vertical="bottom"/>
    </xf>
    <xf numFmtId="60" fontId="0" borderId="31" applyNumberFormat="1" applyFont="1" applyFill="0" applyBorder="1" applyAlignment="1" applyProtection="0">
      <alignment horizontal="center" vertical="bottom"/>
    </xf>
    <xf numFmtId="60" fontId="19" borderId="31" applyNumberFormat="1" applyFont="1" applyFill="0" applyBorder="1" applyAlignment="1" applyProtection="0">
      <alignment horizontal="center" vertical="bottom"/>
    </xf>
    <xf numFmtId="10" fontId="0" fillId="8" borderId="32" applyNumberFormat="1" applyFont="1" applyFill="1" applyBorder="1" applyAlignment="1" applyProtection="0">
      <alignment vertical="bottom"/>
    </xf>
    <xf numFmtId="2" fontId="16" borderId="31" applyNumberFormat="1" applyFont="1" applyFill="0" applyBorder="1" applyAlignment="1" applyProtection="0">
      <alignment horizontal="center" vertical="bottom"/>
    </xf>
    <xf numFmtId="0" fontId="20" borderId="31" applyNumberFormat="1" applyFont="1" applyFill="0" applyBorder="1" applyAlignment="1" applyProtection="0">
      <alignment horizontal="center" vertical="bottom"/>
    </xf>
    <xf numFmtId="1" fontId="20" borderId="31" applyNumberFormat="1" applyFont="1" applyFill="0" applyBorder="1" applyAlignment="1" applyProtection="0">
      <alignment horizontal="center" vertical="bottom"/>
    </xf>
    <xf numFmtId="60" fontId="20" borderId="31" applyNumberFormat="1" applyFont="1" applyFill="0" applyBorder="1" applyAlignment="1" applyProtection="0">
      <alignment horizontal="center" vertical="bottom"/>
    </xf>
    <xf numFmtId="60" fontId="16" borderId="31" applyNumberFormat="1" applyFont="1" applyFill="0" applyBorder="1" applyAlignment="1" applyProtection="0">
      <alignment horizontal="center" vertical="bottom"/>
    </xf>
    <xf numFmtId="10" fontId="14" fillId="8" borderId="32" applyNumberFormat="1" applyFont="1" applyFill="1" applyBorder="1" applyAlignment="1" applyProtection="0">
      <alignment vertical="bottom"/>
    </xf>
    <xf numFmtId="1" fontId="0" fillId="8" borderId="43" applyNumberFormat="1" applyFont="1" applyFill="1" applyBorder="1" applyAlignment="1" applyProtection="0">
      <alignment vertical="bottom"/>
    </xf>
    <xf numFmtId="1" fontId="14" fillId="8" borderId="43" applyNumberFormat="1" applyFont="1" applyFill="1" applyBorder="1" applyAlignment="1" applyProtection="0">
      <alignment vertical="bottom"/>
    </xf>
    <xf numFmtId="1" fontId="14" fillId="8" borderId="32" applyNumberFormat="1" applyFont="1" applyFill="1" applyBorder="1" applyAlignment="1" applyProtection="0">
      <alignment horizontal="center" vertical="bottom"/>
    </xf>
    <xf numFmtId="1" fontId="14" fillId="8" borderId="26" applyNumberFormat="1" applyFont="1" applyFill="1" applyBorder="1" applyAlignment="1" applyProtection="0">
      <alignment vertical="bottom"/>
    </xf>
    <xf numFmtId="1" fontId="6" fillId="8" borderId="26" applyNumberFormat="1" applyFont="1" applyFill="1" applyBorder="1" applyAlignment="1" applyProtection="0">
      <alignment horizontal="center" vertical="center"/>
    </xf>
    <xf numFmtId="1" fontId="6" fillId="8" borderId="26" applyNumberFormat="1" applyFont="1" applyFill="1" applyBorder="1" applyAlignment="1" applyProtection="0">
      <alignment horizontal="center" vertical="center" wrapText="1"/>
    </xf>
    <xf numFmtId="1" fontId="16" fillId="8" borderId="26" applyNumberFormat="1" applyFont="1" applyFill="1" applyBorder="1" applyAlignment="1" applyProtection="0">
      <alignment horizontal="center" vertical="center" wrapText="1"/>
    </xf>
    <xf numFmtId="2" fontId="0" fillId="8" borderId="26" applyNumberFormat="1" applyFont="1" applyFill="1" applyBorder="1" applyAlignment="1" applyProtection="0">
      <alignment horizontal="center" vertical="bottom"/>
    </xf>
    <xf numFmtId="1" fontId="0" fillId="8" borderId="26" applyNumberFormat="1" applyFont="1" applyFill="1" applyBorder="1" applyAlignment="1" applyProtection="0">
      <alignment horizontal="center" vertical="bottom"/>
    </xf>
    <xf numFmtId="60" fontId="0" fillId="8" borderId="26" applyNumberFormat="1" applyFont="1" applyFill="1" applyBorder="1" applyAlignment="1" applyProtection="0">
      <alignment horizontal="center" vertical="bottom"/>
    </xf>
    <xf numFmtId="60" fontId="19" fillId="8" borderId="26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borderId="44" applyNumberFormat="0" applyFont="1" applyFill="0" applyBorder="1" applyAlignment="1" applyProtection="0">
      <alignment vertical="bottom"/>
    </xf>
    <xf numFmtId="49" fontId="3" fillId="2" borderId="44" applyNumberFormat="1" applyFont="1" applyFill="1" applyBorder="1" applyAlignment="1" applyProtection="0">
      <alignment horizontal="left" vertical="bottom"/>
    </xf>
    <xf numFmtId="0" fontId="3" borderId="44" applyNumberFormat="0" applyFont="1" applyFill="0" applyBorder="1" applyAlignment="1" applyProtection="0">
      <alignment horizontal="left" vertical="bottom"/>
    </xf>
    <xf numFmtId="0" fontId="0" borderId="45" applyNumberFormat="0" applyFont="1" applyFill="0" applyBorder="1" applyAlignment="1" applyProtection="0">
      <alignment vertical="bottom"/>
    </xf>
    <xf numFmtId="49" fontId="0" fillId="11" borderId="46" applyNumberFormat="1" applyFont="1" applyFill="1" applyBorder="1" applyAlignment="1" applyProtection="0">
      <alignment horizontal="center" vertical="center"/>
    </xf>
    <xf numFmtId="1" fontId="0" fillId="11" borderId="46" applyNumberFormat="1" applyFont="1" applyFill="1" applyBorder="1" applyAlignment="1" applyProtection="0">
      <alignment horizontal="center" vertical="center"/>
    </xf>
    <xf numFmtId="0" fontId="0" borderId="47" applyNumberFormat="0" applyFont="1" applyFill="0" applyBorder="1" applyAlignment="1" applyProtection="0">
      <alignment vertical="bottom"/>
    </xf>
    <xf numFmtId="49" fontId="0" fillId="12" borderId="46" applyNumberFormat="1" applyFont="1" applyFill="1" applyBorder="1" applyAlignment="1" applyProtection="0">
      <alignment horizontal="center" vertical="center"/>
    </xf>
    <xf numFmtId="1" fontId="0" fillId="12" borderId="46" applyNumberFormat="1" applyFont="1" applyFill="1" applyBorder="1" applyAlignment="1" applyProtection="0">
      <alignment horizontal="center" vertical="center"/>
    </xf>
    <xf numFmtId="49" fontId="0" borderId="46" applyNumberFormat="1" applyFont="1" applyFill="0" applyBorder="1" applyAlignment="1" applyProtection="0">
      <alignment vertical="bottom"/>
    </xf>
    <xf numFmtId="59" fontId="0" fillId="13" borderId="46" applyNumberFormat="1" applyFont="1" applyFill="1" applyBorder="1" applyAlignment="1" applyProtection="0">
      <alignment vertical="bottom"/>
    </xf>
    <xf numFmtId="49" fontId="0" fillId="12" borderId="46" applyNumberFormat="1" applyFont="1" applyFill="1" applyBorder="1" applyAlignment="1" applyProtection="0">
      <alignment vertical="bottom"/>
    </xf>
    <xf numFmtId="49" fontId="0" borderId="48" applyNumberFormat="1" applyFont="1" applyFill="0" applyBorder="1" applyAlignment="1" applyProtection="0">
      <alignment horizontal="left" vertical="bottom"/>
    </xf>
    <xf numFmtId="59" fontId="0" fillId="13" borderId="46" applyNumberFormat="1" applyFont="1" applyFill="1" applyBorder="1" applyAlignment="1" applyProtection="0">
      <alignment horizontal="right" vertical="center"/>
    </xf>
    <xf numFmtId="49" fontId="0" fillId="14" borderId="46" applyNumberFormat="1" applyFont="1" applyFill="1" applyBorder="1" applyAlignment="1" applyProtection="0">
      <alignment vertical="bottom"/>
    </xf>
    <xf numFmtId="0" fontId="0" fillId="14" borderId="46" applyNumberFormat="1" applyFont="1" applyFill="1" applyBorder="1" applyAlignment="1" applyProtection="0">
      <alignment vertical="bottom"/>
    </xf>
    <xf numFmtId="0" fontId="0" fillId="15" borderId="46" applyNumberFormat="1" applyFont="1" applyFill="1" applyBorder="1" applyAlignment="1" applyProtection="0">
      <alignment vertical="bottom"/>
    </xf>
    <xf numFmtId="0" fontId="0" fillId="16" borderId="46" applyNumberFormat="1" applyFont="1" applyFill="1" applyBorder="1" applyAlignment="1" applyProtection="0">
      <alignment vertical="bottom"/>
    </xf>
    <xf numFmtId="60" fontId="0" fillId="16" borderId="46" applyNumberFormat="1" applyFont="1" applyFill="1" applyBorder="1" applyAlignment="1" applyProtection="0">
      <alignment vertical="bottom"/>
    </xf>
    <xf numFmtId="59" fontId="0" fillId="14" borderId="46" applyNumberFormat="1" applyFont="1" applyFill="1" applyBorder="1" applyAlignment="1" applyProtection="0">
      <alignment vertical="bottom"/>
    </xf>
    <xf numFmtId="67" fontId="0" fillId="15" borderId="46" applyNumberFormat="1" applyFont="1" applyFill="1" applyBorder="1" applyAlignment="1" applyProtection="0">
      <alignment vertical="bottom"/>
    </xf>
    <xf numFmtId="49" fontId="0" borderId="46" applyNumberFormat="1" applyFont="1" applyFill="0" applyBorder="1" applyAlignment="1" applyProtection="0">
      <alignment horizontal="left" vertical="center"/>
    </xf>
    <xf numFmtId="67" fontId="0" fillId="14" borderId="46" applyNumberFormat="1" applyFont="1" applyFill="1" applyBorder="1" applyAlignment="1" applyProtection="0">
      <alignment vertical="bottom"/>
    </xf>
    <xf numFmtId="60" fontId="0" fillId="13" borderId="46" applyNumberFormat="1" applyFont="1" applyFill="1" applyBorder="1" applyAlignment="1" applyProtection="0">
      <alignment horizontal="right" vertical="center"/>
    </xf>
    <xf numFmtId="0" fontId="0" borderId="49" applyNumberFormat="0" applyFont="1" applyFill="0" applyBorder="1" applyAlignment="1" applyProtection="0">
      <alignment vertical="bottom"/>
    </xf>
    <xf numFmtId="0" fontId="0" borderId="50" applyNumberFormat="0" applyFont="1" applyFill="0" applyBorder="1" applyAlignment="1" applyProtection="0">
      <alignment vertical="bottom"/>
    </xf>
    <xf numFmtId="49" fontId="0" borderId="51" applyNumberFormat="1" applyFont="1" applyFill="0" applyBorder="1" applyAlignment="1" applyProtection="0">
      <alignment vertical="bottom"/>
    </xf>
    <xf numFmtId="0" fontId="0" fillId="13" borderId="46" applyNumberFormat="1" applyFont="1" applyFill="1" applyBorder="1" applyAlignment="1" applyProtection="0">
      <alignment horizontal="right" vertical="center"/>
    </xf>
    <xf numFmtId="0" fontId="0" fillId="14" borderId="46" applyNumberFormat="0" applyFont="1" applyFill="1" applyBorder="1" applyAlignment="1" applyProtection="0">
      <alignment vertical="bottom"/>
    </xf>
    <xf numFmtId="49" fontId="0" fillId="14" borderId="46" applyNumberFormat="1" applyFont="1" applyFill="1" applyBorder="1" applyAlignment="1" applyProtection="0">
      <alignment vertical="bottom" wrapText="1"/>
    </xf>
    <xf numFmtId="49" fontId="0" borderId="45" applyNumberFormat="1" applyFont="1" applyFill="0" applyBorder="1" applyAlignment="1" applyProtection="0">
      <alignment vertical="bottom"/>
    </xf>
    <xf numFmtId="59" fontId="0" fillId="15" borderId="46" applyNumberFormat="1" applyFont="1" applyFill="1" applyBorder="1" applyAlignment="1" applyProtection="0">
      <alignment vertical="bottom"/>
    </xf>
    <xf numFmtId="1" fontId="0" borderId="25" applyNumberFormat="1" applyFont="1" applyFill="0" applyBorder="1" applyAlignment="1" applyProtection="0">
      <alignment vertical="bottom"/>
    </xf>
    <xf numFmtId="1" fontId="0" borderId="44" applyNumberFormat="1" applyFont="1" applyFill="0" applyBorder="1" applyAlignment="1" applyProtection="0">
      <alignment vertical="bottom"/>
    </xf>
    <xf numFmtId="1" fontId="0" borderId="52" applyNumberFormat="1" applyFont="1" applyFill="0" applyBorder="1" applyAlignment="1" applyProtection="0">
      <alignment vertical="bottom"/>
    </xf>
    <xf numFmtId="1" fontId="0" borderId="48" applyNumberFormat="1" applyFont="1" applyFill="0" applyBorder="1" applyAlignment="1" applyProtection="0">
      <alignment vertical="bottom"/>
    </xf>
    <xf numFmtId="1" fontId="0" borderId="50" applyNumberFormat="1" applyFont="1" applyFill="0" applyBorder="1" applyAlignment="1" applyProtection="0">
      <alignment vertical="bottom"/>
    </xf>
    <xf numFmtId="1" fontId="0" borderId="51" applyNumberFormat="1" applyFont="1" applyFill="0" applyBorder="1" applyAlignment="1" applyProtection="0">
      <alignment vertical="bottom"/>
    </xf>
    <xf numFmtId="1" fontId="0" borderId="52" applyNumberFormat="1" applyFont="1" applyFill="0" applyBorder="1" applyAlignment="1" applyProtection="0">
      <alignment horizontal="center" vertical="center"/>
    </xf>
    <xf numFmtId="1" fontId="0" borderId="50" applyNumberFormat="1" applyFont="1" applyFill="0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0" borderId="53" applyNumberFormat="0" applyFont="1" applyFill="0" applyBorder="1" applyAlignment="1" applyProtection="0">
      <alignment vertical="bottom"/>
    </xf>
    <xf numFmtId="49" fontId="21" fillId="2" borderId="31" applyNumberFormat="1" applyFont="1" applyFill="1" applyBorder="1" applyAlignment="1" applyProtection="0">
      <alignment horizontal="left" vertical="center"/>
    </xf>
    <xf numFmtId="1" fontId="21" fillId="17" borderId="31" applyNumberFormat="1" applyFont="1" applyFill="1" applyBorder="1" applyAlignment="1" applyProtection="0">
      <alignment horizontal="left" vertical="center"/>
    </xf>
    <xf numFmtId="0" fontId="0" borderId="54" applyNumberFormat="0" applyFont="1" applyFill="0" applyBorder="1" applyAlignment="1" applyProtection="0">
      <alignment vertical="bottom"/>
    </xf>
    <xf numFmtId="49" fontId="21" fillId="18" borderId="31" applyNumberFormat="1" applyFont="1" applyFill="1" applyBorder="1" applyAlignment="1" applyProtection="0">
      <alignment horizontal="center" vertical="center"/>
    </xf>
    <xf numFmtId="1" fontId="21" fillId="18" borderId="31" applyNumberFormat="1" applyFont="1" applyFill="1" applyBorder="1" applyAlignment="1" applyProtection="0">
      <alignment horizontal="center" vertical="center"/>
    </xf>
    <xf numFmtId="0" fontId="0" borderId="39" applyNumberFormat="0" applyFont="1" applyFill="0" applyBorder="1" applyAlignment="1" applyProtection="0">
      <alignment vertical="bottom"/>
    </xf>
    <xf numFmtId="49" fontId="21" fillId="6" borderId="31" applyNumberFormat="1" applyFont="1" applyFill="1" applyBorder="1" applyAlignment="1" applyProtection="0">
      <alignment vertical="bottom"/>
    </xf>
    <xf numFmtId="0" fontId="21" fillId="4" borderId="31" applyNumberFormat="1" applyFont="1" applyFill="1" applyBorder="1" applyAlignment="1" applyProtection="0">
      <alignment vertical="bottom"/>
    </xf>
    <xf numFmtId="49" fontId="21" fillId="18" borderId="31" applyNumberFormat="1" applyFont="1" applyFill="1" applyBorder="1" applyAlignment="1" applyProtection="0">
      <alignment vertical="bottom"/>
    </xf>
    <xf numFmtId="49" fontId="21" fillId="6" borderId="31" applyNumberFormat="1" applyFont="1" applyFill="1" applyBorder="1" applyAlignment="1" applyProtection="0">
      <alignment horizontal="left" vertical="center"/>
    </xf>
    <xf numFmtId="0" fontId="21" fillId="4" borderId="31" applyNumberFormat="1" applyFont="1" applyFill="1" applyBorder="1" applyAlignment="1" applyProtection="0">
      <alignment horizontal="right" vertical="center"/>
    </xf>
    <xf numFmtId="49" fontId="21" fillId="19" borderId="31" applyNumberFormat="1" applyFont="1" applyFill="1" applyBorder="1" applyAlignment="1" applyProtection="0">
      <alignment vertical="bottom"/>
    </xf>
    <xf numFmtId="0" fontId="21" fillId="19" borderId="31" applyNumberFormat="1" applyFont="1" applyFill="1" applyBorder="1" applyAlignment="1" applyProtection="0">
      <alignment vertical="bottom"/>
    </xf>
    <xf numFmtId="0" fontId="21" fillId="20" borderId="31" applyNumberFormat="1" applyFont="1" applyFill="1" applyBorder="1" applyAlignment="1" applyProtection="0">
      <alignment vertical="bottom"/>
    </xf>
    <xf numFmtId="49" fontId="2" fillId="21" borderId="31" applyNumberFormat="1" applyFont="1" applyFill="1" applyBorder="1" applyAlignment="1" applyProtection="0">
      <alignment horizontal="left" vertical="center"/>
    </xf>
    <xf numFmtId="0" fontId="2" borderId="31" applyNumberFormat="0" applyFont="1" applyFill="0" applyBorder="1" applyAlignment="1" applyProtection="0">
      <alignment horizontal="left" vertical="center"/>
    </xf>
    <xf numFmtId="1" fontId="21" borderId="55" applyNumberFormat="1" applyFont="1" applyFill="0" applyBorder="1" applyAlignment="1" applyProtection="0">
      <alignment vertical="bottom"/>
    </xf>
    <xf numFmtId="1" fontId="21" borderId="35" applyNumberFormat="1" applyFont="1" applyFill="0" applyBorder="1" applyAlignment="1" applyProtection="0">
      <alignment vertical="bottom"/>
    </xf>
    <xf numFmtId="0" fontId="0" borderId="56" applyNumberFormat="0" applyFont="1" applyFill="0" applyBorder="1" applyAlignment="1" applyProtection="0">
      <alignment vertical="bottom"/>
    </xf>
    <xf numFmtId="49" fontId="21" fillId="21" borderId="31" applyNumberFormat="1" applyFont="1" applyFill="1" applyBorder="1" applyAlignment="1" applyProtection="0">
      <alignment vertical="bottom"/>
    </xf>
    <xf numFmtId="1" fontId="21" borderId="39" applyNumberFormat="1" applyFont="1" applyFill="0" applyBorder="1" applyAlignment="1" applyProtection="0">
      <alignment vertical="bottom"/>
    </xf>
    <xf numFmtId="1" fontId="21" borderId="25" applyNumberFormat="1" applyFont="1" applyFill="0" applyBorder="1" applyAlignment="1" applyProtection="0">
      <alignment vertical="bottom"/>
    </xf>
    <xf numFmtId="49" fontId="22" borderId="56" applyNumberFormat="1" applyFont="1" applyFill="0" applyBorder="1" applyAlignment="1" applyProtection="0">
      <alignment horizontal="right" vertical="bottom"/>
    </xf>
    <xf numFmtId="0" fontId="21" fillId="22" borderId="31" applyNumberFormat="1" applyFont="1" applyFill="1" applyBorder="1" applyAlignment="1" applyProtection="0">
      <alignment vertical="bottom"/>
    </xf>
    <xf numFmtId="49" fontId="21" fillId="22" borderId="31" applyNumberFormat="1" applyFont="1" applyFill="1" applyBorder="1" applyAlignment="1" applyProtection="0">
      <alignment vertical="bottom"/>
    </xf>
    <xf numFmtId="67" fontId="21" fillId="22" borderId="31" applyNumberFormat="1" applyFont="1" applyFill="1" applyBorder="1" applyAlignment="1" applyProtection="0">
      <alignment vertical="bottom"/>
    </xf>
    <xf numFmtId="1" fontId="21" fillId="4" borderId="31" applyNumberFormat="1" applyFont="1" applyFill="1" applyBorder="1" applyAlignment="1" applyProtection="0">
      <alignment horizontal="right" vertical="center"/>
    </xf>
    <xf numFmtId="49" fontId="0" fillId="6" borderId="31" applyNumberFormat="1" applyFont="1" applyFill="1" applyBorder="1" applyAlignment="1" applyProtection="0">
      <alignment vertical="bottom"/>
    </xf>
    <xf numFmtId="0" fontId="0" borderId="31" applyNumberFormat="0" applyFont="1" applyFill="0" applyBorder="1" applyAlignment="1" applyProtection="0">
      <alignment vertical="bottom"/>
    </xf>
    <xf numFmtId="1" fontId="21" borderId="25" applyNumberFormat="1" applyFont="1" applyFill="0" applyBorder="1" applyAlignment="1" applyProtection="0">
      <alignment horizontal="right" vertical="center"/>
    </xf>
    <xf numFmtId="49" fontId="0" fillId="4" borderId="31" applyNumberFormat="1" applyFont="1" applyFill="1" applyBorder="1" applyAlignment="1" applyProtection="0">
      <alignment vertical="bottom"/>
    </xf>
    <xf numFmtId="1" fontId="21" borderId="57" applyNumberFormat="1" applyFont="1" applyFill="0" applyBorder="1" applyAlignment="1" applyProtection="0">
      <alignment vertical="bottom"/>
    </xf>
    <xf numFmtId="1" fontId="21" borderId="36" applyNumberFormat="1" applyFont="1" applyFill="0" applyBorder="1" applyAlignment="1" applyProtection="0">
      <alignment vertical="bottom"/>
    </xf>
    <xf numFmtId="1" fontId="21" borderId="53" applyNumberFormat="1" applyFont="1" applyFill="0" applyBorder="1" applyAlignment="1" applyProtection="0">
      <alignment vertical="bottom"/>
    </xf>
    <xf numFmtId="0" fontId="0" borderId="35" applyNumberFormat="1" applyFont="1" applyFill="0" applyBorder="1" applyAlignment="1" applyProtection="0">
      <alignment vertical="bottom"/>
    </xf>
    <xf numFmtId="0" fontId="0" fillId="4" borderId="31" applyNumberFormat="1" applyFont="1" applyFill="1" applyBorder="1" applyAlignment="1" applyProtection="0">
      <alignment vertical="bottom"/>
    </xf>
    <xf numFmtId="1" fontId="21" borderId="53" applyNumberFormat="1" applyFont="1" applyFill="0" applyBorder="1" applyAlignment="1" applyProtection="0">
      <alignment horizontal="right" vertical="center"/>
    </xf>
    <xf numFmtId="1" fontId="21" fillId="18" borderId="58" applyNumberFormat="1" applyFont="1" applyFill="1" applyBorder="1" applyAlignment="1" applyProtection="0">
      <alignment horizontal="center" vertical="center"/>
    </xf>
    <xf numFmtId="0" fontId="0" borderId="59" applyNumberFormat="0" applyFont="1" applyFill="0" applyBorder="1" applyAlignment="1" applyProtection="0">
      <alignment vertical="bottom"/>
    </xf>
    <xf numFmtId="49" fontId="21" fillId="18" borderId="60" applyNumberFormat="1" applyFont="1" applyFill="1" applyBorder="1" applyAlignment="1" applyProtection="0">
      <alignment vertical="bottom"/>
    </xf>
    <xf numFmtId="0" fontId="21" borderId="31" applyNumberFormat="0" applyFont="1" applyFill="0" applyBorder="1" applyAlignment="1" applyProtection="0">
      <alignment horizontal="center" vertical="center"/>
    </xf>
    <xf numFmtId="49" fontId="21" fillId="21" borderId="31" applyNumberFormat="1" applyFont="1" applyFill="1" applyBorder="1" applyAlignment="1" applyProtection="0">
      <alignment horizontal="center" vertical="bottom"/>
    </xf>
    <xf numFmtId="49" fontId="0" borderId="39" applyNumberFormat="1" applyFont="1" applyFill="0" applyBorder="1" applyAlignment="1" applyProtection="0">
      <alignment vertical="bottom"/>
    </xf>
    <xf numFmtId="0" fontId="0" borderId="39" applyNumberFormat="1" applyFont="1" applyFill="0" applyBorder="1" applyAlignment="1" applyProtection="0">
      <alignment vertical="bottom"/>
    </xf>
    <xf numFmtId="67" fontId="0" borderId="39" applyNumberFormat="1" applyFont="1" applyFill="0" applyBorder="1" applyAlignment="1" applyProtection="0">
      <alignment vertical="bottom"/>
    </xf>
    <xf numFmtId="1" fontId="21" fillId="18" borderId="61" applyNumberFormat="1" applyFont="1" applyFill="1" applyBorder="1" applyAlignment="1" applyProtection="0">
      <alignment vertical="bottom"/>
    </xf>
    <xf numFmtId="49" fontId="21" fillId="18" borderId="62" applyNumberFormat="1" applyFont="1" applyFill="1" applyBorder="1" applyAlignment="1" applyProtection="0">
      <alignment vertical="bottom"/>
    </xf>
    <xf numFmtId="0" fontId="0" borderId="63" applyNumberFormat="0" applyFont="1" applyFill="0" applyBorder="1" applyAlignment="1" applyProtection="0">
      <alignment vertical="bottom"/>
    </xf>
    <xf numFmtId="49" fontId="0" fillId="23" borderId="35" applyNumberFormat="1" applyFont="1" applyFill="1" applyBorder="1" applyAlignment="1" applyProtection="0">
      <alignment vertical="bottom"/>
    </xf>
    <xf numFmtId="0" fontId="0" fillId="23" borderId="35" applyNumberFormat="0" applyFont="1" applyFill="1" applyBorder="1" applyAlignment="1" applyProtection="0">
      <alignment vertical="bottom"/>
    </xf>
    <xf numFmtId="0" fontId="0" fillId="5" borderId="25" applyNumberFormat="0" applyFont="1" applyFill="1" applyBorder="1" applyAlignment="1" applyProtection="0">
      <alignment vertical="bottom"/>
    </xf>
    <xf numFmtId="0" fontId="0" fillId="5" borderId="25" applyNumberFormat="1" applyFont="1" applyFill="1" applyBorder="1" applyAlignment="1" applyProtection="0">
      <alignment vertical="bottom"/>
    </xf>
    <xf numFmtId="49" fontId="0" fillId="23" borderId="25" applyNumberFormat="1" applyFont="1" applyFill="1" applyBorder="1" applyAlignment="1" applyProtection="0">
      <alignment vertical="bottom"/>
    </xf>
    <xf numFmtId="0" fontId="0" fillId="23" borderId="25" applyNumberFormat="1" applyFont="1" applyFill="1" applyBorder="1" applyAlignment="1" applyProtection="0">
      <alignment vertical="bottom"/>
    </xf>
    <xf numFmtId="49" fontId="0" fillId="3" borderId="25" applyNumberFormat="1" applyFont="1" applyFill="1" applyBorder="1" applyAlignment="1" applyProtection="0">
      <alignment vertical="bottom"/>
    </xf>
    <xf numFmtId="61" fontId="0" fillId="5" borderId="25" applyNumberFormat="1" applyFont="1" applyFill="1" applyBorder="1" applyAlignment="1" applyProtection="0">
      <alignment vertical="bottom"/>
    </xf>
    <xf numFmtId="59" fontId="0" fillId="5" borderId="25" applyNumberFormat="1" applyFont="1" applyFill="1" applyBorder="1" applyAlignment="1" applyProtection="0">
      <alignment vertical="bottom"/>
    </xf>
    <xf numFmtId="59" fontId="0" fillId="7" borderId="25" applyNumberFormat="1" applyFont="1" applyFill="1" applyBorder="1" applyAlignment="1" applyProtection="0">
      <alignment vertical="bottom"/>
    </xf>
    <xf numFmtId="61" fontId="0" fillId="7" borderId="25" applyNumberFormat="1" applyFont="1" applyFill="1" applyBorder="1" applyAlignment="1" applyProtection="0">
      <alignment vertical="bottom"/>
    </xf>
    <xf numFmtId="0" fontId="0" fillId="3" borderId="2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31" applyNumberFormat="1" applyFont="1" applyFill="0" applyBorder="1" applyAlignment="1" applyProtection="0">
      <alignment horizontal="center" vertical="bottom"/>
    </xf>
    <xf numFmtId="49" fontId="0" borderId="59" applyNumberFormat="1" applyFont="1" applyFill="0" applyBorder="1" applyAlignment="1" applyProtection="0">
      <alignment vertical="bottom"/>
    </xf>
    <xf numFmtId="68" fontId="23" borderId="31" applyNumberFormat="1" applyFont="1" applyFill="0" applyBorder="1" applyAlignment="1" applyProtection="0">
      <alignment horizontal="center" vertical="center" wrapText="1"/>
    </xf>
    <xf numFmtId="49" fontId="23" borderId="31" applyNumberFormat="1" applyFont="1" applyFill="0" applyBorder="1" applyAlignment="1" applyProtection="0">
      <alignment horizontal="center" vertical="center" wrapText="1"/>
    </xf>
    <xf numFmtId="60" fontId="23" borderId="31" applyNumberFormat="1" applyFont="1" applyFill="0" applyBorder="1" applyAlignment="1" applyProtection="0">
      <alignment horizontal="center" vertical="center" wrapText="1"/>
    </xf>
    <xf numFmtId="60" fontId="0" fillId="6" borderId="31" applyNumberFormat="1" applyFont="1" applyFill="1" applyBorder="1" applyAlignment="1" applyProtection="0">
      <alignment vertical="bottom"/>
    </xf>
    <xf numFmtId="1" fontId="0" borderId="39" applyNumberFormat="1" applyFont="1" applyFill="0" applyBorder="1" applyAlignment="1" applyProtection="0">
      <alignment vertical="bottom"/>
    </xf>
    <xf numFmtId="1" fontId="21" borderId="35" applyNumberFormat="1" applyFont="1" applyFill="0" applyBorder="1" applyAlignment="1" applyProtection="0">
      <alignment horizontal="left" vertical="center"/>
    </xf>
    <xf numFmtId="49" fontId="21" borderId="35" applyNumberFormat="1" applyFont="1" applyFill="0" applyBorder="1" applyAlignment="1" applyProtection="0">
      <alignment vertical="bottom"/>
    </xf>
    <xf numFmtId="1" fontId="21" fillId="3" borderId="35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515151"/>
      <rgbColor rgb="ffff2c21"/>
      <rgbColor rgb="ff9ce159"/>
      <rgbColor rgb="ffbfbfbf"/>
      <rgbColor rgb="ff63b2de"/>
      <rgbColor rgb="fff1d030"/>
      <rgbColor rgb="ffaaaaaa"/>
      <rgbColor rgb="ffffe061"/>
      <rgbColor rgb="ffffffff"/>
      <rgbColor rgb="ff878787"/>
      <rgbColor rgb="ffbababa"/>
      <rgbColor rgb="ff4bacc6"/>
      <rgbColor rgb="ff8064a2"/>
      <rgbColor rgb="ff395e89"/>
      <rgbColor rgb="ffc0504d"/>
      <rgbColor rgb="ffd8d8d8"/>
      <rgbColor rgb="ff595959"/>
      <rgbColor rgb="ff707070"/>
      <rgbColor rgb="ff903c39"/>
      <rgbColor rgb="ffb2b1a8"/>
      <rgbColor rgb="ff7f7f7f"/>
      <rgbColor rgb="ffff0000"/>
      <rgbColor rgb="ff0066cc"/>
      <rgbColor rgb="ff339966"/>
      <rgbColor rgb="ff00ccff"/>
      <rgbColor rgb="ff33cccc"/>
      <rgbColor rgb="ff00ff00"/>
      <rgbColor rgb="ff0099ff"/>
      <rgbColor rgb="ff00dcff"/>
      <rgbColor rgb="ff00cccc"/>
      <rgbColor rgb="ff33cc66"/>
      <rgbColor rgb="ff3deb3d"/>
      <rgbColor rgb="ff357ca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93998"/>
          <c:y val="0.0298875"/>
          <c:w val="0.929619"/>
          <c:h val="0.79808"/>
        </c:manualLayout>
      </c:layout>
      <c:scatterChart>
        <c:scatterStyle val="lineMarker"/>
        <c:varyColors val="0"/>
        <c:ser>
          <c:idx val="0"/>
          <c:order val="0"/>
          <c:tx>
            <c:v>Termino Potencia</c:v>
          </c:tx>
          <c:spPr>
            <a:noFill/>
            <a:ln w="25400" cap="flat">
              <a:solidFill>
                <a:srgbClr val="4BACC6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4BACC6"/>
                </a:solidFill>
                <a:prstDash val="solid"/>
                <a:bevel/>
              </a:ln>
              <a:effectLst/>
            </c:spPr>
          </c:marker>
          <c:dLbls>
            <c:numFmt formatCode="&quot;€&quot;#,##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'Electricitat'!$A$18:$A$38</c:f>
              <c:numCache>
                <c:ptCount val="21"/>
                <c:pt idx="0">
                  <c:v>1.000000</c:v>
                </c:pt>
                <c:pt idx="1">
                  <c:v>1.050000</c:v>
                </c:pt>
                <c:pt idx="2">
                  <c:v>1.100000</c:v>
                </c:pt>
                <c:pt idx="3">
                  <c:v>1.150000</c:v>
                </c:pt>
                <c:pt idx="4">
                  <c:v>1.200000</c:v>
                </c:pt>
                <c:pt idx="5">
                  <c:v>1.250000</c:v>
                </c:pt>
                <c:pt idx="6">
                  <c:v>1.300000</c:v>
                </c:pt>
                <c:pt idx="7">
                  <c:v>1.350000</c:v>
                </c:pt>
                <c:pt idx="8">
                  <c:v>1.400000</c:v>
                </c:pt>
                <c:pt idx="9">
                  <c:v>1.450000</c:v>
                </c:pt>
                <c:pt idx="10">
                  <c:v>1.500000</c:v>
                </c:pt>
                <c:pt idx="11">
                  <c:v>1.550000</c:v>
                </c:pt>
                <c:pt idx="12">
                  <c:v>1.600000</c:v>
                </c:pt>
                <c:pt idx="13">
                  <c:v>1.650000</c:v>
                </c:pt>
                <c:pt idx="14">
                  <c:v>1.700000</c:v>
                </c:pt>
                <c:pt idx="15">
                  <c:v>1.750000</c:v>
                </c:pt>
                <c:pt idx="16">
                  <c:v>1.800000</c:v>
                </c:pt>
                <c:pt idx="17">
                  <c:v>1.850000</c:v>
                </c:pt>
                <c:pt idx="18">
                  <c:v>1.900000</c:v>
                </c:pt>
                <c:pt idx="19">
                  <c:v>1.950000</c:v>
                </c:pt>
                <c:pt idx="20">
                  <c:v>2.000000</c:v>
                </c:pt>
              </c:numCache>
            </c:numRef>
          </c:xVal>
          <c:yVal>
            <c:numRef>
              <c:f>'Electricitat'!$D$18:$D$38</c:f>
              <c:numCache>
                <c:ptCount val="21"/>
                <c:pt idx="0">
                  <c:v>5192.378177</c:v>
                </c:pt>
                <c:pt idx="1">
                  <c:v>1721.345412</c:v>
                </c:pt>
                <c:pt idx="2">
                  <c:v>1803.314241</c:v>
                </c:pt>
                <c:pt idx="3">
                  <c:v>1885.283070</c:v>
                </c:pt>
                <c:pt idx="4">
                  <c:v>1967.251899</c:v>
                </c:pt>
                <c:pt idx="5">
                  <c:v>2049.220728</c:v>
                </c:pt>
                <c:pt idx="6">
                  <c:v>2131.189557</c:v>
                </c:pt>
                <c:pt idx="7">
                  <c:v>2213.158386</c:v>
                </c:pt>
                <c:pt idx="8">
                  <c:v>2295.127215</c:v>
                </c:pt>
                <c:pt idx="9">
                  <c:v>2377.096045</c:v>
                </c:pt>
                <c:pt idx="10">
                  <c:v>2459.064874</c:v>
                </c:pt>
                <c:pt idx="11">
                  <c:v>2541.033703</c:v>
                </c:pt>
                <c:pt idx="12">
                  <c:v>2623.002532</c:v>
                </c:pt>
                <c:pt idx="13">
                  <c:v>2704.971361</c:v>
                </c:pt>
                <c:pt idx="14">
                  <c:v>2786.940190</c:v>
                </c:pt>
                <c:pt idx="15">
                  <c:v>2868.909019</c:v>
                </c:pt>
                <c:pt idx="16">
                  <c:v>2950.877848</c:v>
                </c:pt>
                <c:pt idx="17">
                  <c:v>3032.846678</c:v>
                </c:pt>
                <c:pt idx="18">
                  <c:v>3114.815507</c:v>
                </c:pt>
                <c:pt idx="19">
                  <c:v>3196.784336</c:v>
                </c:pt>
                <c:pt idx="20">
                  <c:v>3278.753165</c:v>
                </c:pt>
              </c:numCache>
            </c:numRef>
          </c:yVal>
          <c:smooth val="0"/>
        </c:ser>
        <c:ser>
          <c:idx val="1"/>
          <c:order val="1"/>
          <c:tx>
            <c:v>KW Consumits</c:v>
          </c:tx>
          <c:spPr>
            <a:noFill/>
            <a:ln w="25400" cap="flat">
              <a:solidFill>
                <a:srgbClr val="000000"/>
              </a:solidFill>
              <a:prstDash val="dash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000000"/>
                </a:solidFill>
                <a:prstDash val="dash"/>
                <a:bevel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'Electricitat'!$A$18:$A$38</c:f>
              <c:numCache>
                <c:ptCount val="21"/>
                <c:pt idx="0">
                  <c:v>1.000000</c:v>
                </c:pt>
                <c:pt idx="1">
                  <c:v>1.050000</c:v>
                </c:pt>
                <c:pt idx="2">
                  <c:v>1.100000</c:v>
                </c:pt>
                <c:pt idx="3">
                  <c:v>1.150000</c:v>
                </c:pt>
                <c:pt idx="4">
                  <c:v>1.200000</c:v>
                </c:pt>
                <c:pt idx="5">
                  <c:v>1.250000</c:v>
                </c:pt>
                <c:pt idx="6">
                  <c:v>1.300000</c:v>
                </c:pt>
                <c:pt idx="7">
                  <c:v>1.350000</c:v>
                </c:pt>
                <c:pt idx="8">
                  <c:v>1.400000</c:v>
                </c:pt>
                <c:pt idx="9">
                  <c:v>1.450000</c:v>
                </c:pt>
                <c:pt idx="10">
                  <c:v>1.500000</c:v>
                </c:pt>
                <c:pt idx="11">
                  <c:v>1.550000</c:v>
                </c:pt>
                <c:pt idx="12">
                  <c:v>1.600000</c:v>
                </c:pt>
                <c:pt idx="13">
                  <c:v>1.650000</c:v>
                </c:pt>
                <c:pt idx="14">
                  <c:v>1.700000</c:v>
                </c:pt>
                <c:pt idx="15">
                  <c:v>1.750000</c:v>
                </c:pt>
                <c:pt idx="16">
                  <c:v>1.800000</c:v>
                </c:pt>
                <c:pt idx="17">
                  <c:v>1.850000</c:v>
                </c:pt>
                <c:pt idx="18">
                  <c:v>1.900000</c:v>
                </c:pt>
                <c:pt idx="19">
                  <c:v>1.950000</c:v>
                </c:pt>
                <c:pt idx="20">
                  <c:v>2.000000</c:v>
                </c:pt>
              </c:numCache>
            </c:numRef>
          </c:xVal>
          <c:yVal>
            <c:numRef>
              <c:f>'Electricitat'!$B$18:$B$38</c:f>
              <c:numCache>
                <c:ptCount val="21"/>
                <c:pt idx="0">
                  <c:v>742.379200</c:v>
                </c:pt>
                <c:pt idx="1">
                  <c:v>779.498160</c:v>
                </c:pt>
                <c:pt idx="2">
                  <c:v>816.617120</c:v>
                </c:pt>
                <c:pt idx="3">
                  <c:v>853.736080</c:v>
                </c:pt>
                <c:pt idx="4">
                  <c:v>890.855040</c:v>
                </c:pt>
                <c:pt idx="5">
                  <c:v>927.974000</c:v>
                </c:pt>
                <c:pt idx="6">
                  <c:v>965.092960</c:v>
                </c:pt>
                <c:pt idx="7">
                  <c:v>1002.211920</c:v>
                </c:pt>
                <c:pt idx="8">
                  <c:v>1039.330880</c:v>
                </c:pt>
                <c:pt idx="9">
                  <c:v>1076.449840</c:v>
                </c:pt>
                <c:pt idx="10">
                  <c:v>1113.568800</c:v>
                </c:pt>
                <c:pt idx="11">
                  <c:v>1150.687760</c:v>
                </c:pt>
                <c:pt idx="12">
                  <c:v>1187.806720</c:v>
                </c:pt>
                <c:pt idx="13">
                  <c:v>1224.925680</c:v>
                </c:pt>
                <c:pt idx="14">
                  <c:v>1262.044640</c:v>
                </c:pt>
                <c:pt idx="15">
                  <c:v>1299.163600</c:v>
                </c:pt>
                <c:pt idx="16">
                  <c:v>1336.282560</c:v>
                </c:pt>
                <c:pt idx="17">
                  <c:v>1373.401520</c:v>
                </c:pt>
                <c:pt idx="18">
                  <c:v>1410.520480</c:v>
                </c:pt>
                <c:pt idx="19">
                  <c:v>1447.639440</c:v>
                </c:pt>
                <c:pt idx="20">
                  <c:v>1484.758400</c:v>
                </c:pt>
              </c:numCache>
            </c:numRef>
          </c:yVal>
          <c:smooth val="0"/>
        </c:ser>
        <c:ser>
          <c:idx val="2"/>
          <c:order val="2"/>
          <c:tx>
            <c:v>Termino Energia</c:v>
          </c:tx>
          <c:spPr>
            <a:noFill/>
            <a:ln w="25400" cap="flat">
              <a:solidFill>
                <a:srgbClr val="8064A2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8064A2"/>
                </a:solidFill>
                <a:prstDash val="solid"/>
                <a:bevel/>
              </a:ln>
              <a:effectLst/>
            </c:spPr>
          </c:marker>
          <c:dLbls>
            <c:numFmt formatCode="&quot;€&quot;#,##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'Electricitat'!$A$18:$A$38</c:f>
              <c:numCache>
                <c:ptCount val="21"/>
                <c:pt idx="0">
                  <c:v>1.000000</c:v>
                </c:pt>
                <c:pt idx="1">
                  <c:v>1.050000</c:v>
                </c:pt>
                <c:pt idx="2">
                  <c:v>1.100000</c:v>
                </c:pt>
                <c:pt idx="3">
                  <c:v>1.150000</c:v>
                </c:pt>
                <c:pt idx="4">
                  <c:v>1.200000</c:v>
                </c:pt>
                <c:pt idx="5">
                  <c:v>1.250000</c:v>
                </c:pt>
                <c:pt idx="6">
                  <c:v>1.300000</c:v>
                </c:pt>
                <c:pt idx="7">
                  <c:v>1.350000</c:v>
                </c:pt>
                <c:pt idx="8">
                  <c:v>1.400000</c:v>
                </c:pt>
                <c:pt idx="9">
                  <c:v>1.450000</c:v>
                </c:pt>
                <c:pt idx="10">
                  <c:v>1.500000</c:v>
                </c:pt>
                <c:pt idx="11">
                  <c:v>1.550000</c:v>
                </c:pt>
                <c:pt idx="12">
                  <c:v>1.600000</c:v>
                </c:pt>
                <c:pt idx="13">
                  <c:v>1.650000</c:v>
                </c:pt>
                <c:pt idx="14">
                  <c:v>1.700000</c:v>
                </c:pt>
                <c:pt idx="15">
                  <c:v>1.750000</c:v>
                </c:pt>
                <c:pt idx="16">
                  <c:v>1.800000</c:v>
                </c:pt>
                <c:pt idx="17">
                  <c:v>1.850000</c:v>
                </c:pt>
                <c:pt idx="18">
                  <c:v>1.900000</c:v>
                </c:pt>
                <c:pt idx="19">
                  <c:v>1.950000</c:v>
                </c:pt>
                <c:pt idx="20">
                  <c:v>2.000000</c:v>
                </c:pt>
              </c:numCache>
            </c:numRef>
          </c:xVal>
          <c:yVal>
            <c:numRef>
              <c:f>'Electricitat'!$E$18:$E$38</c:f>
              <c:numCache>
                <c:ptCount val="21"/>
                <c:pt idx="0">
                  <c:v>128223.085100</c:v>
                </c:pt>
                <c:pt idx="1">
                  <c:v>134634.239355</c:v>
                </c:pt>
                <c:pt idx="2">
                  <c:v>141045.393610</c:v>
                </c:pt>
                <c:pt idx="3">
                  <c:v>147456.547865</c:v>
                </c:pt>
                <c:pt idx="4">
                  <c:v>153867.702120</c:v>
                </c:pt>
                <c:pt idx="5">
                  <c:v>160278.856375</c:v>
                </c:pt>
                <c:pt idx="6">
                  <c:v>166690.010630</c:v>
                </c:pt>
                <c:pt idx="7">
                  <c:v>173101.164885</c:v>
                </c:pt>
                <c:pt idx="8">
                  <c:v>179512.319140</c:v>
                </c:pt>
                <c:pt idx="9">
                  <c:v>185923.473395</c:v>
                </c:pt>
                <c:pt idx="10">
                  <c:v>192334.627650</c:v>
                </c:pt>
                <c:pt idx="11">
                  <c:v>198745.781905</c:v>
                </c:pt>
                <c:pt idx="12">
                  <c:v>205156.936160</c:v>
                </c:pt>
                <c:pt idx="13">
                  <c:v>211568.090415</c:v>
                </c:pt>
                <c:pt idx="14">
                  <c:v>217979.244670</c:v>
                </c:pt>
                <c:pt idx="15">
                  <c:v>224390.398925</c:v>
                </c:pt>
                <c:pt idx="16">
                  <c:v>230801.553180</c:v>
                </c:pt>
                <c:pt idx="17">
                  <c:v>237212.707435</c:v>
                </c:pt>
                <c:pt idx="18">
                  <c:v>243623.861690</c:v>
                </c:pt>
                <c:pt idx="19">
                  <c:v>250035.015945</c:v>
                </c:pt>
                <c:pt idx="20">
                  <c:v>256446.170200</c:v>
                </c:pt>
              </c:numCache>
            </c:numRef>
          </c:yVal>
          <c:smooth val="0"/>
        </c:ser>
        <c:ser>
          <c:idx val="3"/>
          <c:order val="3"/>
          <c:tx>
            <c:v>KW Contractats</c:v>
          </c:tx>
          <c:spPr>
            <a:noFill/>
            <a:ln w="25400" cap="flat">
              <a:solidFill>
                <a:srgbClr val="3A5E8A"/>
              </a:solidFill>
              <a:prstDash val="dash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3A5E8A"/>
                </a:solidFill>
                <a:prstDash val="dash"/>
                <a:bevel/>
              </a:ln>
              <a:effectLst/>
            </c:spPr>
          </c:marker>
          <c:dLbls>
            <c:numFmt formatCode="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'Electricitat'!$A$18:$A$38</c:f>
              <c:numCache>
                <c:ptCount val="21"/>
                <c:pt idx="0">
                  <c:v>1.000000</c:v>
                </c:pt>
                <c:pt idx="1">
                  <c:v>1.050000</c:v>
                </c:pt>
                <c:pt idx="2">
                  <c:v>1.100000</c:v>
                </c:pt>
                <c:pt idx="3">
                  <c:v>1.150000</c:v>
                </c:pt>
                <c:pt idx="4">
                  <c:v>1.200000</c:v>
                </c:pt>
                <c:pt idx="5">
                  <c:v>1.250000</c:v>
                </c:pt>
                <c:pt idx="6">
                  <c:v>1.300000</c:v>
                </c:pt>
                <c:pt idx="7">
                  <c:v>1.350000</c:v>
                </c:pt>
                <c:pt idx="8">
                  <c:v>1.400000</c:v>
                </c:pt>
                <c:pt idx="9">
                  <c:v>1.450000</c:v>
                </c:pt>
                <c:pt idx="10">
                  <c:v>1.500000</c:v>
                </c:pt>
                <c:pt idx="11">
                  <c:v>1.550000</c:v>
                </c:pt>
                <c:pt idx="12">
                  <c:v>1.600000</c:v>
                </c:pt>
                <c:pt idx="13">
                  <c:v>1.650000</c:v>
                </c:pt>
                <c:pt idx="14">
                  <c:v>1.700000</c:v>
                </c:pt>
                <c:pt idx="15">
                  <c:v>1.750000</c:v>
                </c:pt>
                <c:pt idx="16">
                  <c:v>1.800000</c:v>
                </c:pt>
                <c:pt idx="17">
                  <c:v>1.850000</c:v>
                </c:pt>
                <c:pt idx="18">
                  <c:v>1.900000</c:v>
                </c:pt>
                <c:pt idx="19">
                  <c:v>1.950000</c:v>
                </c:pt>
                <c:pt idx="20">
                  <c:v>2.000000</c:v>
                </c:pt>
              </c:numCache>
            </c:numRef>
          </c:xVal>
          <c:yVal>
            <c:numRef>
              <c:f>'Electricitat'!$C$18:$C$38</c:f>
              <c:numCache>
                <c:ptCount val="21"/>
                <c:pt idx="0">
                  <c:v>801.769536</c:v>
                </c:pt>
                <c:pt idx="1">
                  <c:v>841.858013</c:v>
                </c:pt>
                <c:pt idx="2">
                  <c:v>881.946490</c:v>
                </c:pt>
                <c:pt idx="3">
                  <c:v>922.034966</c:v>
                </c:pt>
                <c:pt idx="4">
                  <c:v>962.123443</c:v>
                </c:pt>
                <c:pt idx="5">
                  <c:v>1002.211920</c:v>
                </c:pt>
                <c:pt idx="6">
                  <c:v>1042.300397</c:v>
                </c:pt>
                <c:pt idx="7">
                  <c:v>1082.388874</c:v>
                </c:pt>
                <c:pt idx="8">
                  <c:v>1122.477350</c:v>
                </c:pt>
                <c:pt idx="9">
                  <c:v>1162.565827</c:v>
                </c:pt>
                <c:pt idx="10">
                  <c:v>1202.654304</c:v>
                </c:pt>
                <c:pt idx="11">
                  <c:v>1242.742781</c:v>
                </c:pt>
                <c:pt idx="12">
                  <c:v>1282.831258</c:v>
                </c:pt>
                <c:pt idx="13">
                  <c:v>1322.919734</c:v>
                </c:pt>
                <c:pt idx="14">
                  <c:v>1363.008211</c:v>
                </c:pt>
                <c:pt idx="15">
                  <c:v>1403.096688</c:v>
                </c:pt>
                <c:pt idx="16">
                  <c:v>1443.185165</c:v>
                </c:pt>
                <c:pt idx="17">
                  <c:v>1483.273642</c:v>
                </c:pt>
                <c:pt idx="18">
                  <c:v>1523.362118</c:v>
                </c:pt>
                <c:pt idx="19">
                  <c:v>1563.450595</c:v>
                </c:pt>
                <c:pt idx="20">
                  <c:v>1603.539072</c:v>
                </c:pt>
              </c:numCache>
            </c:numRef>
          </c:yVal>
          <c:smooth val="0"/>
        </c:ser>
        <c:ser>
          <c:idx val="4"/>
          <c:order val="4"/>
          <c:tx>
            <c:v>Factura</c:v>
          </c:tx>
          <c:spPr>
            <a:noFill/>
            <a:ln w="25400" cap="flat">
              <a:solidFill>
                <a:srgbClr val="C0504D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C0504D"/>
                </a:solidFill>
                <a:prstDash val="solid"/>
                <a:bevel/>
              </a:ln>
              <a:effectLst/>
            </c:spPr>
          </c:marker>
          <c:dLbls>
            <c:numFmt formatCode="&quot;€&quot;#,##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'Electricitat'!$A$18:$A$38</c:f>
              <c:numCache>
                <c:ptCount val="21"/>
                <c:pt idx="0">
                  <c:v>1.000000</c:v>
                </c:pt>
                <c:pt idx="1">
                  <c:v>1.050000</c:v>
                </c:pt>
                <c:pt idx="2">
                  <c:v>1.100000</c:v>
                </c:pt>
                <c:pt idx="3">
                  <c:v>1.150000</c:v>
                </c:pt>
                <c:pt idx="4">
                  <c:v>1.200000</c:v>
                </c:pt>
                <c:pt idx="5">
                  <c:v>1.250000</c:v>
                </c:pt>
                <c:pt idx="6">
                  <c:v>1.300000</c:v>
                </c:pt>
                <c:pt idx="7">
                  <c:v>1.350000</c:v>
                </c:pt>
                <c:pt idx="8">
                  <c:v>1.400000</c:v>
                </c:pt>
                <c:pt idx="9">
                  <c:v>1.450000</c:v>
                </c:pt>
                <c:pt idx="10">
                  <c:v>1.500000</c:v>
                </c:pt>
                <c:pt idx="11">
                  <c:v>1.550000</c:v>
                </c:pt>
                <c:pt idx="12">
                  <c:v>1.600000</c:v>
                </c:pt>
                <c:pt idx="13">
                  <c:v>1.650000</c:v>
                </c:pt>
                <c:pt idx="14">
                  <c:v>1.700000</c:v>
                </c:pt>
                <c:pt idx="15">
                  <c:v>1.750000</c:v>
                </c:pt>
                <c:pt idx="16">
                  <c:v>1.800000</c:v>
                </c:pt>
                <c:pt idx="17">
                  <c:v>1.850000</c:v>
                </c:pt>
                <c:pt idx="18">
                  <c:v>1.900000</c:v>
                </c:pt>
                <c:pt idx="19">
                  <c:v>1.950000</c:v>
                </c:pt>
                <c:pt idx="20">
                  <c:v>2.000000</c:v>
                </c:pt>
              </c:numCache>
            </c:numRef>
          </c:xVal>
          <c:yVal>
            <c:numRef>
              <c:f>'Electricitat'!$F$18:$F$38</c:f>
              <c:numCache>
                <c:ptCount val="21"/>
                <c:pt idx="0">
                  <c:v>133415.463277</c:v>
                </c:pt>
                <c:pt idx="1">
                  <c:v>136355.584766</c:v>
                </c:pt>
                <c:pt idx="2">
                  <c:v>142848.707851</c:v>
                </c:pt>
                <c:pt idx="3">
                  <c:v>149341.830935</c:v>
                </c:pt>
                <c:pt idx="4">
                  <c:v>155834.954019</c:v>
                </c:pt>
                <c:pt idx="5">
                  <c:v>162328.077103</c:v>
                </c:pt>
                <c:pt idx="6">
                  <c:v>168821.200187</c:v>
                </c:pt>
                <c:pt idx="7">
                  <c:v>175314.323271</c:v>
                </c:pt>
                <c:pt idx="8">
                  <c:v>181807.446355</c:v>
                </c:pt>
                <c:pt idx="9">
                  <c:v>188300.569439</c:v>
                </c:pt>
                <c:pt idx="10">
                  <c:v>194793.692523</c:v>
                </c:pt>
                <c:pt idx="11">
                  <c:v>201286.815608</c:v>
                </c:pt>
                <c:pt idx="12">
                  <c:v>207779.938692</c:v>
                </c:pt>
                <c:pt idx="13">
                  <c:v>214273.061776</c:v>
                </c:pt>
                <c:pt idx="14">
                  <c:v>220766.184860</c:v>
                </c:pt>
                <c:pt idx="15">
                  <c:v>227259.307944</c:v>
                </c:pt>
                <c:pt idx="16">
                  <c:v>233752.431028</c:v>
                </c:pt>
                <c:pt idx="17">
                  <c:v>240245.554112</c:v>
                </c:pt>
                <c:pt idx="18">
                  <c:v>246738.677196</c:v>
                </c:pt>
                <c:pt idx="19">
                  <c:v>253231.800280</c:v>
                </c:pt>
                <c:pt idx="20">
                  <c:v>259724.923365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  <c:max val="2"/>
          <c:min val="1"/>
        </c:scaling>
        <c:delete val="0"/>
        <c:axPos val="b"/>
        <c:minorGridlines>
          <c:spPr>
            <a:ln w="12700" cap="flat">
              <a:solidFill>
                <a:srgbClr val="BABABA"/>
              </a:solidFill>
              <a:prstDash val="solid"/>
              <a:bevel/>
            </a:ln>
          </c:spPr>
        </c:minorGridlines>
        <c:title>
          <c:tx>
            <c:rich>
              <a:bodyPr rot="0"/>
              <a:lstStyle/>
              <a:p>
                <a:pPr>
                  <a:defRPr b="1" i="0" strike="noStrike" sz="1000" u="none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 strike="noStrike" sz="1000" u="none">
                    <a:solidFill>
                      <a:srgbClr val="000000"/>
                    </a:solidFill>
                    <a:latin typeface="Verdana"/>
                  </a:rPr>
                  <a:t>PUE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0.25"/>
        <c:minorUnit val="0.125"/>
      </c:valAx>
      <c:valAx>
        <c:axId val="2094734553"/>
        <c:scaling>
          <c:orientation val="minMax"/>
          <c:min val="0"/>
        </c:scaling>
        <c:delete val="0"/>
        <c:axPos val="l"/>
        <c:minorGridlines>
          <c:spPr>
            <a:ln w="12700" cap="flat">
              <a:solidFill>
                <a:srgbClr val="BABABA"/>
              </a:solidFill>
              <a:prstDash val="solid"/>
              <a:bevel/>
            </a:ln>
          </c:spPr>
        </c:minorGridlines>
        <c:numFmt formatCode="#,##0&quot;€&quot;" sourceLinked="0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75000"/>
        <c:minorUnit val="3750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796909"/>
          <c:y val="0.957612"/>
          <c:w val="0.910695"/>
          <c:h val="0.042387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</xdr:col>
      <xdr:colOff>428866</xdr:colOff>
      <xdr:row>35</xdr:row>
      <xdr:rowOff>81326</xdr:rowOff>
    </xdr:from>
    <xdr:to>
      <xdr:col>12</xdr:col>
      <xdr:colOff>36045</xdr:colOff>
      <xdr:row>56</xdr:row>
      <xdr:rowOff>151766</xdr:rowOff>
    </xdr:to>
    <xdr:graphicFrame>
      <xdr:nvGraphicFramePr>
        <xdr:cNvPr id="2" name="Chart 2"/>
        <xdr:cNvGraphicFramePr/>
      </xdr:nvGraphicFramePr>
      <xdr:xfrm>
        <a:off x="5051666" y="8676051"/>
        <a:ext cx="11799180" cy="467419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/>
  </sheetViews>
  <sheetFormatPr defaultColWidth="16.3333" defaultRowHeight="18" customHeight="1" outlineLevelRow="0" outlineLevelCol="0"/>
  <cols>
    <col min="1" max="1" width="44.0859" style="1" customWidth="1"/>
    <col min="2" max="2" width="21.0859" style="1" customWidth="1"/>
    <col min="3" max="3" width="4.72656" style="1" customWidth="1"/>
    <col min="4" max="4" width="41.1719" style="1" customWidth="1"/>
    <col min="5" max="5" width="20.8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256" width="16.3516" style="1" customWidth="1"/>
  </cols>
  <sheetData>
    <row r="1" ht="23.65" customHeight="1">
      <c r="A1" s="2"/>
      <c r="B1" s="2"/>
      <c r="C1" s="3"/>
      <c r="D1" s="2"/>
      <c r="E1" s="4"/>
      <c r="F1" s="4"/>
      <c r="G1" s="3"/>
      <c r="H1" s="3"/>
      <c r="I1" s="3"/>
    </row>
    <row r="2" ht="35" customHeight="1">
      <c r="A2" t="s" s="5">
        <v>0</v>
      </c>
      <c r="B2" s="6"/>
      <c r="C2" s="7"/>
      <c r="D2" t="s" s="8">
        <v>1</v>
      </c>
      <c r="E2" t="s" s="9">
        <v>2</v>
      </c>
      <c r="F2" t="s" s="10">
        <v>3</v>
      </c>
      <c r="G2" s="11"/>
      <c r="H2" s="3"/>
      <c r="I2" s="3"/>
    </row>
    <row r="3" ht="25" customHeight="1">
      <c r="A3" t="s" s="12">
        <v>4</v>
      </c>
      <c r="B3" s="13">
        <v>320</v>
      </c>
      <c r="C3" s="14"/>
      <c r="D3" t="s" s="15">
        <v>5</v>
      </c>
      <c r="E3" s="16">
        <f>'Electricitat'!F18</f>
        <v>133415.4632768481</v>
      </c>
      <c r="F3" s="16">
        <f>E3*5</f>
        <v>667077.3163842405</v>
      </c>
      <c r="G3" s="11"/>
      <c r="H3" s="3"/>
      <c r="I3" s="3"/>
    </row>
    <row r="4" ht="25" customHeight="1">
      <c r="A4" t="s" s="12">
        <v>6</v>
      </c>
      <c r="B4" s="13">
        <v>42</v>
      </c>
      <c r="C4" s="14"/>
      <c r="D4" t="s" s="10">
        <v>7</v>
      </c>
      <c r="E4" t="s" s="17">
        <f>IF(B20=1,"MOCOSA",IF(B20=2,"CPDs Céspedes",IF(B20=3,"Mordor","error")))</f>
        <v>8</v>
      </c>
      <c r="F4" s="18"/>
      <c r="G4" s="3"/>
      <c r="H4" s="3"/>
      <c r="I4" s="3"/>
    </row>
    <row r="5" ht="39" customHeight="1">
      <c r="A5" t="s" s="12">
        <v>9</v>
      </c>
      <c r="B5" s="19">
        <v>740</v>
      </c>
      <c r="C5" s="14"/>
      <c r="D5" t="s" s="10">
        <v>10</v>
      </c>
      <c r="E5" s="16">
        <f>IF(B20=1,'Infraestructura'!J4,IF(B20=2,'Infraestructura'!J5,IF(B20=3,'Infraestructura'!J6,"error")))</f>
        <v>146012.3194915272</v>
      </c>
      <c r="F5" s="20">
        <f>E5*5</f>
        <v>730061.5974576361</v>
      </c>
      <c r="G5" s="11"/>
      <c r="H5" s="3"/>
      <c r="I5" s="3"/>
    </row>
    <row r="6" ht="25" customHeight="1">
      <c r="A6" t="s" s="12">
        <v>11</v>
      </c>
      <c r="B6" s="21">
        <v>0.08</v>
      </c>
      <c r="C6" s="14"/>
      <c r="D6" t="s" s="10">
        <v>12</v>
      </c>
      <c r="E6" t="s" s="22">
        <f>IF(B16=1,"Microworks Azure M-A",IF(B16=2,"MonsoonS3 MS3",IF(B16=3,"Take the tapes and run","error")))</f>
        <v>13</v>
      </c>
      <c r="F6" s="23"/>
      <c r="G6" s="24"/>
      <c r="H6" s="3"/>
      <c r="I6" s="3"/>
    </row>
    <row r="7" ht="25" customHeight="1">
      <c r="A7" t="s" s="12">
        <v>14</v>
      </c>
      <c r="B7" s="25">
        <v>80</v>
      </c>
      <c r="C7" s="14"/>
      <c r="D7" t="s" s="10">
        <v>15</v>
      </c>
      <c r="E7" s="16">
        <f>IF(B16=1,B17*'Backup'!L6,IF(B16=2,B17*'Backup'!L7,IF(B16=3,0,"error")))</f>
        <v>196291.296</v>
      </c>
      <c r="F7" s="26">
        <f>E7*5</f>
        <v>981456.48</v>
      </c>
      <c r="G7" s="11"/>
      <c r="H7" s="3"/>
      <c r="I7" s="3"/>
    </row>
    <row r="8" ht="25" customHeight="1">
      <c r="A8" t="s" s="12">
        <v>16</v>
      </c>
      <c r="B8" s="27">
        <v>8000000</v>
      </c>
      <c r="C8" s="14"/>
      <c r="D8" t="s" s="10">
        <v>17</v>
      </c>
      <c r="E8" s="16">
        <f>'Backup'!M27</f>
        <v>79080.03</v>
      </c>
      <c r="F8" s="16">
        <f>E8*5</f>
        <v>395400.15</v>
      </c>
      <c r="G8" s="11"/>
      <c r="H8" s="3"/>
      <c r="I8" s="3"/>
    </row>
    <row r="9" ht="25" customHeight="1">
      <c r="A9" t="s" s="12">
        <v>18</v>
      </c>
      <c r="B9" s="27">
        <v>5000000</v>
      </c>
      <c r="C9" s="14"/>
      <c r="D9" t="s" s="10">
        <v>19</v>
      </c>
      <c r="E9" s="16">
        <f>'Bandwidth provider'!F9</f>
        <v>1058.4</v>
      </c>
      <c r="F9" s="16">
        <f>E9*5</f>
        <v>5292</v>
      </c>
      <c r="G9" s="11"/>
      <c r="H9" s="3"/>
      <c r="I9" s="3"/>
    </row>
    <row r="10" ht="25" customHeight="1">
      <c r="A10" s="28"/>
      <c r="B10" s="28"/>
      <c r="C10" s="3"/>
      <c r="D10" s="29"/>
      <c r="E10" s="30"/>
      <c r="F10" s="31"/>
      <c r="G10" s="3"/>
      <c r="H10" s="3"/>
      <c r="I10" s="3"/>
    </row>
    <row r="11" ht="25" customHeight="1">
      <c r="A11" t="s" s="32">
        <v>20</v>
      </c>
      <c r="B11" s="33"/>
      <c r="C11" s="7"/>
      <c r="D11" t="s" s="34">
        <v>21</v>
      </c>
      <c r="E11" t="s" s="9">
        <v>22</v>
      </c>
      <c r="F11" s="11"/>
      <c r="G11" s="3"/>
      <c r="H11" s="3"/>
      <c r="I11" s="3"/>
    </row>
    <row r="12" ht="25" customHeight="1">
      <c r="A12" t="s" s="35">
        <v>23</v>
      </c>
      <c r="B12" s="36"/>
      <c r="C12" s="14"/>
      <c r="D12" t="s" s="10">
        <v>24</v>
      </c>
      <c r="E12" s="16">
        <f>B9</f>
        <v>5000000</v>
      </c>
      <c r="F12" s="11"/>
      <c r="G12" s="3"/>
      <c r="H12" s="3"/>
      <c r="I12" s="3"/>
    </row>
    <row r="13" ht="25" customHeight="1">
      <c r="A13" t="s" s="12">
        <v>25</v>
      </c>
      <c r="B13" s="25">
        <v>227580</v>
      </c>
      <c r="C13" s="14"/>
      <c r="D13" t="s" s="10">
        <v>26</v>
      </c>
      <c r="E13" s="16">
        <f>'SAN'!B14</f>
        <v>0</v>
      </c>
      <c r="F13" s="11"/>
      <c r="G13" s="3"/>
      <c r="H13" s="3"/>
      <c r="I13" s="3"/>
    </row>
    <row r="14" ht="25" customHeight="1">
      <c r="A14" t="s" s="12">
        <v>27</v>
      </c>
      <c r="B14" s="25">
        <v>10</v>
      </c>
      <c r="C14" s="14"/>
      <c r="D14" t="s" s="10">
        <v>28</v>
      </c>
      <c r="E14" s="16">
        <f>'Cabina de discos'!K24+'Backup'!M29</f>
        <v>55720</v>
      </c>
      <c r="F14" s="11"/>
      <c r="G14" s="3"/>
      <c r="H14" s="3"/>
      <c r="I14" s="3"/>
    </row>
    <row r="15" ht="25" customHeight="1">
      <c r="A15" t="s" s="12">
        <v>29</v>
      </c>
      <c r="B15" s="25">
        <v>4</v>
      </c>
      <c r="C15" s="37"/>
      <c r="D15" s="31"/>
      <c r="E15" s="31"/>
      <c r="F15" s="3"/>
      <c r="G15" s="3"/>
      <c r="H15" s="3"/>
      <c r="I15" s="3"/>
    </row>
    <row r="16" ht="25" customHeight="1">
      <c r="A16" t="s" s="12">
        <v>30</v>
      </c>
      <c r="B16" s="25">
        <v>2</v>
      </c>
      <c r="C16" s="37"/>
      <c r="D16" s="3"/>
      <c r="E16" s="3"/>
      <c r="F16" s="3"/>
      <c r="G16" s="3"/>
      <c r="H16" s="3"/>
      <c r="I16" s="3"/>
    </row>
    <row r="17" ht="25" customHeight="1">
      <c r="A17" t="s" s="12">
        <v>31</v>
      </c>
      <c r="B17" s="25">
        <v>1</v>
      </c>
      <c r="C17" s="37"/>
      <c r="D17" s="3"/>
      <c r="E17" s="3"/>
      <c r="F17" s="3"/>
      <c r="G17" s="3"/>
      <c r="H17" s="3"/>
      <c r="I17" s="3"/>
    </row>
    <row r="18" ht="25" customHeight="1">
      <c r="A18" t="s" s="12">
        <v>32</v>
      </c>
      <c r="B18" s="25">
        <v>0</v>
      </c>
      <c r="C18" s="37"/>
      <c r="D18" s="2"/>
      <c r="E18" s="3"/>
      <c r="F18" s="3"/>
      <c r="G18" s="3"/>
      <c r="H18" s="3"/>
      <c r="I18" s="3"/>
    </row>
    <row r="19" ht="25" customHeight="1">
      <c r="A19" t="s" s="35">
        <v>33</v>
      </c>
      <c r="B19" s="36"/>
      <c r="C19" s="7"/>
      <c r="D19" t="s" s="34">
        <v>34</v>
      </c>
      <c r="E19" s="38"/>
      <c r="F19" s="3"/>
      <c r="G19" s="3"/>
      <c r="H19" s="3"/>
      <c r="I19" s="3"/>
    </row>
    <row r="20" ht="39" customHeight="1">
      <c r="A20" t="s" s="12">
        <v>35</v>
      </c>
      <c r="B20" s="25">
        <v>3</v>
      </c>
      <c r="C20" s="14"/>
      <c r="D20" t="s" s="10">
        <v>36</v>
      </c>
      <c r="E20" s="16">
        <f>SUM(F3:F9)</f>
        <v>2779287.543841877</v>
      </c>
      <c r="F20" s="11"/>
      <c r="G20" s="3"/>
      <c r="H20" s="3"/>
      <c r="I20" s="3"/>
    </row>
    <row r="21" ht="25" customHeight="1">
      <c r="A21" t="s" s="12">
        <v>37</v>
      </c>
      <c r="B21" s="25">
        <v>0</v>
      </c>
      <c r="C21" s="14"/>
      <c r="D21" t="s" s="10">
        <v>38</v>
      </c>
      <c r="E21" s="16">
        <f>SUM(E12:E14)</f>
        <v>5055720</v>
      </c>
      <c r="F21" s="11"/>
      <c r="G21" s="3"/>
      <c r="H21" s="3"/>
      <c r="I21" s="3"/>
    </row>
    <row r="22" ht="25" customHeight="1">
      <c r="A22" t="s" s="12">
        <v>39</v>
      </c>
      <c r="B22" s="25">
        <v>1</v>
      </c>
      <c r="C22" s="14"/>
      <c r="D22" t="s" s="10">
        <v>40</v>
      </c>
      <c r="E22" s="16">
        <f>E20+E21</f>
        <v>7835007.543841876</v>
      </c>
      <c r="F22" s="11"/>
      <c r="G22" s="3"/>
      <c r="H22" s="3"/>
      <c r="I22" s="3"/>
    </row>
    <row r="23" ht="25" customHeight="1">
      <c r="A23" t="s" s="35">
        <v>41</v>
      </c>
      <c r="B23" s="36"/>
      <c r="C23" s="14"/>
      <c r="D23" t="s" s="39">
        <v>42</v>
      </c>
      <c r="E23" s="40">
        <f>B8-E22</f>
        <v>164992.4561581239</v>
      </c>
      <c r="F23" s="11"/>
      <c r="G23" s="3"/>
      <c r="H23" s="3"/>
      <c r="I23" s="3"/>
    </row>
    <row r="24" ht="39" customHeight="1">
      <c r="A24" t="s" s="12">
        <v>43</v>
      </c>
      <c r="B24" s="25">
        <v>3</v>
      </c>
      <c r="C24" s="37"/>
      <c r="D24" s="31"/>
      <c r="E24" s="31"/>
      <c r="F24" s="3"/>
      <c r="G24" s="3"/>
      <c r="H24" s="3"/>
      <c r="I24" s="3"/>
    </row>
    <row r="25" ht="25" customHeight="1">
      <c r="A25" t="s" s="12">
        <v>44</v>
      </c>
      <c r="B25" s="25">
        <v>1</v>
      </c>
      <c r="C25" s="37"/>
      <c r="D25" s="3"/>
      <c r="E25" s="3"/>
      <c r="F25" s="3"/>
      <c r="G25" s="3"/>
      <c r="H25" s="3"/>
      <c r="I25" s="3"/>
    </row>
    <row r="26" ht="25" customHeight="1">
      <c r="A26" t="s" s="12">
        <v>45</v>
      </c>
      <c r="B26" s="25">
        <v>1</v>
      </c>
      <c r="C26" s="37"/>
      <c r="D26" s="3"/>
      <c r="E26" s="3"/>
      <c r="F26" s="3"/>
      <c r="G26" s="3"/>
      <c r="H26" s="3"/>
      <c r="I26" s="3"/>
    </row>
    <row r="27" ht="25" customHeight="1">
      <c r="A27" t="s" s="35">
        <v>46</v>
      </c>
      <c r="B27" s="25">
        <v>0</v>
      </c>
      <c r="C27" s="37"/>
      <c r="D27" s="3"/>
      <c r="E27" s="3"/>
      <c r="F27" s="3"/>
      <c r="G27" s="3"/>
      <c r="H27" s="3"/>
      <c r="I27" s="3"/>
    </row>
    <row r="28" ht="25" customHeight="1">
      <c r="A28" t="s" s="35">
        <v>47</v>
      </c>
      <c r="B28" s="36"/>
      <c r="C28" s="37"/>
      <c r="D28" s="3"/>
      <c r="E28" s="3"/>
      <c r="F28" s="3"/>
      <c r="G28" s="3"/>
      <c r="H28" s="3"/>
      <c r="I28" s="3"/>
    </row>
    <row r="29" ht="25" customHeight="1">
      <c r="A29" t="s" s="12">
        <v>48</v>
      </c>
      <c r="B29" s="25">
        <v>8</v>
      </c>
      <c r="C29" s="37"/>
      <c r="D29" s="3"/>
      <c r="E29" s="3"/>
      <c r="F29" s="3"/>
      <c r="G29" s="3"/>
      <c r="H29" s="3"/>
      <c r="I29" s="3"/>
    </row>
    <row r="30" ht="25" customHeight="1">
      <c r="A30" t="s" s="12">
        <v>49</v>
      </c>
      <c r="B30" s="25">
        <v>14</v>
      </c>
      <c r="C30" s="37"/>
      <c r="D30" s="3"/>
      <c r="E30" s="3"/>
      <c r="F30" s="3"/>
      <c r="G30" s="3"/>
      <c r="H30" s="3"/>
      <c r="I30" s="3"/>
    </row>
    <row r="31" ht="25" customHeight="1">
      <c r="A31" t="s" s="12">
        <v>50</v>
      </c>
      <c r="B31" s="25">
        <v>2</v>
      </c>
      <c r="C31" s="37"/>
      <c r="D31" s="3"/>
      <c r="E31" s="3"/>
      <c r="F31" s="3"/>
      <c r="G31" s="3"/>
      <c r="H31" s="3"/>
      <c r="I31" s="3"/>
    </row>
    <row r="32" ht="25" customHeight="1">
      <c r="A32" t="s" s="12">
        <v>51</v>
      </c>
      <c r="B32" s="25">
        <v>1</v>
      </c>
      <c r="C32" s="37"/>
      <c r="D32" s="3"/>
      <c r="E32" s="3"/>
      <c r="F32" s="3"/>
      <c r="G32" s="3"/>
      <c r="H32" s="3"/>
      <c r="I32" s="3"/>
    </row>
    <row r="33" ht="25" customHeight="1">
      <c r="A33" t="s" s="35">
        <v>52</v>
      </c>
      <c r="B33" s="36"/>
      <c r="C33" s="37"/>
      <c r="D33" s="3"/>
      <c r="E33" s="3"/>
      <c r="F33" s="3"/>
      <c r="G33" s="3"/>
      <c r="H33" s="3"/>
      <c r="I33" s="3"/>
    </row>
    <row r="34" ht="25" customHeight="1">
      <c r="A34" t="s" s="12">
        <v>53</v>
      </c>
      <c r="B34" s="25">
        <v>5</v>
      </c>
      <c r="C34" s="37"/>
      <c r="D34" s="3"/>
      <c r="E34" s="3"/>
      <c r="F34" s="3"/>
      <c r="G34" s="3"/>
      <c r="H34" s="3"/>
      <c r="I34" s="3"/>
    </row>
    <row r="35" ht="25" customHeight="1">
      <c r="A35" t="s" s="12">
        <v>49</v>
      </c>
      <c r="B35" s="25">
        <v>78</v>
      </c>
      <c r="C35" s="37"/>
      <c r="D35" s="3"/>
      <c r="E35" s="3"/>
      <c r="F35" s="3"/>
      <c r="G35" s="3"/>
      <c r="H35" s="3"/>
      <c r="I35" s="3"/>
    </row>
    <row r="36" ht="25" customHeight="1">
      <c r="A36" t="s" s="12">
        <v>50</v>
      </c>
      <c r="B36" s="25">
        <v>5</v>
      </c>
      <c r="C36" s="37"/>
      <c r="D36" s="3"/>
      <c r="E36" s="3"/>
      <c r="F36" s="3"/>
      <c r="G36" s="3"/>
      <c r="H36" s="3"/>
      <c r="I36" s="3"/>
    </row>
    <row r="37" ht="25" customHeight="1">
      <c r="A37" t="s" s="12">
        <v>51</v>
      </c>
      <c r="B37" s="25">
        <v>3</v>
      </c>
      <c r="C37" s="37"/>
      <c r="D37" s="3"/>
      <c r="E37" s="3"/>
      <c r="F37" s="3"/>
      <c r="G37" s="3"/>
      <c r="H37" s="3"/>
      <c r="I37" s="3"/>
    </row>
    <row r="38" ht="25" customHeight="1">
      <c r="A38" t="s" s="35">
        <v>54</v>
      </c>
      <c r="B38" s="36"/>
      <c r="C38" s="37"/>
      <c r="D38" s="3"/>
      <c r="E38" s="3"/>
      <c r="F38" s="3"/>
      <c r="G38" s="3"/>
      <c r="H38" s="3"/>
      <c r="I38" s="3"/>
    </row>
    <row r="39" ht="25" customHeight="1">
      <c r="A39" t="s" s="12">
        <v>53</v>
      </c>
      <c r="B39" s="25">
        <v>9</v>
      </c>
      <c r="C39" s="37"/>
      <c r="D39" s="3"/>
      <c r="E39" s="3"/>
      <c r="F39" s="3"/>
      <c r="G39" s="3"/>
      <c r="H39" s="3"/>
      <c r="I39" s="3"/>
    </row>
    <row r="40" ht="25" customHeight="1">
      <c r="A40" t="s" s="12">
        <v>49</v>
      </c>
      <c r="B40" s="25">
        <v>0</v>
      </c>
      <c r="C40" s="37"/>
      <c r="D40" s="3"/>
      <c r="E40" s="3"/>
      <c r="F40" s="3"/>
      <c r="G40" s="3"/>
      <c r="H40" s="3"/>
      <c r="I40" s="3"/>
    </row>
    <row r="41" ht="25" customHeight="1">
      <c r="A41" t="s" s="12">
        <v>50</v>
      </c>
      <c r="B41" s="25">
        <v>6</v>
      </c>
      <c r="C41" s="37"/>
      <c r="D41" s="3"/>
      <c r="E41" s="3"/>
      <c r="F41" s="3"/>
      <c r="G41" s="3"/>
      <c r="H41" s="3"/>
      <c r="I41" s="3"/>
    </row>
    <row r="42" ht="25" customHeight="1">
      <c r="A42" t="s" s="12">
        <v>51</v>
      </c>
      <c r="B42" s="25">
        <v>0</v>
      </c>
      <c r="C42" s="37"/>
      <c r="D42" s="3"/>
      <c r="E42" s="3"/>
      <c r="F42" s="3"/>
      <c r="G42" s="3"/>
      <c r="H42" s="3"/>
      <c r="I42" s="3"/>
    </row>
  </sheetData>
  <mergeCells count="8">
    <mergeCell ref="A38:B38"/>
    <mergeCell ref="A28:B28"/>
    <mergeCell ref="A12:B12"/>
    <mergeCell ref="A23:B23"/>
    <mergeCell ref="A19:B19"/>
    <mergeCell ref="A33:B33"/>
    <mergeCell ref="A11:B11"/>
    <mergeCell ref="A2:B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O29"/>
  <sheetViews>
    <sheetView workbookViewId="0" showGridLines="0" defaultGridColor="1"/>
  </sheetViews>
  <sheetFormatPr defaultColWidth="12.8333" defaultRowHeight="15.75" customHeight="1" outlineLevelRow="0" outlineLevelCol="0"/>
  <cols>
    <col min="1" max="1" width="14.8516" style="41" customWidth="1"/>
    <col min="2" max="2" width="14.5" style="41" customWidth="1"/>
    <col min="3" max="3" width="14.7734" style="41" customWidth="1"/>
    <col min="4" max="4" width="12.0078" style="41" customWidth="1"/>
    <col min="5" max="5" width="6.35156" style="41" customWidth="1"/>
    <col min="6" max="6" width="6.72656" style="41" customWidth="1"/>
    <col min="7" max="7" width="5.99219" style="41" customWidth="1"/>
    <col min="8" max="8" width="8.17188" style="41" customWidth="1"/>
    <col min="9" max="9" width="9.67188" style="41" customWidth="1"/>
    <col min="10" max="10" width="13.3516" style="41" customWidth="1"/>
    <col min="11" max="11" width="13" style="41" customWidth="1"/>
    <col min="12" max="12" width="13.8516" style="41" customWidth="1"/>
    <col min="13" max="13" width="12.8516" style="41" customWidth="1"/>
    <col min="14" max="14" width="12.8516" style="41" customWidth="1"/>
    <col min="15" max="15" width="12.8516" style="41" customWidth="1"/>
    <col min="16" max="256" width="12.8516" style="41" customWidth="1"/>
  </cols>
  <sheetData>
    <row r="1" ht="19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ht="19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ht="19" customHeight="1">
      <c r="A3" s="43"/>
      <c r="B3" s="43"/>
      <c r="C3" s="43"/>
      <c r="D3" s="43"/>
      <c r="E3" s="44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ht="19" customHeight="1">
      <c r="A4" t="s" s="45">
        <v>55</v>
      </c>
      <c r="B4" t="s" s="45">
        <v>56</v>
      </c>
      <c r="C4" t="s" s="45">
        <v>57</v>
      </c>
      <c r="D4" t="s" s="45">
        <v>58</v>
      </c>
      <c r="E4" t="s" s="45">
        <v>59</v>
      </c>
      <c r="F4" t="s" s="45">
        <v>60</v>
      </c>
      <c r="G4" t="s" s="45">
        <v>61</v>
      </c>
      <c r="H4" t="s" s="45">
        <v>9</v>
      </c>
      <c r="I4" t="s" s="45">
        <v>62</v>
      </c>
      <c r="J4" t="s" s="45">
        <v>63</v>
      </c>
      <c r="K4" t="s" s="45">
        <v>64</v>
      </c>
      <c r="L4" s="44"/>
      <c r="M4" s="44"/>
      <c r="N4" s="43"/>
      <c r="O4" s="44"/>
    </row>
    <row r="5" ht="19" customHeight="1">
      <c r="A5" t="s" s="46">
        <v>65</v>
      </c>
      <c r="B5" s="47">
        <f>IF('Resum'!$B$29=1,1,0)</f>
        <v>0</v>
      </c>
      <c r="C5" s="47">
        <f>IF('Resum'!$B$34=1,1,0)</f>
        <v>0</v>
      </c>
      <c r="D5" s="47">
        <f>IF('Resum'!B39=1,1,0)</f>
        <v>0</v>
      </c>
      <c r="E5" s="47">
        <f t="shared" si="3" ref="E5:E14">'Resum'!$B$30</f>
        <v>14</v>
      </c>
      <c r="F5" s="47">
        <f t="shared" si="4" ref="F5:F14">'Resum'!$B$35</f>
        <v>78</v>
      </c>
      <c r="G5" s="47">
        <f t="shared" si="5" ref="G5:G14">'Resum'!$B$40</f>
        <v>0</v>
      </c>
      <c r="H5" s="48">
        <v>7.5</v>
      </c>
      <c r="I5" s="49">
        <v>530</v>
      </c>
      <c r="J5" s="48">
        <f>H5*(B5*E5+C5*F5+D5*G5)</f>
        <v>0</v>
      </c>
      <c r="K5" s="49">
        <f>I5*(B5*E5+C5*F5+D5*G5)</f>
        <v>0</v>
      </c>
      <c r="L5" s="42"/>
      <c r="M5" s="42"/>
      <c r="N5" s="47"/>
      <c r="O5" s="42"/>
    </row>
    <row r="6" ht="19" customHeight="1">
      <c r="A6" t="s" s="46">
        <v>66</v>
      </c>
      <c r="B6" s="47">
        <f>IF('Resum'!$B$29=2,1,0)</f>
        <v>0</v>
      </c>
      <c r="C6" s="47">
        <f>IF('Resum'!$B$34=2,1,0)</f>
        <v>0</v>
      </c>
      <c r="D6" s="47">
        <f>IF('Resum'!B39=2,1,0)</f>
        <v>0</v>
      </c>
      <c r="E6" s="47">
        <f t="shared" si="3"/>
        <v>14</v>
      </c>
      <c r="F6" s="47">
        <f t="shared" si="4"/>
        <v>78</v>
      </c>
      <c r="G6" s="47">
        <f t="shared" si="5"/>
        <v>0</v>
      </c>
      <c r="H6" s="48">
        <v>7.8</v>
      </c>
      <c r="I6" s="49">
        <v>640</v>
      </c>
      <c r="J6" s="48">
        <f>H6*(B6*E6+C6*F6+D6*G6)</f>
        <v>0</v>
      </c>
      <c r="K6" s="49">
        <f>I6*(B6*E6+C6*F6+D6*G6)</f>
        <v>0</v>
      </c>
      <c r="L6" s="42"/>
      <c r="M6" s="42"/>
      <c r="N6" s="47"/>
      <c r="O6" s="42"/>
    </row>
    <row r="7" ht="19" customHeight="1">
      <c r="A7" t="s" s="46">
        <v>67</v>
      </c>
      <c r="B7" s="47">
        <f>IF('Resum'!$B$29=3,1,0)</f>
        <v>0</v>
      </c>
      <c r="C7" s="47">
        <f>IF('Resum'!$B$34=3,1,0)</f>
        <v>0</v>
      </c>
      <c r="D7" s="47">
        <f>IF('Resum'!B39=3,1,0)</f>
        <v>0</v>
      </c>
      <c r="E7" s="47">
        <f t="shared" si="3"/>
        <v>14</v>
      </c>
      <c r="F7" s="47">
        <f t="shared" si="4"/>
        <v>78</v>
      </c>
      <c r="G7" s="47">
        <f t="shared" si="5"/>
        <v>0</v>
      </c>
      <c r="H7" s="48">
        <v>7.5</v>
      </c>
      <c r="I7" s="49">
        <v>395</v>
      </c>
      <c r="J7" s="48">
        <f>H7*(B7*E7+C7*F7+D7*G7)</f>
        <v>0</v>
      </c>
      <c r="K7" s="49">
        <f>I7*(B7*E7+C7*F7+D7*G7)</f>
        <v>0</v>
      </c>
      <c r="L7" s="42"/>
      <c r="M7" s="42"/>
      <c r="N7" s="47"/>
      <c r="O7" s="42"/>
    </row>
    <row r="8" ht="19" customHeight="1">
      <c r="A8" t="s" s="46">
        <v>68</v>
      </c>
      <c r="B8" s="47">
        <f>IF('Resum'!$B$29=4,1,0)</f>
        <v>0</v>
      </c>
      <c r="C8" s="47">
        <f>IF('Resum'!$B$34=4,1,0)</f>
        <v>0</v>
      </c>
      <c r="D8" s="47">
        <f>IF('Resum'!B39=4,1,0)</f>
        <v>0</v>
      </c>
      <c r="E8" s="47">
        <f t="shared" si="3"/>
        <v>14</v>
      </c>
      <c r="F8" s="47">
        <f t="shared" si="4"/>
        <v>78</v>
      </c>
      <c r="G8" s="47">
        <f t="shared" si="5"/>
        <v>0</v>
      </c>
      <c r="H8" s="48">
        <v>7.4</v>
      </c>
      <c r="I8" s="49">
        <v>662</v>
      </c>
      <c r="J8" s="48">
        <f>H8*(B8*E8+C8*F8+D8*G8)</f>
        <v>0</v>
      </c>
      <c r="K8" s="49">
        <f>I8*(B8*E8+C8*F8+D8*G8)</f>
        <v>0</v>
      </c>
      <c r="L8" s="42"/>
      <c r="M8" s="42"/>
      <c r="N8" s="47"/>
      <c r="O8" s="42"/>
    </row>
    <row r="9" ht="19" customHeight="1">
      <c r="A9" t="s" s="46">
        <v>69</v>
      </c>
      <c r="B9" s="47">
        <f>IF('Resum'!$B$29=5,1,0)</f>
        <v>0</v>
      </c>
      <c r="C9" s="47">
        <f>IF('Resum'!$B$34=5,1,0)</f>
        <v>1</v>
      </c>
      <c r="D9" s="47">
        <f>IF('Resum'!B39=5,1,0)</f>
        <v>0</v>
      </c>
      <c r="E9" s="47">
        <f t="shared" si="3"/>
        <v>14</v>
      </c>
      <c r="F9" s="47">
        <f t="shared" si="4"/>
        <v>78</v>
      </c>
      <c r="G9" s="47">
        <f t="shared" si="5"/>
        <v>0</v>
      </c>
      <c r="H9" s="48">
        <v>7</v>
      </c>
      <c r="I9" s="49">
        <v>362</v>
      </c>
      <c r="J9" s="48">
        <f>H9*(B9*E9+C9*F9+D9*G9)</f>
        <v>546</v>
      </c>
      <c r="K9" s="49">
        <f>I9*(B9*E9+C9*F9+D9*G9)</f>
        <v>28236</v>
      </c>
      <c r="L9" s="42"/>
      <c r="M9" s="42"/>
      <c r="N9" s="42"/>
      <c r="O9" s="42"/>
    </row>
    <row r="10" ht="19" customHeight="1">
      <c r="A10" t="s" s="46">
        <v>70</v>
      </c>
      <c r="B10" s="47">
        <f>IF('Resum'!$B$29=6,1,0)</f>
        <v>0</v>
      </c>
      <c r="C10" s="47">
        <f>IF('Resum'!$B$34=6,1,0)</f>
        <v>0</v>
      </c>
      <c r="D10" s="47">
        <f>IF('Resum'!B39=6,1,0)</f>
        <v>0</v>
      </c>
      <c r="E10" s="47">
        <f t="shared" si="3"/>
        <v>14</v>
      </c>
      <c r="F10" s="47">
        <f t="shared" si="4"/>
        <v>78</v>
      </c>
      <c r="G10" s="47">
        <f t="shared" si="5"/>
        <v>0</v>
      </c>
      <c r="H10" s="48">
        <v>2.4</v>
      </c>
      <c r="I10" s="49">
        <v>84</v>
      </c>
      <c r="J10" s="48">
        <f>H10*(B10*E10+C10*F10+D10*G10)</f>
        <v>0</v>
      </c>
      <c r="K10" s="49">
        <f>I10*(B10*E10+C10*F10+D10*G10)</f>
        <v>0</v>
      </c>
      <c r="L10" s="42"/>
      <c r="M10" s="42"/>
      <c r="N10" s="42"/>
      <c r="O10" s="42"/>
    </row>
    <row r="11" ht="19" customHeight="1">
      <c r="A11" t="s" s="46">
        <v>71</v>
      </c>
      <c r="B11" s="47">
        <f>IF('Resum'!$B$29=7,1,0)</f>
        <v>0</v>
      </c>
      <c r="C11" s="47">
        <f>IF('Resum'!$B$34=7,1,0)</f>
        <v>0</v>
      </c>
      <c r="D11" s="47">
        <f>IF('Resum'!B39=7,1,0)</f>
        <v>0</v>
      </c>
      <c r="E11" s="47">
        <f t="shared" si="3"/>
        <v>14</v>
      </c>
      <c r="F11" s="47">
        <f t="shared" si="4"/>
        <v>78</v>
      </c>
      <c r="G11" s="47">
        <f t="shared" si="5"/>
        <v>0</v>
      </c>
      <c r="H11" s="48">
        <v>6.8</v>
      </c>
      <c r="I11" s="49">
        <v>200</v>
      </c>
      <c r="J11" s="48">
        <f>H11*(B11*E11+C11*F11+D11*G11)</f>
        <v>0</v>
      </c>
      <c r="K11" s="49">
        <f>I11*(B11*E11+C11*F11+D11*G11)</f>
        <v>0</v>
      </c>
      <c r="L11" s="42"/>
      <c r="M11" s="42"/>
      <c r="N11" s="42"/>
      <c r="O11" s="42"/>
    </row>
    <row r="12" ht="19" customHeight="1">
      <c r="A12" t="s" s="46">
        <v>72</v>
      </c>
      <c r="B12" s="47">
        <f>IF('Resum'!$B$29=8,1,0)</f>
        <v>1</v>
      </c>
      <c r="C12" s="47">
        <f>IF('Resum'!$B$34=8,1,0)</f>
        <v>0</v>
      </c>
      <c r="D12" s="47">
        <f>IF('Resum'!B39=8,1,0)</f>
        <v>0</v>
      </c>
      <c r="E12" s="47">
        <f t="shared" si="3"/>
        <v>14</v>
      </c>
      <c r="F12" s="47">
        <f t="shared" si="4"/>
        <v>78</v>
      </c>
      <c r="G12" s="47">
        <f t="shared" si="5"/>
        <v>0</v>
      </c>
      <c r="H12" s="48">
        <v>3.8</v>
      </c>
      <c r="I12" s="49">
        <v>456</v>
      </c>
      <c r="J12" s="48">
        <f>H12*(B12*E12+C12*F12+D12*G12)</f>
        <v>53.2</v>
      </c>
      <c r="K12" s="49">
        <f>I12*(B12*E12+C12*F12+D12*G12)</f>
        <v>6384</v>
      </c>
      <c r="L12" s="42"/>
      <c r="M12" s="42"/>
      <c r="N12" s="42"/>
      <c r="O12" s="42"/>
    </row>
    <row r="13" ht="19" customHeight="1">
      <c r="A13" t="s" s="46">
        <v>73</v>
      </c>
      <c r="B13" s="47">
        <f>IF('Resum'!$B$29=9,1,0)</f>
        <v>0</v>
      </c>
      <c r="C13" s="47">
        <f>IF('Resum'!$B$34=9,1,0)</f>
        <v>0</v>
      </c>
      <c r="D13" s="47">
        <f>IF('Resum'!B39=9,1,0)</f>
        <v>1</v>
      </c>
      <c r="E13" s="47">
        <f t="shared" si="3"/>
        <v>14</v>
      </c>
      <c r="F13" s="47">
        <f t="shared" si="4"/>
        <v>78</v>
      </c>
      <c r="G13" s="47">
        <f t="shared" si="5"/>
        <v>0</v>
      </c>
      <c r="H13" s="48">
        <v>3.5</v>
      </c>
      <c r="I13" s="49">
        <v>1800</v>
      </c>
      <c r="J13" s="48">
        <f>H13*(B13*E13+C13*F13+D13*G13)</f>
        <v>0</v>
      </c>
      <c r="K13" s="49">
        <f>I13*(B13*E13+C13*F13+D13*G13)</f>
        <v>0</v>
      </c>
      <c r="L13" s="42"/>
      <c r="M13" s="42"/>
      <c r="N13" s="42"/>
      <c r="O13" s="42"/>
    </row>
    <row r="14" ht="19" customHeight="1">
      <c r="A14" t="s" s="46">
        <v>74</v>
      </c>
      <c r="B14" s="47">
        <f>IF('Resum'!$B$29=10,1,0)</f>
        <v>0</v>
      </c>
      <c r="C14" s="47">
        <f>IF('Resum'!$B$34=10,1,0)</f>
        <v>0</v>
      </c>
      <c r="D14" s="47">
        <f>IF('Resum'!B39=10,1,0)</f>
        <v>0</v>
      </c>
      <c r="E14" s="47">
        <f t="shared" si="3"/>
        <v>14</v>
      </c>
      <c r="F14" s="47">
        <f t="shared" si="4"/>
        <v>78</v>
      </c>
      <c r="G14" s="47">
        <f t="shared" si="5"/>
        <v>0</v>
      </c>
      <c r="H14" s="48">
        <v>4.1</v>
      </c>
      <c r="I14" s="49">
        <v>3800</v>
      </c>
      <c r="J14" s="48">
        <f>H14*(B14*E14+C14*F14+D14*G14)</f>
        <v>0</v>
      </c>
      <c r="K14" s="49">
        <f>I14*(B14*E14+C14*F14+D14*G14)</f>
        <v>0</v>
      </c>
      <c r="L14" s="42"/>
      <c r="M14" s="42"/>
      <c r="N14" s="42"/>
      <c r="O14" s="42"/>
    </row>
    <row r="15" ht="19" customHeight="1">
      <c r="A15" t="s" s="45">
        <v>75</v>
      </c>
      <c r="B15" s="42"/>
      <c r="C15" s="42"/>
      <c r="D15" s="42"/>
      <c r="E15" s="42"/>
      <c r="F15" s="42"/>
      <c r="G15" s="42"/>
      <c r="H15" s="42"/>
      <c r="I15" s="49"/>
      <c r="J15" s="48"/>
      <c r="K15" t="s" s="46">
        <f>IF(I15="","",I15*E15)</f>
      </c>
      <c r="L15" t="s" s="45">
        <v>76</v>
      </c>
      <c r="M15" t="s" s="45">
        <v>77</v>
      </c>
      <c r="N15" s="42"/>
      <c r="O15" s="42"/>
    </row>
    <row r="16" ht="19" customHeight="1">
      <c r="A16" t="s" s="46">
        <v>65</v>
      </c>
      <c r="B16" s="47">
        <f>IF('Resum'!$B$31=1,1,0)</f>
        <v>0</v>
      </c>
      <c r="C16" s="47">
        <f>IF('Resum'!$B$36=1,1,0)</f>
        <v>0</v>
      </c>
      <c r="D16" s="47">
        <f>IF('Resum'!B41=1,1,0)</f>
        <v>0</v>
      </c>
      <c r="E16" s="47">
        <f t="shared" si="84" ref="E16:E21">'Resum'!$B$32</f>
        <v>1</v>
      </c>
      <c r="F16" s="47">
        <f t="shared" si="85" ref="F16:F21">'Resum'!$B$37</f>
        <v>3</v>
      </c>
      <c r="G16" s="47">
        <f t="shared" si="86" ref="G16:G21">'Resum'!$B$42</f>
        <v>0</v>
      </c>
      <c r="H16" s="48">
        <v>300</v>
      </c>
      <c r="I16" s="49">
        <v>3400</v>
      </c>
      <c r="J16" s="48">
        <f>H16*(B16*E16+C16*F16+D16*G16)</f>
        <v>0</v>
      </c>
      <c r="K16" s="49">
        <f>I16*(B16*E16+C16*F16+D16*G16)</f>
        <v>0</v>
      </c>
      <c r="L16" s="47">
        <v>2</v>
      </c>
      <c r="M16" s="47">
        <f>L16*(B16*E16+C16*F16+D16*G16)</f>
        <v>0</v>
      </c>
      <c r="N16" s="42"/>
      <c r="O16" s="42"/>
    </row>
    <row r="17" ht="19" customHeight="1">
      <c r="A17" t="s" s="46">
        <v>66</v>
      </c>
      <c r="B17" s="47">
        <f>IF('Resum'!$B$31=2,1,0)</f>
        <v>1</v>
      </c>
      <c r="C17" s="47">
        <f>IF('Resum'!$B$36=2,1,0)</f>
        <v>0</v>
      </c>
      <c r="D17" s="47">
        <f>IF('Resum'!B41=2,1,0)</f>
        <v>0</v>
      </c>
      <c r="E17" s="47">
        <f t="shared" si="84"/>
        <v>1</v>
      </c>
      <c r="F17" s="47">
        <f t="shared" si="85"/>
        <v>3</v>
      </c>
      <c r="G17" s="47">
        <f t="shared" si="86"/>
        <v>0</v>
      </c>
      <c r="H17" s="48">
        <v>400</v>
      </c>
      <c r="I17" s="49">
        <v>4600</v>
      </c>
      <c r="J17" s="48">
        <f>H17*(B17*E17+C17*F17+D17*G17)</f>
        <v>400</v>
      </c>
      <c r="K17" s="49">
        <f>I17*(B17*E17+C17*F17+D17*G17)</f>
        <v>4600</v>
      </c>
      <c r="L17" s="47">
        <v>4</v>
      </c>
      <c r="M17" s="47">
        <f>L17*(B17*E17+C17*F17+D17*G17)</f>
        <v>4</v>
      </c>
      <c r="N17" s="42"/>
      <c r="O17" s="42"/>
    </row>
    <row r="18" ht="19" customHeight="1">
      <c r="A18" t="s" s="46">
        <v>67</v>
      </c>
      <c r="B18" s="47">
        <f>IF('Resum'!$B$31=3,1,0)</f>
        <v>0</v>
      </c>
      <c r="C18" s="47">
        <f>IF('Resum'!$B$36=3,1,0)</f>
        <v>0</v>
      </c>
      <c r="D18" s="47">
        <f>IF('Resum'!B41=3,1,0)</f>
        <v>0</v>
      </c>
      <c r="E18" s="47">
        <f t="shared" si="84"/>
        <v>1</v>
      </c>
      <c r="F18" s="47">
        <f t="shared" si="85"/>
        <v>3</v>
      </c>
      <c r="G18" s="47">
        <f t="shared" si="86"/>
        <v>0</v>
      </c>
      <c r="H18" s="48">
        <v>408</v>
      </c>
      <c r="I18" s="49">
        <v>5100</v>
      </c>
      <c r="J18" s="48">
        <f>H18*(B18*E18+C18*F18+D18*G18)</f>
        <v>0</v>
      </c>
      <c r="K18" s="49">
        <f>I18*(B18*E18+C18*F18+D18*G18)</f>
        <v>0</v>
      </c>
      <c r="L18" s="47">
        <v>4</v>
      </c>
      <c r="M18" s="47">
        <f>L18*(B18*E18+C18*F18+D18*G18)</f>
        <v>0</v>
      </c>
      <c r="N18" s="42"/>
      <c r="O18" s="42"/>
    </row>
    <row r="19" ht="19" customHeight="1">
      <c r="A19" t="s" s="46">
        <v>68</v>
      </c>
      <c r="B19" s="47">
        <f>IF('Resum'!$B$31=4,1,0)</f>
        <v>0</v>
      </c>
      <c r="C19" s="47">
        <f>IF('Resum'!$B$36=4,1,0)</f>
        <v>0</v>
      </c>
      <c r="D19" s="47">
        <f>IF('Resum'!B41=4,1,0)</f>
        <v>0</v>
      </c>
      <c r="E19" s="47">
        <f t="shared" si="84"/>
        <v>1</v>
      </c>
      <c r="F19" s="47">
        <f t="shared" si="85"/>
        <v>3</v>
      </c>
      <c r="G19" s="47">
        <f t="shared" si="86"/>
        <v>0</v>
      </c>
      <c r="H19" s="48">
        <v>450</v>
      </c>
      <c r="I19" s="49">
        <v>5000</v>
      </c>
      <c r="J19" s="48">
        <f>H19*(B19*E19+C19*F19+D19*G19)</f>
        <v>0</v>
      </c>
      <c r="K19" s="49">
        <f>I19*(B19*E19+C19*F19+D19*G19)</f>
        <v>0</v>
      </c>
      <c r="L19" s="47">
        <v>4</v>
      </c>
      <c r="M19" s="47">
        <f>L19*(B19*E19+C19*F19+D19*G19)</f>
        <v>0</v>
      </c>
      <c r="N19" s="42"/>
      <c r="O19" s="42"/>
    </row>
    <row r="20" ht="19" customHeight="1">
      <c r="A20" t="s" s="46">
        <v>69</v>
      </c>
      <c r="B20" s="47">
        <f>IF('Resum'!$B$31=5,1,0)</f>
        <v>0</v>
      </c>
      <c r="C20" s="47">
        <f>IF('Resum'!$B$36=5,1,0)</f>
        <v>1</v>
      </c>
      <c r="D20" s="47">
        <f>IF('Resum'!B41=5,1,0)</f>
        <v>0</v>
      </c>
      <c r="E20" s="47">
        <f t="shared" si="84"/>
        <v>1</v>
      </c>
      <c r="F20" s="47">
        <f t="shared" si="85"/>
        <v>3</v>
      </c>
      <c r="G20" s="47">
        <f t="shared" si="86"/>
        <v>0</v>
      </c>
      <c r="H20" s="48">
        <v>460</v>
      </c>
      <c r="I20" s="49">
        <v>5500</v>
      </c>
      <c r="J20" s="48">
        <f>H20*(B20*E20+C20*F20+D20*G20)</f>
        <v>1380</v>
      </c>
      <c r="K20" s="49">
        <f>I20*(B20*E20+C20*F20+D20*G20)</f>
        <v>16500</v>
      </c>
      <c r="L20" s="47">
        <v>4</v>
      </c>
      <c r="M20" s="47">
        <f>L20*(B20*E20+C20*F20+D20*G20)</f>
        <v>12</v>
      </c>
      <c r="N20" s="42"/>
      <c r="O20" s="42"/>
    </row>
    <row r="21" ht="19" customHeight="1">
      <c r="A21" t="s" s="46">
        <v>70</v>
      </c>
      <c r="B21" s="47">
        <f>IF('Resum'!$B$31=6,1,0)</f>
        <v>0</v>
      </c>
      <c r="C21" s="47">
        <f>IF('Resum'!$B$36=6,1,0)</f>
        <v>0</v>
      </c>
      <c r="D21" s="47">
        <f>IF('Resum'!B41=6,1,0)</f>
        <v>1</v>
      </c>
      <c r="E21" s="47">
        <f t="shared" si="84"/>
        <v>1</v>
      </c>
      <c r="F21" s="47">
        <f t="shared" si="85"/>
        <v>3</v>
      </c>
      <c r="G21" s="47">
        <f t="shared" si="86"/>
        <v>0</v>
      </c>
      <c r="H21" s="48">
        <v>0</v>
      </c>
      <c r="I21" s="49">
        <v>2400</v>
      </c>
      <c r="J21" s="48">
        <f>H21*(B21*E21+C21*F21+D21*G21)</f>
        <v>0</v>
      </c>
      <c r="K21" s="49">
        <f>I21*(B21*E21+C21*F21+D21*G21)</f>
        <v>0</v>
      </c>
      <c r="L21" s="47">
        <v>4</v>
      </c>
      <c r="M21" s="47">
        <f>L21*(B21*E21+C21*F21+D21*G21)</f>
        <v>0</v>
      </c>
      <c r="N21" s="42"/>
      <c r="O21" s="42"/>
    </row>
    <row r="22" ht="19" customHeight="1">
      <c r="A22" s="42"/>
      <c r="B22" s="42"/>
      <c r="C22" s="42"/>
      <c r="D22" s="42"/>
      <c r="E22" s="42"/>
      <c r="F22" s="48"/>
      <c r="G22" s="48"/>
      <c r="H22" s="49"/>
      <c r="I22" s="49"/>
      <c r="J22" s="48"/>
      <c r="K22" t="s" s="46">
        <f>IF(I22="","",I22*E22)</f>
      </c>
      <c r="L22" s="42"/>
      <c r="M22" s="42"/>
      <c r="N22" s="42"/>
      <c r="O22" s="42"/>
    </row>
    <row r="23" ht="19" customHeight="1">
      <c r="A23" s="42"/>
      <c r="B23" s="42"/>
      <c r="C23" s="42"/>
      <c r="D23" s="42"/>
      <c r="E23" s="42"/>
      <c r="F23" s="42"/>
      <c r="G23" s="42"/>
      <c r="H23" s="49"/>
      <c r="I23" s="49"/>
      <c r="J23" s="48"/>
      <c r="K23" s="49"/>
      <c r="L23" s="42"/>
      <c r="M23" s="42"/>
      <c r="N23" s="42"/>
      <c r="O23" s="42"/>
    </row>
    <row r="24" ht="19" customHeight="1">
      <c r="A24" s="43"/>
      <c r="B24" t="s" s="50">
        <v>78</v>
      </c>
      <c r="C24" s="44"/>
      <c r="D24" s="44"/>
      <c r="E24" s="44"/>
      <c r="F24" s="44"/>
      <c r="G24" s="44"/>
      <c r="H24" s="51"/>
      <c r="I24" s="51"/>
      <c r="J24" s="52">
        <f>SUM(J5:J22)/1000</f>
        <v>2.3792</v>
      </c>
      <c r="K24" s="53">
        <f>SUM(K5:K22)</f>
        <v>55720</v>
      </c>
      <c r="L24" t="s" s="50">
        <v>79</v>
      </c>
      <c r="M24" s="54">
        <f>SUM(M16:M21)</f>
        <v>16</v>
      </c>
      <c r="N24" s="42"/>
      <c r="O24" s="42"/>
    </row>
    <row r="25" ht="19" customHeight="1">
      <c r="A25" s="43"/>
      <c r="B25" s="43"/>
      <c r="C25" s="44"/>
      <c r="D25" s="44"/>
      <c r="E25" s="44"/>
      <c r="F25" s="44"/>
      <c r="G25" s="44"/>
      <c r="H25" s="51"/>
      <c r="I25" s="51"/>
      <c r="J25" s="55"/>
      <c r="K25" s="51"/>
      <c r="L25" t="s" s="50">
        <v>75</v>
      </c>
      <c r="M25" s="56">
        <f>E16+F16+G16</f>
        <v>4</v>
      </c>
      <c r="N25" s="42"/>
      <c r="O25" s="42"/>
    </row>
    <row r="26" ht="19" customHeight="1">
      <c r="A26" s="43"/>
      <c r="B26" s="43"/>
      <c r="C26" s="44"/>
      <c r="D26" s="44"/>
      <c r="E26" s="44"/>
      <c r="F26" s="44"/>
      <c r="G26" s="44"/>
      <c r="H26" s="51"/>
      <c r="I26" s="51"/>
      <c r="J26" s="55"/>
      <c r="K26" s="51"/>
      <c r="L26" s="42"/>
      <c r="M26" s="42"/>
      <c r="N26" s="42"/>
      <c r="O26" s="42"/>
    </row>
    <row r="27" ht="19" customHeight="1">
      <c r="A27" s="43"/>
      <c r="B27" s="43"/>
      <c r="C27" s="44"/>
      <c r="D27" s="44"/>
      <c r="E27" s="44"/>
      <c r="F27" s="44"/>
      <c r="G27" s="44"/>
      <c r="H27" s="51"/>
      <c r="I27" s="51"/>
      <c r="J27" s="55"/>
      <c r="K27" s="51"/>
      <c r="L27" s="42"/>
      <c r="M27" s="42"/>
      <c r="N27" s="42"/>
      <c r="O27" s="42"/>
    </row>
    <row r="28" ht="19" customHeight="1">
      <c r="A28" s="43"/>
      <c r="B28" s="43"/>
      <c r="C28" s="44"/>
      <c r="D28" s="44"/>
      <c r="E28" s="44"/>
      <c r="F28" s="44"/>
      <c r="G28" s="44"/>
      <c r="H28" s="51"/>
      <c r="I28" s="51"/>
      <c r="J28" s="55"/>
      <c r="K28" s="51"/>
      <c r="L28" s="42"/>
      <c r="M28" s="42"/>
      <c r="N28" s="42"/>
      <c r="O28" s="42"/>
    </row>
    <row r="29" ht="19" customHeight="1">
      <c r="A29" s="43"/>
      <c r="B29" s="43"/>
      <c r="C29" s="44"/>
      <c r="D29" s="44"/>
      <c r="E29" s="44"/>
      <c r="F29" s="44"/>
      <c r="G29" s="44"/>
      <c r="H29" s="51"/>
      <c r="I29" s="51"/>
      <c r="J29" s="55"/>
      <c r="K29" s="51"/>
      <c r="L29" s="42"/>
      <c r="M29" s="42"/>
      <c r="N29" s="42"/>
      <c r="O29" s="4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5"/>
  <sheetViews>
    <sheetView workbookViewId="0" showGridLines="0" defaultGridColor="1"/>
  </sheetViews>
  <sheetFormatPr defaultColWidth="16.3333" defaultRowHeight="20" customHeight="1" outlineLevelRow="0" outlineLevelCol="0"/>
  <cols>
    <col min="1" max="1" width="19.7578" style="57" customWidth="1"/>
    <col min="2" max="2" width="16.3516" style="57" customWidth="1"/>
    <col min="3" max="3" width="16.3516" style="57" customWidth="1"/>
    <col min="4" max="4" width="22.4297" style="57" customWidth="1"/>
    <col min="5" max="5" width="12.5625" style="57" customWidth="1"/>
    <col min="6" max="6" width="11.8516" style="57" customWidth="1"/>
    <col min="7" max="7" width="9" style="57" customWidth="1"/>
    <col min="8" max="8" width="14.6719" style="57" customWidth="1"/>
    <col min="9" max="9" width="10.3516" style="57" customWidth="1"/>
    <col min="10" max="256" width="16.3516" style="57" customWidth="1"/>
  </cols>
  <sheetData>
    <row r="1" ht="22.35" customHeight="1">
      <c r="A1" s="3"/>
      <c r="B1" s="3"/>
      <c r="C1" s="3"/>
      <c r="D1" s="3"/>
      <c r="E1" s="3"/>
      <c r="F1" t="s" s="58">
        <v>80</v>
      </c>
      <c r="G1" s="3"/>
      <c r="H1" t="s" s="58">
        <v>81</v>
      </c>
      <c r="I1" s="3"/>
    </row>
    <row r="2" ht="22.35" customHeight="1">
      <c r="A2" t="s" s="59">
        <v>82</v>
      </c>
      <c r="B2" s="3"/>
      <c r="C2" t="s" s="60">
        <v>83</v>
      </c>
      <c r="D2" t="s" s="58">
        <v>84</v>
      </c>
      <c r="E2" t="s" s="58">
        <v>85</v>
      </c>
      <c r="F2" t="s" s="58">
        <v>62</v>
      </c>
      <c r="G2" t="s" s="58">
        <v>9</v>
      </c>
      <c r="H2" t="s" s="58">
        <v>22</v>
      </c>
      <c r="I2" t="s" s="58">
        <v>9</v>
      </c>
    </row>
    <row r="3" ht="22.35" customHeight="1">
      <c r="A3" t="s" s="58">
        <v>86</v>
      </c>
      <c r="B3" s="61">
        <f>'Resum'!B7</f>
        <v>80</v>
      </c>
      <c r="C3" s="62">
        <f t="shared" si="1" ref="C3:C5">IF($B$6&lt;&gt;0,1,0)</f>
        <v>0</v>
      </c>
      <c r="D3" t="s" s="60">
        <v>87</v>
      </c>
      <c r="E3" s="62">
        <v>16</v>
      </c>
      <c r="F3" s="63">
        <v>400</v>
      </c>
      <c r="G3" s="64">
        <v>0.7</v>
      </c>
      <c r="H3" s="63">
        <f>E3*F3*C3</f>
        <v>0</v>
      </c>
      <c r="I3" s="64">
        <f>G3*E3*C3</f>
        <v>0</v>
      </c>
    </row>
    <row r="4" ht="22.35" customHeight="1">
      <c r="A4" t="s" s="58">
        <v>88</v>
      </c>
      <c r="B4" s="65">
        <f>'Resum'!B4</f>
        <v>42</v>
      </c>
      <c r="C4" s="62">
        <f t="shared" si="1"/>
        <v>0</v>
      </c>
      <c r="D4" t="s" s="60">
        <v>89</v>
      </c>
      <c r="E4" s="62">
        <f>2*E15+B5*2</f>
        <v>6</v>
      </c>
      <c r="F4" s="63">
        <v>6000</v>
      </c>
      <c r="G4" s="64">
        <v>150</v>
      </c>
      <c r="H4" s="63">
        <f>E4*F4*C4</f>
        <v>0</v>
      </c>
      <c r="I4" s="64">
        <f>G4*E4*C4</f>
        <v>0</v>
      </c>
    </row>
    <row r="5" ht="36.35" customHeight="1">
      <c r="A5" t="s" s="58">
        <v>90</v>
      </c>
      <c r="B5" s="61">
        <f>ROUNDUP('Cabina de discos'!M24/B4,0)</f>
        <v>1</v>
      </c>
      <c r="C5" s="62">
        <f t="shared" si="1"/>
        <v>0</v>
      </c>
      <c r="D5" t="s" s="60">
        <v>91</v>
      </c>
      <c r="E5" s="62">
        <f>(B4-4)*2+E15+2+2</f>
        <v>82</v>
      </c>
      <c r="F5" s="63">
        <v>26</v>
      </c>
      <c r="G5" s="64">
        <v>0</v>
      </c>
      <c r="H5" s="63">
        <f>E5*F5*C5</f>
        <v>0</v>
      </c>
      <c r="I5" s="64">
        <f>G5*E5*C5</f>
        <v>0</v>
      </c>
    </row>
    <row r="6" ht="22.35" customHeight="1">
      <c r="A6" t="s" s="58">
        <v>92</v>
      </c>
      <c r="B6" s="61">
        <f>'Resum'!B27</f>
        <v>0</v>
      </c>
      <c r="C6" s="62">
        <f t="shared" si="15" ref="C6:C7">IF($B$6=1,1,0)</f>
        <v>0</v>
      </c>
      <c r="D6" t="s" s="60">
        <v>93</v>
      </c>
      <c r="E6" s="62">
        <f t="shared" si="16" ref="E6:E10">$B$3*2</f>
        <v>160</v>
      </c>
      <c r="F6" s="63">
        <v>1600</v>
      </c>
      <c r="G6" s="64">
        <v>6.2</v>
      </c>
      <c r="H6" s="63">
        <f>C6*E6*F6</f>
        <v>0</v>
      </c>
      <c r="I6" s="64">
        <f>G6*E6*C6</f>
        <v>0</v>
      </c>
    </row>
    <row r="7" ht="22.35" customHeight="1">
      <c r="A7" s="3"/>
      <c r="B7" s="3"/>
      <c r="C7" s="62">
        <f t="shared" si="15"/>
        <v>0</v>
      </c>
      <c r="D7" t="s" s="60">
        <v>94</v>
      </c>
      <c r="E7" s="62">
        <v>2</v>
      </c>
      <c r="F7" s="63">
        <v>12800</v>
      </c>
      <c r="G7" s="64">
        <v>600</v>
      </c>
      <c r="H7" s="63">
        <f>C7*E7*F7</f>
        <v>0</v>
      </c>
      <c r="I7" s="64">
        <f>G7*E7*C7</f>
        <v>0</v>
      </c>
    </row>
    <row r="8" ht="22.35" customHeight="1">
      <c r="A8" s="3"/>
      <c r="B8" s="3"/>
      <c r="C8" s="62">
        <f t="shared" si="22" ref="C8:C9">IF($B$6=2,1,0)</f>
        <v>0</v>
      </c>
      <c r="D8" t="s" s="60">
        <v>95</v>
      </c>
      <c r="E8" s="62">
        <f t="shared" si="16"/>
        <v>160</v>
      </c>
      <c r="F8" s="63">
        <v>2800</v>
      </c>
      <c r="G8" s="64">
        <v>10.2</v>
      </c>
      <c r="H8" s="63">
        <f>C8*E8*F8</f>
        <v>0</v>
      </c>
      <c r="I8" s="64">
        <f>G8*E8*C8</f>
        <v>0</v>
      </c>
    </row>
    <row r="9" ht="22.35" customHeight="1">
      <c r="A9" s="3"/>
      <c r="B9" s="3"/>
      <c r="C9" s="62">
        <f t="shared" si="22"/>
        <v>0</v>
      </c>
      <c r="D9" t="s" s="60">
        <v>96</v>
      </c>
      <c r="E9" s="62">
        <v>2</v>
      </c>
      <c r="F9" s="63">
        <v>30000</v>
      </c>
      <c r="G9" s="64">
        <v>1800</v>
      </c>
      <c r="H9" s="63">
        <f>C9*E9*F9</f>
        <v>0</v>
      </c>
      <c r="I9" s="64">
        <f>G9*E9*C9</f>
        <v>0</v>
      </c>
    </row>
    <row r="10" ht="22.35" customHeight="1">
      <c r="A10" s="3"/>
      <c r="B10" s="3"/>
      <c r="C10" s="62">
        <f t="shared" si="29" ref="C10:C11">IF($B$6=3,1,0)</f>
        <v>0</v>
      </c>
      <c r="D10" t="s" s="60">
        <v>97</v>
      </c>
      <c r="E10" s="62">
        <f t="shared" si="16"/>
        <v>160</v>
      </c>
      <c r="F10" s="63">
        <v>4200</v>
      </c>
      <c r="G10" s="64">
        <v>18.5</v>
      </c>
      <c r="H10" s="63">
        <f>C10*E10*F10</f>
        <v>0</v>
      </c>
      <c r="I10" s="64">
        <f>G10*E10*C10</f>
        <v>0</v>
      </c>
    </row>
    <row r="11" ht="22.35" customHeight="1">
      <c r="A11" s="3"/>
      <c r="B11" s="3"/>
      <c r="C11" s="62">
        <f t="shared" si="29"/>
        <v>0</v>
      </c>
      <c r="D11" t="s" s="60">
        <v>98</v>
      </c>
      <c r="E11" s="62">
        <v>2</v>
      </c>
      <c r="F11" s="63">
        <v>72200</v>
      </c>
      <c r="G11" s="64">
        <v>3500</v>
      </c>
      <c r="H11" s="63">
        <f>C11*E11*F11</f>
        <v>0</v>
      </c>
      <c r="I11" s="64">
        <f>G11*E11*C11</f>
        <v>0</v>
      </c>
    </row>
    <row r="12" ht="22.35" customHeight="1">
      <c r="A12" s="3"/>
      <c r="B12" s="3"/>
      <c r="C12" s="3"/>
      <c r="D12" s="60"/>
      <c r="E12" s="62"/>
      <c r="F12" s="63"/>
      <c r="G12" s="64"/>
      <c r="H12" s="63"/>
      <c r="I12" s="64"/>
    </row>
    <row r="13" ht="22.35" customHeight="1">
      <c r="A13" t="s" s="59">
        <v>99</v>
      </c>
      <c r="B13" s="3"/>
      <c r="C13" s="3"/>
      <c r="D13" t="s" s="66">
        <v>100</v>
      </c>
      <c r="E13" s="3"/>
      <c r="F13" s="3"/>
      <c r="G13" s="3"/>
      <c r="H13" s="63">
        <f>SUM(H3:H12)</f>
        <v>0</v>
      </c>
      <c r="I13" s="64">
        <f>SUM(I3:I12)</f>
        <v>0</v>
      </c>
    </row>
    <row r="14" ht="22.35" customHeight="1">
      <c r="A14" t="s" s="58">
        <v>101</v>
      </c>
      <c r="B14" s="67">
        <f>H13</f>
        <v>0</v>
      </c>
      <c r="C14" s="3"/>
      <c r="D14" s="3"/>
      <c r="E14" s="3"/>
      <c r="F14" s="68"/>
      <c r="G14" s="64"/>
      <c r="H14" s="62"/>
      <c r="I14" s="64"/>
    </row>
    <row r="15" ht="22.35" customHeight="1">
      <c r="A15" t="s" s="58">
        <v>9</v>
      </c>
      <c r="B15" s="69">
        <f>I13/1000</f>
        <v>0</v>
      </c>
      <c r="C15" s="3"/>
      <c r="D15" t="s" s="60">
        <v>102</v>
      </c>
      <c r="E15" s="62">
        <f>MROUND(B3/(B4-4),1)</f>
        <v>2</v>
      </c>
      <c r="F15" s="3"/>
      <c r="G15" s="3"/>
      <c r="H15" s="3"/>
      <c r="I15" s="3"/>
    </row>
  </sheetData>
  <mergeCells count="5">
    <mergeCell ref="D13:G13"/>
    <mergeCell ref="A13:B13"/>
    <mergeCell ref="H1:I1"/>
    <mergeCell ref="F1:G1"/>
    <mergeCell ref="A2:B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T48"/>
  <sheetViews>
    <sheetView workbookViewId="0" showGridLines="0" defaultGridColor="1"/>
  </sheetViews>
  <sheetFormatPr defaultColWidth="12.8333" defaultRowHeight="15.75" customHeight="1" outlineLevelRow="0" outlineLevelCol="0"/>
  <cols>
    <col min="1" max="1" width="44.3516" style="70" customWidth="1"/>
    <col min="2" max="2" width="16.3516" style="70" customWidth="1"/>
    <col min="3" max="3" width="12.8516" style="70" customWidth="1"/>
    <col min="4" max="4" width="14" style="70" customWidth="1"/>
    <col min="5" max="5" width="16.8516" style="70" customWidth="1"/>
    <col min="6" max="6" width="15.8516" style="70" customWidth="1"/>
    <col min="7" max="7" width="12.8516" style="70" customWidth="1"/>
    <col min="8" max="8" width="12.8516" style="70" customWidth="1"/>
    <col min="9" max="9" width="36.3516" style="70" customWidth="1"/>
    <col min="10" max="10" width="12.8516" style="70" customWidth="1"/>
    <col min="11" max="11" width="12.8516" style="70" customWidth="1"/>
    <col min="12" max="12" width="12.8516" style="70" customWidth="1"/>
    <col min="13" max="13" width="12.8516" style="70" customWidth="1"/>
    <col min="14" max="14" width="12.8516" style="70" customWidth="1"/>
    <col min="15" max="15" width="12.8516" style="70" customWidth="1"/>
    <col min="16" max="16" width="14.6719" style="70" customWidth="1"/>
    <col min="17" max="17" width="17" style="70" customWidth="1"/>
    <col min="18" max="18" width="7" style="70" customWidth="1"/>
    <col min="19" max="19" width="12.8516" style="70" customWidth="1"/>
    <col min="20" max="20" width="12.8516" style="70" customWidth="1"/>
    <col min="21" max="256" width="12.8516" style="70" customWidth="1"/>
  </cols>
  <sheetData>
    <row r="1" ht="18" customHeight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ht="18" customHeight="1">
      <c r="A2" t="s" s="72">
        <v>104</v>
      </c>
      <c r="B2" s="73"/>
      <c r="C2" s="73"/>
      <c r="D2" s="73"/>
      <c r="E2" s="73"/>
      <c r="F2" s="73"/>
      <c r="G2" s="73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ht="18.5" customHeight="1">
      <c r="A3" t="s" s="74">
        <v>105</v>
      </c>
      <c r="B3" s="75"/>
      <c r="C3" s="75"/>
      <c r="D3" s="75"/>
      <c r="E3" s="75"/>
      <c r="F3" s="75"/>
      <c r="G3" s="76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ht="19" customHeight="1">
      <c r="A4" s="77"/>
      <c r="B4" t="s" s="78">
        <v>106</v>
      </c>
      <c r="C4" s="79"/>
      <c r="D4" s="79"/>
      <c r="E4" s="79"/>
      <c r="F4" s="79"/>
      <c r="G4" s="79"/>
      <c r="H4" s="80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71"/>
    </row>
    <row r="5" ht="19" customHeight="1">
      <c r="A5" s="82"/>
      <c r="B5" t="s" s="78">
        <v>107</v>
      </c>
      <c r="C5" t="s" s="78">
        <v>108</v>
      </c>
      <c r="D5" t="s" s="78">
        <v>109</v>
      </c>
      <c r="E5" t="s" s="78">
        <v>110</v>
      </c>
      <c r="F5" t="s" s="78">
        <v>111</v>
      </c>
      <c r="G5" t="s" s="78">
        <v>112</v>
      </c>
      <c r="H5" s="83"/>
      <c r="I5" t="s" s="84">
        <v>113</v>
      </c>
      <c r="J5" s="82"/>
      <c r="K5" s="82"/>
      <c r="L5" s="82"/>
      <c r="M5" s="82"/>
      <c r="N5" s="82"/>
      <c r="O5" s="82"/>
      <c r="P5" s="82"/>
      <c r="Q5" s="82"/>
      <c r="R5" s="82"/>
      <c r="S5" s="82"/>
      <c r="T5" s="80"/>
    </row>
    <row r="6" ht="18" customHeight="1">
      <c r="A6" t="s" s="85">
        <v>114</v>
      </c>
      <c r="B6" s="86">
        <v>17.683102</v>
      </c>
      <c r="C6" s="86">
        <v>8.849205</v>
      </c>
      <c r="D6" s="86">
        <v>6.476148</v>
      </c>
      <c r="E6" s="86">
        <v>6.476148</v>
      </c>
      <c r="F6" s="86">
        <v>6.476148</v>
      </c>
      <c r="G6" s="86">
        <v>2.954837</v>
      </c>
      <c r="H6" s="83"/>
      <c r="I6" s="82"/>
      <c r="J6" t="s" s="84">
        <v>107</v>
      </c>
      <c r="K6" t="s" s="84">
        <v>108</v>
      </c>
      <c r="L6" t="s" s="84">
        <v>109</v>
      </c>
      <c r="M6" t="s" s="84">
        <v>110</v>
      </c>
      <c r="N6" t="s" s="84">
        <v>111</v>
      </c>
      <c r="O6" t="s" s="84">
        <v>112</v>
      </c>
      <c r="P6" t="s" s="84">
        <v>115</v>
      </c>
      <c r="Q6" t="s" s="84">
        <v>116</v>
      </c>
      <c r="R6" t="s" s="84">
        <v>117</v>
      </c>
      <c r="S6" t="s" s="84">
        <v>118</v>
      </c>
      <c r="T6" s="80"/>
    </row>
    <row r="7" ht="18" customHeight="1">
      <c r="A7" t="s" s="85">
        <v>119</v>
      </c>
      <c r="B7" s="86">
        <v>0.075697</v>
      </c>
      <c r="C7" s="86">
        <v>0.056532</v>
      </c>
      <c r="D7" s="86">
        <v>0.030124</v>
      </c>
      <c r="E7" s="86">
        <v>0.014992</v>
      </c>
      <c r="F7" s="86">
        <v>0.009682</v>
      </c>
      <c r="G7" s="86">
        <v>0.006062</v>
      </c>
      <c r="H7" s="83"/>
      <c r="I7" t="s" s="84">
        <v>120</v>
      </c>
      <c r="J7" s="87">
        <v>6</v>
      </c>
      <c r="K7" s="82">
        <v>10</v>
      </c>
      <c r="L7" s="82">
        <v>0</v>
      </c>
      <c r="M7" s="82">
        <v>0</v>
      </c>
      <c r="N7" s="82">
        <v>0</v>
      </c>
      <c r="O7" s="82">
        <v>8</v>
      </c>
      <c r="P7" s="82">
        <v>23</v>
      </c>
      <c r="Q7" s="82">
        <v>8</v>
      </c>
      <c r="R7" s="82">
        <f>P7+Q7</f>
        <v>31</v>
      </c>
      <c r="S7" s="88">
        <f>R7*24</f>
        <v>744</v>
      </c>
      <c r="T7" s="80"/>
    </row>
    <row r="8" ht="19" customHeight="1">
      <c r="A8" s="89"/>
      <c r="B8" s="90"/>
      <c r="C8" s="89"/>
      <c r="D8" s="89"/>
      <c r="E8" s="89"/>
      <c r="F8" s="89"/>
      <c r="G8" s="91"/>
      <c r="H8" s="92"/>
      <c r="I8" t="s" s="84">
        <v>121</v>
      </c>
      <c r="J8" s="82">
        <v>6</v>
      </c>
      <c r="K8" s="82">
        <v>10</v>
      </c>
      <c r="L8" s="82">
        <v>0</v>
      </c>
      <c r="M8" s="82">
        <v>0</v>
      </c>
      <c r="N8" s="82">
        <v>0</v>
      </c>
      <c r="O8" s="82">
        <v>8</v>
      </c>
      <c r="P8" s="82">
        <v>20</v>
      </c>
      <c r="Q8" s="82">
        <v>8</v>
      </c>
      <c r="R8" s="82">
        <f>P8+Q8</f>
        <v>28</v>
      </c>
      <c r="S8" s="88">
        <f>R8*24</f>
        <v>672</v>
      </c>
      <c r="T8" s="80"/>
    </row>
    <row r="9" ht="19" customHeight="1">
      <c r="A9" t="s" s="93">
        <v>122</v>
      </c>
      <c r="B9" s="94">
        <f>'Resum'!B6</f>
        <v>0.08</v>
      </c>
      <c r="C9" t="s" s="95">
        <v>123</v>
      </c>
      <c r="D9" s="42"/>
      <c r="E9" s="42"/>
      <c r="F9" s="42"/>
      <c r="G9" s="96"/>
      <c r="H9" s="92"/>
      <c r="I9" t="s" s="84">
        <v>124</v>
      </c>
      <c r="J9" s="82">
        <v>0</v>
      </c>
      <c r="K9" s="82">
        <v>0</v>
      </c>
      <c r="L9" s="82">
        <v>6</v>
      </c>
      <c r="M9" s="82">
        <v>10</v>
      </c>
      <c r="N9" s="82">
        <v>0</v>
      </c>
      <c r="O9" s="82">
        <v>8</v>
      </c>
      <c r="P9" s="82">
        <v>23</v>
      </c>
      <c r="Q9" s="82">
        <v>8</v>
      </c>
      <c r="R9" s="82">
        <f>P9+Q9</f>
        <v>31</v>
      </c>
      <c r="S9" s="88">
        <f>R9*24</f>
        <v>744</v>
      </c>
      <c r="T9" s="80"/>
    </row>
    <row r="10" ht="19" customHeight="1">
      <c r="A10" t="s" s="85">
        <v>125</v>
      </c>
      <c r="B10" s="97">
        <f>'Resum'!B5+'Cabina de discos'!J24+'SAN'!B15+'Backup'!H29</f>
        <v>742.3792</v>
      </c>
      <c r="C10" t="s" s="95">
        <v>126</v>
      </c>
      <c r="D10" s="42"/>
      <c r="E10" s="42"/>
      <c r="F10" s="42"/>
      <c r="G10" s="96"/>
      <c r="H10" s="92"/>
      <c r="I10" t="s" s="84">
        <v>127</v>
      </c>
      <c r="J10" s="82">
        <v>0</v>
      </c>
      <c r="K10" s="82">
        <v>0</v>
      </c>
      <c r="L10" s="82">
        <v>0</v>
      </c>
      <c r="M10" s="82">
        <v>0</v>
      </c>
      <c r="N10" s="82">
        <v>16</v>
      </c>
      <c r="O10" s="82">
        <v>8</v>
      </c>
      <c r="P10" s="82">
        <v>22</v>
      </c>
      <c r="Q10" s="82">
        <v>8</v>
      </c>
      <c r="R10" s="82">
        <f>P10+Q10</f>
        <v>30</v>
      </c>
      <c r="S10" s="88">
        <f>R10*24</f>
        <v>720</v>
      </c>
      <c r="T10" s="80"/>
    </row>
    <row r="11" ht="19" customHeight="1">
      <c r="A11" s="98"/>
      <c r="B11" s="98"/>
      <c r="C11" s="42"/>
      <c r="D11" s="42"/>
      <c r="E11" s="42"/>
      <c r="F11" s="42"/>
      <c r="G11" s="96"/>
      <c r="H11" s="92"/>
      <c r="I11" t="s" s="84">
        <v>128</v>
      </c>
      <c r="J11" s="82">
        <v>0</v>
      </c>
      <c r="K11" s="82">
        <v>0</v>
      </c>
      <c r="L11" s="82">
        <v>0</v>
      </c>
      <c r="M11" s="82">
        <v>0</v>
      </c>
      <c r="N11" s="82">
        <v>16</v>
      </c>
      <c r="O11" s="82">
        <v>8</v>
      </c>
      <c r="P11" s="82">
        <v>23</v>
      </c>
      <c r="Q11" s="82">
        <v>8</v>
      </c>
      <c r="R11" s="82">
        <f>P11+Q11</f>
        <v>31</v>
      </c>
      <c r="S11" s="88">
        <f>R11*24</f>
        <v>744</v>
      </c>
      <c r="T11" s="80"/>
    </row>
    <row r="12" ht="19" customHeight="1">
      <c r="A12" t="s" s="99">
        <v>129</v>
      </c>
      <c r="B12" s="49"/>
      <c r="C12" s="42"/>
      <c r="D12" s="42"/>
      <c r="E12" s="42"/>
      <c r="F12" s="42"/>
      <c r="G12" s="96"/>
      <c r="H12" s="92"/>
      <c r="I12" t="s" s="84">
        <v>130</v>
      </c>
      <c r="J12" s="82">
        <v>0</v>
      </c>
      <c r="K12" s="82">
        <v>0</v>
      </c>
      <c r="L12" s="82">
        <v>6</v>
      </c>
      <c r="M12" s="82">
        <v>10</v>
      </c>
      <c r="N12" s="82">
        <v>0</v>
      </c>
      <c r="O12" s="82">
        <v>8</v>
      </c>
      <c r="P12" s="82">
        <v>11</v>
      </c>
      <c r="Q12" s="82">
        <v>4</v>
      </c>
      <c r="R12" s="82">
        <f>P12+Q12</f>
        <v>15</v>
      </c>
      <c r="S12" s="88">
        <f>R12*24</f>
        <v>360</v>
      </c>
      <c r="T12" s="80"/>
    </row>
    <row r="13" ht="19" customHeight="1">
      <c r="A13" s="100"/>
      <c r="B13" s="101"/>
      <c r="C13" s="100"/>
      <c r="D13" s="100"/>
      <c r="E13" s="100"/>
      <c r="F13" s="100"/>
      <c r="G13" s="102"/>
      <c r="H13" s="92"/>
      <c r="I13" t="s" s="84">
        <v>131</v>
      </c>
      <c r="J13" s="82">
        <v>8</v>
      </c>
      <c r="K13" s="82">
        <v>8</v>
      </c>
      <c r="L13" s="82">
        <v>0</v>
      </c>
      <c r="M13" s="82">
        <v>0</v>
      </c>
      <c r="N13" s="82">
        <v>0</v>
      </c>
      <c r="O13" s="82">
        <v>8</v>
      </c>
      <c r="P13" s="82">
        <v>11</v>
      </c>
      <c r="Q13" s="82">
        <v>4</v>
      </c>
      <c r="R13" s="82">
        <f>P13+Q13</f>
        <v>15</v>
      </c>
      <c r="S13" s="88">
        <f>R13*24</f>
        <v>360</v>
      </c>
      <c r="T13" s="80"/>
    </row>
    <row r="14" ht="19" customHeight="1">
      <c r="A14" t="s" s="103">
        <v>132</v>
      </c>
      <c r="B14" s="71"/>
      <c r="C14" s="71"/>
      <c r="D14" s="71"/>
      <c r="E14" s="71"/>
      <c r="F14" s="71"/>
      <c r="G14" s="71"/>
      <c r="H14" s="92"/>
      <c r="I14" t="s" s="84">
        <v>133</v>
      </c>
      <c r="J14" s="82">
        <v>8</v>
      </c>
      <c r="K14" s="82">
        <v>8</v>
      </c>
      <c r="L14" s="82">
        <v>0</v>
      </c>
      <c r="M14" s="82">
        <v>0</v>
      </c>
      <c r="N14" s="82">
        <v>0</v>
      </c>
      <c r="O14" s="82">
        <v>8</v>
      </c>
      <c r="P14" s="82">
        <v>23</v>
      </c>
      <c r="Q14" s="82">
        <v>8</v>
      </c>
      <c r="R14" s="82">
        <f>P14+Q14</f>
        <v>31</v>
      </c>
      <c r="S14" s="88">
        <f>R14*24</f>
        <v>744</v>
      </c>
      <c r="T14" s="80"/>
    </row>
    <row r="15" ht="19" customHeight="1">
      <c r="A15" s="71"/>
      <c r="B15" s="104"/>
      <c r="C15" s="71"/>
      <c r="D15" s="71"/>
      <c r="E15" s="71"/>
      <c r="F15" s="71"/>
      <c r="G15" s="71"/>
      <c r="H15" s="92"/>
      <c r="I15" t="s" s="84">
        <v>134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24</v>
      </c>
      <c r="P15" s="82">
        <v>23</v>
      </c>
      <c r="Q15" s="82">
        <v>8</v>
      </c>
      <c r="R15" s="82">
        <f>P15+Q15</f>
        <v>31</v>
      </c>
      <c r="S15" s="88">
        <f>R15*24</f>
        <v>744</v>
      </c>
      <c r="T15" s="80"/>
    </row>
    <row r="16" ht="19" customHeight="1">
      <c r="A16" s="81"/>
      <c r="B16" s="81"/>
      <c r="C16" s="81"/>
      <c r="D16" s="81"/>
      <c r="E16" s="81"/>
      <c r="F16" s="81"/>
      <c r="G16" s="71"/>
      <c r="H16" s="92"/>
      <c r="I16" t="s" s="84">
        <v>135</v>
      </c>
      <c r="J16" s="82">
        <v>0</v>
      </c>
      <c r="K16" s="82">
        <v>0</v>
      </c>
      <c r="L16" s="82">
        <v>6</v>
      </c>
      <c r="M16" s="82">
        <v>10</v>
      </c>
      <c r="N16" s="82">
        <v>0</v>
      </c>
      <c r="O16" s="82">
        <v>8</v>
      </c>
      <c r="P16" s="82">
        <v>22</v>
      </c>
      <c r="Q16" s="82">
        <v>8</v>
      </c>
      <c r="R16" s="82">
        <f>P16+Q16</f>
        <v>30</v>
      </c>
      <c r="S16" s="88">
        <f>R16*24</f>
        <v>720</v>
      </c>
      <c r="T16" s="80"/>
    </row>
    <row r="17" ht="47.25" customHeight="1">
      <c r="A17" t="s" s="105">
        <v>136</v>
      </c>
      <c r="B17" t="s" s="106">
        <v>137</v>
      </c>
      <c r="C17" t="s" s="107">
        <v>138</v>
      </c>
      <c r="D17" t="s" s="106">
        <v>139</v>
      </c>
      <c r="E17" t="s" s="106">
        <v>140</v>
      </c>
      <c r="F17" t="s" s="108">
        <v>141</v>
      </c>
      <c r="G17" t="s" s="109">
        <v>142</v>
      </c>
      <c r="H17" s="92"/>
      <c r="I17" t="s" s="84">
        <v>143</v>
      </c>
      <c r="J17" s="82">
        <v>0</v>
      </c>
      <c r="K17" s="82">
        <v>0</v>
      </c>
      <c r="L17" s="82">
        <v>6</v>
      </c>
      <c r="M17" s="82">
        <v>10</v>
      </c>
      <c r="N17" s="82">
        <v>0</v>
      </c>
      <c r="O17" s="82">
        <v>8</v>
      </c>
      <c r="P17" s="82">
        <v>23</v>
      </c>
      <c r="Q17" s="82">
        <v>8</v>
      </c>
      <c r="R17" s="82">
        <f>P17+Q17</f>
        <v>31</v>
      </c>
      <c r="S17" s="88">
        <f>R17*24</f>
        <v>744</v>
      </c>
      <c r="T17" s="80"/>
    </row>
    <row r="18" ht="19" customHeight="1">
      <c r="A18" s="110">
        <v>1</v>
      </c>
      <c r="B18" s="111">
        <f>$B$10*A18</f>
        <v>742.3792</v>
      </c>
      <c r="C18" s="112">
        <f>B18*(1+$B$9)</f>
        <v>801.769536</v>
      </c>
      <c r="D18" s="113">
        <f>SUM(B6:G6*C18)</f>
        <v>5192.378177027328</v>
      </c>
      <c r="E18" s="113">
        <f>($J$38*$B$7+$K$38*$C$7+$L$38*$D$7+$M$38*$E$7+$N$38*$F$7+$O$38*$G$7+$P$38*$G$7)*B18</f>
        <v>128223.0850998208</v>
      </c>
      <c r="F18" s="114">
        <f>D18+E18</f>
        <v>133415.4632768481</v>
      </c>
      <c r="G18" s="115">
        <f>1-$F$18/F18</f>
        <v>0</v>
      </c>
      <c r="H18" s="92"/>
      <c r="I18" t="s" s="84">
        <v>144</v>
      </c>
      <c r="J18" s="82">
        <v>0</v>
      </c>
      <c r="K18" s="82">
        <v>0</v>
      </c>
      <c r="L18" s="82">
        <v>6</v>
      </c>
      <c r="M18" s="82">
        <v>10</v>
      </c>
      <c r="N18" s="82">
        <v>0</v>
      </c>
      <c r="O18" s="82">
        <v>8</v>
      </c>
      <c r="P18" s="82">
        <v>22</v>
      </c>
      <c r="Q18" s="82">
        <v>8</v>
      </c>
      <c r="R18" s="82">
        <f>P18+Q18</f>
        <v>30</v>
      </c>
      <c r="S18" s="88">
        <f>R18*24</f>
        <v>720</v>
      </c>
      <c r="T18" s="80"/>
    </row>
    <row r="19" ht="19" customHeight="1">
      <c r="A19" s="116">
        <v>1.05</v>
      </c>
      <c r="B19" s="117">
        <f>$B$10*A19</f>
        <v>779.49816</v>
      </c>
      <c r="C19" s="118">
        <f>B19*(1+$B$9)</f>
        <v>841.8580128</v>
      </c>
      <c r="D19" s="119">
        <v>1721.345411590560</v>
      </c>
      <c r="E19" s="119">
        <f>($J$38*$B$7+$K$38*$C$7+$L$38*$D$7+$M$38*$E$7+$N$38*$F$7+$O$38*$G$7+$P$38*$G$7)*B19</f>
        <v>134634.2393548118</v>
      </c>
      <c r="F19" s="120">
        <f>D19+E19</f>
        <v>136355.5847664024</v>
      </c>
      <c r="G19" s="121">
        <f>1-$F$18/F19</f>
        <v>0.02156216406237532</v>
      </c>
      <c r="H19" s="92"/>
      <c r="I19" t="s" s="84">
        <v>145</v>
      </c>
      <c r="J19" s="82">
        <v>6</v>
      </c>
      <c r="K19" s="82">
        <v>10</v>
      </c>
      <c r="L19" s="82">
        <v>0</v>
      </c>
      <c r="M19" s="82">
        <v>0</v>
      </c>
      <c r="N19" s="82">
        <v>0</v>
      </c>
      <c r="O19" s="82">
        <v>8</v>
      </c>
      <c r="P19" s="82">
        <v>23</v>
      </c>
      <c r="Q19" s="82">
        <v>7</v>
      </c>
      <c r="R19" s="82">
        <f>P19+Q19</f>
        <v>30</v>
      </c>
      <c r="S19" s="88">
        <f>R19*24</f>
        <v>720</v>
      </c>
      <c r="T19" s="80"/>
    </row>
    <row r="20" ht="19" customHeight="1">
      <c r="A20" s="116">
        <v>1.1</v>
      </c>
      <c r="B20" s="117">
        <f>$B$10*A20</f>
        <v>816.61712</v>
      </c>
      <c r="C20" s="118">
        <f>B20*(1+$B$9)</f>
        <v>881.9464896000001</v>
      </c>
      <c r="D20" s="119">
        <v>1803.314240713921</v>
      </c>
      <c r="E20" s="119">
        <f>($J$38*$B$7+$K$38*$C$7+$L$38*$D$7+$M$38*$E$7+$N$38*$F$7+$O$38*$G$7+$P$38*$G$7)*B20</f>
        <v>141045.3936098029</v>
      </c>
      <c r="F20" s="120">
        <f>D20+E20</f>
        <v>142848.7078505168</v>
      </c>
      <c r="G20" s="121">
        <f>1-$F$18/F20</f>
        <v>0.06603661115044912</v>
      </c>
      <c r="H20" s="71"/>
      <c r="I20" s="122"/>
      <c r="J20" s="122"/>
      <c r="K20" s="122"/>
      <c r="L20" s="122"/>
      <c r="M20" s="122"/>
      <c r="N20" s="122"/>
      <c r="O20" s="122"/>
      <c r="P20" s="123">
        <f>SUM(P7:P19)</f>
        <v>269</v>
      </c>
      <c r="Q20" s="123">
        <f>SUM(Q7:Q19)</f>
        <v>95</v>
      </c>
      <c r="R20" s="123">
        <f>P20+Q20</f>
        <v>364</v>
      </c>
      <c r="S20" s="123">
        <f>SUM(S7:S19)</f>
        <v>8736</v>
      </c>
      <c r="T20" s="71"/>
    </row>
    <row r="21" ht="19" customHeight="1">
      <c r="A21" s="116">
        <v>1.15</v>
      </c>
      <c r="B21" s="117">
        <f>$B$10*A21</f>
        <v>853.7360799999999</v>
      </c>
      <c r="C21" s="118">
        <f>B21*(1+$B$9)</f>
        <v>922.0349663999999</v>
      </c>
      <c r="D21" s="119">
        <v>1885.283069837280</v>
      </c>
      <c r="E21" s="119">
        <f>($J$38*$B$7+$K$38*$C$7+$L$38*$D$7+$M$38*$E$7+$N$38*$F$7+$O$38*$G$7+$P$38*$G$7)*B21</f>
        <v>147456.5478647939</v>
      </c>
      <c r="F21" s="120">
        <f>D21+E21</f>
        <v>149341.8309346312</v>
      </c>
      <c r="G21" s="121">
        <f>1-$F$18/F21</f>
        <v>0.1066437150134729</v>
      </c>
      <c r="H21" s="71"/>
      <c r="I21" s="81"/>
      <c r="J21" s="81"/>
      <c r="K21" s="81"/>
      <c r="L21" s="81"/>
      <c r="M21" s="81"/>
      <c r="N21" s="81"/>
      <c r="O21" s="81"/>
      <c r="P21" s="81"/>
      <c r="Q21" s="71"/>
      <c r="R21" s="71"/>
      <c r="S21" s="71"/>
      <c r="T21" s="71"/>
    </row>
    <row r="22" ht="19" customHeight="1">
      <c r="A22" s="116">
        <v>1.2</v>
      </c>
      <c r="B22" s="117">
        <f>$B$10*A22</f>
        <v>890.8550399999999</v>
      </c>
      <c r="C22" s="118">
        <f>B22*(1+$B$9)</f>
        <v>962.1234432</v>
      </c>
      <c r="D22" s="119">
        <v>1967.251898960640</v>
      </c>
      <c r="E22" s="119">
        <f>($J$38*$B$7+$K$38*$C$7+$L$38*$D$7+$M$38*$E$7+$N$38*$F$7+$O$38*$G$7+$P$38*$G$7)*B22</f>
        <v>153867.702119785</v>
      </c>
      <c r="F22" s="120">
        <f>D22+E22</f>
        <v>155834.9540187456</v>
      </c>
      <c r="G22" s="121">
        <f>1-$F$18/F22</f>
        <v>0.1438668935545784</v>
      </c>
      <c r="H22" s="92"/>
      <c r="I22" t="s" s="84">
        <v>146</v>
      </c>
      <c r="J22" s="82"/>
      <c r="K22" s="82"/>
      <c r="L22" s="82"/>
      <c r="M22" s="82"/>
      <c r="N22" s="82"/>
      <c r="O22" s="82"/>
      <c r="P22" s="82"/>
      <c r="Q22" s="80"/>
      <c r="R22" s="71"/>
      <c r="S22" s="71"/>
      <c r="T22" s="71"/>
    </row>
    <row r="23" ht="19" customHeight="1">
      <c r="A23" s="116">
        <v>1.25</v>
      </c>
      <c r="B23" s="117">
        <f>$B$10*A23</f>
        <v>927.9739999999999</v>
      </c>
      <c r="C23" s="118">
        <f>B23*(1+$B$9)</f>
        <v>1002.21192</v>
      </c>
      <c r="D23" s="119">
        <v>2049.220728084</v>
      </c>
      <c r="E23" s="119">
        <f>($J$38*$B$7+$K$38*$C$7+$L$38*$D$7+$M$38*$E$7+$N$38*$F$7+$O$38*$G$7+$P$38*$G$7)*B23</f>
        <v>160278.856374776</v>
      </c>
      <c r="F23" s="120">
        <f>D23+E23</f>
        <v>162328.07710286</v>
      </c>
      <c r="G23" s="121">
        <f>1-$F$18/F23</f>
        <v>0.1781122178123953</v>
      </c>
      <c r="H23" s="92"/>
      <c r="I23" s="82"/>
      <c r="J23" t="s" s="84">
        <v>107</v>
      </c>
      <c r="K23" t="s" s="84">
        <v>108</v>
      </c>
      <c r="L23" t="s" s="84">
        <v>109</v>
      </c>
      <c r="M23" t="s" s="84">
        <v>110</v>
      </c>
      <c r="N23" t="s" s="84">
        <v>111</v>
      </c>
      <c r="O23" t="s" s="84">
        <v>112</v>
      </c>
      <c r="P23" t="s" s="84">
        <v>147</v>
      </c>
      <c r="Q23" s="80"/>
      <c r="R23" s="71"/>
      <c r="S23" s="71"/>
      <c r="T23" s="71"/>
    </row>
    <row r="24" ht="18" customHeight="1">
      <c r="A24" s="116">
        <v>1.3</v>
      </c>
      <c r="B24" s="117">
        <f>$B$10*A24</f>
        <v>965.0929599999999</v>
      </c>
      <c r="C24" s="118">
        <f>B24*(1+$B$9)</f>
        <v>1042.3003968</v>
      </c>
      <c r="D24" s="119">
        <v>2131.189557207360</v>
      </c>
      <c r="E24" s="119">
        <f>($J$38*$B$7+$K$38*$C$7+$L$38*$D$7+$M$38*$E$7+$N$38*$F$7+$O$38*$G$7+$P$38*$G$7)*B24</f>
        <v>166690.010629767</v>
      </c>
      <c r="F24" s="120">
        <f>D24+E24</f>
        <v>168821.2001869744</v>
      </c>
      <c r="G24" s="121">
        <f>1-$F$18/F24</f>
        <v>0.2097232863580724</v>
      </c>
      <c r="H24" s="92"/>
      <c r="I24" t="s" s="84">
        <v>120</v>
      </c>
      <c r="J24" s="87">
        <f>J7*$P7</f>
        <v>138</v>
      </c>
      <c r="K24" s="87">
        <f>K7*$P7</f>
        <v>230</v>
      </c>
      <c r="L24" s="87">
        <f>L7*$P7</f>
        <v>0</v>
      </c>
      <c r="M24" s="87">
        <f>M7*$P7</f>
        <v>0</v>
      </c>
      <c r="N24" s="87">
        <f>N7*$P7</f>
        <v>0</v>
      </c>
      <c r="O24" s="87">
        <f>O7*$P7</f>
        <v>184</v>
      </c>
      <c r="P24" s="87">
        <f>$Q7*24</f>
        <v>192</v>
      </c>
      <c r="Q24" s="80"/>
      <c r="R24" s="71"/>
      <c r="S24" s="71"/>
      <c r="T24" s="71"/>
    </row>
    <row r="25" ht="18" customHeight="1">
      <c r="A25" s="116">
        <v>1.35</v>
      </c>
      <c r="B25" s="117">
        <f>$B$10*A25</f>
        <v>1002.21192</v>
      </c>
      <c r="C25" s="118">
        <f>B25*(1+$B$9)</f>
        <v>1082.3888736</v>
      </c>
      <c r="D25" s="119">
        <v>2213.158386330721</v>
      </c>
      <c r="E25" s="119">
        <f>($J$38*$B$7+$K$38*$C$7+$L$38*$D$7+$M$38*$E$7+$N$38*$F$7+$O$38*$G$7+$P$38*$G$7)*B25</f>
        <v>173101.1648847581</v>
      </c>
      <c r="F25" s="120">
        <f>D25+E25</f>
        <v>175314.3232710888</v>
      </c>
      <c r="G25" s="121">
        <f>1-$F$18/F25</f>
        <v>0.2389927942707365</v>
      </c>
      <c r="H25" s="92"/>
      <c r="I25" t="s" s="84">
        <v>121</v>
      </c>
      <c r="J25" s="87">
        <f>J8*$P8</f>
        <v>120</v>
      </c>
      <c r="K25" s="87">
        <f>K8*$P8</f>
        <v>200</v>
      </c>
      <c r="L25" s="87">
        <f>L8*$P8</f>
        <v>0</v>
      </c>
      <c r="M25" s="87">
        <f>M8*$P8</f>
        <v>0</v>
      </c>
      <c r="N25" s="87">
        <f>N8*$P8</f>
        <v>0</v>
      </c>
      <c r="O25" s="87">
        <f>O8*$P8</f>
        <v>160</v>
      </c>
      <c r="P25" s="87">
        <f>$Q8*24</f>
        <v>192</v>
      </c>
      <c r="Q25" s="80"/>
      <c r="R25" s="71"/>
      <c r="S25" s="71"/>
      <c r="T25" s="71"/>
    </row>
    <row r="26" ht="18" customHeight="1">
      <c r="A26" s="116">
        <v>1.4</v>
      </c>
      <c r="B26" s="117">
        <f>$B$10*A26</f>
        <v>1039.33088</v>
      </c>
      <c r="C26" s="118">
        <f>B26*(1+$B$9)</f>
        <v>1122.4773504</v>
      </c>
      <c r="D26" s="119">
        <v>2295.127215454081</v>
      </c>
      <c r="E26" s="119">
        <f>($J$38*$B$7+$K$38*$C$7+$L$38*$D$7+$M$38*$E$7+$N$38*$F$7+$O$38*$G$7+$P$38*$G$7)*B26</f>
        <v>179512.3191397491</v>
      </c>
      <c r="F26" s="120">
        <f>D26+E26</f>
        <v>181807.4463552032</v>
      </c>
      <c r="G26" s="121">
        <f>1-$F$18/F26</f>
        <v>0.2661716230467814</v>
      </c>
      <c r="H26" s="92"/>
      <c r="I26" t="s" s="84">
        <v>124</v>
      </c>
      <c r="J26" s="87">
        <f>J9*$P9</f>
        <v>0</v>
      </c>
      <c r="K26" s="87">
        <f>K9*$P9</f>
        <v>0</v>
      </c>
      <c r="L26" s="87">
        <f>L9*$P9</f>
        <v>138</v>
      </c>
      <c r="M26" s="87">
        <f>M9*$P9</f>
        <v>230</v>
      </c>
      <c r="N26" s="87">
        <f>N9*$P9</f>
        <v>0</v>
      </c>
      <c r="O26" s="87">
        <f>O9*$P9</f>
        <v>184</v>
      </c>
      <c r="P26" s="87">
        <f>$Q9*24</f>
        <v>192</v>
      </c>
      <c r="Q26" s="80"/>
      <c r="R26" s="71"/>
      <c r="S26" s="71"/>
      <c r="T26" s="71"/>
    </row>
    <row r="27" ht="18" customHeight="1">
      <c r="A27" s="116">
        <v>1.45</v>
      </c>
      <c r="B27" s="117">
        <f>$B$10*A27</f>
        <v>1076.44984</v>
      </c>
      <c r="C27" s="118">
        <f>B27*(1+$B$9)</f>
        <v>1162.5658272</v>
      </c>
      <c r="D27" s="119">
        <v>2377.096044577440</v>
      </c>
      <c r="E27" s="119">
        <f>($J$38*$B$7+$K$38*$C$7+$L$38*$D$7+$M$38*$E$7+$N$38*$F$7+$O$38*$G$7+$P$38*$G$7)*B27</f>
        <v>185923.4733947401</v>
      </c>
      <c r="F27" s="120">
        <f>D27+E27</f>
        <v>188300.5694393176</v>
      </c>
      <c r="G27" s="121">
        <f>1-$F$18/F27</f>
        <v>0.2914760498382718</v>
      </c>
      <c r="H27" s="92"/>
      <c r="I27" t="s" s="84">
        <v>127</v>
      </c>
      <c r="J27" s="87">
        <f>J10*$P10</f>
        <v>0</v>
      </c>
      <c r="K27" s="87">
        <f>K10*$P10</f>
        <v>0</v>
      </c>
      <c r="L27" s="87">
        <f>L10*$P10</f>
        <v>0</v>
      </c>
      <c r="M27" s="87">
        <f>M10*$P10</f>
        <v>0</v>
      </c>
      <c r="N27" s="87">
        <f>N10*$P10</f>
        <v>352</v>
      </c>
      <c r="O27" s="87">
        <f>O10*$P10</f>
        <v>176</v>
      </c>
      <c r="P27" s="87">
        <f>$Q10*24</f>
        <v>192</v>
      </c>
      <c r="Q27" s="80"/>
      <c r="R27" s="71"/>
      <c r="S27" s="71"/>
      <c r="T27" s="71"/>
    </row>
    <row r="28" ht="18" customHeight="1">
      <c r="A28" s="116">
        <v>1.5</v>
      </c>
      <c r="B28" s="117">
        <f>$B$10*A28</f>
        <v>1113.5688</v>
      </c>
      <c r="C28" s="118">
        <f>B28*(1+$B$9)</f>
        <v>1202.654304</v>
      </c>
      <c r="D28" s="119">
        <v>2459.0648737008</v>
      </c>
      <c r="E28" s="119">
        <f>($J$38*$B$7+$K$38*$C$7+$L$38*$D$7+$M$38*$E$7+$N$38*$F$7+$O$38*$G$7+$P$38*$G$7)*B28</f>
        <v>192334.6276497312</v>
      </c>
      <c r="F28" s="120">
        <f>D28+E28</f>
        <v>194793.692523432</v>
      </c>
      <c r="G28" s="121">
        <f>1-$F$18/F28</f>
        <v>0.3150935148436627</v>
      </c>
      <c r="H28" s="92"/>
      <c r="I28" t="s" s="84">
        <v>128</v>
      </c>
      <c r="J28" s="87">
        <f>J11*$P11</f>
        <v>0</v>
      </c>
      <c r="K28" s="87">
        <f>K11*$P11</f>
        <v>0</v>
      </c>
      <c r="L28" s="87">
        <f>L11*$P11</f>
        <v>0</v>
      </c>
      <c r="M28" s="87">
        <f>M11*$P11</f>
        <v>0</v>
      </c>
      <c r="N28" s="87">
        <f>N11*$P11</f>
        <v>368</v>
      </c>
      <c r="O28" s="87">
        <f>O11*$P11</f>
        <v>184</v>
      </c>
      <c r="P28" s="87">
        <f>$Q11*24</f>
        <v>192</v>
      </c>
      <c r="Q28" s="80"/>
      <c r="R28" s="71"/>
      <c r="S28" s="71"/>
      <c r="T28" s="71"/>
    </row>
    <row r="29" ht="18" customHeight="1">
      <c r="A29" s="116">
        <v>1.55</v>
      </c>
      <c r="B29" s="117">
        <f>$B$10*A29</f>
        <v>1150.68776</v>
      </c>
      <c r="C29" s="118">
        <f>B29*(1+$B$9)</f>
        <v>1242.7427808</v>
      </c>
      <c r="D29" s="119">
        <v>2541.033702824161</v>
      </c>
      <c r="E29" s="119">
        <f>($J$38*$B$7+$K$38*$C$7+$L$38*$D$7+$M$38*$E$7+$N$38*$F$7+$O$38*$G$7+$P$38*$G$7)*B29</f>
        <v>198745.7819047222</v>
      </c>
      <c r="F29" s="120">
        <f>D29+E29</f>
        <v>201286.8156075464</v>
      </c>
      <c r="G29" s="121">
        <f>1-$F$18/F29</f>
        <v>0.337187272429351</v>
      </c>
      <c r="H29" s="92"/>
      <c r="I29" t="s" s="84">
        <v>130</v>
      </c>
      <c r="J29" s="87">
        <f>J12*$P12</f>
        <v>0</v>
      </c>
      <c r="K29" s="87">
        <f>K12*$P12</f>
        <v>0</v>
      </c>
      <c r="L29" s="87">
        <f>L12*$P12</f>
        <v>66</v>
      </c>
      <c r="M29" s="87">
        <f>M12*$P12</f>
        <v>110</v>
      </c>
      <c r="N29" s="87">
        <f>N12*$P12</f>
        <v>0</v>
      </c>
      <c r="O29" s="87">
        <f>O12*$P12</f>
        <v>88</v>
      </c>
      <c r="P29" s="87">
        <f>$Q12*24</f>
        <v>96</v>
      </c>
      <c r="Q29" s="80"/>
      <c r="R29" s="71"/>
      <c r="S29" s="71"/>
      <c r="T29" s="71"/>
    </row>
    <row r="30" ht="18" customHeight="1">
      <c r="A30" s="116">
        <v>1.6</v>
      </c>
      <c r="B30" s="117">
        <f>$B$10*A30</f>
        <v>1187.80672</v>
      </c>
      <c r="C30" s="118">
        <f>B30*(1+$B$9)</f>
        <v>1282.8312576</v>
      </c>
      <c r="D30" s="119">
        <v>2623.002531947520</v>
      </c>
      <c r="E30" s="119">
        <f>($J$38*$B$7+$K$38*$C$7+$L$38*$D$7+$M$38*$E$7+$N$38*$F$7+$O$38*$G$7+$P$38*$G$7)*B30</f>
        <v>205156.9361597133</v>
      </c>
      <c r="F30" s="120">
        <f>D30+E30</f>
        <v>207779.9386916608</v>
      </c>
      <c r="G30" s="121">
        <f>1-$F$18/F30</f>
        <v>0.3579001701659338</v>
      </c>
      <c r="H30" s="92"/>
      <c r="I30" t="s" s="84">
        <v>131</v>
      </c>
      <c r="J30" s="87">
        <f>J13*$P13</f>
        <v>88</v>
      </c>
      <c r="K30" s="87">
        <f>K13*$P13</f>
        <v>88</v>
      </c>
      <c r="L30" s="87">
        <f>L13*$P13</f>
        <v>0</v>
      </c>
      <c r="M30" s="87">
        <f>M13*$P13</f>
        <v>0</v>
      </c>
      <c r="N30" s="87">
        <f>N13*$P13</f>
        <v>0</v>
      </c>
      <c r="O30" s="87">
        <f>O13*$P13</f>
        <v>88</v>
      </c>
      <c r="P30" s="87">
        <f>$Q13*24</f>
        <v>96</v>
      </c>
      <c r="Q30" s="80"/>
      <c r="R30" s="71"/>
      <c r="S30" s="71"/>
      <c r="T30" s="71"/>
    </row>
    <row r="31" ht="18" customHeight="1">
      <c r="A31" s="116">
        <v>1.65</v>
      </c>
      <c r="B31" s="117">
        <f>$B$10*A31</f>
        <v>1224.92568</v>
      </c>
      <c r="C31" s="118">
        <f>B31*(1+$B$9)</f>
        <v>1322.9197344</v>
      </c>
      <c r="D31" s="119">
        <v>2704.971361070880</v>
      </c>
      <c r="E31" s="119">
        <f>($J$38*$B$7+$K$38*$C$7+$L$38*$D$7+$M$38*$E$7+$N$38*$F$7+$O$38*$G$7+$P$38*$G$7)*B31</f>
        <v>211568.0904147043</v>
      </c>
      <c r="F31" s="120">
        <f>D31+E31</f>
        <v>214273.0617757752</v>
      </c>
      <c r="G31" s="121">
        <f>1-$F$18/F31</f>
        <v>0.3773577407669659</v>
      </c>
      <c r="H31" s="92"/>
      <c r="I31" t="s" s="84">
        <v>133</v>
      </c>
      <c r="J31" s="87">
        <f>J14*$P14</f>
        <v>184</v>
      </c>
      <c r="K31" s="87">
        <f>K14*$P14</f>
        <v>184</v>
      </c>
      <c r="L31" s="87">
        <f>L14*$P14</f>
        <v>0</v>
      </c>
      <c r="M31" s="87">
        <f>M14*$P14</f>
        <v>0</v>
      </c>
      <c r="N31" s="87">
        <f>N14*$P14</f>
        <v>0</v>
      </c>
      <c r="O31" s="87">
        <f>O14*$P14</f>
        <v>184</v>
      </c>
      <c r="P31" s="87">
        <f>$Q14*24</f>
        <v>192</v>
      </c>
      <c r="Q31" s="80"/>
      <c r="R31" s="71"/>
      <c r="S31" s="71"/>
      <c r="T31" s="71"/>
    </row>
    <row r="32" ht="18" customHeight="1">
      <c r="A32" s="116">
        <v>1.7</v>
      </c>
      <c r="B32" s="117">
        <f>$B$10*A32</f>
        <v>1262.04464</v>
      </c>
      <c r="C32" s="118">
        <f>B32*(1+$B$9)</f>
        <v>1363.0082112</v>
      </c>
      <c r="D32" s="119">
        <v>2786.940190194241</v>
      </c>
      <c r="E32" s="119">
        <f>($J$38*$B$7+$K$38*$C$7+$L$38*$D$7+$M$38*$E$7+$N$38*$F$7+$O$38*$G$7+$P$38*$G$7)*B32</f>
        <v>217979.2446696953</v>
      </c>
      <c r="F32" s="120">
        <f>D32+E32</f>
        <v>220766.1848598896</v>
      </c>
      <c r="G32" s="121">
        <f>1-$F$18/F32</f>
        <v>0.395670748391467</v>
      </c>
      <c r="H32" s="92"/>
      <c r="I32" t="s" s="84">
        <v>134</v>
      </c>
      <c r="J32" s="87">
        <f>J15*$P15</f>
        <v>0</v>
      </c>
      <c r="K32" s="87">
        <f>K15*$P15</f>
        <v>0</v>
      </c>
      <c r="L32" s="87">
        <f>L15*$P15</f>
        <v>0</v>
      </c>
      <c r="M32" s="87">
        <f>M15*$P15</f>
        <v>0</v>
      </c>
      <c r="N32" s="87">
        <f>N15*$P15</f>
        <v>0</v>
      </c>
      <c r="O32" s="87">
        <f>O15*$P15</f>
        <v>552</v>
      </c>
      <c r="P32" s="87">
        <f>$Q15*24</f>
        <v>192</v>
      </c>
      <c r="Q32" s="80"/>
      <c r="R32" s="71"/>
      <c r="S32" s="71"/>
      <c r="T32" s="71"/>
    </row>
    <row r="33" ht="18" customHeight="1">
      <c r="A33" s="116">
        <v>1.75</v>
      </c>
      <c r="B33" s="117">
        <f>$B$10*A33</f>
        <v>1299.1636</v>
      </c>
      <c r="C33" s="118">
        <f>B33*(1+$B$9)</f>
        <v>1403.096688</v>
      </c>
      <c r="D33" s="119">
        <v>2868.909019317601</v>
      </c>
      <c r="E33" s="119">
        <f>($J$38*$B$7+$K$38*$C$7+$L$38*$D$7+$M$38*$E$7+$N$38*$F$7+$O$38*$G$7+$P$38*$G$7)*B33</f>
        <v>224390.3989246864</v>
      </c>
      <c r="F33" s="120">
        <f>D33+E33</f>
        <v>227259.307944004</v>
      </c>
      <c r="G33" s="121">
        <f>1-$F$18/F33</f>
        <v>0.4129372984374251</v>
      </c>
      <c r="H33" s="92"/>
      <c r="I33" t="s" s="84">
        <v>135</v>
      </c>
      <c r="J33" s="87">
        <f>J16*$P16</f>
        <v>0</v>
      </c>
      <c r="K33" s="87">
        <f>K16*$P16</f>
        <v>0</v>
      </c>
      <c r="L33" s="87">
        <f>L16*$P16</f>
        <v>132</v>
      </c>
      <c r="M33" s="87">
        <f>M16*$P16</f>
        <v>220</v>
      </c>
      <c r="N33" s="87">
        <f>N16*$P16</f>
        <v>0</v>
      </c>
      <c r="O33" s="87">
        <f>O16*$P16</f>
        <v>176</v>
      </c>
      <c r="P33" s="87">
        <f>$Q16*24</f>
        <v>192</v>
      </c>
      <c r="Q33" s="80"/>
      <c r="R33" s="71"/>
      <c r="S33" s="71"/>
      <c r="T33" s="71"/>
    </row>
    <row r="34" ht="18" customHeight="1">
      <c r="A34" s="116">
        <v>1.8</v>
      </c>
      <c r="B34" s="117">
        <f>$B$10*A34</f>
        <v>1336.28256</v>
      </c>
      <c r="C34" s="118">
        <f>B34*(1+$B$9)</f>
        <v>1443.1851648</v>
      </c>
      <c r="D34" s="119">
        <v>2950.877848440960</v>
      </c>
      <c r="E34" s="119">
        <f>($J$38*$B$7+$K$38*$C$7+$L$38*$D$7+$M$38*$E$7+$N$38*$F$7+$O$38*$G$7+$P$38*$G$7)*B34</f>
        <v>230801.5531796774</v>
      </c>
      <c r="F34" s="120">
        <f>D34+E34</f>
        <v>233752.4310281184</v>
      </c>
      <c r="G34" s="121">
        <f>1-$F$18/F34</f>
        <v>0.4292445957030522</v>
      </c>
      <c r="H34" s="92"/>
      <c r="I34" t="s" s="84">
        <v>143</v>
      </c>
      <c r="J34" s="87">
        <f>J17*$P17</f>
        <v>0</v>
      </c>
      <c r="K34" s="87">
        <f>K17*$P17</f>
        <v>0</v>
      </c>
      <c r="L34" s="87">
        <f>L17*$P17</f>
        <v>138</v>
      </c>
      <c r="M34" s="87">
        <f>M17*$P17</f>
        <v>230</v>
      </c>
      <c r="N34" s="87">
        <f>N17*$P17</f>
        <v>0</v>
      </c>
      <c r="O34" s="87">
        <f>O17*$P17</f>
        <v>184</v>
      </c>
      <c r="P34" s="87">
        <f>$Q17*24</f>
        <v>192</v>
      </c>
      <c r="Q34" s="80"/>
      <c r="R34" s="71"/>
      <c r="S34" s="71"/>
      <c r="T34" s="71"/>
    </row>
    <row r="35" ht="18" customHeight="1">
      <c r="A35" s="116">
        <v>1.85</v>
      </c>
      <c r="B35" s="117">
        <f>$B$10*A35</f>
        <v>1373.40152</v>
      </c>
      <c r="C35" s="118">
        <f>B35*(1+$B$9)</f>
        <v>1483.2736416</v>
      </c>
      <c r="D35" s="119">
        <v>3032.846677564321</v>
      </c>
      <c r="E35" s="119">
        <f>($J$38*$B$7+$K$38*$C$7+$L$38*$D$7+$M$38*$E$7+$N$38*$F$7+$O$38*$G$7+$P$38*$G$7)*B35</f>
        <v>237212.7074346685</v>
      </c>
      <c r="F35" s="120">
        <f>D35+E35</f>
        <v>240245.5541122328</v>
      </c>
      <c r="G35" s="121">
        <f>1-$F$18/F35</f>
        <v>0.4446704174408076</v>
      </c>
      <c r="H35" s="92"/>
      <c r="I35" t="s" s="84">
        <v>144</v>
      </c>
      <c r="J35" s="87">
        <f>J18*$P18</f>
        <v>0</v>
      </c>
      <c r="K35" s="87">
        <f>K18*$P18</f>
        <v>0</v>
      </c>
      <c r="L35" s="87">
        <f>L18*$P18</f>
        <v>132</v>
      </c>
      <c r="M35" s="87">
        <f>M18*$P18</f>
        <v>220</v>
      </c>
      <c r="N35" s="87">
        <f>N18*$P18</f>
        <v>0</v>
      </c>
      <c r="O35" s="87">
        <f>O18*$P18</f>
        <v>176</v>
      </c>
      <c r="P35" s="87">
        <f>$Q18*24</f>
        <v>192</v>
      </c>
      <c r="Q35" s="80"/>
      <c r="R35" s="71"/>
      <c r="S35" s="71"/>
      <c r="T35" s="71"/>
    </row>
    <row r="36" ht="18" customHeight="1">
      <c r="A36" s="116">
        <v>1.9</v>
      </c>
      <c r="B36" s="117">
        <f>$B$10*A36</f>
        <v>1410.52048</v>
      </c>
      <c r="C36" s="118">
        <f>B36*(1+$B$9)</f>
        <v>1523.3621184</v>
      </c>
      <c r="D36" s="119">
        <v>3114.815506687680</v>
      </c>
      <c r="E36" s="119">
        <f>($J$38*$B$7+$K$38*$C$7+$L$38*$D$7+$M$38*$E$7+$N$38*$F$7+$O$38*$G$7+$P$38*$G$7)*B36</f>
        <v>243623.8616896595</v>
      </c>
      <c r="F36" s="120">
        <f>D36+E36</f>
        <v>246738.6771963472</v>
      </c>
      <c r="G36" s="121">
        <f>1-$F$18/F36</f>
        <v>0.4592843538239442</v>
      </c>
      <c r="H36" s="92"/>
      <c r="I36" t="s" s="84">
        <v>145</v>
      </c>
      <c r="J36" s="87">
        <f>J19*$P19</f>
        <v>138</v>
      </c>
      <c r="K36" s="87">
        <f>K19*$P19</f>
        <v>230</v>
      </c>
      <c r="L36" s="87">
        <f>L19*$P19</f>
        <v>0</v>
      </c>
      <c r="M36" s="87">
        <f>M19*$P19</f>
        <v>0</v>
      </c>
      <c r="N36" s="87">
        <f>N19*$P19</f>
        <v>0</v>
      </c>
      <c r="O36" s="87">
        <f>O19*$P19</f>
        <v>184</v>
      </c>
      <c r="P36" s="87">
        <f>$Q19*24</f>
        <v>168</v>
      </c>
      <c r="Q36" s="80"/>
      <c r="R36" s="71"/>
      <c r="S36" s="71"/>
      <c r="T36" s="71"/>
    </row>
    <row r="37" ht="19" customHeight="1">
      <c r="A37" s="116">
        <v>1.95</v>
      </c>
      <c r="B37" s="117">
        <f>$B$10*A37</f>
        <v>1447.63944</v>
      </c>
      <c r="C37" s="118">
        <f>B37*(1+$B$9)</f>
        <v>1563.4505952</v>
      </c>
      <c r="D37" s="119">
        <v>3196.784335811041</v>
      </c>
      <c r="E37" s="119">
        <f>($J$38*$B$7+$K$38*$C$7+$L$38*$D$7+$M$38*$E$7+$N$38*$F$7+$O$38*$G$7+$P$38*$G$7)*B37</f>
        <v>250035.0159446505</v>
      </c>
      <c r="F37" s="120">
        <f>D37+E37</f>
        <v>253231.8002804616</v>
      </c>
      <c r="G37" s="121">
        <f>1-$F$18/F37</f>
        <v>0.4731488575720482</v>
      </c>
      <c r="H37" s="92"/>
      <c r="I37" s="82"/>
      <c r="J37" s="82"/>
      <c r="K37" s="82"/>
      <c r="L37" s="82"/>
      <c r="M37" s="82"/>
      <c r="N37" s="82"/>
      <c r="O37" s="82"/>
      <c r="P37" s="82"/>
      <c r="Q37" s="80"/>
      <c r="R37" s="71"/>
      <c r="S37" s="71"/>
      <c r="T37" s="71"/>
    </row>
    <row r="38" ht="19" customHeight="1">
      <c r="A38" s="116">
        <v>2</v>
      </c>
      <c r="B38" s="117">
        <f>$B$10*A38</f>
        <v>1484.7584</v>
      </c>
      <c r="C38" s="118">
        <f>B38*(1+$B$9)</f>
        <v>1603.539072</v>
      </c>
      <c r="D38" s="119">
        <v>3278.753164934401</v>
      </c>
      <c r="E38" s="119">
        <f>($J$38*$B$7+$K$38*$C$7+$L$38*$D$7+$M$38*$E$7+$N$38*$F$7+$O$38*$G$7+$P$38*$G$7)*B38</f>
        <v>256446.1701996416</v>
      </c>
      <c r="F38" s="120">
        <f>D38+E38</f>
        <v>259724.923364576</v>
      </c>
      <c r="G38" s="121">
        <f>1-$F$18/F38</f>
        <v>0.486320136132747</v>
      </c>
      <c r="H38" s="92"/>
      <c r="I38" t="s" s="84">
        <v>148</v>
      </c>
      <c r="J38" s="82">
        <f>SUM(J24:J36)</f>
        <v>668</v>
      </c>
      <c r="K38" s="82">
        <f>SUM(K24:K36)</f>
        <v>932</v>
      </c>
      <c r="L38" s="82">
        <f>SUM(L24:L36)</f>
        <v>606</v>
      </c>
      <c r="M38" s="82">
        <f>SUM(M24:M36)</f>
        <v>1010</v>
      </c>
      <c r="N38" s="82">
        <f>SUM(N24:N36)</f>
        <v>720</v>
      </c>
      <c r="O38" s="82">
        <f>SUM(O24:O36)</f>
        <v>2520</v>
      </c>
      <c r="P38" s="82">
        <f>SUM(P24:P36)</f>
        <v>2280</v>
      </c>
      <c r="Q38" s="124">
        <f>SUM(J38:P38)</f>
        <v>8736</v>
      </c>
      <c r="R38" s="125"/>
      <c r="S38" s="71"/>
      <c r="T38" s="71"/>
    </row>
    <row r="39" ht="18.5" customHeight="1">
      <c r="A39" s="122"/>
      <c r="B39" s="122"/>
      <c r="C39" s="122"/>
      <c r="D39" s="122"/>
      <c r="E39" s="122"/>
      <c r="F39" s="122"/>
      <c r="G39" s="71"/>
      <c r="H39" s="71"/>
      <c r="I39" s="122"/>
      <c r="J39" s="122"/>
      <c r="K39" s="122"/>
      <c r="L39" s="122"/>
      <c r="M39" s="122"/>
      <c r="N39" s="122"/>
      <c r="O39" s="122"/>
      <c r="P39" s="122"/>
      <c r="Q39" s="71"/>
      <c r="R39" s="71"/>
      <c r="S39" s="71"/>
      <c r="T39" s="71"/>
    </row>
    <row r="40" ht="18" customHeight="1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</row>
    <row r="41" ht="18" customHeight="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</row>
    <row r="42" ht="18" customHeight="1">
      <c r="A42" s="126"/>
      <c r="B42" s="127"/>
      <c r="C42" s="127"/>
      <c r="D42" s="127"/>
      <c r="E42" s="127"/>
      <c r="F42" s="128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</row>
    <row r="43" ht="18" customHeight="1">
      <c r="A43" s="129"/>
      <c r="B43" s="130"/>
      <c r="C43" s="130"/>
      <c r="D43" s="131"/>
      <c r="E43" s="131"/>
      <c r="F43" s="132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</row>
    <row r="44" ht="18" customHeight="1">
      <c r="A44" s="129"/>
      <c r="B44" s="130"/>
      <c r="C44" s="130"/>
      <c r="D44" s="131"/>
      <c r="E44" s="131"/>
      <c r="F44" s="132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</row>
    <row r="45" ht="18" customHeight="1">
      <c r="A45" s="129"/>
      <c r="B45" s="130"/>
      <c r="C45" s="130"/>
      <c r="D45" s="131"/>
      <c r="E45" s="131"/>
      <c r="F45" s="132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</row>
    <row r="46" ht="18" customHeight="1">
      <c r="A46" s="129"/>
      <c r="B46" s="130"/>
      <c r="C46" s="130"/>
      <c r="D46" s="131"/>
      <c r="E46" s="131"/>
      <c r="F46" s="132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</row>
    <row r="47" ht="18" customHeight="1">
      <c r="A47" s="129"/>
      <c r="B47" s="130"/>
      <c r="C47" s="130"/>
      <c r="D47" s="131"/>
      <c r="E47" s="131"/>
      <c r="F47" s="132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</row>
    <row r="48" ht="18" customHeight="1">
      <c r="A48" s="129"/>
      <c r="B48" s="130"/>
      <c r="C48" s="130"/>
      <c r="D48" s="131"/>
      <c r="E48" s="131"/>
      <c r="F48" s="132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</row>
  </sheetData>
  <mergeCells count="2">
    <mergeCell ref="B4:G4"/>
    <mergeCell ref="A2:G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K30"/>
  <sheetViews>
    <sheetView workbookViewId="0" showGridLines="0" defaultGridColor="1"/>
  </sheetViews>
  <sheetFormatPr defaultColWidth="13.5" defaultRowHeight="12.75" customHeight="1" outlineLevelRow="0" outlineLevelCol="0"/>
  <cols>
    <col min="1" max="1" width="36.5" style="133" customWidth="1"/>
    <col min="2" max="2" width="13.5" style="133" customWidth="1"/>
    <col min="3" max="3" width="3.5625" style="133" customWidth="1"/>
    <col min="4" max="4" width="32.5" style="133" customWidth="1"/>
    <col min="5" max="5" width="12.8516" style="133" customWidth="1"/>
    <col min="6" max="6" width="28.1719" style="133" customWidth="1"/>
    <col min="7" max="7" width="13.5" style="133" customWidth="1"/>
    <col min="8" max="8" width="4.86719" style="133" customWidth="1"/>
    <col min="9" max="9" width="6.5" style="133" customWidth="1"/>
    <col min="10" max="10" width="12.3516" style="133" customWidth="1"/>
    <col min="11" max="11" width="15.8516" style="133" customWidth="1"/>
    <col min="12" max="256" width="13.5" style="133" customWidth="1"/>
  </cols>
  <sheetData>
    <row r="1" ht="19" customHeight="1">
      <c r="A1" s="42"/>
      <c r="B1" s="42"/>
      <c r="C1" s="42"/>
      <c r="D1" s="134"/>
      <c r="E1" s="134"/>
      <c r="F1" s="134"/>
      <c r="G1" s="134"/>
      <c r="H1" s="42"/>
      <c r="I1" s="134"/>
      <c r="J1" s="134"/>
      <c r="K1" s="134"/>
    </row>
    <row r="2" ht="19" customHeight="1">
      <c r="A2" t="s" s="135">
        <v>149</v>
      </c>
      <c r="B2" s="136"/>
      <c r="C2" s="137"/>
      <c r="D2" t="s" s="138">
        <v>150</v>
      </c>
      <c r="E2" s="139"/>
      <c r="F2" s="139"/>
      <c r="G2" s="139"/>
      <c r="H2" s="140"/>
      <c r="I2" t="s" s="141">
        <v>151</v>
      </c>
      <c r="J2" s="142"/>
      <c r="K2" s="142"/>
    </row>
    <row r="3" ht="19" customHeight="1">
      <c r="A3" t="s" s="143">
        <v>152</v>
      </c>
      <c r="B3" s="144">
        <f>B4+B5+B6</f>
        <v>336</v>
      </c>
      <c r="C3" s="140"/>
      <c r="D3" t="s" s="138">
        <v>153</v>
      </c>
      <c r="E3" s="139"/>
      <c r="F3" t="s" s="138">
        <v>154</v>
      </c>
      <c r="G3" s="139"/>
      <c r="H3" s="140"/>
      <c r="I3" t="s" s="145">
        <v>155</v>
      </c>
      <c r="J3" t="s" s="145">
        <v>156</v>
      </c>
      <c r="K3" t="s" s="145">
        <v>157</v>
      </c>
    </row>
    <row r="4" ht="19" customHeight="1">
      <c r="A4" t="s" s="146">
        <v>158</v>
      </c>
      <c r="B4" s="147">
        <f>'Cabina de discos'!M24</f>
        <v>16</v>
      </c>
      <c r="C4" s="140"/>
      <c r="D4" t="s" s="148">
        <v>159</v>
      </c>
      <c r="E4" s="149">
        <v>19</v>
      </c>
      <c r="F4" t="s" s="148">
        <v>160</v>
      </c>
      <c r="G4" s="150">
        <f>ROUND(B3/(E4*E5),0)+1</f>
        <v>1</v>
      </c>
      <c r="H4" s="140"/>
      <c r="I4" s="151">
        <v>1</v>
      </c>
      <c r="J4" s="152">
        <f>G9</f>
        <v>157024.6389830544</v>
      </c>
      <c r="K4" s="152">
        <f>J4*5</f>
        <v>785123.1949152722</v>
      </c>
    </row>
    <row r="5" ht="19" customHeight="1">
      <c r="A5" t="s" s="143">
        <v>161</v>
      </c>
      <c r="B5" s="147">
        <f>'Resum'!B3</f>
        <v>320</v>
      </c>
      <c r="C5" s="140"/>
      <c r="D5" t="s" s="148">
        <v>162</v>
      </c>
      <c r="E5" s="153">
        <f>'Resum'!B4</f>
        <v>42</v>
      </c>
      <c r="F5" t="s" s="148">
        <v>163</v>
      </c>
      <c r="G5" s="154">
        <f>G4*E6</f>
        <v>115000</v>
      </c>
      <c r="H5" s="140"/>
      <c r="I5" s="151">
        <v>2</v>
      </c>
      <c r="J5" s="152">
        <f>G21</f>
        <v>142475.1853107392</v>
      </c>
      <c r="K5" s="152">
        <f>J5*5</f>
        <v>712375.9265536962</v>
      </c>
    </row>
    <row r="6" ht="19" customHeight="1">
      <c r="A6" t="s" s="155">
        <v>164</v>
      </c>
      <c r="B6" s="147">
        <f>'Backup'!G29</f>
        <v>0</v>
      </c>
      <c r="C6" s="140"/>
      <c r="D6" t="s" s="148">
        <v>165</v>
      </c>
      <c r="E6" s="156">
        <v>115000</v>
      </c>
      <c r="F6" t="s" s="148">
        <v>166</v>
      </c>
      <c r="G6" s="154">
        <f>E7*G4*B8</f>
        <v>2000</v>
      </c>
      <c r="H6" s="140"/>
      <c r="I6" s="151">
        <v>3</v>
      </c>
      <c r="J6" s="152">
        <f>G30</f>
        <v>146012.3194915272</v>
      </c>
      <c r="K6" s="152">
        <f>J6*5</f>
        <v>730061.5974576361</v>
      </c>
    </row>
    <row r="7" ht="19" customHeight="1">
      <c r="A7" t="s" s="155">
        <v>167</v>
      </c>
      <c r="B7" s="157">
        <f>'Electricitat'!F18</f>
        <v>133415.4632768481</v>
      </c>
      <c r="C7" s="140"/>
      <c r="D7" t="s" s="148">
        <v>168</v>
      </c>
      <c r="E7" s="156">
        <v>2000</v>
      </c>
      <c r="F7" t="s" s="148">
        <v>169</v>
      </c>
      <c r="G7" s="154">
        <f>1500*12*B9</f>
        <v>0</v>
      </c>
      <c r="H7" s="158"/>
      <c r="I7" s="159"/>
      <c r="J7" s="159"/>
      <c r="K7" s="159"/>
    </row>
    <row r="8" ht="32.6" customHeight="1">
      <c r="A8" t="s" s="160">
        <v>170</v>
      </c>
      <c r="B8" s="161">
        <f>'Resum'!B22</f>
        <v>1</v>
      </c>
      <c r="C8" s="140"/>
      <c r="D8" s="162"/>
      <c r="E8" s="156"/>
      <c r="F8" t="s" s="163">
        <v>171</v>
      </c>
      <c r="G8" s="154">
        <f>B7*(E9-1)</f>
        <v>40024.638983054436</v>
      </c>
      <c r="H8" s="158"/>
      <c r="I8" s="42"/>
      <c r="J8" s="42"/>
      <c r="K8" s="42"/>
    </row>
    <row r="9" ht="19" customHeight="1">
      <c r="A9" t="s" s="164">
        <v>37</v>
      </c>
      <c r="B9" s="161">
        <f>'Resum'!B21</f>
        <v>0</v>
      </c>
      <c r="C9" s="140"/>
      <c r="D9" t="s" s="148">
        <v>136</v>
      </c>
      <c r="E9" s="149">
        <v>1.3</v>
      </c>
      <c r="F9" t="s" s="148">
        <v>172</v>
      </c>
      <c r="G9" s="154">
        <f>SUM(G5:G8)</f>
        <v>157024.6389830544</v>
      </c>
      <c r="H9" s="158"/>
      <c r="I9" s="42"/>
      <c r="J9" s="42"/>
      <c r="K9" s="42"/>
    </row>
    <row r="10" ht="19" customHeight="1">
      <c r="A10" s="42"/>
      <c r="B10" s="159"/>
      <c r="C10" s="137"/>
      <c r="D10" t="s" s="138">
        <v>173</v>
      </c>
      <c r="E10" s="139"/>
      <c r="F10" t="s" s="148">
        <v>174</v>
      </c>
      <c r="G10" s="165">
        <f>ROUND(B3/E5,0)+1</f>
        <v>9</v>
      </c>
      <c r="H10" s="158"/>
      <c r="I10" s="42"/>
      <c r="J10" s="42"/>
      <c r="K10" s="42"/>
    </row>
    <row r="11" ht="19" customHeight="1">
      <c r="A11" s="42"/>
      <c r="B11" s="42"/>
      <c r="C11" s="42"/>
      <c r="D11" s="159"/>
      <c r="E11" s="159"/>
      <c r="F11" s="159"/>
      <c r="G11" s="159"/>
      <c r="H11" s="42"/>
      <c r="I11" s="42"/>
      <c r="J11" s="42"/>
      <c r="K11" s="42"/>
    </row>
    <row r="12" ht="19" customHeight="1">
      <c r="A12" s="42"/>
      <c r="B12" s="42"/>
      <c r="C12" s="42"/>
      <c r="D12" s="166"/>
      <c r="E12" s="166"/>
      <c r="F12" s="42"/>
      <c r="G12" s="42"/>
      <c r="H12" s="42"/>
      <c r="I12" s="42"/>
      <c r="J12" s="42"/>
      <c r="K12" s="42"/>
    </row>
    <row r="13" ht="19" customHeight="1">
      <c r="A13" s="42"/>
      <c r="B13" s="42"/>
      <c r="C13" s="42"/>
      <c r="D13" s="167"/>
      <c r="E13" s="167"/>
      <c r="F13" s="134"/>
      <c r="G13" s="134"/>
      <c r="H13" s="42"/>
      <c r="I13" s="42"/>
      <c r="J13" s="42"/>
      <c r="K13" s="42"/>
    </row>
    <row r="14" ht="19" customHeight="1">
      <c r="A14" s="42"/>
      <c r="B14" s="42"/>
      <c r="C14" s="137"/>
      <c r="D14" t="s" s="138">
        <v>175</v>
      </c>
      <c r="E14" s="139"/>
      <c r="F14" s="139"/>
      <c r="G14" s="139"/>
      <c r="H14" s="158"/>
      <c r="I14" s="42"/>
      <c r="J14" s="42"/>
      <c r="K14" s="42"/>
    </row>
    <row r="15" ht="19" customHeight="1">
      <c r="A15" s="42"/>
      <c r="B15" s="42"/>
      <c r="C15" s="137"/>
      <c r="D15" t="s" s="138">
        <v>153</v>
      </c>
      <c r="E15" s="139"/>
      <c r="F15" t="s" s="138">
        <v>154</v>
      </c>
      <c r="G15" s="139"/>
      <c r="H15" s="158"/>
      <c r="I15" s="42"/>
      <c r="J15" s="42"/>
      <c r="K15" s="42"/>
    </row>
    <row r="16" ht="19" customHeight="1">
      <c r="A16" s="42"/>
      <c r="B16" s="42"/>
      <c r="C16" s="137"/>
      <c r="D16" t="s" s="148">
        <v>88</v>
      </c>
      <c r="E16" s="153">
        <f>'Resum'!B4</f>
        <v>42</v>
      </c>
      <c r="F16" t="s" s="148">
        <v>174</v>
      </c>
      <c r="G16" s="165">
        <f>ROUND(B3/E16,0)+1</f>
        <v>9</v>
      </c>
      <c r="H16" s="158"/>
      <c r="I16" s="42"/>
      <c r="J16" s="42"/>
      <c r="K16" s="42"/>
    </row>
    <row r="17" ht="19" customHeight="1">
      <c r="A17" s="42"/>
      <c r="B17" s="42"/>
      <c r="C17" s="137"/>
      <c r="D17" t="s" s="148">
        <v>176</v>
      </c>
      <c r="E17" s="156">
        <v>9000</v>
      </c>
      <c r="F17" t="s" s="148">
        <v>177</v>
      </c>
      <c r="G17" s="154">
        <f>G16*E17</f>
        <v>81000</v>
      </c>
      <c r="H17" s="158"/>
      <c r="I17" s="42"/>
      <c r="J17" s="42"/>
      <c r="K17" s="42"/>
    </row>
    <row r="18" ht="19" customHeight="1">
      <c r="A18" s="42"/>
      <c r="B18" s="42"/>
      <c r="C18" s="137"/>
      <c r="D18" t="s" s="148">
        <v>178</v>
      </c>
      <c r="E18" s="156">
        <v>900</v>
      </c>
      <c r="F18" t="s" s="148">
        <v>179</v>
      </c>
      <c r="G18" s="154">
        <f>B7*(E19-1)</f>
        <v>53366.185310739231</v>
      </c>
      <c r="H18" s="158"/>
      <c r="I18" s="42"/>
      <c r="J18" s="42"/>
      <c r="K18" s="42"/>
    </row>
    <row r="19" ht="19" customHeight="1">
      <c r="A19" s="42"/>
      <c r="B19" s="42"/>
      <c r="C19" s="137"/>
      <c r="D19" t="s" s="148">
        <v>136</v>
      </c>
      <c r="E19" s="149">
        <v>1.4</v>
      </c>
      <c r="F19" t="s" s="148">
        <v>166</v>
      </c>
      <c r="G19" s="154">
        <f>B8*E18*G16</f>
        <v>8100</v>
      </c>
      <c r="H19" s="158"/>
      <c r="I19" s="42"/>
      <c r="J19" s="42"/>
      <c r="K19" s="42"/>
    </row>
    <row r="20" ht="19" customHeight="1">
      <c r="A20" s="42"/>
      <c r="B20" s="42"/>
      <c r="C20" s="42"/>
      <c r="D20" s="168"/>
      <c r="E20" s="169"/>
      <c r="F20" t="s" s="148">
        <v>169</v>
      </c>
      <c r="G20" s="154">
        <f>B9*2000*12</f>
        <v>0</v>
      </c>
      <c r="H20" s="158"/>
      <c r="I20" s="42"/>
      <c r="J20" s="42"/>
      <c r="K20" s="42"/>
    </row>
    <row r="21" ht="19" customHeight="1">
      <c r="A21" s="42"/>
      <c r="B21" s="42"/>
      <c r="C21" s="42"/>
      <c r="D21" s="170"/>
      <c r="E21" s="171"/>
      <c r="F21" t="s" s="148">
        <v>172</v>
      </c>
      <c r="G21" s="154">
        <f>SUM(G16:G20)</f>
        <v>142475.1853107392</v>
      </c>
      <c r="H21" s="158"/>
      <c r="I21" s="42"/>
      <c r="J21" s="42"/>
      <c r="K21" s="42"/>
    </row>
    <row r="22" ht="19" customHeight="1">
      <c r="A22" s="42"/>
      <c r="B22" s="42"/>
      <c r="C22" s="42"/>
      <c r="D22" s="42"/>
      <c r="E22" s="42"/>
      <c r="F22" s="159"/>
      <c r="G22" s="159"/>
      <c r="H22" s="42"/>
      <c r="I22" s="42"/>
      <c r="J22" s="42"/>
      <c r="K22" s="42"/>
    </row>
    <row r="23" ht="19" customHeight="1">
      <c r="A23" s="42"/>
      <c r="B23" s="42"/>
      <c r="C23" s="42"/>
      <c r="D23" s="134"/>
      <c r="E23" s="134"/>
      <c r="F23" s="134"/>
      <c r="G23" s="134"/>
      <c r="H23" s="42"/>
      <c r="I23" s="42"/>
      <c r="J23" s="42"/>
      <c r="K23" s="42"/>
    </row>
    <row r="24" ht="19" customHeight="1">
      <c r="A24" s="42"/>
      <c r="B24" s="42"/>
      <c r="C24" s="137"/>
      <c r="D24" t="s" s="138">
        <v>180</v>
      </c>
      <c r="E24" s="139"/>
      <c r="F24" s="139"/>
      <c r="G24" s="139"/>
      <c r="H24" s="158"/>
      <c r="I24" s="42"/>
      <c r="J24" s="42"/>
      <c r="K24" s="42"/>
    </row>
    <row r="25" ht="19" customHeight="1">
      <c r="A25" s="42"/>
      <c r="B25" s="42"/>
      <c r="C25" s="137"/>
      <c r="D25" t="s" s="138">
        <v>153</v>
      </c>
      <c r="E25" s="139"/>
      <c r="F25" t="s" s="138">
        <v>154</v>
      </c>
      <c r="G25" s="139"/>
      <c r="H25" s="158"/>
      <c r="I25" s="42"/>
      <c r="J25" s="42"/>
      <c r="K25" s="42"/>
    </row>
    <row r="26" ht="19" customHeight="1">
      <c r="A26" s="42"/>
      <c r="B26" s="42"/>
      <c r="C26" s="137"/>
      <c r="D26" t="s" s="148">
        <v>88</v>
      </c>
      <c r="E26" s="153">
        <f>'Resum'!B4</f>
        <v>42</v>
      </c>
      <c r="F26" t="s" s="148">
        <v>174</v>
      </c>
      <c r="G26" s="165">
        <f>ROUND(B3/E26,0)+1</f>
        <v>9</v>
      </c>
      <c r="H26" s="158"/>
      <c r="I26" s="42"/>
      <c r="J26" s="42"/>
      <c r="K26" s="42"/>
    </row>
    <row r="27" ht="19" customHeight="1">
      <c r="A27" s="42"/>
      <c r="B27" s="42"/>
      <c r="C27" s="137"/>
      <c r="D27" t="s" s="148">
        <v>176</v>
      </c>
      <c r="E27" s="156">
        <v>14000</v>
      </c>
      <c r="F27" t="s" s="148">
        <v>177</v>
      </c>
      <c r="G27" s="154">
        <f>G26*E27</f>
        <v>126000</v>
      </c>
      <c r="H27" s="158"/>
      <c r="I27" s="42"/>
      <c r="J27" s="42"/>
      <c r="K27" s="42"/>
    </row>
    <row r="28" ht="19" customHeight="1">
      <c r="A28" s="42"/>
      <c r="B28" s="42"/>
      <c r="C28" s="137"/>
      <c r="D28" t="s" s="148">
        <v>136</v>
      </c>
      <c r="E28" s="149">
        <v>1.15</v>
      </c>
      <c r="F28" t="s" s="148">
        <v>181</v>
      </c>
      <c r="G28" s="154">
        <f>B7*(E28-1)</f>
        <v>20012.3194915272</v>
      </c>
      <c r="H28" s="158"/>
      <c r="I28" s="42"/>
      <c r="J28" s="42"/>
      <c r="K28" s="42"/>
    </row>
    <row r="29" ht="19" customHeight="1">
      <c r="A29" s="42"/>
      <c r="B29" s="42"/>
      <c r="C29" s="42"/>
      <c r="D29" s="172"/>
      <c r="E29" s="169"/>
      <c r="F29" t="s" s="148">
        <v>169</v>
      </c>
      <c r="G29" s="154">
        <f>B9*3500*12</f>
        <v>0</v>
      </c>
      <c r="H29" s="158"/>
      <c r="I29" s="42"/>
      <c r="J29" s="42"/>
      <c r="K29" s="42"/>
    </row>
    <row r="30" ht="19" customHeight="1">
      <c r="A30" s="42"/>
      <c r="B30" s="42"/>
      <c r="C30" s="42"/>
      <c r="D30" s="173"/>
      <c r="E30" s="171"/>
      <c r="F30" t="s" s="148">
        <v>172</v>
      </c>
      <c r="G30" s="154">
        <f>SUM(G27:G29)</f>
        <v>146012.3194915272</v>
      </c>
      <c r="H30" s="158"/>
      <c r="I30" s="42"/>
      <c r="J30" s="42"/>
      <c r="K30" s="42"/>
    </row>
  </sheetData>
  <mergeCells count="12">
    <mergeCell ref="A2:B2"/>
    <mergeCell ref="F25:G25"/>
    <mergeCell ref="D10:E10"/>
    <mergeCell ref="I2:K2"/>
    <mergeCell ref="F3:G3"/>
    <mergeCell ref="D24:G24"/>
    <mergeCell ref="D25:E25"/>
    <mergeCell ref="D2:G2"/>
    <mergeCell ref="F15:G15"/>
    <mergeCell ref="D15:E15"/>
    <mergeCell ref="D3:E3"/>
    <mergeCell ref="D14:G14"/>
  </mergeCells>
  <pageMargins left="1" right="1" top="1" bottom="1" header="0.25" footer="0.25"/>
  <pageSetup firstPageNumber="1" fitToHeight="1" fitToWidth="1" scale="100" useFirstPageNumber="0" orientation="portrait" pageOrder="downThenOver"/>
  <headerFooter>
    <oddHeader>&amp;L&amp;"Calibri,Regular"&amp;12&amp;K000000Infrastructura</oddHeader>
    <oddFooter>&amp;L&amp;"Calibri,Regular"&amp;12&amp;K000000Página 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M29"/>
  <sheetViews>
    <sheetView workbookViewId="0" showGridLines="0" defaultGridColor="1"/>
  </sheetViews>
  <sheetFormatPr defaultColWidth="12.6667" defaultRowHeight="14.25" customHeight="1" outlineLevelRow="0" outlineLevelCol="0"/>
  <cols>
    <col min="1" max="1" width="35.625" style="174" customWidth="1"/>
    <col min="2" max="2" width="12.3516" style="174" customWidth="1"/>
    <col min="3" max="3" width="4.28125" style="174" customWidth="1"/>
    <col min="4" max="4" width="25.8906" style="174" customWidth="1"/>
    <col min="5" max="5" width="8.85938" style="174" customWidth="1"/>
    <col min="6" max="6" width="22.8516" style="174" customWidth="1"/>
    <col min="7" max="7" width="35" style="174" customWidth="1"/>
    <col min="8" max="8" width="15.6719" style="174" customWidth="1"/>
    <col min="9" max="9" width="12.3516" style="174" customWidth="1"/>
    <col min="10" max="10" width="5.33594" style="174" customWidth="1"/>
    <col min="11" max="11" width="14.2891" style="174" customWidth="1"/>
    <col min="12" max="12" width="12.5547" style="174" customWidth="1"/>
    <col min="13" max="13" width="20.5703" style="174" customWidth="1"/>
    <col min="14" max="256" width="12.6719" style="174" customWidth="1"/>
  </cols>
  <sheetData>
    <row r="1" ht="19" customHeight="1">
      <c r="A1" s="175"/>
      <c r="B1" s="175"/>
      <c r="C1" s="42"/>
      <c r="D1" s="175"/>
      <c r="E1" s="175"/>
      <c r="F1" s="175"/>
      <c r="G1" s="175"/>
      <c r="H1" s="175"/>
      <c r="I1" s="42"/>
      <c r="J1" s="42"/>
      <c r="K1" s="42"/>
      <c r="L1" s="42"/>
      <c r="M1" s="42"/>
    </row>
    <row r="2" ht="19" customHeight="1">
      <c r="A2" t="s" s="176">
        <v>182</v>
      </c>
      <c r="B2" s="177"/>
      <c r="C2" s="178"/>
      <c r="D2" t="s" s="179">
        <v>183</v>
      </c>
      <c r="E2" s="180"/>
      <c r="F2" s="180"/>
      <c r="G2" s="180"/>
      <c r="H2" s="180"/>
      <c r="I2" s="181"/>
      <c r="J2" s="42"/>
      <c r="K2" s="42"/>
      <c r="L2" s="42"/>
      <c r="M2" s="42"/>
    </row>
    <row r="3" ht="15" customHeight="1">
      <c r="A3" t="s" s="182">
        <v>25</v>
      </c>
      <c r="B3" s="183">
        <f>'Resum'!B13</f>
        <v>227580</v>
      </c>
      <c r="C3" s="178"/>
      <c r="D3" t="s" s="179">
        <v>153</v>
      </c>
      <c r="E3" s="180"/>
      <c r="F3" t="s" s="184">
        <v>184</v>
      </c>
      <c r="G3" t="s" s="179">
        <v>154</v>
      </c>
      <c r="H3" s="180"/>
      <c r="I3" s="181"/>
      <c r="J3" s="175"/>
      <c r="K3" s="175"/>
      <c r="L3" s="175"/>
      <c r="M3" s="42"/>
    </row>
    <row r="4" ht="19" customHeight="1">
      <c r="A4" t="s" s="185">
        <v>27</v>
      </c>
      <c r="B4" s="186">
        <f>'Resum'!B14</f>
        <v>10</v>
      </c>
      <c r="C4" s="178"/>
      <c r="D4" t="s" s="187">
        <v>185</v>
      </c>
      <c r="E4" s="188">
        <v>0.09</v>
      </c>
      <c r="F4" s="189">
        <f t="shared" si="2" ref="F4:F12">IF($B$3&gt;1024,1024,MAX($B$3,0))</f>
        <v>1024</v>
      </c>
      <c r="G4" t="s" s="187">
        <v>186</v>
      </c>
      <c r="H4" s="189">
        <f>F4*E4+F5*E5+F6*E6+F7*E7+F8*E8</f>
        <v>15320.06</v>
      </c>
      <c r="I4" s="178"/>
      <c r="J4" t="s" s="190">
        <v>187</v>
      </c>
      <c r="K4" s="191"/>
      <c r="L4" s="191"/>
      <c r="M4" s="181"/>
    </row>
    <row r="5" ht="19" customHeight="1">
      <c r="A5" t="s" s="182">
        <v>29</v>
      </c>
      <c r="B5" s="186">
        <f>'Resum'!B15</f>
        <v>4</v>
      </c>
      <c r="C5" s="178"/>
      <c r="D5" t="s" s="187">
        <v>188</v>
      </c>
      <c r="E5" s="188">
        <v>0.075</v>
      </c>
      <c r="F5" s="189">
        <f>IF($B$3&gt;50*1024,50*1024-F4,MAX($B$3-F4,0))</f>
        <v>50176</v>
      </c>
      <c r="G5" s="192"/>
      <c r="H5" s="193"/>
      <c r="I5" s="194"/>
      <c r="J5" t="s" s="195">
        <v>189</v>
      </c>
      <c r="K5" t="s" s="195">
        <v>155</v>
      </c>
      <c r="L5" t="s" s="195">
        <v>156</v>
      </c>
      <c r="M5" s="181"/>
    </row>
    <row r="6" ht="19" customHeight="1">
      <c r="A6" t="s" s="182">
        <v>190</v>
      </c>
      <c r="B6" s="183">
        <v>400</v>
      </c>
      <c r="C6" s="178"/>
      <c r="D6" t="s" s="187">
        <v>191</v>
      </c>
      <c r="E6" s="188">
        <v>0.065</v>
      </c>
      <c r="F6" s="189">
        <f>IF($B$3&gt;500*1024,500*1024-F5-F4,MAX($B$3-F5-F4,0))</f>
        <v>176380</v>
      </c>
      <c r="G6" s="196"/>
      <c r="H6" s="197"/>
      <c r="I6" t="s" s="198">
        <f>IF('Resum'!B16=1,"X","")</f>
      </c>
      <c r="J6" s="199">
        <v>1</v>
      </c>
      <c r="K6" t="s" s="200">
        <v>192</v>
      </c>
      <c r="L6" s="201">
        <f>H4*12</f>
        <v>183840.72</v>
      </c>
      <c r="M6" s="181"/>
    </row>
    <row r="7" ht="19" customHeight="1">
      <c r="A7" t="s" s="185">
        <v>32</v>
      </c>
      <c r="B7" s="202">
        <f>IF('Resum'!B18=1,1,0)</f>
        <v>0</v>
      </c>
      <c r="C7" s="178"/>
      <c r="D7" t="s" s="187">
        <v>193</v>
      </c>
      <c r="E7" s="188">
        <v>0.055</v>
      </c>
      <c r="F7" s="189">
        <f>IF($B$3&gt;5000*1024,5000*1024-F6-F5-F4,MAX($B$3-F6-F5-F4,0))</f>
        <v>0</v>
      </c>
      <c r="G7" s="196"/>
      <c r="H7" s="197"/>
      <c r="I7" t="s" s="198">
        <f>IF('Resum'!B16=2,"X","")</f>
        <v>194</v>
      </c>
      <c r="J7" s="199">
        <v>2</v>
      </c>
      <c r="K7" t="s" s="200">
        <v>195</v>
      </c>
      <c r="L7" s="201">
        <f>H12*12</f>
        <v>196291.296</v>
      </c>
      <c r="M7" s="181"/>
    </row>
    <row r="8" ht="19" customHeight="1">
      <c r="A8" t="s" s="203">
        <v>196</v>
      </c>
      <c r="B8" s="204"/>
      <c r="C8" s="178"/>
      <c r="D8" t="s" s="187">
        <v>197</v>
      </c>
      <c r="E8" s="188">
        <v>0.05</v>
      </c>
      <c r="F8" s="189">
        <f>IF($B$3&gt;5000*1024,$B$3-F7-F6-F5-F4,0)</f>
        <v>0</v>
      </c>
      <c r="G8" s="181"/>
      <c r="H8" s="205"/>
      <c r="I8" t="s" s="198">
        <f>IF('Resum'!B16=3,"X","")</f>
      </c>
      <c r="J8" s="199">
        <v>3</v>
      </c>
      <c r="K8" t="s" s="200">
        <v>198</v>
      </c>
      <c r="L8" s="199">
        <v>0</v>
      </c>
      <c r="M8" s="181"/>
    </row>
    <row r="9" ht="19" customHeight="1">
      <c r="A9" t="s" s="206">
        <f>IF('Resum'!B16=1,"Microworks Azure M-A",IF('Resum'!B16=2,"MonsoonS3 MS3",IF('Resum'!B16=3,"Take the tapes and run","error")))</f>
        <v>13</v>
      </c>
      <c r="B9" s="204"/>
      <c r="C9" s="178"/>
      <c r="D9" s="207"/>
      <c r="E9" s="208"/>
      <c r="F9" s="208"/>
      <c r="G9" s="209"/>
      <c r="H9" s="209"/>
      <c r="I9" s="42"/>
      <c r="J9" s="98"/>
      <c r="K9" s="210"/>
      <c r="L9" s="98"/>
      <c r="M9" s="42"/>
    </row>
    <row r="10" ht="19" customHeight="1">
      <c r="A10" t="s" s="203">
        <v>199</v>
      </c>
      <c r="B10" s="211">
        <f>'Resum'!B17</f>
        <v>1</v>
      </c>
      <c r="C10" s="178"/>
      <c r="D10" t="s" s="179">
        <v>200</v>
      </c>
      <c r="E10" s="180"/>
      <c r="F10" s="180"/>
      <c r="G10" s="180"/>
      <c r="H10" s="180"/>
      <c r="I10" s="181"/>
      <c r="J10" s="42"/>
      <c r="K10" s="42"/>
      <c r="L10" s="42"/>
      <c r="M10" s="42"/>
    </row>
    <row r="11" ht="19" customHeight="1">
      <c r="A11" t="s" s="203">
        <v>201</v>
      </c>
      <c r="B11" s="211">
        <f>'Resum'!B18</f>
        <v>0</v>
      </c>
      <c r="C11" s="178"/>
      <c r="D11" t="s" s="179">
        <v>153</v>
      </c>
      <c r="E11" s="180"/>
      <c r="F11" t="s" s="184">
        <v>184</v>
      </c>
      <c r="G11" t="s" s="179">
        <v>154</v>
      </c>
      <c r="H11" s="180"/>
      <c r="I11" s="181"/>
      <c r="J11" s="42"/>
      <c r="K11" s="42"/>
      <c r="L11" s="42"/>
      <c r="M11" s="42"/>
    </row>
    <row r="12" ht="19" customHeight="1">
      <c r="A12" s="98"/>
      <c r="B12" s="98"/>
      <c r="C12" s="194"/>
      <c r="D12" t="s" s="187">
        <v>185</v>
      </c>
      <c r="E12" s="188">
        <v>0.095</v>
      </c>
      <c r="F12" s="189">
        <f t="shared" si="2"/>
        <v>1024</v>
      </c>
      <c r="G12" t="s" s="187">
        <v>186</v>
      </c>
      <c r="H12" s="189">
        <f>F12*E12+F13*E13+F14*E14+F15*E15+F16*E16</f>
        <v>16357.608</v>
      </c>
      <c r="I12" s="181"/>
      <c r="J12" s="42"/>
      <c r="K12" s="42"/>
      <c r="L12" s="42"/>
      <c r="M12" s="42"/>
    </row>
    <row r="13" ht="19" customHeight="1">
      <c r="A13" s="42"/>
      <c r="B13" s="42"/>
      <c r="C13" s="194"/>
      <c r="D13" t="s" s="187">
        <v>188</v>
      </c>
      <c r="E13" s="188">
        <v>0.078</v>
      </c>
      <c r="F13" s="189">
        <f>IF($B$3&gt;50*1024,50*1024-F12,MAX($B$3-F12,0))</f>
        <v>50176</v>
      </c>
      <c r="G13" s="192"/>
      <c r="H13" s="193"/>
      <c r="I13" s="42"/>
      <c r="J13" s="42"/>
      <c r="K13" s="42"/>
      <c r="L13" s="42"/>
      <c r="M13" s="42"/>
    </row>
    <row r="14" ht="19" customHeight="1">
      <c r="A14" s="42"/>
      <c r="B14" s="42"/>
      <c r="C14" s="194"/>
      <c r="D14" t="s" s="187">
        <v>191</v>
      </c>
      <c r="E14" s="188">
        <v>0.07000000000000001</v>
      </c>
      <c r="F14" s="189">
        <f>IF($B$3&gt;500*1024,500*1024-F13-F12,MAX($B$3-F13-F12,0))</f>
        <v>176380</v>
      </c>
      <c r="G14" s="196"/>
      <c r="H14" s="197"/>
      <c r="I14" s="42"/>
      <c r="J14" s="42"/>
      <c r="K14" s="42"/>
      <c r="L14" s="42"/>
      <c r="M14" s="42"/>
    </row>
    <row r="15" ht="19" customHeight="1">
      <c r="A15" s="42"/>
      <c r="B15" s="42"/>
      <c r="C15" s="194"/>
      <c r="D15" t="s" s="187">
        <v>193</v>
      </c>
      <c r="E15" s="188">
        <v>0.065</v>
      </c>
      <c r="F15" s="189">
        <f>IF($B$3&gt;5000*1024,5000*1024-F14-F13-F12,MAX($B$3-F14-F13-F12,0))</f>
        <v>0</v>
      </c>
      <c r="G15" s="196"/>
      <c r="H15" s="197"/>
      <c r="I15" s="42"/>
      <c r="J15" s="42"/>
      <c r="K15" s="42"/>
      <c r="L15" s="42"/>
      <c r="M15" s="42"/>
    </row>
    <row r="16" ht="19" customHeight="1">
      <c r="A16" s="42"/>
      <c r="B16" s="42"/>
      <c r="C16" s="194"/>
      <c r="D16" t="s" s="187">
        <v>197</v>
      </c>
      <c r="E16" s="188">
        <v>0.055</v>
      </c>
      <c r="F16" s="189">
        <f>IF($B$3&gt;5000*1024,$B$3-F15-F14-F13-F12,0)</f>
        <v>0</v>
      </c>
      <c r="G16" s="196"/>
      <c r="H16" s="205"/>
      <c r="I16" s="42"/>
      <c r="J16" s="42"/>
      <c r="K16" s="42"/>
      <c r="L16" s="42"/>
      <c r="M16" s="42"/>
    </row>
    <row r="17" ht="19" customHeight="1">
      <c r="A17" s="42"/>
      <c r="B17" s="42"/>
      <c r="C17" s="194"/>
      <c r="D17" s="207"/>
      <c r="E17" s="208"/>
      <c r="F17" s="208"/>
      <c r="G17" s="209"/>
      <c r="H17" s="212"/>
      <c r="I17" s="42"/>
      <c r="J17" s="42"/>
      <c r="K17" s="42"/>
      <c r="L17" s="42"/>
      <c r="M17" s="42"/>
    </row>
    <row r="18" ht="19" customHeight="1">
      <c r="A18" s="42"/>
      <c r="B18" s="42"/>
      <c r="C18" s="194"/>
      <c r="D18" t="s" s="179">
        <v>202</v>
      </c>
      <c r="E18" s="180"/>
      <c r="F18" s="180"/>
      <c r="G18" s="180"/>
      <c r="H18" s="213"/>
      <c r="I18" s="214"/>
      <c r="J18" s="42"/>
      <c r="K18" s="175"/>
      <c r="L18" s="175"/>
      <c r="M18" s="42"/>
    </row>
    <row r="19" ht="19" customHeight="1">
      <c r="A19" s="42"/>
      <c r="B19" s="42"/>
      <c r="C19" s="194"/>
      <c r="D19" t="s" s="184">
        <v>202</v>
      </c>
      <c r="E19" t="s" s="184">
        <v>203</v>
      </c>
      <c r="F19" t="s" s="184">
        <v>204</v>
      </c>
      <c r="G19" t="s" s="184">
        <v>205</v>
      </c>
      <c r="H19" t="s" s="215">
        <v>206</v>
      </c>
      <c r="I19" t="s" s="184">
        <v>81</v>
      </c>
      <c r="J19" s="178"/>
      <c r="K19" t="s" s="190">
        <v>207</v>
      </c>
      <c r="L19" s="216"/>
      <c r="M19" s="181"/>
    </row>
    <row r="20" ht="19" customHeight="1">
      <c r="A20" s="42"/>
      <c r="B20" s="42"/>
      <c r="C20" s="194"/>
      <c r="D20" t="s" s="187">
        <v>208</v>
      </c>
      <c r="E20" s="188">
        <v>0.011</v>
      </c>
      <c r="F20" s="189">
        <f t="shared" si="24" ref="F20:F25">365/$B$4</f>
        <v>36.5</v>
      </c>
      <c r="G20" s="189">
        <f>$B$3*E20*F20</f>
        <v>91373.369999999981</v>
      </c>
      <c r="H20" s="189">
        <f t="shared" si="26" ref="H20:H21">100*$B$5*12</f>
        <v>4800</v>
      </c>
      <c r="I20" s="189">
        <f>H20+G20</f>
        <v>96173.369999999981</v>
      </c>
      <c r="J20" s="178"/>
      <c r="K20" t="s" s="217">
        <v>155</v>
      </c>
      <c r="L20" t="s" s="195">
        <v>156</v>
      </c>
      <c r="M20" t="s" s="218">
        <v>209</v>
      </c>
    </row>
    <row r="21" ht="19" customHeight="1">
      <c r="A21" s="42"/>
      <c r="B21" s="42"/>
      <c r="C21" s="194"/>
      <c r="D21" t="s" s="187">
        <v>210</v>
      </c>
      <c r="E21" s="188">
        <v>0.02</v>
      </c>
      <c r="F21" s="189">
        <f t="shared" si="24"/>
        <v>36.5</v>
      </c>
      <c r="G21" s="189">
        <f>$B$3*E21*F21</f>
        <v>166133.4</v>
      </c>
      <c r="H21" s="189">
        <f t="shared" si="26"/>
        <v>4800</v>
      </c>
      <c r="I21" s="189">
        <f>H21+G21</f>
        <v>170933.4</v>
      </c>
      <c r="J21" s="178"/>
      <c r="K21" t="s" s="200">
        <v>211</v>
      </c>
      <c r="L21" s="201">
        <f>I20</f>
        <v>96173.369999999981</v>
      </c>
      <c r="M21" s="219">
        <f>IF(AND('Resum'!B16=1,'Resum'!B17=1),L21,0)</f>
        <v>0</v>
      </c>
    </row>
    <row r="22" ht="19" customHeight="1">
      <c r="A22" s="42"/>
      <c r="B22" s="42"/>
      <c r="C22" s="194"/>
      <c r="D22" t="s" s="187">
        <v>212</v>
      </c>
      <c r="E22" s="188">
        <v>0.008999999999999999</v>
      </c>
      <c r="F22" s="189">
        <f t="shared" si="24"/>
        <v>36.5</v>
      </c>
      <c r="G22" s="189">
        <f>$B$3*E22*F22</f>
        <v>74760.03</v>
      </c>
      <c r="H22" s="189">
        <f t="shared" si="36" ref="H22:H23">90*$B$5*12</f>
        <v>4320</v>
      </c>
      <c r="I22" s="189">
        <f>H22+G22</f>
        <v>79080.03</v>
      </c>
      <c r="J22" s="178"/>
      <c r="K22" t="s" s="200">
        <v>213</v>
      </c>
      <c r="L22" s="201">
        <f>I21</f>
        <v>170933.4</v>
      </c>
      <c r="M22" s="219">
        <f>IF(AND('Resum'!B16=1,'Resum'!B17=0),L22,0)</f>
        <v>0</v>
      </c>
    </row>
    <row r="23" ht="19" customHeight="1">
      <c r="A23" s="42"/>
      <c r="B23" s="42"/>
      <c r="C23" s="194"/>
      <c r="D23" t="s" s="187">
        <v>214</v>
      </c>
      <c r="E23" s="188">
        <v>0.019</v>
      </c>
      <c r="F23" s="189">
        <f t="shared" si="24"/>
        <v>36.5</v>
      </c>
      <c r="G23" s="189">
        <f>$B$3*E23*F23</f>
        <v>157826.73</v>
      </c>
      <c r="H23" s="189">
        <f t="shared" si="36"/>
        <v>4320</v>
      </c>
      <c r="I23" s="189">
        <f>H23+G23</f>
        <v>162146.73</v>
      </c>
      <c r="J23" s="178"/>
      <c r="K23" t="s" s="200">
        <v>215</v>
      </c>
      <c r="L23" s="201">
        <f>I22</f>
        <v>79080.03</v>
      </c>
      <c r="M23" s="220">
        <f>IF(AND('Resum'!B16=2,'Resum'!B17=1),L23,0)</f>
        <v>79080.03</v>
      </c>
    </row>
    <row r="24" ht="19" customHeight="1">
      <c r="A24" s="42"/>
      <c r="B24" s="42"/>
      <c r="C24" s="194"/>
      <c r="D24" s="221"/>
      <c r="E24" t="s" s="222">
        <v>216</v>
      </c>
      <c r="F24" t="s" s="222">
        <v>217</v>
      </c>
      <c r="G24" t="s" s="222">
        <v>218</v>
      </c>
      <c r="H24" t="s" s="222">
        <v>219</v>
      </c>
      <c r="I24" t="s" s="222">
        <v>81</v>
      </c>
      <c r="J24" s="223"/>
      <c r="K24" t="s" s="200">
        <v>220</v>
      </c>
      <c r="L24" s="201">
        <f>I23</f>
        <v>162146.73</v>
      </c>
      <c r="M24" s="219">
        <f>IF(AND('Resum'!B16=2,'Resum'!B17=0),L24,0)</f>
        <v>0</v>
      </c>
    </row>
    <row r="25" ht="19" customHeight="1">
      <c r="A25" s="42"/>
      <c r="B25" s="42"/>
      <c r="C25" s="194"/>
      <c r="D25" t="s" s="187">
        <v>221</v>
      </c>
      <c r="E25" s="189">
        <f>ROUNDUP($B$3/$B$6,0)</f>
        <v>569</v>
      </c>
      <c r="F25" s="189">
        <f t="shared" si="24"/>
        <v>36.5</v>
      </c>
      <c r="G25" s="189">
        <f>120*F25*2</f>
        <v>8760</v>
      </c>
      <c r="H25" s="189">
        <f>ROUNDUP(E25*$B$5/20,0)*100</f>
        <v>11400</v>
      </c>
      <c r="I25" s="189">
        <f>G25+H25</f>
        <v>20160</v>
      </c>
      <c r="J25" s="178"/>
      <c r="K25" t="s" s="200">
        <v>222</v>
      </c>
      <c r="L25" s="201">
        <f>I25</f>
        <v>20160</v>
      </c>
      <c r="M25" s="219">
        <f>IF('Resum'!B16=3,L25,0)</f>
        <v>0</v>
      </c>
    </row>
    <row r="26" ht="19" customHeight="1">
      <c r="A26" s="42"/>
      <c r="B26" s="42"/>
      <c r="C26" s="42"/>
      <c r="D26" t="s" s="224">
        <v>223</v>
      </c>
      <c r="E26" t="s" s="224">
        <v>224</v>
      </c>
      <c r="F26" t="s" s="224">
        <v>225</v>
      </c>
      <c r="G26" t="s" s="224">
        <v>226</v>
      </c>
      <c r="H26" s="225"/>
      <c r="I26" t="s" s="224">
        <v>81</v>
      </c>
      <c r="J26" s="42"/>
      <c r="K26" s="98"/>
      <c r="L26" s="98"/>
      <c r="M26" s="42"/>
    </row>
    <row r="27" ht="19" customHeight="1">
      <c r="A27" s="42"/>
      <c r="B27" s="42"/>
      <c r="C27" s="42"/>
      <c r="D27" s="226"/>
      <c r="E27" s="227">
        <f>E25*B5</f>
        <v>2276</v>
      </c>
      <c r="F27" s="227">
        <f>IF($E$25&lt;24,2500,IF($E$25&lt;48,3800,IF($E$25&lt;96,12000,70000)))</f>
        <v>70000</v>
      </c>
      <c r="G27" s="227">
        <f>E27*100</f>
        <v>227600</v>
      </c>
      <c r="H27" s="226"/>
      <c r="I27" s="227">
        <f>(F27+G27)*B11</f>
        <v>0</v>
      </c>
      <c r="J27" s="42"/>
      <c r="K27" s="42"/>
      <c r="L27" s="42"/>
      <c r="M27" s="49">
        <f>SUM(M21:M26)</f>
        <v>79080.03</v>
      </c>
    </row>
    <row r="28" ht="19" customHeight="1">
      <c r="A28" s="42"/>
      <c r="B28" s="42"/>
      <c r="C28" s="42"/>
      <c r="D28" t="s" s="228">
        <v>227</v>
      </c>
      <c r="E28" s="229"/>
      <c r="F28" t="s" s="228">
        <v>228</v>
      </c>
      <c r="G28" t="s" s="230">
        <v>229</v>
      </c>
      <c r="H28" t="s" s="230">
        <v>230</v>
      </c>
      <c r="I28" s="227"/>
      <c r="J28" s="42"/>
      <c r="K28" s="42"/>
      <c r="L28" s="42"/>
      <c r="M28" s="49"/>
    </row>
    <row r="29" ht="19" customHeight="1">
      <c r="A29" s="42"/>
      <c r="B29" s="42"/>
      <c r="C29" s="42"/>
      <c r="D29" s="231">
        <f>IF($E$25&lt;24,168,IF($E$25&lt;48,312,IF($E$25&lt;96,560,1500)))/1000</f>
        <v>1.5</v>
      </c>
      <c r="E29" s="227"/>
      <c r="F29" s="232">
        <f>IF($E$25&lt;24,2,IF($E$25&lt;48,4,IF($E$25&lt;96,8,40)))</f>
        <v>40</v>
      </c>
      <c r="G29" s="233">
        <f>F29*B7</f>
        <v>0</v>
      </c>
      <c r="H29" s="234">
        <f>D29*B7</f>
        <v>0</v>
      </c>
      <c r="I29" s="227"/>
      <c r="J29" s="42"/>
      <c r="K29" t="s" s="230">
        <v>231</v>
      </c>
      <c r="L29" s="235">
        <f>$I$27</f>
        <v>0</v>
      </c>
      <c r="M29" s="49">
        <f>L29*B10</f>
        <v>0</v>
      </c>
    </row>
  </sheetData>
  <mergeCells count="13">
    <mergeCell ref="G3:H3"/>
    <mergeCell ref="D3:E3"/>
    <mergeCell ref="K19:L19"/>
    <mergeCell ref="G11:H11"/>
    <mergeCell ref="A2:B2"/>
    <mergeCell ref="D2:H2"/>
    <mergeCell ref="D11:E11"/>
    <mergeCell ref="D10:H10"/>
    <mergeCell ref="J4:L4"/>
    <mergeCell ref="D18:H18"/>
    <mergeCell ref="A8:B8"/>
    <mergeCell ref="J3:K3"/>
    <mergeCell ref="A9:B9"/>
  </mergeCells>
  <pageMargins left="1" right="1" top="1" bottom="1" header="0.25" footer="0.25"/>
  <pageSetup firstPageNumber="1" fitToHeight="1" fitToWidth="1" scale="100" useFirstPageNumber="0" orientation="portrait" pageOrder="downThenOver"/>
  <headerFooter>
    <oddHeader>&amp;L&amp;"Calibri,Regular"&amp;12&amp;K000000Backup</oddHeader>
    <oddFooter>&amp;L&amp;"Calibri,Regular"&amp;12&amp;K000000Página 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K13"/>
  <sheetViews>
    <sheetView workbookViewId="0" showGridLines="0" defaultGridColor="1"/>
  </sheetViews>
  <sheetFormatPr defaultColWidth="12.8333" defaultRowHeight="15.75" customHeight="1" outlineLevelRow="0" outlineLevelCol="0"/>
  <cols>
    <col min="1" max="1" width="14.5" style="236" customWidth="1"/>
    <col min="2" max="2" width="14.6719" style="236" customWidth="1"/>
    <col min="3" max="3" width="13.5" style="236" customWidth="1"/>
    <col min="4" max="4" width="16.1719" style="236" customWidth="1"/>
    <col min="5" max="5" width="18.3516" style="236" customWidth="1"/>
    <col min="6" max="6" width="13.3516" style="236" customWidth="1"/>
    <col min="7" max="7" width="15.1719" style="236" customWidth="1"/>
    <col min="8" max="8" width="12.8516" style="236" customWidth="1"/>
    <col min="9" max="9" width="5.35156" style="236" customWidth="1"/>
    <col min="10" max="10" width="9.5" style="236" customWidth="1"/>
    <col min="11" max="11" width="12.3516" style="236" customWidth="1"/>
    <col min="12" max="256" width="12.8516" style="236" customWidth="1"/>
  </cols>
  <sheetData>
    <row r="1" ht="19" customHeight="1">
      <c r="A1" t="s" s="237">
        <v>232</v>
      </c>
      <c r="B1" t="s" s="237">
        <v>233</v>
      </c>
      <c r="C1" t="s" s="237">
        <v>234</v>
      </c>
      <c r="D1" t="s" s="237">
        <v>235</v>
      </c>
      <c r="E1" t="s" s="237">
        <v>236</v>
      </c>
      <c r="F1" t="s" s="237">
        <v>237</v>
      </c>
      <c r="G1" t="s" s="238">
        <v>238</v>
      </c>
      <c r="H1" s="42"/>
      <c r="I1" s="42"/>
      <c r="J1" s="42"/>
      <c r="K1" s="42"/>
    </row>
    <row r="2" ht="19.45" customHeight="1">
      <c r="A2" s="88">
        <v>1</v>
      </c>
      <c r="B2" s="239">
        <v>10</v>
      </c>
      <c r="C2" t="s" s="240">
        <v>239</v>
      </c>
      <c r="D2" s="241">
        <v>0.63</v>
      </c>
      <c r="E2" s="211">
        <f>IF('Resum'!$B$24=1,'Resum'!B25,0)</f>
        <v>0</v>
      </c>
      <c r="F2" s="242">
        <f>D2*E2*12</f>
        <v>0</v>
      </c>
      <c r="G2" s="242">
        <f>F2*0.4</f>
        <v>0</v>
      </c>
      <c r="H2" s="243"/>
      <c r="I2" s="166"/>
      <c r="J2" s="166"/>
      <c r="K2" s="166"/>
    </row>
    <row r="3" ht="19.45" customHeight="1">
      <c r="A3" s="88">
        <v>2</v>
      </c>
      <c r="B3" s="239">
        <v>100</v>
      </c>
      <c r="C3" t="s" s="240">
        <v>239</v>
      </c>
      <c r="D3" s="241">
        <v>6.3</v>
      </c>
      <c r="E3" s="211">
        <f>IF('Resum'!$B$24=2,'Resum'!B25,0)</f>
        <v>0</v>
      </c>
      <c r="F3" s="242">
        <f>D3*E3*12</f>
        <v>0</v>
      </c>
      <c r="G3" s="242">
        <f>F3*0.4</f>
        <v>0</v>
      </c>
      <c r="H3" s="196"/>
      <c r="I3" s="197"/>
      <c r="J3" s="197"/>
      <c r="K3" s="197"/>
    </row>
    <row r="4" ht="19.45" customHeight="1">
      <c r="A4" s="88">
        <v>3</v>
      </c>
      <c r="B4" s="239">
        <v>1000</v>
      </c>
      <c r="C4" t="s" s="240">
        <v>239</v>
      </c>
      <c r="D4" s="241">
        <v>63</v>
      </c>
      <c r="E4" s="211">
        <f>IF('Resum'!$B$24=3,'Resum'!B25,0)</f>
        <v>1</v>
      </c>
      <c r="F4" s="242">
        <f>D4*E4*12</f>
        <v>756</v>
      </c>
      <c r="G4" s="242">
        <f>F4*0.4</f>
        <v>302.4</v>
      </c>
      <c r="H4" s="196"/>
      <c r="I4" s="197"/>
      <c r="J4" s="197"/>
      <c r="K4" s="197"/>
    </row>
    <row r="5" ht="19.45" customHeight="1">
      <c r="A5" s="88">
        <v>4</v>
      </c>
      <c r="B5" s="239">
        <v>10000</v>
      </c>
      <c r="C5" t="s" s="240">
        <v>240</v>
      </c>
      <c r="D5" s="241">
        <v>630</v>
      </c>
      <c r="E5" s="211">
        <f>IF('Resum'!$B$24=4,'Resum'!B25,0)</f>
        <v>0</v>
      </c>
      <c r="F5" s="242">
        <f>D5*E5*12</f>
        <v>0</v>
      </c>
      <c r="G5" s="242">
        <f>F5*0.4</f>
        <v>0</v>
      </c>
      <c r="H5" s="196"/>
      <c r="I5" s="197"/>
      <c r="J5" s="197"/>
      <c r="K5" s="197"/>
    </row>
    <row r="6" ht="31.5" customHeight="1">
      <c r="A6" s="88">
        <v>5</v>
      </c>
      <c r="B6" s="239">
        <v>100000</v>
      </c>
      <c r="C6" t="s" s="240">
        <v>241</v>
      </c>
      <c r="D6" s="241">
        <v>6300</v>
      </c>
      <c r="E6" s="211">
        <f>IF('Resum'!$B$24=5,'Resum'!B25,0)</f>
        <v>0</v>
      </c>
      <c r="F6" s="242">
        <f>D6*E6*12</f>
        <v>0</v>
      </c>
      <c r="G6" s="242">
        <f>F6*0.4</f>
        <v>0</v>
      </c>
      <c r="H6" s="196"/>
      <c r="I6" s="197"/>
      <c r="J6" s="197"/>
      <c r="K6" s="197"/>
    </row>
    <row r="7" ht="17" customHeight="1">
      <c r="A7" s="244"/>
      <c r="B7" s="193"/>
      <c r="C7" s="193"/>
      <c r="D7" s="193"/>
      <c r="E7" t="s" s="245">
        <v>100</v>
      </c>
      <c r="F7" s="246">
        <f>SUM(F2:F6)</f>
        <v>756</v>
      </c>
      <c r="G7" s="246">
        <f>IF('Resum'!B20=3,SUM(G2:G6),0)</f>
        <v>302.4</v>
      </c>
      <c r="H7" s="197"/>
      <c r="I7" s="197"/>
      <c r="J7" s="197"/>
      <c r="K7" s="197"/>
    </row>
    <row r="8" ht="17" customHeight="1">
      <c r="A8" s="197"/>
      <c r="B8" s="197"/>
      <c r="C8" s="197"/>
      <c r="D8" s="197"/>
      <c r="E8" s="197"/>
      <c r="F8" s="209"/>
      <c r="G8" s="197"/>
      <c r="H8" s="197"/>
      <c r="I8" s="197"/>
      <c r="J8" s="197"/>
      <c r="K8" s="197"/>
    </row>
    <row r="9" ht="17" customHeight="1">
      <c r="A9" s="197"/>
      <c r="B9" s="197"/>
      <c r="C9" s="197"/>
      <c r="D9" s="197"/>
      <c r="E9" s="197"/>
      <c r="F9" s="246">
        <f>IF('Resum'!B26=0,F7,F7+G7)</f>
        <v>1058.4</v>
      </c>
      <c r="G9" s="197"/>
      <c r="H9" s="197"/>
      <c r="I9" s="197"/>
      <c r="J9" s="197"/>
      <c r="K9" s="197"/>
    </row>
    <row r="10" ht="19" customHeight="1">
      <c r="A10" s="166"/>
      <c r="B10" s="166"/>
      <c r="C10" s="166"/>
      <c r="D10" s="166"/>
      <c r="E10" s="166"/>
      <c r="F10" s="166"/>
      <c r="G10" s="166"/>
      <c r="H10" s="166"/>
      <c r="I10" s="166"/>
      <c r="J10" s="166"/>
      <c r="K10" s="166"/>
    </row>
    <row r="11" ht="19" customHeight="1">
      <c r="A11" s="166"/>
      <c r="B11" s="166"/>
      <c r="C11" s="166"/>
      <c r="D11" s="166"/>
      <c r="E11" s="166"/>
      <c r="F11" s="166"/>
      <c r="G11" s="166"/>
      <c r="H11" s="166"/>
      <c r="I11" s="166"/>
      <c r="J11" s="166"/>
      <c r="K11" s="166"/>
    </row>
    <row r="12" ht="19" customHeight="1">
      <c r="A12" s="166"/>
      <c r="B12" s="166"/>
      <c r="C12" s="166"/>
      <c r="D12" s="166"/>
      <c r="E12" s="166"/>
      <c r="F12" s="166"/>
      <c r="G12" s="166"/>
      <c r="H12" s="166"/>
      <c r="I12" s="166"/>
      <c r="J12" s="166"/>
      <c r="K12" s="166"/>
    </row>
    <row r="13" ht="19" customHeight="1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