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Universidad\CPD\A1\"/>
    </mc:Choice>
  </mc:AlternateContent>
  <bookViews>
    <workbookView xWindow="0" yWindow="0" windowWidth="16815" windowHeight="7755"/>
  </bookViews>
  <sheets>
    <sheet name="Resum" sheetId="1" r:id="rId1"/>
    <sheet name="Cabina de discos" sheetId="2" r:id="rId2"/>
    <sheet name="SAN" sheetId="3" r:id="rId3"/>
    <sheet name="Electricitat" sheetId="4" r:id="rId4"/>
    <sheet name="Infraestructura" sheetId="5" r:id="rId5"/>
    <sheet name="Backup" sheetId="6" r:id="rId6"/>
    <sheet name="Bandwidth provider" sheetId="7" r:id="rId7"/>
  </sheets>
  <calcPr calcId="152511"/>
</workbook>
</file>

<file path=xl/calcChain.xml><?xml version="1.0" encoding="utf-8"?>
<calcChain xmlns="http://schemas.openxmlformats.org/spreadsheetml/2006/main">
  <c r="E12" i="1" l="1"/>
  <c r="B5" i="2"/>
  <c r="G6" i="7"/>
  <c r="F6" i="7"/>
  <c r="E6" i="7"/>
  <c r="F5" i="7"/>
  <c r="G5" i="7" s="1"/>
  <c r="E5" i="7"/>
  <c r="F4" i="7"/>
  <c r="G4" i="7" s="1"/>
  <c r="E4" i="7"/>
  <c r="G3" i="7"/>
  <c r="F3" i="7"/>
  <c r="E3" i="7"/>
  <c r="G2" i="7"/>
  <c r="F2" i="7"/>
  <c r="E2" i="7"/>
  <c r="M25" i="6"/>
  <c r="E25" i="6"/>
  <c r="F27" i="6" s="1"/>
  <c r="M24" i="6"/>
  <c r="H23" i="6"/>
  <c r="F23" i="6"/>
  <c r="G23" i="6" s="1"/>
  <c r="I23" i="6" s="1"/>
  <c r="L24" i="6" s="1"/>
  <c r="M22" i="6"/>
  <c r="H22" i="6"/>
  <c r="M21" i="6"/>
  <c r="H21" i="6"/>
  <c r="F21" i="6"/>
  <c r="G21" i="6" s="1"/>
  <c r="I21" i="6" s="1"/>
  <c r="L22" i="6" s="1"/>
  <c r="H20" i="6"/>
  <c r="F20" i="6"/>
  <c r="G20" i="6" s="1"/>
  <c r="I20" i="6" s="1"/>
  <c r="L21" i="6" s="1"/>
  <c r="F16" i="6"/>
  <c r="F13" i="6"/>
  <c r="F12" i="6"/>
  <c r="B11" i="6"/>
  <c r="B10" i="6"/>
  <c r="A9" i="6"/>
  <c r="I8" i="6"/>
  <c r="F8" i="6"/>
  <c r="I7" i="6"/>
  <c r="B7" i="6"/>
  <c r="I6" i="6"/>
  <c r="F5" i="6"/>
  <c r="B5" i="6"/>
  <c r="F4" i="6"/>
  <c r="B4" i="6"/>
  <c r="F22" i="6" s="1"/>
  <c r="G22" i="6" s="1"/>
  <c r="B3" i="6"/>
  <c r="G29" i="5"/>
  <c r="E26" i="5"/>
  <c r="G20" i="5"/>
  <c r="E16" i="5"/>
  <c r="B9" i="5"/>
  <c r="B8" i="5"/>
  <c r="G7" i="5"/>
  <c r="E5" i="5"/>
  <c r="B5" i="5"/>
  <c r="P38" i="4"/>
  <c r="O38" i="4"/>
  <c r="M38" i="4"/>
  <c r="L38" i="4"/>
  <c r="K38" i="4"/>
  <c r="P36" i="4"/>
  <c r="O36" i="4"/>
  <c r="N36" i="4"/>
  <c r="M36" i="4"/>
  <c r="L36" i="4"/>
  <c r="K36" i="4"/>
  <c r="J36" i="4"/>
  <c r="P35" i="4"/>
  <c r="O35" i="4"/>
  <c r="N35" i="4"/>
  <c r="M35" i="4"/>
  <c r="L35" i="4"/>
  <c r="K35" i="4"/>
  <c r="J35" i="4"/>
  <c r="P34" i="4"/>
  <c r="O34" i="4"/>
  <c r="N34" i="4"/>
  <c r="M34" i="4"/>
  <c r="L34" i="4"/>
  <c r="K34" i="4"/>
  <c r="J34" i="4"/>
  <c r="P33" i="4"/>
  <c r="O33" i="4"/>
  <c r="N33" i="4"/>
  <c r="M33" i="4"/>
  <c r="L33" i="4"/>
  <c r="K33" i="4"/>
  <c r="J33" i="4"/>
  <c r="P32" i="4"/>
  <c r="O32" i="4"/>
  <c r="N32" i="4"/>
  <c r="M32" i="4"/>
  <c r="L32" i="4"/>
  <c r="K32" i="4"/>
  <c r="J32" i="4"/>
  <c r="P31" i="4"/>
  <c r="O31" i="4"/>
  <c r="N31" i="4"/>
  <c r="M31" i="4"/>
  <c r="L31" i="4"/>
  <c r="K31" i="4"/>
  <c r="J31" i="4"/>
  <c r="P30" i="4"/>
  <c r="O30" i="4"/>
  <c r="N30" i="4"/>
  <c r="M30" i="4"/>
  <c r="L30" i="4"/>
  <c r="K30" i="4"/>
  <c r="J30" i="4"/>
  <c r="P29" i="4"/>
  <c r="O29" i="4"/>
  <c r="N29" i="4"/>
  <c r="M29" i="4"/>
  <c r="L29" i="4"/>
  <c r="K29" i="4"/>
  <c r="J29" i="4"/>
  <c r="P28" i="4"/>
  <c r="O28" i="4"/>
  <c r="N28" i="4"/>
  <c r="M28" i="4"/>
  <c r="L28" i="4"/>
  <c r="K28" i="4"/>
  <c r="J28" i="4"/>
  <c r="P27" i="4"/>
  <c r="O27" i="4"/>
  <c r="N27" i="4"/>
  <c r="M27" i="4"/>
  <c r="L27" i="4"/>
  <c r="K27" i="4"/>
  <c r="J27" i="4"/>
  <c r="P26" i="4"/>
  <c r="O26" i="4"/>
  <c r="N26" i="4"/>
  <c r="M26" i="4"/>
  <c r="L26" i="4"/>
  <c r="K26" i="4"/>
  <c r="J26" i="4"/>
  <c r="P25" i="4"/>
  <c r="O25" i="4"/>
  <c r="N25" i="4"/>
  <c r="M25" i="4"/>
  <c r="L25" i="4"/>
  <c r="K25" i="4"/>
  <c r="J25" i="4"/>
  <c r="P24" i="4"/>
  <c r="O24" i="4"/>
  <c r="N24" i="4"/>
  <c r="N38" i="4" s="1"/>
  <c r="M24" i="4"/>
  <c r="L24" i="4"/>
  <c r="K24" i="4"/>
  <c r="J24" i="4"/>
  <c r="J38" i="4" s="1"/>
  <c r="Q20" i="4"/>
  <c r="P20" i="4"/>
  <c r="R20" i="4" s="1"/>
  <c r="S19" i="4"/>
  <c r="R19" i="4"/>
  <c r="S18" i="4"/>
  <c r="R18" i="4"/>
  <c r="S17" i="4"/>
  <c r="R17" i="4"/>
  <c r="R16" i="4"/>
  <c r="S16" i="4" s="1"/>
  <c r="S15" i="4"/>
  <c r="R15" i="4"/>
  <c r="R14" i="4"/>
  <c r="S14" i="4" s="1"/>
  <c r="S13" i="4"/>
  <c r="R13" i="4"/>
  <c r="R12" i="4"/>
  <c r="S12" i="4" s="1"/>
  <c r="S11" i="4"/>
  <c r="R11" i="4"/>
  <c r="R10" i="4"/>
  <c r="S10" i="4" s="1"/>
  <c r="S9" i="4"/>
  <c r="R9" i="4"/>
  <c r="B9" i="4"/>
  <c r="S8" i="4"/>
  <c r="S20" i="4" s="1"/>
  <c r="R8" i="4"/>
  <c r="R7" i="4"/>
  <c r="S7" i="4" s="1"/>
  <c r="E15" i="3"/>
  <c r="C11" i="3"/>
  <c r="E10" i="3"/>
  <c r="C10" i="3"/>
  <c r="H10" i="3" s="1"/>
  <c r="I9" i="3"/>
  <c r="H9" i="3"/>
  <c r="C9" i="3"/>
  <c r="I8" i="3"/>
  <c r="H8" i="3"/>
  <c r="E8" i="3"/>
  <c r="C8" i="3"/>
  <c r="I7" i="3"/>
  <c r="H7" i="3"/>
  <c r="C7" i="3"/>
  <c r="E6" i="3"/>
  <c r="I6" i="3" s="1"/>
  <c r="C6" i="3"/>
  <c r="B6" i="3"/>
  <c r="C5" i="3"/>
  <c r="C4" i="3"/>
  <c r="B4" i="3"/>
  <c r="C3" i="3"/>
  <c r="B3" i="3"/>
  <c r="K22" i="2"/>
  <c r="J21" i="2"/>
  <c r="G21" i="2"/>
  <c r="F21" i="2"/>
  <c r="E21" i="2"/>
  <c r="M21" i="2" s="1"/>
  <c r="D21" i="2"/>
  <c r="C21" i="2"/>
  <c r="B21" i="2"/>
  <c r="M20" i="2"/>
  <c r="K20" i="2"/>
  <c r="G20" i="2"/>
  <c r="F20" i="2"/>
  <c r="E20" i="2"/>
  <c r="D20" i="2"/>
  <c r="C20" i="2"/>
  <c r="B20" i="2"/>
  <c r="J20" i="2" s="1"/>
  <c r="G19" i="2"/>
  <c r="F19" i="2"/>
  <c r="E19" i="2"/>
  <c r="D19" i="2"/>
  <c r="C19" i="2"/>
  <c r="M19" i="2" s="1"/>
  <c r="B19" i="2"/>
  <c r="G18" i="2"/>
  <c r="F18" i="2"/>
  <c r="E18" i="2"/>
  <c r="D18" i="2"/>
  <c r="J18" i="2" s="1"/>
  <c r="C18" i="2"/>
  <c r="B18" i="2"/>
  <c r="M18" i="2" s="1"/>
  <c r="J17" i="2"/>
  <c r="G17" i="2"/>
  <c r="F17" i="2"/>
  <c r="E17" i="2"/>
  <c r="M17" i="2" s="1"/>
  <c r="D17" i="2"/>
  <c r="C17" i="2"/>
  <c r="B17" i="2"/>
  <c r="G16" i="2"/>
  <c r="F16" i="2"/>
  <c r="M25" i="2" s="1"/>
  <c r="E16" i="2"/>
  <c r="D16" i="2"/>
  <c r="C16" i="2"/>
  <c r="B16" i="2"/>
  <c r="J16" i="2" s="1"/>
  <c r="K15" i="2"/>
  <c r="G14" i="2"/>
  <c r="F14" i="2"/>
  <c r="E14" i="2"/>
  <c r="D14" i="2"/>
  <c r="C14" i="2"/>
  <c r="K14" i="2" s="1"/>
  <c r="B14" i="2"/>
  <c r="G13" i="2"/>
  <c r="F13" i="2"/>
  <c r="E13" i="2"/>
  <c r="J13" i="2" s="1"/>
  <c r="D13" i="2"/>
  <c r="C13" i="2"/>
  <c r="B13" i="2"/>
  <c r="K12" i="2"/>
  <c r="G12" i="2"/>
  <c r="F12" i="2"/>
  <c r="E12" i="2"/>
  <c r="J12" i="2" s="1"/>
  <c r="D12" i="2"/>
  <c r="C12" i="2"/>
  <c r="B12" i="2"/>
  <c r="G11" i="2"/>
  <c r="F11" i="2"/>
  <c r="E11" i="2"/>
  <c r="D11" i="2"/>
  <c r="C11" i="2"/>
  <c r="K11" i="2" s="1"/>
  <c r="B11" i="2"/>
  <c r="G10" i="2"/>
  <c r="F10" i="2"/>
  <c r="E10" i="2"/>
  <c r="D10" i="2"/>
  <c r="C10" i="2"/>
  <c r="K10" i="2" s="1"/>
  <c r="B10" i="2"/>
  <c r="G9" i="2"/>
  <c r="F9" i="2"/>
  <c r="E9" i="2"/>
  <c r="J9" i="2" s="1"/>
  <c r="D9" i="2"/>
  <c r="C9" i="2"/>
  <c r="B9" i="2"/>
  <c r="K8" i="2"/>
  <c r="G8" i="2"/>
  <c r="F8" i="2"/>
  <c r="E8" i="2"/>
  <c r="J8" i="2" s="1"/>
  <c r="D8" i="2"/>
  <c r="C8" i="2"/>
  <c r="B8" i="2"/>
  <c r="G7" i="2"/>
  <c r="F7" i="2"/>
  <c r="E7" i="2"/>
  <c r="D7" i="2"/>
  <c r="C7" i="2"/>
  <c r="K7" i="2" s="1"/>
  <c r="B7" i="2"/>
  <c r="G6" i="2"/>
  <c r="F6" i="2"/>
  <c r="E6" i="2"/>
  <c r="D6" i="2"/>
  <c r="C6" i="2"/>
  <c r="K6" i="2" s="1"/>
  <c r="B6" i="2"/>
  <c r="G5" i="2"/>
  <c r="F5" i="2"/>
  <c r="E5" i="2"/>
  <c r="J5" i="2" s="1"/>
  <c r="D5" i="2"/>
  <c r="C5" i="2"/>
  <c r="E6" i="1"/>
  <c r="E4" i="1"/>
  <c r="K21" i="2" l="1"/>
  <c r="H6" i="3"/>
  <c r="E5" i="3"/>
  <c r="Q38" i="4"/>
  <c r="E27" i="6"/>
  <c r="G27" i="6" s="1"/>
  <c r="I27" i="6" s="1"/>
  <c r="L29" i="6" s="1"/>
  <c r="M29" i="6" s="1"/>
  <c r="H25" i="6"/>
  <c r="F29" i="6"/>
  <c r="G29" i="6" s="1"/>
  <c r="B6" i="5" s="1"/>
  <c r="D29" i="6"/>
  <c r="H29" i="6" s="1"/>
  <c r="G7" i="7"/>
  <c r="J7" i="2"/>
  <c r="J11" i="2"/>
  <c r="K16" i="2"/>
  <c r="K19" i="2"/>
  <c r="I3" i="3"/>
  <c r="H3" i="3"/>
  <c r="I10" i="3"/>
  <c r="K5" i="2"/>
  <c r="J6" i="2"/>
  <c r="J24" i="2" s="1"/>
  <c r="K9" i="2"/>
  <c r="J10" i="2"/>
  <c r="K13" i="2"/>
  <c r="J14" i="2"/>
  <c r="M16" i="2"/>
  <c r="M24" i="2" s="1"/>
  <c r="K17" i="2"/>
  <c r="I11" i="3"/>
  <c r="H11" i="3"/>
  <c r="F14" i="6"/>
  <c r="F15" i="6" s="1"/>
  <c r="I22" i="6"/>
  <c r="L23" i="6" s="1"/>
  <c r="M23" i="6" s="1"/>
  <c r="M27" i="6" s="1"/>
  <c r="E8" i="1" s="1"/>
  <c r="F8" i="1" s="1"/>
  <c r="F25" i="6"/>
  <c r="G25" i="6" s="1"/>
  <c r="I25" i="6" s="1"/>
  <c r="L25" i="6" s="1"/>
  <c r="F7" i="7"/>
  <c r="F9" i="7" s="1"/>
  <c r="E9" i="1" s="1"/>
  <c r="F9" i="1" s="1"/>
  <c r="K18" i="2"/>
  <c r="J19" i="2"/>
  <c r="F6" i="6"/>
  <c r="F7" i="6" s="1"/>
  <c r="B4" i="5" l="1"/>
  <c r="B3" i="5" s="1"/>
  <c r="B5" i="3"/>
  <c r="E4" i="3" s="1"/>
  <c r="H4" i="6"/>
  <c r="L6" i="6" s="1"/>
  <c r="I5" i="3"/>
  <c r="H5" i="3"/>
  <c r="H12" i="6"/>
  <c r="L7" i="6" s="1"/>
  <c r="E7" i="1" s="1"/>
  <c r="F7" i="1" s="1"/>
  <c r="K24" i="2"/>
  <c r="E14" i="1" s="1"/>
  <c r="H4" i="3" l="1"/>
  <c r="H13" i="3" s="1"/>
  <c r="B14" i="3" s="1"/>
  <c r="E13" i="1" s="1"/>
  <c r="E21" i="1" s="1"/>
  <c r="I4" i="3"/>
  <c r="I13" i="3" s="1"/>
  <c r="B15" i="3" s="1"/>
  <c r="B10" i="4" s="1"/>
  <c r="G26" i="5"/>
  <c r="G27" i="5" s="1"/>
  <c r="G10" i="5"/>
  <c r="G4" i="5"/>
  <c r="G16" i="5"/>
  <c r="G19" i="5" l="1"/>
  <c r="G17" i="5"/>
  <c r="B23" i="4"/>
  <c r="B22" i="4"/>
  <c r="B37" i="4"/>
  <c r="B35" i="4"/>
  <c r="B33" i="4"/>
  <c r="B31" i="4"/>
  <c r="B29" i="4"/>
  <c r="B27" i="4"/>
  <c r="B25" i="4"/>
  <c r="B19" i="4"/>
  <c r="B38" i="4"/>
  <c r="B21" i="4"/>
  <c r="B18" i="4"/>
  <c r="B36" i="4"/>
  <c r="B34" i="4"/>
  <c r="B32" i="4"/>
  <c r="B30" i="4"/>
  <c r="B28" i="4"/>
  <c r="B26" i="4"/>
  <c r="B24" i="4"/>
  <c r="B20" i="4"/>
  <c r="G5" i="5"/>
  <c r="G6" i="5"/>
  <c r="C27" i="4" l="1"/>
  <c r="E27" i="4"/>
  <c r="F27" i="4" s="1"/>
  <c r="C35" i="4"/>
  <c r="E35" i="4"/>
  <c r="F35" i="4" s="1"/>
  <c r="C32" i="4"/>
  <c r="E32" i="4"/>
  <c r="F32" i="4" s="1"/>
  <c r="C21" i="4"/>
  <c r="E21" i="4"/>
  <c r="F21" i="4" s="1"/>
  <c r="C26" i="4"/>
  <c r="E26" i="4"/>
  <c r="F26" i="4" s="1"/>
  <c r="C38" i="4"/>
  <c r="E38" i="4"/>
  <c r="F38" i="4" s="1"/>
  <c r="C29" i="4"/>
  <c r="E29" i="4"/>
  <c r="F29" i="4" s="1"/>
  <c r="C28" i="4"/>
  <c r="E28" i="4"/>
  <c r="F28" i="4" s="1"/>
  <c r="C36" i="4"/>
  <c r="E36" i="4"/>
  <c r="F36" i="4" s="1"/>
  <c r="C19" i="4"/>
  <c r="E19" i="4"/>
  <c r="F19" i="4" s="1"/>
  <c r="C31" i="4"/>
  <c r="E31" i="4"/>
  <c r="F31" i="4" s="1"/>
  <c r="C22" i="4"/>
  <c r="E22" i="4"/>
  <c r="F22" i="4" s="1"/>
  <c r="C24" i="4"/>
  <c r="E24" i="4"/>
  <c r="F24" i="4" s="1"/>
  <c r="C34" i="4"/>
  <c r="E34" i="4"/>
  <c r="F34" i="4" s="1"/>
  <c r="C37" i="4"/>
  <c r="E37" i="4"/>
  <c r="F37" i="4" s="1"/>
  <c r="C20" i="4"/>
  <c r="E20" i="4"/>
  <c r="F20" i="4" s="1"/>
  <c r="C30" i="4"/>
  <c r="E30" i="4"/>
  <c r="F30" i="4" s="1"/>
  <c r="C18" i="4"/>
  <c r="D18" i="4" s="1"/>
  <c r="E18" i="4"/>
  <c r="C25" i="4"/>
  <c r="E25" i="4"/>
  <c r="F25" i="4" s="1"/>
  <c r="C33" i="4"/>
  <c r="E33" i="4"/>
  <c r="F33" i="4" s="1"/>
  <c r="C23" i="4"/>
  <c r="E23" i="4"/>
  <c r="F23" i="4" s="1"/>
  <c r="F18" i="4" l="1"/>
  <c r="G23" i="4"/>
  <c r="G22" i="4"/>
  <c r="G18" i="4"/>
  <c r="G36" i="4"/>
  <c r="G34" i="4"/>
  <c r="G32" i="4"/>
  <c r="G30" i="4"/>
  <c r="G28" i="4"/>
  <c r="G26" i="4"/>
  <c r="G24" i="4"/>
  <c r="E3" i="1"/>
  <c r="F3" i="1" s="1"/>
  <c r="B7" i="5"/>
  <c r="G20" i="4"/>
  <c r="G37" i="4"/>
  <c r="G35" i="4"/>
  <c r="G33" i="4"/>
  <c r="G31" i="4"/>
  <c r="G29" i="4"/>
  <c r="G27" i="4"/>
  <c r="G25" i="4"/>
  <c r="G19" i="4"/>
  <c r="G38" i="4"/>
  <c r="G21" i="4"/>
  <c r="G8" i="5" l="1"/>
  <c r="G9" i="5" s="1"/>
  <c r="J4" i="5" s="1"/>
  <c r="K4" i="5" s="1"/>
  <c r="G18" i="5"/>
  <c r="G21" i="5" s="1"/>
  <c r="J5" i="5" s="1"/>
  <c r="K5" i="5" s="1"/>
  <c r="G28" i="5"/>
  <c r="G30" i="5" s="1"/>
  <c r="J6" i="5" s="1"/>
  <c r="K6" i="5" l="1"/>
  <c r="E5" i="1"/>
  <c r="F5" i="1" s="1"/>
  <c r="E20" i="1" s="1"/>
  <c r="E22" i="1" s="1"/>
  <c r="E23" i="1" s="1"/>
</calcChain>
</file>

<file path=xl/sharedStrings.xml><?xml version="1.0" encoding="utf-8"?>
<sst xmlns="http://schemas.openxmlformats.org/spreadsheetml/2006/main" count="328" uniqueCount="238">
  <si>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</si>
  <si>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</si>
  <si>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</si>
  <si>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</si>
  <si>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</si>
  <si>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</si>
  <si>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</si>
  <si>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</si>
  <si>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</si>
  <si>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</si>
  <si>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</si>
  <si>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</si>
  <si>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</si>
  <si>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</si>
  <si>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</si>
  <si>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</si>
  <si>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</si>
  <si>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</si>
  <si>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b/>
        <sz val="10"/>
        <color indexed="8"/>
        <rFont val="Helvetica"/>
      </rPr>
      <t xml:space="preserve">taula 2: Elements que escolliu </t>
    </r>
    <r>
      <rPr>
        <b/>
        <sz val="12"/>
        <color indexed="8"/>
        <rFont val="Helvetica"/>
      </rPr>
      <t>vosaltres</t>
    </r>
  </si>
  <si>
    <t>TAULA 4: CAPEX</t>
  </si>
  <si>
    <t>Cost</t>
  </si>
  <si>
    <t>Elements de disc, mirror i backup</t>
  </si>
  <si>
    <t>Diners gastats en servers, xarxa, etc</t>
  </si>
  <si>
    <t>GB a emmagatzemar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</si>
  <si>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</si>
  <si>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</si>
  <si>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</si>
  <si>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</si>
  <si>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</si>
  <si>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</si>
  <si>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</si>
  <si>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</si>
  <si>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</si>
  <si>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</si>
  <si>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</si>
  <si>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sz val="12"/>
        <color indexed="8"/>
        <rFont val="Calibri"/>
      </rPr>
      <t xml:space="preserve">Gestió local de </t>
    </r>
    <r>
      <rPr>
        <i/>
        <sz val="12"/>
        <color indexed="8"/>
        <rFont val="Calibri"/>
      </rPr>
      <t>backup</t>
    </r>
    <r>
      <rPr>
        <sz val="12"/>
        <color indexed="8"/>
        <rFont val="Calibri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</si>
  <si>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</si>
  <si>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</si>
  <si>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</si>
  <si>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</si>
  <si>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</si>
  <si>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</si>
  <si>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</si>
  <si>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</si>
  <si>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SAN? (0=no, 1=8Gbps, 2=16Gbps, 3=32Gbps)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</si>
  <si>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</si>
  <si>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</si>
  <si>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</si>
  <si>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</si>
  <si>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</si>
  <si>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</si>
  <si>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</si>
  <si>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</si>
  <si>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</si>
  <si>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</si>
  <si>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</si>
  <si>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</si>
  <si>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</si>
  <si>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</si>
  <si>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</si>
  <si>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</si>
  <si>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</si>
  <si>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</si>
  <si>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</si>
  <si>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</si>
  <si>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</si>
  <si>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</si>
  <si>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</si>
  <si>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</si>
  <si>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</si>
  <si>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</si>
  <si>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</si>
  <si>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</si>
  <si>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</si>
  <si>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</si>
  <si>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</si>
  <si>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</si>
  <si>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</si>
  <si>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</si>
  <si>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</si>
  <si>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</si>
  <si>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</si>
  <si>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</si>
  <si>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</si>
  <si>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</si>
  <si>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</si>
  <si>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</si>
  <si>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</si>
  <si>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</si>
  <si>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</si>
  <si>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</si>
  <si>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</si>
  <si>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</si>
  <si>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</si>
  <si>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</si>
  <si>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</si>
  <si>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</si>
  <si>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</si>
  <si>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</si>
  <si>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</si>
  <si>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</si>
  <si>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</si>
  <si>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</si>
  <si>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</si>
  <si>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</si>
  <si>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</si>
  <si>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</si>
  <si>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</si>
  <si>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</si>
  <si>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</si>
  <si>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</si>
  <si>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</si>
  <si>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</si>
  <si>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</si>
  <si>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</si>
  <si>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</si>
  <si>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</si>
  <si>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</si>
  <si>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</si>
  <si>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</si>
  <si>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</si>
  <si>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</si>
  <si>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</si>
  <si>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</si>
  <si>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</si>
  <si>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</si>
  <si>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</si>
  <si>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</si>
  <si>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</si>
  <si>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</si>
  <si>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</si>
  <si>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</si>
  <si>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</si>
  <si>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</si>
  <si>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</si>
  <si>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</si>
  <si>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</si>
  <si>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</si>
  <si>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</si>
  <si>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</si>
  <si>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</si>
  <si>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</si>
  <si>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</si>
  <si>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</si>
  <si>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</si>
  <si>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</si>
  <si>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</si>
  <si>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</si>
  <si>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</si>
  <si>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</si>
  <si>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</si>
  <si>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</si>
  <si>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</si>
  <si>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</si>
  <si>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</si>
  <si>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</si>
  <si>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</si>
  <si>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</si>
  <si>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</si>
  <si>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</si>
  <si>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</si>
  <si>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</si>
  <si>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</si>
  <si>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</si>
  <si>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</si>
  <si>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</si>
  <si>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</si>
  <si>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</si>
  <si>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sz val="12"/>
        <color indexed="8"/>
        <rFont val="Calibri"/>
      </rPr>
      <t>Electricitat addicional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(30%)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</si>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</sst>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70" formatCode="&quot;€&quot;#,##0.000000"/>
    <numFmt numFmtId="171" formatCode="0&quot;kW&quot;"/>
    <numFmt numFmtId="172" formatCode="#,##0.00&quot; €&quot;"/>
    <numFmt numFmtId="173" formatCode="0&quot;Mbps&quot;"/>
  </numFmts>
  <fonts count="20">
    <font>
      <sz val="12"/>
      <color indexed="8"/>
      <name val="Calibri"/>
    </font>
    <font>
      <b/>
      <sz val="10"/>
      <color indexed="8"/>
      <name val="Calibri"/>
    </font>
    <font>
      <b/>
      <sz val="10"/>
      <color indexed="8"/>
      <name val="Helvetica"/>
    </font>
    <font>
      <sz val="11"/>
      <color indexed="8"/>
      <name val="Calibri"/>
    </font>
    <font>
      <b/>
      <sz val="12"/>
      <color indexed="8"/>
      <name val="Helvetica"/>
    </font>
    <font>
      <b/>
      <sz val="12"/>
      <color indexed="8"/>
      <name val="Calibri"/>
    </font>
    <font>
      <i/>
      <sz val="12"/>
      <color indexed="8"/>
      <name val="Calibri"/>
    </font>
    <font>
      <i/>
      <sz val="12"/>
      <color indexed="26"/>
      <name val="Calibri"/>
    </font>
    <font>
      <sz val="12"/>
      <color indexed="27"/>
      <name val="Calibri"/>
    </font>
    <font>
      <b/>
      <sz val="12"/>
      <color indexed="28"/>
      <name val="Calibri"/>
    </font>
    <font>
      <sz val="12"/>
      <color indexed="9"/>
      <name val="Calibri"/>
    </font>
    <font>
      <b/>
      <sz val="12"/>
      <color indexed="30"/>
      <name val="Calibri"/>
    </font>
    <font>
      <b/>
      <sz val="12"/>
      <color indexed="25"/>
      <name val="Calibri"/>
    </font>
    <font>
      <b/>
      <sz val="12"/>
      <color indexed="24"/>
      <name val="Calibri"/>
    </font>
    <font>
      <sz val="12"/>
      <color indexed="30"/>
      <name val="Calibri"/>
    </font>
    <font>
      <b/>
      <sz val="12"/>
      <color indexed="31"/>
      <name val="Calibri"/>
    </font>
    <font>
      <sz val="12"/>
      <color indexed="25"/>
      <name val="Calibri"/>
    </font>
    <font>
      <sz val="11"/>
      <color indexed="8"/>
      <name val="Liberation Sans"/>
    </font>
    <font>
      <sz val="12"/>
      <color indexed="8"/>
      <name val="Liberation Sans"/>
    </font>
    <font>
      <sz val="12"/>
      <color indexed="8"/>
      <name val="Cambria"/>
    </font>
  </fonts>
  <fills count="2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37"/>
        <bgColor auto="1"/>
      </patternFill>
    </fill>
    <fill>
      <patternFill patternType="solid">
        <fgColor indexed="38"/>
        <bgColor auto="1"/>
      </patternFill>
    </fill>
    <fill>
      <patternFill patternType="solid">
        <fgColor indexed="39"/>
        <bgColor auto="1"/>
      </patternFill>
    </fill>
    <fill>
      <patternFill patternType="solid">
        <fgColor indexed="40"/>
        <bgColor auto="1"/>
      </patternFill>
    </fill>
    <fill>
      <patternFill patternType="solid">
        <fgColor indexed="41"/>
        <bgColor auto="1"/>
      </patternFill>
    </fill>
    <fill>
      <patternFill patternType="solid">
        <fgColor indexed="42"/>
        <bgColor auto="1"/>
      </patternFill>
    </fill>
  </fills>
  <borders count="6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8"/>
      </bottom>
      <diagonal/>
    </border>
    <border>
      <left style="thick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n">
        <color indexed="8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/>
      <top/>
      <bottom/>
      <diagonal/>
    </border>
    <border>
      <left style="thin">
        <color indexed="16"/>
      </left>
      <right style="thin">
        <color indexed="16"/>
      </right>
      <top/>
      <bottom style="thin">
        <color indexed="16"/>
      </bottom>
      <diagonal/>
    </border>
    <border>
      <left style="thin">
        <color indexed="16"/>
      </left>
      <right style="thin">
        <color indexed="16"/>
      </right>
      <top/>
      <bottom style="thin">
        <color indexed="8"/>
      </bottom>
      <diagonal/>
    </border>
    <border>
      <left style="thin">
        <color indexed="16"/>
      </left>
      <right/>
      <top/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/>
      <top style="thin">
        <color indexed="8"/>
      </top>
      <bottom style="thin">
        <color indexed="16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 style="thin">
        <color indexed="16"/>
      </left>
      <right/>
      <top style="thin">
        <color indexed="16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hair">
        <color indexed="8"/>
      </bottom>
      <diagonal/>
    </border>
    <border>
      <left style="thin">
        <color indexed="16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hair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49" fontId="2" fillId="2" borderId="7" xfId="0" applyNumberFormat="1" applyFont="1" applyFill="1" applyBorder="1" applyAlignment="1">
      <alignment horizontal="left" vertical="top" wrapText="1"/>
    </xf>
    <xf numFmtId="49" fontId="0" fillId="3" borderId="8" xfId="0" applyNumberFormat="1" applyFont="1" applyFill="1" applyBorder="1" applyAlignment="1">
      <alignment vertical="top" wrapText="1"/>
    </xf>
    <xf numFmtId="49" fontId="0" fillId="3" borderId="9" xfId="0" applyNumberFormat="1" applyFont="1" applyFill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49" fontId="0" fillId="3" borderId="7" xfId="0" applyNumberFormat="1" applyFont="1" applyFill="1" applyBorder="1" applyAlignment="1">
      <alignment vertical="top" wrapText="1"/>
    </xf>
    <xf numFmtId="164" fontId="0" fillId="4" borderId="7" xfId="0" applyNumberFormat="1" applyFont="1" applyFill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49" fontId="0" fillId="3" borderId="12" xfId="0" applyNumberFormat="1" applyFont="1" applyFill="1" applyBorder="1" applyAlignment="1">
      <alignment vertical="top" wrapText="1"/>
    </xf>
    <xf numFmtId="165" fontId="0" fillId="5" borderId="9" xfId="0" applyNumberFormat="1" applyFont="1" applyFill="1" applyBorder="1" applyAlignment="1">
      <alignment vertical="top" wrapText="1"/>
    </xf>
    <xf numFmtId="49" fontId="0" fillId="5" borderId="9" xfId="0" applyNumberFormat="1" applyFont="1" applyFill="1" applyBorder="1" applyAlignment="1">
      <alignment horizontal="center" vertical="top" wrapText="1"/>
    </xf>
    <xf numFmtId="0" fontId="0" fillId="0" borderId="13" xfId="0" applyFont="1" applyBorder="1" applyAlignment="1">
      <alignment vertical="top" wrapText="1"/>
    </xf>
    <xf numFmtId="166" fontId="0" fillId="4" borderId="7" xfId="0" applyNumberFormat="1" applyFont="1" applyFill="1" applyBorder="1" applyAlignment="1">
      <alignment vertical="top" wrapText="1"/>
    </xf>
    <xf numFmtId="165" fontId="0" fillId="5" borderId="14" xfId="0" applyNumberFormat="1" applyFont="1" applyFill="1" applyBorder="1" applyAlignment="1">
      <alignment vertical="top" wrapText="1"/>
    </xf>
    <xf numFmtId="9" fontId="0" fillId="4" borderId="7" xfId="0" applyNumberFormat="1" applyFont="1" applyFill="1" applyBorder="1" applyAlignment="1">
      <alignment vertical="top" wrapText="1"/>
    </xf>
    <xf numFmtId="49" fontId="0" fillId="5" borderId="9" xfId="0" applyNumberFormat="1" applyFont="1" applyFill="1" applyBorder="1" applyAlignment="1">
      <alignment horizontal="center"/>
    </xf>
    <xf numFmtId="0" fontId="0" fillId="0" borderId="15" xfId="0" applyNumberFormat="1" applyFont="1" applyBorder="1" applyAlignment="1"/>
    <xf numFmtId="0" fontId="0" fillId="0" borderId="16" xfId="0" applyFont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 wrapText="1"/>
    </xf>
    <xf numFmtId="165" fontId="0" fillId="5" borderId="17" xfId="0" applyNumberFormat="1" applyFont="1" applyFill="1" applyBorder="1" applyAlignment="1">
      <alignment vertical="top" wrapText="1"/>
    </xf>
    <xf numFmtId="165" fontId="0" fillId="4" borderId="7" xfId="0" applyNumberFormat="1" applyFont="1" applyFill="1" applyBorder="1" applyAlignment="1">
      <alignment vertical="top" wrapText="1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vertical="top" wrapText="1"/>
    </xf>
    <xf numFmtId="0" fontId="0" fillId="0" borderId="20" xfId="0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49" fontId="1" fillId="2" borderId="22" xfId="0" applyNumberFormat="1" applyFont="1" applyFill="1" applyBorder="1" applyAlignment="1">
      <alignment horizontal="left" vertical="top" wrapText="1"/>
    </xf>
    <xf numFmtId="49" fontId="5" fillId="3" borderId="7" xfId="0" applyNumberFormat="1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49" fontId="0" fillId="6" borderId="9" xfId="0" applyNumberFormat="1" applyFont="1" applyFill="1" applyBorder="1" applyAlignment="1">
      <alignment vertical="top" wrapText="1"/>
    </xf>
    <xf numFmtId="165" fontId="0" fillId="6" borderId="9" xfId="0" applyNumberFormat="1" applyFont="1" applyFill="1" applyBorder="1" applyAlignment="1">
      <alignment vertical="top" wrapText="1"/>
    </xf>
    <xf numFmtId="0" fontId="0" fillId="0" borderId="0" xfId="0" applyNumberFormat="1" applyFont="1" applyAlignment="1"/>
    <xf numFmtId="0" fontId="0" fillId="0" borderId="25" xfId="0" applyFont="1" applyBorder="1" applyAlignment="1"/>
    <xf numFmtId="0" fontId="5" fillId="0" borderId="25" xfId="0" applyNumberFormat="1" applyFont="1" applyBorder="1" applyAlignment="1"/>
    <xf numFmtId="1" fontId="5" fillId="0" borderId="25" xfId="0" applyNumberFormat="1" applyFont="1" applyBorder="1" applyAlignment="1"/>
    <xf numFmtId="49" fontId="5" fillId="3" borderId="25" xfId="0" applyNumberFormat="1" applyFont="1" applyFill="1" applyBorder="1" applyAlignment="1"/>
    <xf numFmtId="49" fontId="0" fillId="0" borderId="25" xfId="0" applyNumberFormat="1" applyFont="1" applyBorder="1" applyAlignment="1"/>
    <xf numFmtId="0" fontId="0" fillId="0" borderId="25" xfId="0" applyNumberFormat="1" applyFont="1" applyBorder="1" applyAlignment="1"/>
    <xf numFmtId="167" fontId="0" fillId="0" borderId="25" xfId="0" applyNumberFormat="1" applyFont="1" applyBorder="1" applyAlignment="1"/>
    <xf numFmtId="165" fontId="0" fillId="0" borderId="25" xfId="0" applyNumberFormat="1" applyFont="1" applyBorder="1" applyAlignment="1"/>
    <xf numFmtId="49" fontId="5" fillId="0" borderId="25" xfId="0" applyNumberFormat="1" applyFont="1" applyBorder="1" applyAlignment="1"/>
    <xf numFmtId="165" fontId="5" fillId="0" borderId="25" xfId="0" applyNumberFormat="1" applyFont="1" applyBorder="1" applyAlignment="1"/>
    <xf numFmtId="166" fontId="5" fillId="6" borderId="25" xfId="0" applyNumberFormat="1" applyFont="1" applyFill="1" applyBorder="1" applyAlignment="1"/>
    <xf numFmtId="165" fontId="5" fillId="6" borderId="25" xfId="0" applyNumberFormat="1" applyFont="1" applyFill="1" applyBorder="1" applyAlignment="1"/>
    <xf numFmtId="0" fontId="5" fillId="6" borderId="25" xfId="0" applyNumberFormat="1" applyFont="1" applyFill="1" applyBorder="1" applyAlignment="1"/>
    <xf numFmtId="167" fontId="5" fillId="0" borderId="25" xfId="0" applyNumberFormat="1" applyFont="1" applyBorder="1" applyAlignment="1"/>
    <xf numFmtId="0" fontId="0" fillId="6" borderId="25" xfId="0" applyNumberFormat="1" applyFont="1" applyFill="1" applyBorder="1" applyAlignment="1"/>
    <xf numFmtId="0" fontId="0" fillId="0" borderId="0" xfId="0" applyNumberFormat="1" applyFont="1" applyAlignment="1">
      <alignment vertical="top" wrapText="1"/>
    </xf>
    <xf numFmtId="49" fontId="0" fillId="3" borderId="2" xfId="0" applyNumberFormat="1" applyFont="1" applyFill="1" applyBorder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0" fontId="0" fillId="4" borderId="2" xfId="0" applyNumberFormat="1" applyFont="1" applyFill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5" fontId="0" fillId="0" borderId="2" xfId="0" applyNumberFormat="1" applyFont="1" applyBorder="1" applyAlignment="1">
      <alignment vertical="top" wrapText="1"/>
    </xf>
    <xf numFmtId="167" fontId="0" fillId="0" borderId="2" xfId="0" applyNumberFormat="1" applyFont="1" applyBorder="1" applyAlignment="1">
      <alignment vertical="top" wrapText="1"/>
    </xf>
    <xf numFmtId="164" fontId="0" fillId="4" borderId="2" xfId="0" applyNumberFormat="1" applyFont="1" applyFill="1" applyBorder="1" applyAlignment="1">
      <alignment vertical="top" wrapText="1"/>
    </xf>
    <xf numFmtId="165" fontId="0" fillId="7" borderId="2" xfId="0" applyNumberFormat="1" applyFont="1" applyFill="1" applyBorder="1" applyAlignment="1">
      <alignment vertical="top" wrapText="1"/>
    </xf>
    <xf numFmtId="168" fontId="0" fillId="0" borderId="2" xfId="0" applyNumberFormat="1" applyFont="1" applyBorder="1" applyAlignment="1">
      <alignment vertical="top" wrapText="1"/>
    </xf>
    <xf numFmtId="166" fontId="0" fillId="7" borderId="2" xfId="0" applyNumberFormat="1" applyFont="1" applyFill="1" applyBorder="1" applyAlignment="1">
      <alignment vertical="top" wrapText="1"/>
    </xf>
    <xf numFmtId="0" fontId="0" fillId="0" borderId="0" xfId="0" applyNumberFormat="1" applyFont="1" applyAlignment="1"/>
    <xf numFmtId="1" fontId="0" fillId="8" borderId="26" xfId="0" applyNumberFormat="1" applyFont="1" applyFill="1" applyBorder="1" applyAlignment="1"/>
    <xf numFmtId="49" fontId="7" fillId="0" borderId="27" xfId="0" applyNumberFormat="1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49" fontId="5" fillId="0" borderId="31" xfId="0" applyNumberFormat="1" applyFont="1" applyBorder="1" applyAlignment="1">
      <alignment horizontal="center"/>
    </xf>
    <xf numFmtId="1" fontId="0" fillId="8" borderId="32" xfId="0" applyNumberFormat="1" applyFont="1" applyFill="1" applyBorder="1" applyAlignment="1"/>
    <xf numFmtId="1" fontId="0" fillId="8" borderId="33" xfId="0" applyNumberFormat="1" applyFont="1" applyFill="1" applyBorder="1" applyAlignment="1"/>
    <xf numFmtId="1" fontId="0" fillId="0" borderId="31" xfId="0" applyNumberFormat="1" applyFont="1" applyBorder="1" applyAlignment="1"/>
    <xf numFmtId="1" fontId="0" fillId="8" borderId="34" xfId="0" applyNumberFormat="1" applyFont="1" applyFill="1" applyBorder="1" applyAlignment="1"/>
    <xf numFmtId="49" fontId="0" fillId="0" borderId="31" xfId="0" applyNumberFormat="1" applyFont="1" applyBorder="1" applyAlignment="1">
      <alignment horizontal="right"/>
    </xf>
    <xf numFmtId="49" fontId="0" fillId="0" borderId="31" xfId="0" applyNumberFormat="1" applyFont="1" applyBorder="1" applyAlignment="1"/>
    <xf numFmtId="170" fontId="8" fillId="0" borderId="31" xfId="0" applyNumberFormat="1" applyFont="1" applyBorder="1" applyAlignment="1"/>
    <xf numFmtId="1" fontId="8" fillId="0" borderId="31" xfId="0" applyNumberFormat="1" applyFont="1" applyBorder="1" applyAlignment="1"/>
    <xf numFmtId="0" fontId="0" fillId="0" borderId="31" xfId="0" applyNumberFormat="1" applyFont="1" applyBorder="1" applyAlignment="1"/>
    <xf numFmtId="1" fontId="0" fillId="0" borderId="35" xfId="0" applyNumberFormat="1" applyFont="1" applyBorder="1" applyAlignment="1"/>
    <xf numFmtId="1" fontId="0" fillId="0" borderId="36" xfId="0" applyNumberFormat="1" applyFont="1" applyBorder="1" applyAlignment="1"/>
    <xf numFmtId="1" fontId="0" fillId="0" borderId="37" xfId="0" applyNumberFormat="1" applyFont="1" applyBorder="1" applyAlignment="1"/>
    <xf numFmtId="1" fontId="0" fillId="8" borderId="38" xfId="0" applyNumberFormat="1" applyFont="1" applyFill="1" applyBorder="1" applyAlignment="1"/>
    <xf numFmtId="49" fontId="0" fillId="0" borderId="30" xfId="0" applyNumberFormat="1" applyFont="1" applyBorder="1" applyAlignment="1"/>
    <xf numFmtId="9" fontId="9" fillId="9" borderId="31" xfId="0" applyNumberFormat="1" applyFont="1" applyFill="1" applyBorder="1" applyAlignment="1"/>
    <xf numFmtId="49" fontId="10" fillId="0" borderId="39" xfId="0" applyNumberFormat="1" applyFont="1" applyBorder="1" applyAlignment="1"/>
    <xf numFmtId="0" fontId="0" fillId="0" borderId="40" xfId="0" applyFont="1" applyBorder="1" applyAlignment="1"/>
    <xf numFmtId="171" fontId="9" fillId="9" borderId="31" xfId="0" applyNumberFormat="1" applyFont="1" applyFill="1" applyBorder="1" applyAlignment="1"/>
    <xf numFmtId="0" fontId="0" fillId="0" borderId="35" xfId="0" applyFont="1" applyBorder="1" applyAlignment="1"/>
    <xf numFmtId="49" fontId="11" fillId="0" borderId="25" xfId="0" applyNumberFormat="1" applyFont="1" applyBorder="1" applyAlignment="1"/>
    <xf numFmtId="0" fontId="0" fillId="0" borderId="41" xfId="0" applyFont="1" applyBorder="1" applyAlignment="1"/>
    <xf numFmtId="165" fontId="0" fillId="0" borderId="41" xfId="0" applyNumberFormat="1" applyFont="1" applyBorder="1" applyAlignment="1"/>
    <xf numFmtId="0" fontId="0" fillId="0" borderId="42" xfId="0" applyFont="1" applyBorder="1" applyAlignment="1"/>
    <xf numFmtId="49" fontId="9" fillId="9" borderId="26" xfId="0" applyNumberFormat="1" applyFont="1" applyFill="1" applyBorder="1" applyAlignment="1"/>
    <xf numFmtId="165" fontId="0" fillId="8" borderId="26" xfId="0" applyNumberFormat="1" applyFont="1" applyFill="1" applyBorder="1" applyAlignment="1"/>
    <xf numFmtId="49" fontId="5" fillId="0" borderId="31" xfId="0" applyNumberFormat="1" applyFont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 wrapText="1"/>
    </xf>
    <xf numFmtId="49" fontId="11" fillId="0" borderId="31" xfId="0" applyNumberFormat="1" applyFont="1" applyBorder="1" applyAlignment="1">
      <alignment horizontal="center" vertical="center" wrapText="1"/>
    </xf>
    <xf numFmtId="49" fontId="12" fillId="10" borderId="31" xfId="0" applyNumberFormat="1" applyFont="1" applyFill="1" applyBorder="1" applyAlignment="1">
      <alignment horizontal="center" vertical="center" wrapText="1"/>
    </xf>
    <xf numFmtId="49" fontId="5" fillId="8" borderId="32" xfId="0" applyNumberFormat="1" applyFont="1" applyFill="1" applyBorder="1" applyAlignment="1">
      <alignment horizontal="right" vertical="center" wrapText="1"/>
    </xf>
    <xf numFmtId="2" fontId="13" fillId="0" borderId="31" xfId="0" applyNumberFormat="1" applyFont="1" applyBorder="1" applyAlignment="1">
      <alignment horizontal="center"/>
    </xf>
    <xf numFmtId="0" fontId="0" fillId="0" borderId="31" xfId="0" applyNumberFormat="1" applyFont="1" applyBorder="1" applyAlignment="1">
      <alignment horizontal="center"/>
    </xf>
    <xf numFmtId="1" fontId="14" fillId="0" borderId="31" xfId="0" applyNumberFormat="1" applyFont="1" applyBorder="1" applyAlignment="1">
      <alignment horizontal="center"/>
    </xf>
    <xf numFmtId="165" fontId="0" fillId="0" borderId="31" xfId="0" applyNumberFormat="1" applyFont="1" applyBorder="1" applyAlignment="1">
      <alignment horizontal="center"/>
    </xf>
    <xf numFmtId="165" fontId="15" fillId="0" borderId="31" xfId="0" applyNumberFormat="1" applyFont="1" applyBorder="1" applyAlignment="1">
      <alignment horizontal="center"/>
    </xf>
    <xf numFmtId="10" fontId="0" fillId="8" borderId="32" xfId="0" applyNumberFormat="1" applyFont="1" applyFill="1" applyBorder="1" applyAlignment="1"/>
    <xf numFmtId="2" fontId="12" fillId="0" borderId="31" xfId="0" applyNumberFormat="1" applyFont="1" applyBorder="1" applyAlignment="1">
      <alignment horizontal="center"/>
    </xf>
    <xf numFmtId="0" fontId="16" fillId="0" borderId="31" xfId="0" applyNumberFormat="1" applyFont="1" applyBorder="1" applyAlignment="1">
      <alignment horizontal="center"/>
    </xf>
    <xf numFmtId="1" fontId="16" fillId="0" borderId="31" xfId="0" applyNumberFormat="1" applyFont="1" applyBorder="1" applyAlignment="1">
      <alignment horizontal="center"/>
    </xf>
    <xf numFmtId="165" fontId="16" fillId="0" borderId="31" xfId="0" applyNumberFormat="1" applyFont="1" applyBorder="1" applyAlignment="1">
      <alignment horizontal="center"/>
    </xf>
    <xf numFmtId="165" fontId="12" fillId="0" borderId="31" xfId="0" applyNumberFormat="1" applyFont="1" applyBorder="1" applyAlignment="1">
      <alignment horizontal="center"/>
    </xf>
    <xf numFmtId="10" fontId="10" fillId="8" borderId="32" xfId="0" applyNumberFormat="1" applyFont="1" applyFill="1" applyBorder="1" applyAlignment="1"/>
    <xf numFmtId="1" fontId="0" fillId="8" borderId="43" xfId="0" applyNumberFormat="1" applyFont="1" applyFill="1" applyBorder="1" applyAlignment="1"/>
    <xf numFmtId="1" fontId="10" fillId="8" borderId="43" xfId="0" applyNumberFormat="1" applyFont="1" applyFill="1" applyBorder="1" applyAlignment="1"/>
    <xf numFmtId="1" fontId="10" fillId="8" borderId="32" xfId="0" applyNumberFormat="1" applyFont="1" applyFill="1" applyBorder="1" applyAlignment="1">
      <alignment horizontal="center"/>
    </xf>
    <xf numFmtId="1" fontId="10" fillId="8" borderId="26" xfId="0" applyNumberFormat="1" applyFont="1" applyFill="1" applyBorder="1" applyAlignment="1"/>
    <xf numFmtId="1" fontId="5" fillId="8" borderId="26" xfId="0" applyNumberFormat="1" applyFont="1" applyFill="1" applyBorder="1" applyAlignment="1">
      <alignment horizontal="center" vertical="center"/>
    </xf>
    <xf numFmtId="1" fontId="5" fillId="8" borderId="26" xfId="0" applyNumberFormat="1" applyFont="1" applyFill="1" applyBorder="1" applyAlignment="1">
      <alignment horizontal="center" vertical="center" wrapText="1"/>
    </xf>
    <xf numFmtId="1" fontId="12" fillId="8" borderId="26" xfId="0" applyNumberFormat="1" applyFont="1" applyFill="1" applyBorder="1" applyAlignment="1">
      <alignment horizontal="center" vertical="center" wrapText="1"/>
    </xf>
    <xf numFmtId="2" fontId="0" fillId="8" borderId="26" xfId="0" applyNumberFormat="1" applyFont="1" applyFill="1" applyBorder="1" applyAlignment="1">
      <alignment horizontal="center"/>
    </xf>
    <xf numFmtId="1" fontId="0" fillId="8" borderId="26" xfId="0" applyNumberFormat="1" applyFont="1" applyFill="1" applyBorder="1" applyAlignment="1">
      <alignment horizontal="center"/>
    </xf>
    <xf numFmtId="165" fontId="0" fillId="8" borderId="26" xfId="0" applyNumberFormat="1" applyFont="1" applyFill="1" applyBorder="1" applyAlignment="1">
      <alignment horizontal="center"/>
    </xf>
    <xf numFmtId="165" fontId="15" fillId="8" borderId="26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0" fillId="0" borderId="44" xfId="0" applyFont="1" applyBorder="1" applyAlignment="1"/>
    <xf numFmtId="0" fontId="0" fillId="0" borderId="45" xfId="0" applyFont="1" applyBorder="1" applyAlignment="1"/>
    <xf numFmtId="0" fontId="0" fillId="0" borderId="47" xfId="0" applyFont="1" applyBorder="1" applyAlignment="1"/>
    <xf numFmtId="49" fontId="0" fillId="0" borderId="46" xfId="0" applyNumberFormat="1" applyFont="1" applyBorder="1" applyAlignment="1"/>
    <xf numFmtId="164" fontId="0" fillId="13" borderId="46" xfId="0" applyNumberFormat="1" applyFont="1" applyFill="1" applyBorder="1" applyAlignment="1"/>
    <xf numFmtId="49" fontId="0" fillId="12" borderId="46" xfId="0" applyNumberFormat="1" applyFont="1" applyFill="1" applyBorder="1" applyAlignment="1"/>
    <xf numFmtId="49" fontId="0" fillId="0" borderId="48" xfId="0" applyNumberFormat="1" applyFont="1" applyBorder="1" applyAlignment="1">
      <alignment horizontal="left"/>
    </xf>
    <xf numFmtId="164" fontId="0" fillId="13" borderId="46" xfId="0" applyNumberFormat="1" applyFont="1" applyFill="1" applyBorder="1" applyAlignment="1">
      <alignment horizontal="right" vertical="center"/>
    </xf>
    <xf numFmtId="49" fontId="0" fillId="14" borderId="46" xfId="0" applyNumberFormat="1" applyFont="1" applyFill="1" applyBorder="1" applyAlignment="1"/>
    <xf numFmtId="0" fontId="0" fillId="14" borderId="46" xfId="0" applyNumberFormat="1" applyFont="1" applyFill="1" applyBorder="1" applyAlignment="1"/>
    <xf numFmtId="0" fontId="0" fillId="15" borderId="46" xfId="0" applyNumberFormat="1" applyFont="1" applyFill="1" applyBorder="1" applyAlignment="1"/>
    <xf numFmtId="0" fontId="0" fillId="16" borderId="46" xfId="0" applyNumberFormat="1" applyFont="1" applyFill="1" applyBorder="1" applyAlignment="1"/>
    <xf numFmtId="165" fontId="0" fillId="16" borderId="46" xfId="0" applyNumberFormat="1" applyFont="1" applyFill="1" applyBorder="1" applyAlignment="1"/>
    <xf numFmtId="164" fontId="0" fillId="14" borderId="46" xfId="0" applyNumberFormat="1" applyFont="1" applyFill="1" applyBorder="1" applyAlignment="1"/>
    <xf numFmtId="172" fontId="0" fillId="15" borderId="46" xfId="0" applyNumberFormat="1" applyFont="1" applyFill="1" applyBorder="1" applyAlignment="1"/>
    <xf numFmtId="49" fontId="0" fillId="0" borderId="46" xfId="0" applyNumberFormat="1" applyFont="1" applyBorder="1" applyAlignment="1">
      <alignment horizontal="left" vertical="center"/>
    </xf>
    <xf numFmtId="172" fontId="0" fillId="14" borderId="46" xfId="0" applyNumberFormat="1" applyFont="1" applyFill="1" applyBorder="1" applyAlignment="1"/>
    <xf numFmtId="165" fontId="0" fillId="13" borderId="46" xfId="0" applyNumberFormat="1" applyFont="1" applyFill="1" applyBorder="1" applyAlignment="1">
      <alignment horizontal="right" vertical="center"/>
    </xf>
    <xf numFmtId="0" fontId="0" fillId="0" borderId="49" xfId="0" applyFont="1" applyBorder="1" applyAlignment="1"/>
    <xf numFmtId="0" fontId="0" fillId="0" borderId="50" xfId="0" applyFont="1" applyBorder="1" applyAlignment="1"/>
    <xf numFmtId="49" fontId="0" fillId="0" borderId="51" xfId="0" applyNumberFormat="1" applyFont="1" applyBorder="1" applyAlignment="1"/>
    <xf numFmtId="0" fontId="0" fillId="13" borderId="46" xfId="0" applyNumberFormat="1" applyFont="1" applyFill="1" applyBorder="1" applyAlignment="1">
      <alignment horizontal="right" vertical="center"/>
    </xf>
    <xf numFmtId="0" fontId="0" fillId="14" borderId="46" xfId="0" applyFont="1" applyFill="1" applyBorder="1" applyAlignment="1"/>
    <xf numFmtId="49" fontId="0" fillId="14" borderId="46" xfId="0" applyNumberFormat="1" applyFont="1" applyFill="1" applyBorder="1" applyAlignment="1">
      <alignment wrapText="1"/>
    </xf>
    <xf numFmtId="49" fontId="0" fillId="0" borderId="45" xfId="0" applyNumberFormat="1" applyFont="1" applyBorder="1" applyAlignment="1"/>
    <xf numFmtId="164" fontId="0" fillId="15" borderId="46" xfId="0" applyNumberFormat="1" applyFont="1" applyFill="1" applyBorder="1" applyAlignment="1"/>
    <xf numFmtId="1" fontId="0" fillId="0" borderId="25" xfId="0" applyNumberFormat="1" applyFont="1" applyBorder="1" applyAlignment="1"/>
    <xf numFmtId="1" fontId="0" fillId="0" borderId="44" xfId="0" applyNumberFormat="1" applyFont="1" applyBorder="1" applyAlignment="1"/>
    <xf numFmtId="1" fontId="0" fillId="0" borderId="52" xfId="0" applyNumberFormat="1" applyFont="1" applyBorder="1" applyAlignment="1"/>
    <xf numFmtId="1" fontId="0" fillId="0" borderId="48" xfId="0" applyNumberFormat="1" applyFont="1" applyBorder="1" applyAlignment="1"/>
    <xf numFmtId="1" fontId="0" fillId="0" borderId="50" xfId="0" applyNumberFormat="1" applyFont="1" applyBorder="1" applyAlignment="1"/>
    <xf numFmtId="1" fontId="0" fillId="0" borderId="51" xfId="0" applyNumberFormat="1" applyFont="1" applyBorder="1" applyAlignment="1"/>
    <xf numFmtId="1" fontId="0" fillId="0" borderId="52" xfId="0" applyNumberFormat="1" applyFont="1" applyBorder="1" applyAlignment="1">
      <alignment horizontal="center" vertical="center"/>
    </xf>
    <xf numFmtId="1" fontId="0" fillId="0" borderId="50" xfId="0" applyNumberFormat="1" applyFont="1" applyBorder="1" applyAlignment="1">
      <alignment horizontal="center" vertical="center"/>
    </xf>
    <xf numFmtId="0" fontId="0" fillId="0" borderId="0" xfId="0" applyNumberFormat="1" applyFont="1" applyAlignment="1"/>
    <xf numFmtId="0" fontId="0" fillId="0" borderId="53" xfId="0" applyFont="1" applyBorder="1" applyAlignment="1"/>
    <xf numFmtId="0" fontId="0" fillId="0" borderId="54" xfId="0" applyFont="1" applyBorder="1" applyAlignment="1"/>
    <xf numFmtId="0" fontId="0" fillId="0" borderId="39" xfId="0" applyFont="1" applyBorder="1" applyAlignment="1"/>
    <xf numFmtId="49" fontId="17" fillId="6" borderId="31" xfId="0" applyNumberFormat="1" applyFont="1" applyFill="1" applyBorder="1" applyAlignment="1"/>
    <xf numFmtId="0" fontId="17" fillId="4" borderId="31" xfId="0" applyNumberFormat="1" applyFont="1" applyFill="1" applyBorder="1" applyAlignment="1"/>
    <xf numFmtId="49" fontId="17" fillId="18" borderId="31" xfId="0" applyNumberFormat="1" applyFont="1" applyFill="1" applyBorder="1" applyAlignment="1"/>
    <xf numFmtId="49" fontId="17" fillId="6" borderId="31" xfId="0" applyNumberFormat="1" applyFont="1" applyFill="1" applyBorder="1" applyAlignment="1">
      <alignment horizontal="left" vertical="center"/>
    </xf>
    <xf numFmtId="0" fontId="17" fillId="4" borderId="31" xfId="0" applyNumberFormat="1" applyFont="1" applyFill="1" applyBorder="1" applyAlignment="1">
      <alignment horizontal="right" vertical="center"/>
    </xf>
    <xf numFmtId="49" fontId="17" fillId="19" borderId="31" xfId="0" applyNumberFormat="1" applyFont="1" applyFill="1" applyBorder="1" applyAlignment="1"/>
    <xf numFmtId="0" fontId="17" fillId="19" borderId="31" xfId="0" applyNumberFormat="1" applyFont="1" applyFill="1" applyBorder="1" applyAlignment="1"/>
    <xf numFmtId="0" fontId="17" fillId="20" borderId="31" xfId="0" applyNumberFormat="1" applyFont="1" applyFill="1" applyBorder="1" applyAlignment="1"/>
    <xf numFmtId="1" fontId="17" fillId="0" borderId="55" xfId="0" applyNumberFormat="1" applyFont="1" applyBorder="1" applyAlignment="1"/>
    <xf numFmtId="1" fontId="17" fillId="0" borderId="35" xfId="0" applyNumberFormat="1" applyFont="1" applyBorder="1" applyAlignment="1"/>
    <xf numFmtId="0" fontId="0" fillId="0" borderId="56" xfId="0" applyFont="1" applyBorder="1" applyAlignment="1"/>
    <xf numFmtId="49" fontId="17" fillId="21" borderId="31" xfId="0" applyNumberFormat="1" applyFont="1" applyFill="1" applyBorder="1" applyAlignment="1"/>
    <xf numFmtId="1" fontId="17" fillId="0" borderId="39" xfId="0" applyNumberFormat="1" applyFont="1" applyBorder="1" applyAlignment="1"/>
    <xf numFmtId="1" fontId="17" fillId="0" borderId="25" xfId="0" applyNumberFormat="1" applyFont="1" applyBorder="1" applyAlignment="1"/>
    <xf numFmtId="49" fontId="18" fillId="0" borderId="56" xfId="0" applyNumberFormat="1" applyFont="1" applyBorder="1" applyAlignment="1">
      <alignment horizontal="right"/>
    </xf>
    <xf numFmtId="0" fontId="17" fillId="22" borderId="31" xfId="0" applyNumberFormat="1" applyFont="1" applyFill="1" applyBorder="1" applyAlignment="1"/>
    <xf numFmtId="49" fontId="17" fillId="22" borderId="31" xfId="0" applyNumberFormat="1" applyFont="1" applyFill="1" applyBorder="1" applyAlignment="1"/>
    <xf numFmtId="172" fontId="17" fillId="22" borderId="31" xfId="0" applyNumberFormat="1" applyFont="1" applyFill="1" applyBorder="1" applyAlignment="1"/>
    <xf numFmtId="1" fontId="17" fillId="4" borderId="31" xfId="0" applyNumberFormat="1" applyFont="1" applyFill="1" applyBorder="1" applyAlignment="1">
      <alignment horizontal="right" vertical="center"/>
    </xf>
    <xf numFmtId="49" fontId="0" fillId="6" borderId="31" xfId="0" applyNumberFormat="1" applyFont="1" applyFill="1" applyBorder="1" applyAlignment="1"/>
    <xf numFmtId="1" fontId="17" fillId="0" borderId="25" xfId="0" applyNumberFormat="1" applyFont="1" applyBorder="1" applyAlignment="1">
      <alignment horizontal="right" vertical="center"/>
    </xf>
    <xf numFmtId="1" fontId="17" fillId="0" borderId="57" xfId="0" applyNumberFormat="1" applyFont="1" applyBorder="1" applyAlignment="1"/>
    <xf numFmtId="1" fontId="17" fillId="0" borderId="36" xfId="0" applyNumberFormat="1" applyFont="1" applyBorder="1" applyAlignment="1"/>
    <xf numFmtId="1" fontId="17" fillId="0" borderId="53" xfId="0" applyNumberFormat="1" applyFont="1" applyBorder="1" applyAlignment="1"/>
    <xf numFmtId="0" fontId="0" fillId="0" borderId="35" xfId="0" applyNumberFormat="1" applyFont="1" applyBorder="1" applyAlignment="1"/>
    <xf numFmtId="0" fontId="0" fillId="4" borderId="31" xfId="0" applyNumberFormat="1" applyFont="1" applyFill="1" applyBorder="1" applyAlignment="1"/>
    <xf numFmtId="1" fontId="17" fillId="0" borderId="53" xfId="0" applyNumberFormat="1" applyFont="1" applyBorder="1" applyAlignment="1">
      <alignment horizontal="right" vertical="center"/>
    </xf>
    <xf numFmtId="0" fontId="0" fillId="0" borderId="59" xfId="0" applyFont="1" applyBorder="1" applyAlignment="1"/>
    <xf numFmtId="49" fontId="17" fillId="18" borderId="60" xfId="0" applyNumberFormat="1" applyFont="1" applyFill="1" applyBorder="1" applyAlignment="1"/>
    <xf numFmtId="49" fontId="17" fillId="21" borderId="31" xfId="0" applyNumberFormat="1" applyFont="1" applyFill="1" applyBorder="1" applyAlignment="1">
      <alignment horizontal="center"/>
    </xf>
    <xf numFmtId="49" fontId="0" fillId="0" borderId="39" xfId="0" applyNumberFormat="1" applyFont="1" applyBorder="1" applyAlignment="1"/>
    <xf numFmtId="0" fontId="0" fillId="0" borderId="39" xfId="0" applyNumberFormat="1" applyFont="1" applyBorder="1" applyAlignment="1"/>
    <xf numFmtId="172" fontId="0" fillId="0" borderId="39" xfId="0" applyNumberFormat="1" applyFont="1" applyBorder="1" applyAlignment="1"/>
    <xf numFmtId="1" fontId="17" fillId="18" borderId="61" xfId="0" applyNumberFormat="1" applyFont="1" applyFill="1" applyBorder="1" applyAlignment="1"/>
    <xf numFmtId="49" fontId="17" fillId="18" borderId="62" xfId="0" applyNumberFormat="1" applyFont="1" applyFill="1" applyBorder="1" applyAlignment="1"/>
    <xf numFmtId="0" fontId="0" fillId="0" borderId="63" xfId="0" applyFont="1" applyBorder="1" applyAlignment="1"/>
    <xf numFmtId="49" fontId="0" fillId="23" borderId="35" xfId="0" applyNumberFormat="1" applyFont="1" applyFill="1" applyBorder="1" applyAlignment="1"/>
    <xf numFmtId="0" fontId="0" fillId="23" borderId="35" xfId="0" applyFont="1" applyFill="1" applyBorder="1" applyAlignment="1"/>
    <xf numFmtId="0" fontId="0" fillId="5" borderId="25" xfId="0" applyFont="1" applyFill="1" applyBorder="1" applyAlignment="1"/>
    <xf numFmtId="0" fontId="0" fillId="5" borderId="25" xfId="0" applyNumberFormat="1" applyFont="1" applyFill="1" applyBorder="1" applyAlignment="1"/>
    <xf numFmtId="49" fontId="0" fillId="23" borderId="25" xfId="0" applyNumberFormat="1" applyFont="1" applyFill="1" applyBorder="1" applyAlignment="1"/>
    <xf numFmtId="0" fontId="0" fillId="23" borderId="25" xfId="0" applyNumberFormat="1" applyFont="1" applyFill="1" applyBorder="1" applyAlignment="1"/>
    <xf numFmtId="49" fontId="0" fillId="3" borderId="25" xfId="0" applyNumberFormat="1" applyFont="1" applyFill="1" applyBorder="1" applyAlignment="1"/>
    <xf numFmtId="166" fontId="0" fillId="5" borderId="25" xfId="0" applyNumberFormat="1" applyFont="1" applyFill="1" applyBorder="1" applyAlignment="1"/>
    <xf numFmtId="164" fontId="0" fillId="5" borderId="25" xfId="0" applyNumberFormat="1" applyFont="1" applyFill="1" applyBorder="1" applyAlignment="1"/>
    <xf numFmtId="164" fontId="0" fillId="7" borderId="25" xfId="0" applyNumberFormat="1" applyFont="1" applyFill="1" applyBorder="1" applyAlignment="1"/>
    <xf numFmtId="166" fontId="0" fillId="7" borderId="25" xfId="0" applyNumberFormat="1" applyFont="1" applyFill="1" applyBorder="1" applyAlignment="1"/>
    <xf numFmtId="0" fontId="0" fillId="3" borderId="25" xfId="0" applyNumberFormat="1" applyFont="1" applyFill="1" applyBorder="1" applyAlignment="1"/>
    <xf numFmtId="0" fontId="0" fillId="0" borderId="0" xfId="0" applyNumberFormat="1" applyFont="1" applyAlignment="1"/>
    <xf numFmtId="49" fontId="0" fillId="0" borderId="31" xfId="0" applyNumberFormat="1" applyFont="1" applyBorder="1" applyAlignment="1">
      <alignment horizontal="center"/>
    </xf>
    <xf numFmtId="49" fontId="0" fillId="0" borderId="59" xfId="0" applyNumberFormat="1" applyFont="1" applyBorder="1" applyAlignment="1"/>
    <xf numFmtId="173" fontId="19" fillId="0" borderId="31" xfId="0" applyNumberFormat="1" applyFont="1" applyBorder="1" applyAlignment="1">
      <alignment horizontal="center" vertical="center" wrapText="1"/>
    </xf>
    <xf numFmtId="49" fontId="19" fillId="0" borderId="31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 vertical="center" wrapText="1"/>
    </xf>
    <xf numFmtId="165" fontId="0" fillId="6" borderId="31" xfId="0" applyNumberFormat="1" applyFont="1" applyFill="1" applyBorder="1" applyAlignment="1"/>
    <xf numFmtId="1" fontId="0" fillId="0" borderId="39" xfId="0" applyNumberFormat="1" applyFont="1" applyBorder="1" applyAlignment="1"/>
    <xf numFmtId="1" fontId="17" fillId="0" borderId="35" xfId="0" applyNumberFormat="1" applyFont="1" applyBorder="1" applyAlignment="1">
      <alignment horizontal="left" vertical="center"/>
    </xf>
    <xf numFmtId="49" fontId="17" fillId="0" borderId="35" xfId="0" applyNumberFormat="1" applyFont="1" applyBorder="1" applyAlignment="1"/>
    <xf numFmtId="1" fontId="17" fillId="3" borderId="35" xfId="0" applyNumberFormat="1" applyFont="1" applyFill="1" applyBorder="1" applyAlignment="1"/>
    <xf numFmtId="49" fontId="5" fillId="3" borderId="7" xfId="0" applyNumberFormat="1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3" fillId="2" borderId="4" xfId="0" applyNumberFormat="1" applyFont="1" applyFill="1" applyBorder="1" applyAlignment="1">
      <alignment vertical="top" wrapText="1"/>
    </xf>
    <xf numFmtId="0" fontId="2" fillId="0" borderId="5" xfId="0" applyFont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0" fillId="0" borderId="2" xfId="0" applyNumberFormat="1" applyFont="1" applyBorder="1" applyAlignment="1">
      <alignment horizontal="right" vertical="top" wrapText="1"/>
    </xf>
    <xf numFmtId="0" fontId="0" fillId="0" borderId="2" xfId="0" applyFont="1" applyBorder="1" applyAlignment="1">
      <alignment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0" fillId="3" borderId="2" xfId="0" applyNumberFormat="1" applyFont="1" applyFill="1" applyBorder="1" applyAlignment="1">
      <alignment vertical="top" wrapText="1"/>
    </xf>
    <xf numFmtId="49" fontId="5" fillId="0" borderId="31" xfId="0" applyNumberFormat="1" applyFont="1" applyBorder="1" applyAlignment="1">
      <alignment horizontal="center"/>
    </xf>
    <xf numFmtId="1" fontId="5" fillId="0" borderId="31" xfId="0" applyNumberFormat="1" applyFont="1" applyBorder="1" applyAlignment="1">
      <alignment horizontal="center"/>
    </xf>
    <xf numFmtId="49" fontId="5" fillId="8" borderId="26" xfId="0" applyNumberFormat="1" applyFont="1" applyFill="1" applyBorder="1" applyAlignment="1">
      <alignment horizontal="center"/>
    </xf>
    <xf numFmtId="1" fontId="5" fillId="8" borderId="26" xfId="0" applyNumberFormat="1" applyFont="1" applyFill="1" applyBorder="1" applyAlignment="1">
      <alignment horizontal="center"/>
    </xf>
    <xf numFmtId="49" fontId="2" fillId="2" borderId="44" xfId="0" applyNumberFormat="1" applyFont="1" applyFill="1" applyBorder="1" applyAlignment="1">
      <alignment horizontal="left"/>
    </xf>
    <xf numFmtId="0" fontId="2" fillId="0" borderId="44" xfId="0" applyFont="1" applyBorder="1" applyAlignment="1">
      <alignment horizontal="left"/>
    </xf>
    <xf numFmtId="49" fontId="0" fillId="11" borderId="46" xfId="0" applyNumberFormat="1" applyFont="1" applyFill="1" applyBorder="1" applyAlignment="1">
      <alignment horizontal="center" vertical="center"/>
    </xf>
    <xf numFmtId="1" fontId="0" fillId="11" borderId="46" xfId="0" applyNumberFormat="1" applyFont="1" applyFill="1" applyBorder="1" applyAlignment="1">
      <alignment horizontal="center" vertical="center"/>
    </xf>
    <xf numFmtId="49" fontId="0" fillId="12" borderId="46" xfId="0" applyNumberFormat="1" applyFont="1" applyFill="1" applyBorder="1" applyAlignment="1">
      <alignment horizontal="center" vertical="center"/>
    </xf>
    <xf numFmtId="1" fontId="0" fillId="12" borderId="46" xfId="0" applyNumberFormat="1" applyFont="1" applyFill="1" applyBorder="1" applyAlignment="1">
      <alignment horizontal="center" vertical="center"/>
    </xf>
    <xf numFmtId="49" fontId="17" fillId="18" borderId="31" xfId="0" applyNumberFormat="1" applyFont="1" applyFill="1" applyBorder="1" applyAlignment="1">
      <alignment horizontal="center" vertical="center"/>
    </xf>
    <xf numFmtId="1" fontId="17" fillId="18" borderId="31" xfId="0" applyNumberFormat="1" applyFont="1" applyFill="1" applyBorder="1" applyAlignment="1">
      <alignment horizontal="center" vertical="center"/>
    </xf>
    <xf numFmtId="49" fontId="1" fillId="21" borderId="31" xfId="0" applyNumberFormat="1" applyFont="1" applyFill="1" applyBorder="1" applyAlignment="1">
      <alignment horizontal="left" vertical="center"/>
    </xf>
    <xf numFmtId="0" fontId="17" fillId="0" borderId="31" xfId="0" applyFont="1" applyBorder="1" applyAlignment="1">
      <alignment horizontal="center" vertical="center"/>
    </xf>
    <xf numFmtId="49" fontId="17" fillId="2" borderId="31" xfId="0" applyNumberFormat="1" applyFont="1" applyFill="1" applyBorder="1" applyAlignment="1">
      <alignment horizontal="left" vertical="center"/>
    </xf>
    <xf numFmtId="1" fontId="17" fillId="17" borderId="31" xfId="0" applyNumberFormat="1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1" fontId="17" fillId="18" borderId="58" xfId="0" applyNumberFormat="1" applyFont="1" applyFill="1" applyBorder="1" applyAlignment="1">
      <alignment horizontal="center" vertical="center"/>
    </xf>
    <xf numFmtId="49" fontId="0" fillId="6" borderId="31" xfId="0" applyNumberFormat="1" applyFont="1" applyFill="1" applyBorder="1" applyAlignment="1"/>
    <xf numFmtId="0" fontId="0" fillId="0" borderId="31" xfId="0" applyFont="1" applyBorder="1" applyAlignment="1"/>
    <xf numFmtId="0" fontId="0" fillId="0" borderId="53" xfId="0" applyFont="1" applyBorder="1" applyAlignment="1"/>
    <xf numFmtId="49" fontId="0" fillId="4" borderId="31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FF2C21"/>
      <rgbColor rgb="FF9CE159"/>
      <rgbColor rgb="FFBFBFBF"/>
      <rgbColor rgb="FF63B2DE"/>
      <rgbColor rgb="FFF1D030"/>
      <rgbColor rgb="FFAAAAAA"/>
      <rgbColor rgb="FFFFE061"/>
      <rgbColor rgb="FFFFFFFF"/>
      <rgbColor rgb="FF878787"/>
      <rgbColor rgb="FFBABABA"/>
      <rgbColor rgb="FF4BACC6"/>
      <rgbColor rgb="FF8064A2"/>
      <rgbColor rgb="FF395E89"/>
      <rgbColor rgb="FFC0504D"/>
      <rgbColor rgb="FFD8D8D8"/>
      <rgbColor rgb="FF595959"/>
      <rgbColor rgb="FF707070"/>
      <rgbColor rgb="FF903C39"/>
      <rgbColor rgb="FFB2B1A8"/>
      <rgbColor rgb="FF7F7F7F"/>
      <rgbColor rgb="FFFF0000"/>
      <rgbColor rgb="FF0066CC"/>
      <rgbColor rgb="FF339966"/>
      <rgbColor rgb="FF00CCFF"/>
      <rgbColor rgb="FF33CCCC"/>
      <rgbColor rgb="FF00FF00"/>
      <rgbColor rgb="FF0099FF"/>
      <rgbColor rgb="FF00DCFF"/>
      <rgbColor rgb="FF00CCCC"/>
      <rgbColor rgb="FF33CC66"/>
      <rgbColor rgb="FF3DEB3D"/>
      <rgbColor rgb="FF357CA2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9399800000000003E-2"/>
          <c:y val="2.9887500000000001E-2"/>
          <c:w val="0.92961899999999997"/>
          <c:h val="0.79808000000000001"/>
        </c:manualLayout>
      </c:layout>
      <c:scatterChart>
        <c:scatterStyle val="lineMarker"/>
        <c:varyColors val="0"/>
        <c:ser>
          <c:idx val="0"/>
          <c:order val="0"/>
          <c:tx>
            <c:v>Termino Potencia</c:v>
          </c:tx>
          <c:spPr>
            <a:ln w="25400" cap="flat">
              <a:solidFill>
                <a:srgbClr val="4BACC6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Electricitat!$D$18:$D$38</c:f>
              <c:numCache>
                <c:formatCode>"€"#,##0.00</c:formatCode>
                <c:ptCount val="21"/>
                <c:pt idx="0">
                  <c:v>14264.474456453763</c:v>
                </c:pt>
                <c:pt idx="1">
                  <c:v>1721.3454115905599</c:v>
                </c:pt>
                <c:pt idx="2">
                  <c:v>1803.314240713921</c:v>
                </c:pt>
                <c:pt idx="3">
                  <c:v>1885.28306983728</c:v>
                </c:pt>
                <c:pt idx="4">
                  <c:v>1967.2518989606399</c:v>
                </c:pt>
                <c:pt idx="5">
                  <c:v>2049.2207280839998</c:v>
                </c:pt>
                <c:pt idx="6">
                  <c:v>2131.1895572073599</c:v>
                </c:pt>
                <c:pt idx="7">
                  <c:v>2213.158386330721</c:v>
                </c:pt>
                <c:pt idx="8">
                  <c:v>2295.1272154540811</c:v>
                </c:pt>
                <c:pt idx="9">
                  <c:v>2377.0960445774399</c:v>
                </c:pt>
                <c:pt idx="10">
                  <c:v>2459.0648737008</c:v>
                </c:pt>
                <c:pt idx="11">
                  <c:v>2541.0337028241611</c:v>
                </c:pt>
                <c:pt idx="12">
                  <c:v>2623.0025319475199</c:v>
                </c:pt>
                <c:pt idx="13">
                  <c:v>2704.97136107088</c:v>
                </c:pt>
                <c:pt idx="14">
                  <c:v>2786.940190194241</c:v>
                </c:pt>
                <c:pt idx="15">
                  <c:v>2868.9090193176012</c:v>
                </c:pt>
                <c:pt idx="16">
                  <c:v>2950.87784844096</c:v>
                </c:pt>
                <c:pt idx="17">
                  <c:v>3032.846677564321</c:v>
                </c:pt>
                <c:pt idx="18">
                  <c:v>3114.8155066876802</c:v>
                </c:pt>
                <c:pt idx="19">
                  <c:v>3196.7843358110408</c:v>
                </c:pt>
                <c:pt idx="20">
                  <c:v>3278.753164934401</c:v>
                </c:pt>
              </c:numCache>
            </c:numRef>
          </c:yVal>
          <c:smooth val="0"/>
        </c:ser>
        <c:ser>
          <c:idx val="1"/>
          <c:order val="1"/>
          <c:tx>
            <c:v>KW Consumits</c:v>
          </c:tx>
          <c:spPr>
            <a:ln w="25400" cap="flat">
              <a:solidFill>
                <a:srgbClr val="000000"/>
              </a:solidFill>
              <a:prstDash val="dash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Electricitat!$B$18:$B$38</c:f>
              <c:numCache>
                <c:formatCode>General</c:formatCode>
                <c:ptCount val="21"/>
                <c:pt idx="0">
                  <c:v>2002.3792000000001</c:v>
                </c:pt>
                <c:pt idx="1">
                  <c:v>2102.4981600000001</c:v>
                </c:pt>
                <c:pt idx="2">
                  <c:v>2202.6171200000003</c:v>
                </c:pt>
                <c:pt idx="3">
                  <c:v>2302.7360800000001</c:v>
                </c:pt>
                <c:pt idx="4">
                  <c:v>2402.8550399999999</c:v>
                </c:pt>
                <c:pt idx="5">
                  <c:v>2502.9740000000002</c:v>
                </c:pt>
                <c:pt idx="6">
                  <c:v>2603.0929600000004</c:v>
                </c:pt>
                <c:pt idx="7">
                  <c:v>2703.2119200000002</c:v>
                </c:pt>
                <c:pt idx="8">
                  <c:v>2803.33088</c:v>
                </c:pt>
                <c:pt idx="9">
                  <c:v>2903.4498400000002</c:v>
                </c:pt>
                <c:pt idx="10">
                  <c:v>3003.5688</c:v>
                </c:pt>
                <c:pt idx="11">
                  <c:v>3103.6877600000003</c:v>
                </c:pt>
                <c:pt idx="12">
                  <c:v>3203.8067200000005</c:v>
                </c:pt>
                <c:pt idx="13">
                  <c:v>3303.9256799999998</c:v>
                </c:pt>
                <c:pt idx="14">
                  <c:v>3404.0446400000001</c:v>
                </c:pt>
                <c:pt idx="15">
                  <c:v>3504.1636000000003</c:v>
                </c:pt>
                <c:pt idx="16">
                  <c:v>3604.2825600000001</c:v>
                </c:pt>
                <c:pt idx="17">
                  <c:v>3704.4015200000003</c:v>
                </c:pt>
                <c:pt idx="18">
                  <c:v>3804.5204800000001</c:v>
                </c:pt>
                <c:pt idx="19">
                  <c:v>3904.6394399999999</c:v>
                </c:pt>
                <c:pt idx="20">
                  <c:v>4004.7584000000002</c:v>
                </c:pt>
              </c:numCache>
            </c:numRef>
          </c:yVal>
          <c:smooth val="0"/>
        </c:ser>
        <c:ser>
          <c:idx val="2"/>
          <c:order val="2"/>
          <c:tx>
            <c:v>Termino Energia</c:v>
          </c:tx>
          <c:spPr>
            <a:ln w="25400" cap="flat">
              <a:solidFill>
                <a:srgbClr val="8064A2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Electricitat!$E$18:$E$38</c:f>
              <c:numCache>
                <c:formatCode>"€"#,##0.00</c:formatCode>
                <c:ptCount val="21"/>
                <c:pt idx="0">
                  <c:v>345849.18133982079</c:v>
                </c:pt>
                <c:pt idx="1">
                  <c:v>363141.64040681184</c:v>
                </c:pt>
                <c:pt idx="2">
                  <c:v>380434.0994738029</c:v>
                </c:pt>
                <c:pt idx="3">
                  <c:v>397726.55854079395</c:v>
                </c:pt>
                <c:pt idx="4">
                  <c:v>415019.01760778495</c:v>
                </c:pt>
                <c:pt idx="5">
                  <c:v>432311.476674776</c:v>
                </c:pt>
                <c:pt idx="6">
                  <c:v>449603.93574176711</c:v>
                </c:pt>
                <c:pt idx="7">
                  <c:v>466896.39480875811</c:v>
                </c:pt>
                <c:pt idx="8">
                  <c:v>484188.8538757491</c:v>
                </c:pt>
                <c:pt idx="9">
                  <c:v>501481.31294274016</c:v>
                </c:pt>
                <c:pt idx="10">
                  <c:v>518773.77200973115</c:v>
                </c:pt>
                <c:pt idx="11">
                  <c:v>536066.23107672227</c:v>
                </c:pt>
                <c:pt idx="12">
                  <c:v>553358.69014371338</c:v>
                </c:pt>
                <c:pt idx="13">
                  <c:v>570651.14921070426</c:v>
                </c:pt>
                <c:pt idx="14">
                  <c:v>587943.60827769537</c:v>
                </c:pt>
                <c:pt idx="15">
                  <c:v>605236.06734468648</c:v>
                </c:pt>
                <c:pt idx="16">
                  <c:v>622528.52641167748</c:v>
                </c:pt>
                <c:pt idx="17">
                  <c:v>639820.98547866847</c:v>
                </c:pt>
                <c:pt idx="18">
                  <c:v>657113.44454565947</c:v>
                </c:pt>
                <c:pt idx="19">
                  <c:v>674405.90361265047</c:v>
                </c:pt>
                <c:pt idx="20">
                  <c:v>691698.36267964158</c:v>
                </c:pt>
              </c:numCache>
            </c:numRef>
          </c:yVal>
          <c:smooth val="0"/>
        </c:ser>
        <c:ser>
          <c:idx val="3"/>
          <c:order val="3"/>
          <c:tx>
            <c:v>KW Contractats</c:v>
          </c:tx>
          <c:spPr>
            <a:ln w="25400" cap="flat">
              <a:solidFill>
                <a:srgbClr val="3A5E8A"/>
              </a:solidFill>
              <a:prstDash val="dash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Electricitat!$C$18:$C$38</c:f>
              <c:numCache>
                <c:formatCode>0</c:formatCode>
                <c:ptCount val="21"/>
                <c:pt idx="0">
                  <c:v>2202.6171200000003</c:v>
                </c:pt>
                <c:pt idx="1">
                  <c:v>2312.7479760000001</c:v>
                </c:pt>
                <c:pt idx="2">
                  <c:v>2422.8788320000008</c:v>
                </c:pt>
                <c:pt idx="3">
                  <c:v>2533.0096880000006</c:v>
                </c:pt>
                <c:pt idx="4">
                  <c:v>2643.1405440000003</c:v>
                </c:pt>
                <c:pt idx="5">
                  <c:v>2753.2714000000005</c:v>
                </c:pt>
                <c:pt idx="6">
                  <c:v>2863.4022560000008</c:v>
                </c:pt>
                <c:pt idx="7">
                  <c:v>2973.5331120000005</c:v>
                </c:pt>
                <c:pt idx="8">
                  <c:v>3083.6639680000003</c:v>
                </c:pt>
                <c:pt idx="9">
                  <c:v>3193.7948240000005</c:v>
                </c:pt>
                <c:pt idx="10">
                  <c:v>3303.9256800000003</c:v>
                </c:pt>
                <c:pt idx="11">
                  <c:v>3414.0565360000005</c:v>
                </c:pt>
                <c:pt idx="12">
                  <c:v>3524.1873920000007</c:v>
                </c:pt>
                <c:pt idx="13">
                  <c:v>3634.318248</c:v>
                </c:pt>
                <c:pt idx="14">
                  <c:v>3744.4491040000003</c:v>
                </c:pt>
                <c:pt idx="15">
                  <c:v>3854.5799600000005</c:v>
                </c:pt>
                <c:pt idx="16">
                  <c:v>3964.7108160000002</c:v>
                </c:pt>
                <c:pt idx="17">
                  <c:v>4074.8416720000009</c:v>
                </c:pt>
                <c:pt idx="18">
                  <c:v>4184.9725280000002</c:v>
                </c:pt>
                <c:pt idx="19">
                  <c:v>4295.103384</c:v>
                </c:pt>
                <c:pt idx="20">
                  <c:v>4405.2342400000007</c:v>
                </c:pt>
              </c:numCache>
            </c:numRef>
          </c:yVal>
          <c:smooth val="0"/>
        </c:ser>
        <c:ser>
          <c:idx val="4"/>
          <c:order val="4"/>
          <c:tx>
            <c:v>Factura</c:v>
          </c:tx>
          <c:spPr>
            <a:ln w="25400" cap="flat">
              <a:solidFill>
                <a:srgbClr val="C0504D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Electricitat!$F$18:$F$38</c:f>
              <c:numCache>
                <c:formatCode>"€"#,##0.00</c:formatCode>
                <c:ptCount val="21"/>
                <c:pt idx="0">
                  <c:v>360113.65579627454</c:v>
                </c:pt>
                <c:pt idx="1">
                  <c:v>364862.98581840238</c:v>
                </c:pt>
                <c:pt idx="2">
                  <c:v>382237.41371451679</c:v>
                </c:pt>
                <c:pt idx="3">
                  <c:v>399611.84161063121</c:v>
                </c:pt>
                <c:pt idx="4">
                  <c:v>416986.26950674556</c:v>
                </c:pt>
                <c:pt idx="5">
                  <c:v>434360.69740285998</c:v>
                </c:pt>
                <c:pt idx="6">
                  <c:v>451735.12529897445</c:v>
                </c:pt>
                <c:pt idx="7">
                  <c:v>469109.55319508881</c:v>
                </c:pt>
                <c:pt idx="8">
                  <c:v>486483.98109120317</c:v>
                </c:pt>
                <c:pt idx="9">
                  <c:v>503858.40898731758</c:v>
                </c:pt>
                <c:pt idx="10">
                  <c:v>521232.83688343194</c:v>
                </c:pt>
                <c:pt idx="11">
                  <c:v>538607.26477954641</c:v>
                </c:pt>
                <c:pt idx="12">
                  <c:v>555981.69267566095</c:v>
                </c:pt>
                <c:pt idx="13">
                  <c:v>573356.12057177513</c:v>
                </c:pt>
                <c:pt idx="14">
                  <c:v>590730.54846788966</c:v>
                </c:pt>
                <c:pt idx="15">
                  <c:v>608104.97636400408</c:v>
                </c:pt>
                <c:pt idx="16">
                  <c:v>625479.40426011849</c:v>
                </c:pt>
                <c:pt idx="17">
                  <c:v>642853.83215623279</c:v>
                </c:pt>
                <c:pt idx="18">
                  <c:v>660228.26005234721</c:v>
                </c:pt>
                <c:pt idx="19">
                  <c:v>677602.68794846151</c:v>
                </c:pt>
                <c:pt idx="20">
                  <c:v>694977.11584457592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646832"/>
        <c:axId val="-2136645744"/>
      </c:scatterChart>
      <c:valAx>
        <c:axId val="-2136646832"/>
        <c:scaling>
          <c:orientation val="minMax"/>
          <c:max val="2"/>
          <c:min val="1"/>
        </c:scaling>
        <c:delete val="0"/>
        <c:axPos val="b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title>
          <c:tx>
            <c:rich>
              <a:bodyPr rot="0"/>
              <a:lstStyle/>
              <a:p>
                <a:pPr>
                  <a:defRPr sz="1000" b="1" i="0" u="none" strike="noStrike">
                    <a:solidFill>
                      <a:srgbClr val="000000"/>
                    </a:solidFill>
                    <a:latin typeface="Verdana"/>
                  </a:defRPr>
                </a:pPr>
                <a:r>
                  <a:rPr sz="1000" b="1" i="0" u="none" strike="noStrike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1"/>
        </c:title>
        <c:numFmt formatCode="0.00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-2136645744"/>
        <c:crosses val="autoZero"/>
        <c:crossBetween val="between"/>
        <c:majorUnit val="0.25"/>
        <c:minorUnit val="0.125"/>
      </c:valAx>
      <c:valAx>
        <c:axId val="-2136645744"/>
        <c:scaling>
          <c:orientation val="minMax"/>
          <c:min val="0"/>
        </c:scaling>
        <c:delete val="0"/>
        <c:axPos val="l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numFmt formatCode="#,##0&quot;€&quot;" sourceLinked="0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-2136646832"/>
        <c:crosses val="autoZero"/>
        <c:crossBetween val="between"/>
        <c:majorUnit val="75000"/>
        <c:minorUnit val="3750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7.9690899999999995E-2"/>
          <c:y val="0.95761200000000002"/>
          <c:w val="0.91069500000000003"/>
          <c:h val="4.2387500000000002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428866</xdr:colOff>
      <xdr:row>35</xdr:row>
      <xdr:rowOff>81326</xdr:rowOff>
    </xdr:from>
    <xdr:to>
      <xdr:col>12</xdr:col>
      <xdr:colOff>36045</xdr:colOff>
      <xdr:row>56</xdr:row>
      <xdr:rowOff>151766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2"/>
  <sheetViews>
    <sheetView showGridLines="0" tabSelected="1" zoomScale="85" zoomScaleNormal="85" workbookViewId="0">
      <selection activeCell="E23" sqref="E23"/>
    </sheetView>
  </sheetViews>
  <sheetFormatPr baseColWidth="10" defaultColWidth="16.375" defaultRowHeight="18" customHeight="1"/>
  <cols>
    <col min="1" max="1" width="44.125" style="1" customWidth="1"/>
    <col min="2" max="2" width="21.125" style="1" customWidth="1"/>
    <col min="3" max="3" width="4.75" style="1" customWidth="1"/>
    <col min="4" max="4" width="41.125" style="1" customWidth="1"/>
    <col min="5" max="5" width="20.875" style="1" customWidth="1"/>
    <col min="6" max="256" width="16.375" style="1" customWidth="1"/>
  </cols>
  <sheetData>
    <row r="1" spans="1:9" ht="23.65" customHeight="1">
      <c r="A1" s="2"/>
      <c r="B1" s="2"/>
      <c r="C1" s="3"/>
      <c r="D1" s="2"/>
      <c r="E1" s="4"/>
      <c r="F1" s="4"/>
      <c r="G1" s="3"/>
      <c r="H1" s="3"/>
      <c r="I1" s="3"/>
    </row>
    <row r="2" spans="1:9" ht="35.1" customHeight="1">
      <c r="A2" s="225" t="s">
        <v>0</v>
      </c>
      <c r="B2" s="226"/>
      <c r="C2" s="5"/>
      <c r="D2" s="6" t="s">
        <v>1</v>
      </c>
      <c r="E2" s="7" t="s">
        <v>2</v>
      </c>
      <c r="F2" s="8" t="s">
        <v>3</v>
      </c>
      <c r="G2" s="9"/>
      <c r="H2" s="3"/>
      <c r="I2" s="3"/>
    </row>
    <row r="3" spans="1:9" ht="24.95" customHeight="1">
      <c r="A3" s="10" t="s">
        <v>4</v>
      </c>
      <c r="B3" s="11">
        <v>1124</v>
      </c>
      <c r="C3" s="12"/>
      <c r="D3" s="13" t="s">
        <v>5</v>
      </c>
      <c r="E3" s="14">
        <f>Electricitat!F18</f>
        <v>360113.65579627454</v>
      </c>
      <c r="F3" s="14">
        <f>E3*5</f>
        <v>1800568.2789813727</v>
      </c>
      <c r="G3" s="9"/>
      <c r="H3" s="3"/>
      <c r="I3" s="3"/>
    </row>
    <row r="4" spans="1:9" ht="24.95" customHeight="1">
      <c r="A4" s="10" t="s">
        <v>6</v>
      </c>
      <c r="B4" s="11">
        <v>42</v>
      </c>
      <c r="C4" s="12"/>
      <c r="D4" s="8" t="s">
        <v>7</v>
      </c>
      <c r="E4" s="15" t="str">
        <f>IF(B20=1,"MOCOSA",IF(B20=2,"CPDs Céspedes",IF(B20=3,"Mordor","error")))</f>
        <v>Mordor</v>
      </c>
      <c r="F4" s="16"/>
      <c r="G4" s="3"/>
      <c r="H4" s="3"/>
      <c r="I4" s="3"/>
    </row>
    <row r="5" spans="1:9" ht="39" customHeight="1">
      <c r="A5" s="10" t="s">
        <v>8</v>
      </c>
      <c r="B5" s="17">
        <v>2000</v>
      </c>
      <c r="C5" s="12"/>
      <c r="D5" s="8" t="s">
        <v>9</v>
      </c>
      <c r="E5" s="14">
        <f>IF(B20=1,Infraestructura!J4,IF(B20=2,Infraestructura!J5,IF(B20=3,Infraestructura!J6,"error")))</f>
        <v>446017.04836944118</v>
      </c>
      <c r="F5" s="18">
        <f>E5*5</f>
        <v>2230085.2418472059</v>
      </c>
      <c r="G5" s="9"/>
      <c r="H5" s="3"/>
      <c r="I5" s="3"/>
    </row>
    <row r="6" spans="1:9" ht="24.95" customHeight="1">
      <c r="A6" s="10" t="s">
        <v>10</v>
      </c>
      <c r="B6" s="19">
        <v>0.1</v>
      </c>
      <c r="C6" s="12"/>
      <c r="D6" s="8" t="s">
        <v>11</v>
      </c>
      <c r="E6" s="20" t="str">
        <f>IF(B16=1,"Microworks Azure M-A",IF(B16=2,"MonsoonS3 MS3",IF(B16=3,"Take the tapes and run","error")))</f>
        <v>MonsoonS3 MS3</v>
      </c>
      <c r="F6" s="21"/>
      <c r="G6" s="22"/>
      <c r="H6" s="3"/>
      <c r="I6" s="3"/>
    </row>
    <row r="7" spans="1:9" ht="24.95" customHeight="1">
      <c r="A7" s="10" t="s">
        <v>12</v>
      </c>
      <c r="B7" s="23">
        <v>80</v>
      </c>
      <c r="C7" s="12"/>
      <c r="D7" s="8" t="s">
        <v>13</v>
      </c>
      <c r="E7" s="14">
        <f>IF(B16=1,B17*Backup!L6,IF(B16=2,B17*Backup!L7,IF(B16=3,0,"error")))</f>
        <v>196291.296</v>
      </c>
      <c r="F7" s="24">
        <f>E7*5</f>
        <v>981456.48</v>
      </c>
      <c r="G7" s="9"/>
      <c r="H7" s="3"/>
      <c r="I7" s="3"/>
    </row>
    <row r="8" spans="1:9" ht="24.95" customHeight="1">
      <c r="A8" s="10" t="s">
        <v>14</v>
      </c>
      <c r="B8" s="25">
        <v>20000000</v>
      </c>
      <c r="C8" s="12"/>
      <c r="D8" s="8" t="s">
        <v>15</v>
      </c>
      <c r="E8" s="14">
        <f>Backup!M27</f>
        <v>79080.03</v>
      </c>
      <c r="F8" s="14">
        <f>E8*5</f>
        <v>395400.15</v>
      </c>
      <c r="G8" s="9"/>
      <c r="H8" s="3"/>
      <c r="I8" s="3"/>
    </row>
    <row r="9" spans="1:9" ht="24.95" customHeight="1">
      <c r="A9" s="10" t="s">
        <v>16</v>
      </c>
      <c r="B9" s="25">
        <v>16500000</v>
      </c>
      <c r="C9" s="12"/>
      <c r="D9" s="8" t="s">
        <v>17</v>
      </c>
      <c r="E9" s="14">
        <f>'Bandwidth provider'!F9</f>
        <v>1058.4000000000001</v>
      </c>
      <c r="F9" s="14">
        <f>E9*5</f>
        <v>5292</v>
      </c>
      <c r="G9" s="9"/>
      <c r="H9" s="3"/>
      <c r="I9" s="3"/>
    </row>
    <row r="10" spans="1:9" ht="24.95" customHeight="1">
      <c r="A10" s="26"/>
      <c r="B10" s="26"/>
      <c r="C10" s="3"/>
      <c r="D10" s="27"/>
      <c r="E10" s="28"/>
      <c r="F10" s="29"/>
      <c r="G10" s="3"/>
      <c r="H10" s="3"/>
      <c r="I10" s="3"/>
    </row>
    <row r="11" spans="1:9" ht="24.95" customHeight="1">
      <c r="A11" s="223" t="s">
        <v>18</v>
      </c>
      <c r="B11" s="224"/>
      <c r="C11" s="5"/>
      <c r="D11" s="30" t="s">
        <v>19</v>
      </c>
      <c r="E11" s="7" t="s">
        <v>20</v>
      </c>
      <c r="F11" s="9"/>
      <c r="G11" s="3"/>
      <c r="H11" s="3"/>
      <c r="I11" s="3"/>
    </row>
    <row r="12" spans="1:9" ht="24.95" customHeight="1">
      <c r="A12" s="221" t="s">
        <v>21</v>
      </c>
      <c r="B12" s="222"/>
      <c r="C12" s="12"/>
      <c r="D12" s="8" t="s">
        <v>22</v>
      </c>
      <c r="E12" s="14">
        <f>B9</f>
        <v>16500000</v>
      </c>
      <c r="F12" s="9"/>
      <c r="G12" s="3"/>
      <c r="H12" s="3"/>
      <c r="I12" s="3"/>
    </row>
    <row r="13" spans="1:9" ht="24.95" customHeight="1">
      <c r="A13" s="10" t="s">
        <v>23</v>
      </c>
      <c r="B13" s="23">
        <v>227580</v>
      </c>
      <c r="C13" s="12"/>
      <c r="D13" s="8" t="s">
        <v>24</v>
      </c>
      <c r="E13" s="14">
        <f>SAN!B14</f>
        <v>0</v>
      </c>
      <c r="F13" s="9"/>
      <c r="G13" s="3"/>
      <c r="H13" s="3"/>
      <c r="I13" s="3"/>
    </row>
    <row r="14" spans="1:9" ht="24.95" customHeight="1">
      <c r="A14" s="10" t="s">
        <v>25</v>
      </c>
      <c r="B14" s="23">
        <v>10</v>
      </c>
      <c r="C14" s="12"/>
      <c r="D14" s="8" t="s">
        <v>26</v>
      </c>
      <c r="E14" s="14">
        <f>'Cabina de discos'!K24+Backup!M29</f>
        <v>55720</v>
      </c>
      <c r="F14" s="9"/>
      <c r="G14" s="3"/>
      <c r="H14" s="3"/>
      <c r="I14" s="3"/>
    </row>
    <row r="15" spans="1:9" ht="24.95" customHeight="1">
      <c r="A15" s="10" t="s">
        <v>27</v>
      </c>
      <c r="B15" s="23">
        <v>4</v>
      </c>
      <c r="C15" s="32"/>
      <c r="D15" s="29"/>
      <c r="E15" s="29"/>
      <c r="F15" s="3"/>
      <c r="G15" s="3"/>
      <c r="H15" s="3"/>
      <c r="I15" s="3"/>
    </row>
    <row r="16" spans="1:9" ht="24.95" customHeight="1">
      <c r="A16" s="10" t="s">
        <v>28</v>
      </c>
      <c r="B16" s="23">
        <v>2</v>
      </c>
      <c r="C16" s="32"/>
      <c r="D16" s="3"/>
      <c r="E16" s="3"/>
      <c r="F16" s="3"/>
      <c r="G16" s="3"/>
      <c r="H16" s="3"/>
      <c r="I16" s="3"/>
    </row>
    <row r="17" spans="1:9" ht="24.95" customHeight="1">
      <c r="A17" s="10" t="s">
        <v>29</v>
      </c>
      <c r="B17" s="23">
        <v>1</v>
      </c>
      <c r="C17" s="32"/>
      <c r="D17" s="3"/>
      <c r="E17" s="3"/>
      <c r="F17" s="3"/>
      <c r="G17" s="3"/>
      <c r="H17" s="3"/>
      <c r="I17" s="3"/>
    </row>
    <row r="18" spans="1:9" ht="24.95" customHeight="1">
      <c r="A18" s="10" t="s">
        <v>30</v>
      </c>
      <c r="B18" s="23">
        <v>0</v>
      </c>
      <c r="C18" s="32"/>
      <c r="D18" s="2"/>
      <c r="E18" s="3"/>
      <c r="F18" s="3"/>
      <c r="G18" s="3"/>
      <c r="H18" s="3"/>
      <c r="I18" s="3"/>
    </row>
    <row r="19" spans="1:9" ht="24.95" customHeight="1">
      <c r="A19" s="221" t="s">
        <v>31</v>
      </c>
      <c r="B19" s="222"/>
      <c r="C19" s="5"/>
      <c r="D19" s="30" t="s">
        <v>32</v>
      </c>
      <c r="E19" s="33"/>
      <c r="F19" s="3"/>
      <c r="G19" s="3"/>
      <c r="H19" s="3"/>
      <c r="I19" s="3"/>
    </row>
    <row r="20" spans="1:9" ht="39" customHeight="1">
      <c r="A20" s="10" t="s">
        <v>33</v>
      </c>
      <c r="B20" s="23">
        <v>3</v>
      </c>
      <c r="C20" s="12"/>
      <c r="D20" s="8" t="s">
        <v>34</v>
      </c>
      <c r="E20" s="14">
        <f>SUM(F3:F9)</f>
        <v>5412802.1508285794</v>
      </c>
      <c r="F20" s="9"/>
      <c r="G20" s="3"/>
      <c r="H20" s="3"/>
      <c r="I20" s="3"/>
    </row>
    <row r="21" spans="1:9" ht="24.95" customHeight="1">
      <c r="A21" s="10" t="s">
        <v>35</v>
      </c>
      <c r="B21" s="23">
        <v>0</v>
      </c>
      <c r="C21" s="12"/>
      <c r="D21" s="8" t="s">
        <v>36</v>
      </c>
      <c r="E21" s="14">
        <f>SUM(E12:E14)</f>
        <v>16555720</v>
      </c>
      <c r="F21" s="9"/>
      <c r="G21" s="3"/>
      <c r="H21" s="3"/>
      <c r="I21" s="3"/>
    </row>
    <row r="22" spans="1:9" ht="24.95" customHeight="1">
      <c r="A22" s="10" t="s">
        <v>37</v>
      </c>
      <c r="B22" s="23">
        <v>1</v>
      </c>
      <c r="C22" s="12"/>
      <c r="D22" s="8" t="s">
        <v>38</v>
      </c>
      <c r="E22" s="14">
        <f>E20+E21</f>
        <v>21968522.150828578</v>
      </c>
      <c r="F22" s="9"/>
      <c r="G22" s="3"/>
      <c r="H22" s="3"/>
      <c r="I22" s="3"/>
    </row>
    <row r="23" spans="1:9" ht="24.95" customHeight="1">
      <c r="A23" s="221" t="s">
        <v>39</v>
      </c>
      <c r="B23" s="222"/>
      <c r="C23" s="12"/>
      <c r="D23" s="34" t="s">
        <v>40</v>
      </c>
      <c r="E23" s="35">
        <f>B8-E22</f>
        <v>-1968522.1508285776</v>
      </c>
      <c r="F23" s="9"/>
      <c r="G23" s="3"/>
      <c r="H23" s="3"/>
      <c r="I23" s="3"/>
    </row>
    <row r="24" spans="1:9" ht="39" customHeight="1">
      <c r="A24" s="10" t="s">
        <v>41</v>
      </c>
      <c r="B24" s="23">
        <v>3</v>
      </c>
      <c r="C24" s="32"/>
      <c r="D24" s="29"/>
      <c r="E24" s="29"/>
      <c r="F24" s="3"/>
      <c r="G24" s="3"/>
      <c r="H24" s="3"/>
      <c r="I24" s="3"/>
    </row>
    <row r="25" spans="1:9" ht="24.95" customHeight="1">
      <c r="A25" s="10" t="s">
        <v>42</v>
      </c>
      <c r="B25" s="23">
        <v>1</v>
      </c>
      <c r="C25" s="32"/>
      <c r="D25" s="3"/>
      <c r="E25" s="3"/>
      <c r="F25" s="3"/>
      <c r="G25" s="3"/>
      <c r="H25" s="3"/>
      <c r="I25" s="3"/>
    </row>
    <row r="26" spans="1:9" ht="24.95" customHeight="1">
      <c r="A26" s="10" t="s">
        <v>43</v>
      </c>
      <c r="B26" s="23">
        <v>1</v>
      </c>
      <c r="C26" s="32"/>
      <c r="D26" s="3"/>
      <c r="E26" s="3"/>
      <c r="F26" s="3"/>
      <c r="G26" s="3"/>
      <c r="H26" s="3"/>
      <c r="I26" s="3"/>
    </row>
    <row r="27" spans="1:9" ht="24.95" customHeight="1">
      <c r="A27" s="31" t="s">
        <v>44</v>
      </c>
      <c r="B27" s="23">
        <v>0</v>
      </c>
      <c r="C27" s="32"/>
      <c r="D27" s="3"/>
      <c r="E27" s="3"/>
      <c r="F27" s="3"/>
      <c r="G27" s="3"/>
      <c r="H27" s="3"/>
      <c r="I27" s="3"/>
    </row>
    <row r="28" spans="1:9" ht="24.95" customHeight="1">
      <c r="A28" s="221" t="s">
        <v>45</v>
      </c>
      <c r="B28" s="222"/>
      <c r="C28" s="32"/>
      <c r="D28" s="3"/>
      <c r="E28" s="3"/>
      <c r="F28" s="3"/>
      <c r="G28" s="3"/>
      <c r="H28" s="3"/>
      <c r="I28" s="3"/>
    </row>
    <row r="29" spans="1:9" ht="24.95" customHeight="1">
      <c r="A29" s="10" t="s">
        <v>46</v>
      </c>
      <c r="B29" s="23">
        <v>8</v>
      </c>
      <c r="C29" s="32"/>
      <c r="D29" s="3"/>
      <c r="E29" s="3"/>
      <c r="F29" s="3"/>
      <c r="G29" s="3"/>
      <c r="H29" s="3"/>
      <c r="I29" s="3"/>
    </row>
    <row r="30" spans="1:9" ht="24.95" customHeight="1">
      <c r="A30" s="10" t="s">
        <v>47</v>
      </c>
      <c r="B30" s="23">
        <v>14</v>
      </c>
      <c r="C30" s="32"/>
      <c r="D30" s="3"/>
      <c r="E30" s="3"/>
      <c r="F30" s="3"/>
      <c r="G30" s="3"/>
      <c r="H30" s="3"/>
      <c r="I30" s="3"/>
    </row>
    <row r="31" spans="1:9" ht="24.95" customHeight="1">
      <c r="A31" s="10" t="s">
        <v>48</v>
      </c>
      <c r="B31" s="23">
        <v>2</v>
      </c>
      <c r="C31" s="32"/>
      <c r="D31" s="3"/>
      <c r="E31" s="3"/>
      <c r="F31" s="3"/>
      <c r="G31" s="3"/>
      <c r="H31" s="3"/>
      <c r="I31" s="3"/>
    </row>
    <row r="32" spans="1:9" ht="24.95" customHeight="1">
      <c r="A32" s="10" t="s">
        <v>49</v>
      </c>
      <c r="B32" s="23">
        <v>1</v>
      </c>
      <c r="C32" s="32"/>
      <c r="D32" s="3"/>
      <c r="E32" s="3"/>
      <c r="F32" s="3"/>
      <c r="G32" s="3"/>
      <c r="H32" s="3"/>
      <c r="I32" s="3"/>
    </row>
    <row r="33" spans="1:9" ht="24.95" customHeight="1">
      <c r="A33" s="221" t="s">
        <v>50</v>
      </c>
      <c r="B33" s="222"/>
      <c r="C33" s="32"/>
      <c r="D33" s="3"/>
      <c r="E33" s="3"/>
      <c r="F33" s="3"/>
      <c r="G33" s="3"/>
      <c r="H33" s="3"/>
      <c r="I33" s="3"/>
    </row>
    <row r="34" spans="1:9" ht="24.95" customHeight="1">
      <c r="A34" s="10" t="s">
        <v>51</v>
      </c>
      <c r="B34" s="23">
        <v>5</v>
      </c>
      <c r="C34" s="32"/>
      <c r="D34" s="3"/>
      <c r="E34" s="3"/>
      <c r="F34" s="3"/>
      <c r="G34" s="3"/>
      <c r="H34" s="3"/>
      <c r="I34" s="3"/>
    </row>
    <row r="35" spans="1:9" ht="24.95" customHeight="1">
      <c r="A35" s="10" t="s">
        <v>47</v>
      </c>
      <c r="B35" s="23">
        <v>78</v>
      </c>
      <c r="C35" s="32"/>
      <c r="D35" s="3"/>
      <c r="E35" s="3"/>
      <c r="F35" s="3"/>
      <c r="G35" s="3"/>
      <c r="H35" s="3"/>
      <c r="I35" s="3"/>
    </row>
    <row r="36" spans="1:9" ht="24.95" customHeight="1">
      <c r="A36" s="10" t="s">
        <v>48</v>
      </c>
      <c r="B36" s="23">
        <v>5</v>
      </c>
      <c r="C36" s="32"/>
      <c r="D36" s="3"/>
      <c r="E36" s="3"/>
      <c r="F36" s="3"/>
      <c r="G36" s="3"/>
      <c r="H36" s="3"/>
      <c r="I36" s="3"/>
    </row>
    <row r="37" spans="1:9" ht="24.95" customHeight="1">
      <c r="A37" s="10" t="s">
        <v>49</v>
      </c>
      <c r="B37" s="23">
        <v>3</v>
      </c>
      <c r="C37" s="32"/>
      <c r="D37" s="3"/>
      <c r="E37" s="3"/>
      <c r="F37" s="3"/>
      <c r="G37" s="3"/>
      <c r="H37" s="3"/>
      <c r="I37" s="3"/>
    </row>
    <row r="38" spans="1:9" ht="24.95" customHeight="1">
      <c r="A38" s="221" t="s">
        <v>52</v>
      </c>
      <c r="B38" s="222"/>
      <c r="C38" s="32"/>
      <c r="D38" s="3"/>
      <c r="E38" s="3"/>
      <c r="F38" s="3"/>
      <c r="G38" s="3"/>
      <c r="H38" s="3"/>
      <c r="I38" s="3"/>
    </row>
    <row r="39" spans="1:9" ht="24.95" customHeight="1">
      <c r="A39" s="10" t="s">
        <v>51</v>
      </c>
      <c r="B39" s="23">
        <v>9</v>
      </c>
      <c r="C39" s="32"/>
      <c r="D39" s="3"/>
      <c r="E39" s="3"/>
      <c r="F39" s="3"/>
      <c r="G39" s="3"/>
      <c r="H39" s="3"/>
      <c r="I39" s="3"/>
    </row>
    <row r="40" spans="1:9" ht="24.95" customHeight="1">
      <c r="A40" s="10" t="s">
        <v>47</v>
      </c>
      <c r="B40" s="23">
        <v>0</v>
      </c>
      <c r="C40" s="32"/>
      <c r="D40" s="3"/>
      <c r="E40" s="3"/>
      <c r="F40" s="3"/>
      <c r="G40" s="3"/>
      <c r="H40" s="3"/>
      <c r="I40" s="3"/>
    </row>
    <row r="41" spans="1:9" ht="24.95" customHeight="1">
      <c r="A41" s="10" t="s">
        <v>48</v>
      </c>
      <c r="B41" s="23">
        <v>6</v>
      </c>
      <c r="C41" s="32"/>
      <c r="D41" s="3"/>
      <c r="E41" s="3"/>
      <c r="F41" s="3"/>
      <c r="G41" s="3"/>
      <c r="H41" s="3"/>
      <c r="I41" s="3"/>
    </row>
    <row r="42" spans="1:9" ht="24.95" customHeight="1">
      <c r="A42" s="10" t="s">
        <v>49</v>
      </c>
      <c r="B42" s="23">
        <v>0</v>
      </c>
      <c r="C42" s="32"/>
      <c r="D42" s="3"/>
      <c r="E42" s="3"/>
      <c r="F42" s="3"/>
      <c r="G42" s="3"/>
      <c r="H42" s="3"/>
      <c r="I42" s="3"/>
    </row>
  </sheetData>
  <mergeCells count="8">
    <mergeCell ref="A11:B11"/>
    <mergeCell ref="A2:B2"/>
    <mergeCell ref="A38:B38"/>
    <mergeCell ref="A28:B28"/>
    <mergeCell ref="A12:B12"/>
    <mergeCell ref="A23:B23"/>
    <mergeCell ref="A19:B19"/>
    <mergeCell ref="A33:B33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B12" sqref="B12"/>
    </sheetView>
  </sheetViews>
  <sheetFormatPr baseColWidth="10" defaultColWidth="12.875" defaultRowHeight="15.75" customHeight="1"/>
  <cols>
    <col min="1" max="1" width="14.875" style="36" customWidth="1"/>
    <col min="2" max="2" width="14.5" style="36" customWidth="1"/>
    <col min="3" max="3" width="14.75" style="36" customWidth="1"/>
    <col min="4" max="4" width="12" style="36" customWidth="1"/>
    <col min="5" max="5" width="6.375" style="36" customWidth="1"/>
    <col min="6" max="6" width="6.75" style="36" customWidth="1"/>
    <col min="7" max="7" width="6" style="36" customWidth="1"/>
    <col min="8" max="8" width="8.125" style="36" customWidth="1"/>
    <col min="9" max="9" width="9.625" style="36" customWidth="1"/>
    <col min="10" max="10" width="13.375" style="36" customWidth="1"/>
    <col min="11" max="11" width="13" style="36" customWidth="1"/>
    <col min="12" max="12" width="13.875" style="36" customWidth="1"/>
    <col min="13" max="256" width="12.875" style="36" customWidth="1"/>
  </cols>
  <sheetData>
    <row r="1" spans="1:15" ht="18.9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ht="18.95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 ht="18.95" customHeight="1">
      <c r="A3" s="38"/>
      <c r="B3" s="38"/>
      <c r="C3" s="38"/>
      <c r="D3" s="38"/>
      <c r="E3" s="39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ht="18.95" customHeight="1">
      <c r="A4" s="40" t="s">
        <v>53</v>
      </c>
      <c r="B4" s="40" t="s">
        <v>54</v>
      </c>
      <c r="C4" s="40" t="s">
        <v>55</v>
      </c>
      <c r="D4" s="40" t="s">
        <v>56</v>
      </c>
      <c r="E4" s="40" t="s">
        <v>57</v>
      </c>
      <c r="F4" s="40" t="s">
        <v>58</v>
      </c>
      <c r="G4" s="40" t="s">
        <v>59</v>
      </c>
      <c r="H4" s="40" t="s">
        <v>8</v>
      </c>
      <c r="I4" s="40" t="s">
        <v>60</v>
      </c>
      <c r="J4" s="40" t="s">
        <v>61</v>
      </c>
      <c r="K4" s="40" t="s">
        <v>62</v>
      </c>
      <c r="L4" s="39"/>
      <c r="M4" s="39"/>
      <c r="N4" s="38"/>
      <c r="O4" s="39"/>
    </row>
    <row r="5" spans="1:15" ht="18.95" customHeight="1">
      <c r="A5" s="41" t="s">
        <v>63</v>
      </c>
      <c r="B5" s="42">
        <f>IF(Resum!$B$29=1,1,0)</f>
        <v>0</v>
      </c>
      <c r="C5" s="42">
        <f>IF(Resum!$B$34=1,1,0)</f>
        <v>0</v>
      </c>
      <c r="D5" s="42">
        <f>IF(Resum!B39=1,1,0)</f>
        <v>0</v>
      </c>
      <c r="E5" s="42">
        <f t="shared" ref="E5:E14" si="0">Resum!$B$30</f>
        <v>14</v>
      </c>
      <c r="F5" s="42">
        <f t="shared" ref="F5:F14" si="1">Resum!$B$35</f>
        <v>78</v>
      </c>
      <c r="G5" s="42">
        <f t="shared" ref="G5:G14" si="2">Resum!$B$40</f>
        <v>0</v>
      </c>
      <c r="H5" s="43">
        <v>7.5</v>
      </c>
      <c r="I5" s="44">
        <v>530</v>
      </c>
      <c r="J5" s="43">
        <f t="shared" ref="J5:J14" si="3">H5*(B5*E5+C5*F5+D5*G5)</f>
        <v>0</v>
      </c>
      <c r="K5" s="44">
        <f t="shared" ref="K5:K14" si="4">I5*(B5*E5+C5*F5+D5*G5)</f>
        <v>0</v>
      </c>
      <c r="L5" s="37"/>
      <c r="M5" s="37"/>
      <c r="N5" s="42"/>
      <c r="O5" s="37"/>
    </row>
    <row r="6" spans="1:15" ht="18.95" customHeight="1">
      <c r="A6" s="41" t="s">
        <v>64</v>
      </c>
      <c r="B6" s="42">
        <f>IF(Resum!$B$29=2,1,0)</f>
        <v>0</v>
      </c>
      <c r="C6" s="42">
        <f>IF(Resum!$B$34=2,1,0)</f>
        <v>0</v>
      </c>
      <c r="D6" s="42">
        <f>IF(Resum!B39=2,1,0)</f>
        <v>0</v>
      </c>
      <c r="E6" s="42">
        <f t="shared" si="0"/>
        <v>14</v>
      </c>
      <c r="F6" s="42">
        <f t="shared" si="1"/>
        <v>78</v>
      </c>
      <c r="G6" s="42">
        <f t="shared" si="2"/>
        <v>0</v>
      </c>
      <c r="H6" s="43">
        <v>7.8</v>
      </c>
      <c r="I6" s="44">
        <v>640</v>
      </c>
      <c r="J6" s="43">
        <f t="shared" si="3"/>
        <v>0</v>
      </c>
      <c r="K6" s="44">
        <f t="shared" si="4"/>
        <v>0</v>
      </c>
      <c r="L6" s="37"/>
      <c r="M6" s="37"/>
      <c r="N6" s="42"/>
      <c r="O6" s="37"/>
    </row>
    <row r="7" spans="1:15" ht="18.95" customHeight="1">
      <c r="A7" s="41" t="s">
        <v>65</v>
      </c>
      <c r="B7" s="42">
        <f>IF(Resum!$B$29=3,1,0)</f>
        <v>0</v>
      </c>
      <c r="C7" s="42">
        <f>IF(Resum!$B$34=3,1,0)</f>
        <v>0</v>
      </c>
      <c r="D7" s="42">
        <f>IF(Resum!B39=3,1,0)</f>
        <v>0</v>
      </c>
      <c r="E7" s="42">
        <f t="shared" si="0"/>
        <v>14</v>
      </c>
      <c r="F7" s="42">
        <f t="shared" si="1"/>
        <v>78</v>
      </c>
      <c r="G7" s="42">
        <f t="shared" si="2"/>
        <v>0</v>
      </c>
      <c r="H7" s="43">
        <v>7.5</v>
      </c>
      <c r="I7" s="44">
        <v>395</v>
      </c>
      <c r="J7" s="43">
        <f t="shared" si="3"/>
        <v>0</v>
      </c>
      <c r="K7" s="44">
        <f t="shared" si="4"/>
        <v>0</v>
      </c>
      <c r="L7" s="37"/>
      <c r="M7" s="37"/>
      <c r="N7" s="42"/>
      <c r="O7" s="37"/>
    </row>
    <row r="8" spans="1:15" ht="18.95" customHeight="1">
      <c r="A8" s="41" t="s">
        <v>66</v>
      </c>
      <c r="B8" s="42">
        <f>IF(Resum!$B$29=4,1,0)</f>
        <v>0</v>
      </c>
      <c r="C8" s="42">
        <f>IF(Resum!$B$34=4,1,0)</f>
        <v>0</v>
      </c>
      <c r="D8" s="42">
        <f>IF(Resum!B39=4,1,0)</f>
        <v>0</v>
      </c>
      <c r="E8" s="42">
        <f t="shared" si="0"/>
        <v>14</v>
      </c>
      <c r="F8" s="42">
        <f t="shared" si="1"/>
        <v>78</v>
      </c>
      <c r="G8" s="42">
        <f t="shared" si="2"/>
        <v>0</v>
      </c>
      <c r="H8" s="43">
        <v>7.4</v>
      </c>
      <c r="I8" s="44">
        <v>662</v>
      </c>
      <c r="J8" s="43">
        <f t="shared" si="3"/>
        <v>0</v>
      </c>
      <c r="K8" s="44">
        <f t="shared" si="4"/>
        <v>0</v>
      </c>
      <c r="L8" s="37"/>
      <c r="M8" s="37"/>
      <c r="N8" s="42"/>
      <c r="O8" s="37"/>
    </row>
    <row r="9" spans="1:15" ht="18.95" customHeight="1">
      <c r="A9" s="41" t="s">
        <v>67</v>
      </c>
      <c r="B9" s="42">
        <f>IF(Resum!$B$29=5,1,0)</f>
        <v>0</v>
      </c>
      <c r="C9" s="42">
        <f>IF(Resum!$B$34=5,1,0)</f>
        <v>1</v>
      </c>
      <c r="D9" s="42">
        <f>IF(Resum!B39=5,1,0)</f>
        <v>0</v>
      </c>
      <c r="E9" s="42">
        <f t="shared" si="0"/>
        <v>14</v>
      </c>
      <c r="F9" s="42">
        <f t="shared" si="1"/>
        <v>78</v>
      </c>
      <c r="G9" s="42">
        <f t="shared" si="2"/>
        <v>0</v>
      </c>
      <c r="H9" s="43">
        <v>7</v>
      </c>
      <c r="I9" s="44">
        <v>362</v>
      </c>
      <c r="J9" s="43">
        <f t="shared" si="3"/>
        <v>546</v>
      </c>
      <c r="K9" s="44">
        <f t="shared" si="4"/>
        <v>28236</v>
      </c>
      <c r="L9" s="37"/>
      <c r="M9" s="37"/>
      <c r="N9" s="37"/>
      <c r="O9" s="37"/>
    </row>
    <row r="10" spans="1:15" ht="18.95" customHeight="1">
      <c r="A10" s="41" t="s">
        <v>68</v>
      </c>
      <c r="B10" s="42">
        <f>IF(Resum!$B$29=6,1,0)</f>
        <v>0</v>
      </c>
      <c r="C10" s="42">
        <f>IF(Resum!$B$34=6,1,0)</f>
        <v>0</v>
      </c>
      <c r="D10" s="42">
        <f>IF(Resum!B39=6,1,0)</f>
        <v>0</v>
      </c>
      <c r="E10" s="42">
        <f t="shared" si="0"/>
        <v>14</v>
      </c>
      <c r="F10" s="42">
        <f t="shared" si="1"/>
        <v>78</v>
      </c>
      <c r="G10" s="42">
        <f t="shared" si="2"/>
        <v>0</v>
      </c>
      <c r="H10" s="43">
        <v>2.4</v>
      </c>
      <c r="I10" s="44">
        <v>84</v>
      </c>
      <c r="J10" s="43">
        <f t="shared" si="3"/>
        <v>0</v>
      </c>
      <c r="K10" s="44">
        <f t="shared" si="4"/>
        <v>0</v>
      </c>
      <c r="L10" s="37"/>
      <c r="M10" s="37"/>
      <c r="N10" s="37"/>
      <c r="O10" s="37"/>
    </row>
    <row r="11" spans="1:15" ht="18.95" customHeight="1">
      <c r="A11" s="41" t="s">
        <v>69</v>
      </c>
      <c r="B11" s="42">
        <f>IF(Resum!$B$29=7,1,0)</f>
        <v>0</v>
      </c>
      <c r="C11" s="42">
        <f>IF(Resum!$B$34=7,1,0)</f>
        <v>0</v>
      </c>
      <c r="D11" s="42">
        <f>IF(Resum!B39=7,1,0)</f>
        <v>0</v>
      </c>
      <c r="E11" s="42">
        <f t="shared" si="0"/>
        <v>14</v>
      </c>
      <c r="F11" s="42">
        <f t="shared" si="1"/>
        <v>78</v>
      </c>
      <c r="G11" s="42">
        <f t="shared" si="2"/>
        <v>0</v>
      </c>
      <c r="H11" s="43">
        <v>6.8</v>
      </c>
      <c r="I11" s="44">
        <v>200</v>
      </c>
      <c r="J11" s="43">
        <f t="shared" si="3"/>
        <v>0</v>
      </c>
      <c r="K11" s="44">
        <f t="shared" si="4"/>
        <v>0</v>
      </c>
      <c r="L11" s="37"/>
      <c r="M11" s="37"/>
      <c r="N11" s="37"/>
      <c r="O11" s="37"/>
    </row>
    <row r="12" spans="1:15" ht="18.95" customHeight="1">
      <c r="A12" s="41" t="s">
        <v>70</v>
      </c>
      <c r="B12" s="42">
        <f>IF(Resum!$B$29=8,1,0)</f>
        <v>1</v>
      </c>
      <c r="C12" s="42">
        <f>IF(Resum!$B$34=8,1,0)</f>
        <v>0</v>
      </c>
      <c r="D12" s="42">
        <f>IF(Resum!B39=8,1,0)</f>
        <v>0</v>
      </c>
      <c r="E12" s="42">
        <f t="shared" si="0"/>
        <v>14</v>
      </c>
      <c r="F12" s="42">
        <f t="shared" si="1"/>
        <v>78</v>
      </c>
      <c r="G12" s="42">
        <f t="shared" si="2"/>
        <v>0</v>
      </c>
      <c r="H12" s="43">
        <v>3.8</v>
      </c>
      <c r="I12" s="44">
        <v>456</v>
      </c>
      <c r="J12" s="43">
        <f t="shared" si="3"/>
        <v>53.199999999999996</v>
      </c>
      <c r="K12" s="44">
        <f t="shared" si="4"/>
        <v>6384</v>
      </c>
      <c r="L12" s="37"/>
      <c r="M12" s="37"/>
      <c r="N12" s="37"/>
      <c r="O12" s="37"/>
    </row>
    <row r="13" spans="1:15" ht="18.95" customHeight="1">
      <c r="A13" s="41" t="s">
        <v>71</v>
      </c>
      <c r="B13" s="42">
        <f>IF(Resum!$B$29=9,1,0)</f>
        <v>0</v>
      </c>
      <c r="C13" s="42">
        <f>IF(Resum!$B$34=9,1,0)</f>
        <v>0</v>
      </c>
      <c r="D13" s="42">
        <f>IF(Resum!B39=9,1,0)</f>
        <v>1</v>
      </c>
      <c r="E13" s="42">
        <f t="shared" si="0"/>
        <v>14</v>
      </c>
      <c r="F13" s="42">
        <f t="shared" si="1"/>
        <v>78</v>
      </c>
      <c r="G13" s="42">
        <f t="shared" si="2"/>
        <v>0</v>
      </c>
      <c r="H13" s="43">
        <v>3.5</v>
      </c>
      <c r="I13" s="44">
        <v>1800</v>
      </c>
      <c r="J13" s="43">
        <f t="shared" si="3"/>
        <v>0</v>
      </c>
      <c r="K13" s="44">
        <f t="shared" si="4"/>
        <v>0</v>
      </c>
      <c r="L13" s="37"/>
      <c r="M13" s="37"/>
      <c r="N13" s="37"/>
      <c r="O13" s="37"/>
    </row>
    <row r="14" spans="1:15" ht="18.95" customHeight="1">
      <c r="A14" s="41" t="s">
        <v>72</v>
      </c>
      <c r="B14" s="42">
        <f>IF(Resum!$B$29=10,1,0)</f>
        <v>0</v>
      </c>
      <c r="C14" s="42">
        <f>IF(Resum!$B$34=10,1,0)</f>
        <v>0</v>
      </c>
      <c r="D14" s="42">
        <f>IF(Resum!B39=10,1,0)</f>
        <v>0</v>
      </c>
      <c r="E14" s="42">
        <f t="shared" si="0"/>
        <v>14</v>
      </c>
      <c r="F14" s="42">
        <f t="shared" si="1"/>
        <v>78</v>
      </c>
      <c r="G14" s="42">
        <f t="shared" si="2"/>
        <v>0</v>
      </c>
      <c r="H14" s="43">
        <v>4.0999999999999996</v>
      </c>
      <c r="I14" s="44">
        <v>3800</v>
      </c>
      <c r="J14" s="43">
        <f t="shared" si="3"/>
        <v>0</v>
      </c>
      <c r="K14" s="44">
        <f t="shared" si="4"/>
        <v>0</v>
      </c>
      <c r="L14" s="37"/>
      <c r="M14" s="37"/>
      <c r="N14" s="37"/>
      <c r="O14" s="37"/>
    </row>
    <row r="15" spans="1:15" ht="18.95" customHeight="1">
      <c r="A15" s="40" t="s">
        <v>73</v>
      </c>
      <c r="B15" s="37"/>
      <c r="C15" s="37"/>
      <c r="D15" s="37"/>
      <c r="E15" s="37"/>
      <c r="F15" s="37"/>
      <c r="G15" s="37"/>
      <c r="H15" s="37"/>
      <c r="I15" s="44"/>
      <c r="J15" s="43"/>
      <c r="K15" s="41" t="str">
        <f>IF(I15="","",I15*E15)</f>
        <v/>
      </c>
      <c r="L15" s="40" t="s">
        <v>74</v>
      </c>
      <c r="M15" s="40" t="s">
        <v>75</v>
      </c>
      <c r="N15" s="37"/>
      <c r="O15" s="37"/>
    </row>
    <row r="16" spans="1:15" ht="18.95" customHeight="1">
      <c r="A16" s="41" t="s">
        <v>63</v>
      </c>
      <c r="B16" s="42">
        <f>IF(Resum!$B$31=1,1,0)</f>
        <v>0</v>
      </c>
      <c r="C16" s="42">
        <f>IF(Resum!$B$36=1,1,0)</f>
        <v>0</v>
      </c>
      <c r="D16" s="42">
        <f>IF(Resum!B41=1,1,0)</f>
        <v>0</v>
      </c>
      <c r="E16" s="42">
        <f t="shared" ref="E16:E21" si="5">Resum!$B$32</f>
        <v>1</v>
      </c>
      <c r="F16" s="42">
        <f t="shared" ref="F16:F21" si="6">Resum!$B$37</f>
        <v>3</v>
      </c>
      <c r="G16" s="42">
        <f t="shared" ref="G16:G21" si="7">Resum!$B$42</f>
        <v>0</v>
      </c>
      <c r="H16" s="43">
        <v>300</v>
      </c>
      <c r="I16" s="44">
        <v>3400</v>
      </c>
      <c r="J16" s="43">
        <f t="shared" ref="J16:J21" si="8">H16*(B16*E16+C16*F16+D16*G16)</f>
        <v>0</v>
      </c>
      <c r="K16" s="44">
        <f t="shared" ref="K16:K21" si="9">I16*(B16*E16+C16*F16+D16*G16)</f>
        <v>0</v>
      </c>
      <c r="L16" s="42">
        <v>2</v>
      </c>
      <c r="M16" s="42">
        <f t="shared" ref="M16:M21" si="10">L16*(B16*E16+C16*F16+D16*G16)</f>
        <v>0</v>
      </c>
      <c r="N16" s="37"/>
      <c r="O16" s="37"/>
    </row>
    <row r="17" spans="1:15" ht="18.95" customHeight="1">
      <c r="A17" s="41" t="s">
        <v>64</v>
      </c>
      <c r="B17" s="42">
        <f>IF(Resum!$B$31=2,1,0)</f>
        <v>1</v>
      </c>
      <c r="C17" s="42">
        <f>IF(Resum!$B$36=2,1,0)</f>
        <v>0</v>
      </c>
      <c r="D17" s="42">
        <f>IF(Resum!B41=2,1,0)</f>
        <v>0</v>
      </c>
      <c r="E17" s="42">
        <f t="shared" si="5"/>
        <v>1</v>
      </c>
      <c r="F17" s="42">
        <f t="shared" si="6"/>
        <v>3</v>
      </c>
      <c r="G17" s="42">
        <f t="shared" si="7"/>
        <v>0</v>
      </c>
      <c r="H17" s="43">
        <v>400</v>
      </c>
      <c r="I17" s="44">
        <v>4600</v>
      </c>
      <c r="J17" s="43">
        <f t="shared" si="8"/>
        <v>400</v>
      </c>
      <c r="K17" s="44">
        <f t="shared" si="9"/>
        <v>4600</v>
      </c>
      <c r="L17" s="42">
        <v>4</v>
      </c>
      <c r="M17" s="42">
        <f t="shared" si="10"/>
        <v>4</v>
      </c>
      <c r="N17" s="37"/>
      <c r="O17" s="37"/>
    </row>
    <row r="18" spans="1:15" ht="18.95" customHeight="1">
      <c r="A18" s="41" t="s">
        <v>65</v>
      </c>
      <c r="B18" s="42">
        <f>IF(Resum!$B$31=3,1,0)</f>
        <v>0</v>
      </c>
      <c r="C18" s="42">
        <f>IF(Resum!$B$36=3,1,0)</f>
        <v>0</v>
      </c>
      <c r="D18" s="42">
        <f>IF(Resum!B41=3,1,0)</f>
        <v>0</v>
      </c>
      <c r="E18" s="42">
        <f t="shared" si="5"/>
        <v>1</v>
      </c>
      <c r="F18" s="42">
        <f t="shared" si="6"/>
        <v>3</v>
      </c>
      <c r="G18" s="42">
        <f t="shared" si="7"/>
        <v>0</v>
      </c>
      <c r="H18" s="43">
        <v>408</v>
      </c>
      <c r="I18" s="44">
        <v>5100</v>
      </c>
      <c r="J18" s="43">
        <f t="shared" si="8"/>
        <v>0</v>
      </c>
      <c r="K18" s="44">
        <f t="shared" si="9"/>
        <v>0</v>
      </c>
      <c r="L18" s="42">
        <v>4</v>
      </c>
      <c r="M18" s="42">
        <f t="shared" si="10"/>
        <v>0</v>
      </c>
      <c r="N18" s="37"/>
      <c r="O18" s="37"/>
    </row>
    <row r="19" spans="1:15" ht="18.95" customHeight="1">
      <c r="A19" s="41" t="s">
        <v>66</v>
      </c>
      <c r="B19" s="42">
        <f>IF(Resum!$B$31=4,1,0)</f>
        <v>0</v>
      </c>
      <c r="C19" s="42">
        <f>IF(Resum!$B$36=4,1,0)</f>
        <v>0</v>
      </c>
      <c r="D19" s="42">
        <f>IF(Resum!B41=4,1,0)</f>
        <v>0</v>
      </c>
      <c r="E19" s="42">
        <f t="shared" si="5"/>
        <v>1</v>
      </c>
      <c r="F19" s="42">
        <f t="shared" si="6"/>
        <v>3</v>
      </c>
      <c r="G19" s="42">
        <f t="shared" si="7"/>
        <v>0</v>
      </c>
      <c r="H19" s="43">
        <v>450</v>
      </c>
      <c r="I19" s="44">
        <v>5000</v>
      </c>
      <c r="J19" s="43">
        <f t="shared" si="8"/>
        <v>0</v>
      </c>
      <c r="K19" s="44">
        <f t="shared" si="9"/>
        <v>0</v>
      </c>
      <c r="L19" s="42">
        <v>4</v>
      </c>
      <c r="M19" s="42">
        <f t="shared" si="10"/>
        <v>0</v>
      </c>
      <c r="N19" s="37"/>
      <c r="O19" s="37"/>
    </row>
    <row r="20" spans="1:15" ht="18.95" customHeight="1">
      <c r="A20" s="41" t="s">
        <v>67</v>
      </c>
      <c r="B20" s="42">
        <f>IF(Resum!$B$31=5,1,0)</f>
        <v>0</v>
      </c>
      <c r="C20" s="42">
        <f>IF(Resum!$B$36=5,1,0)</f>
        <v>1</v>
      </c>
      <c r="D20" s="42">
        <f>IF(Resum!B41=5,1,0)</f>
        <v>0</v>
      </c>
      <c r="E20" s="42">
        <f t="shared" si="5"/>
        <v>1</v>
      </c>
      <c r="F20" s="42">
        <f t="shared" si="6"/>
        <v>3</v>
      </c>
      <c r="G20" s="42">
        <f t="shared" si="7"/>
        <v>0</v>
      </c>
      <c r="H20" s="43">
        <v>460</v>
      </c>
      <c r="I20" s="44">
        <v>5500</v>
      </c>
      <c r="J20" s="43">
        <f t="shared" si="8"/>
        <v>1380</v>
      </c>
      <c r="K20" s="44">
        <f t="shared" si="9"/>
        <v>16500</v>
      </c>
      <c r="L20" s="42">
        <v>4</v>
      </c>
      <c r="M20" s="42">
        <f t="shared" si="10"/>
        <v>12</v>
      </c>
      <c r="N20" s="37"/>
      <c r="O20" s="37"/>
    </row>
    <row r="21" spans="1:15" ht="18.95" customHeight="1">
      <c r="A21" s="41" t="s">
        <v>68</v>
      </c>
      <c r="B21" s="42">
        <f>IF(Resum!$B$31=6,1,0)</f>
        <v>0</v>
      </c>
      <c r="C21" s="42">
        <f>IF(Resum!$B$36=6,1,0)</f>
        <v>0</v>
      </c>
      <c r="D21" s="42">
        <f>IF(Resum!B41=6,1,0)</f>
        <v>1</v>
      </c>
      <c r="E21" s="42">
        <f t="shared" si="5"/>
        <v>1</v>
      </c>
      <c r="F21" s="42">
        <f t="shared" si="6"/>
        <v>3</v>
      </c>
      <c r="G21" s="42">
        <f t="shared" si="7"/>
        <v>0</v>
      </c>
      <c r="H21" s="43">
        <v>0</v>
      </c>
      <c r="I21" s="44">
        <v>2400</v>
      </c>
      <c r="J21" s="43">
        <f t="shared" si="8"/>
        <v>0</v>
      </c>
      <c r="K21" s="44">
        <f t="shared" si="9"/>
        <v>0</v>
      </c>
      <c r="L21" s="42">
        <v>4</v>
      </c>
      <c r="M21" s="42">
        <f t="shared" si="10"/>
        <v>0</v>
      </c>
      <c r="N21" s="37"/>
      <c r="O21" s="37"/>
    </row>
    <row r="22" spans="1:15" ht="18.95" customHeight="1">
      <c r="A22" s="37"/>
      <c r="B22" s="37"/>
      <c r="C22" s="37"/>
      <c r="D22" s="37"/>
      <c r="E22" s="37"/>
      <c r="F22" s="43"/>
      <c r="G22" s="43"/>
      <c r="H22" s="44"/>
      <c r="I22" s="44"/>
      <c r="J22" s="43"/>
      <c r="K22" s="41" t="str">
        <f>IF(I22="","",I22*E22)</f>
        <v/>
      </c>
      <c r="L22" s="37"/>
      <c r="M22" s="37"/>
      <c r="N22" s="37"/>
      <c r="O22" s="37"/>
    </row>
    <row r="23" spans="1:15" ht="18.95" customHeight="1">
      <c r="A23" s="37"/>
      <c r="B23" s="37"/>
      <c r="C23" s="37"/>
      <c r="D23" s="37"/>
      <c r="E23" s="37"/>
      <c r="F23" s="37"/>
      <c r="G23" s="37"/>
      <c r="H23" s="44"/>
      <c r="I23" s="44"/>
      <c r="J23" s="43"/>
      <c r="K23" s="44"/>
      <c r="L23" s="37"/>
      <c r="M23" s="37"/>
      <c r="N23" s="37"/>
      <c r="O23" s="37"/>
    </row>
    <row r="24" spans="1:15" ht="18.95" customHeight="1">
      <c r="A24" s="38"/>
      <c r="B24" s="45" t="s">
        <v>76</v>
      </c>
      <c r="C24" s="39"/>
      <c r="D24" s="39"/>
      <c r="E24" s="39"/>
      <c r="F24" s="39"/>
      <c r="G24" s="39"/>
      <c r="H24" s="46"/>
      <c r="I24" s="46"/>
      <c r="J24" s="47">
        <f>SUM(J5:J22)/1000</f>
        <v>2.3792</v>
      </c>
      <c r="K24" s="48">
        <f>SUM(K5:K22)</f>
        <v>55720</v>
      </c>
      <c r="L24" s="45" t="s">
        <v>77</v>
      </c>
      <c r="M24" s="49">
        <f>SUM(M16:M21)</f>
        <v>16</v>
      </c>
      <c r="N24" s="37"/>
      <c r="O24" s="37"/>
    </row>
    <row r="25" spans="1:15" ht="18.95" customHeight="1">
      <c r="A25" s="38"/>
      <c r="B25" s="38"/>
      <c r="C25" s="39"/>
      <c r="D25" s="39"/>
      <c r="E25" s="39"/>
      <c r="F25" s="39"/>
      <c r="G25" s="39"/>
      <c r="H25" s="46"/>
      <c r="I25" s="46"/>
      <c r="J25" s="50"/>
      <c r="K25" s="46"/>
      <c r="L25" s="45" t="s">
        <v>73</v>
      </c>
      <c r="M25" s="51">
        <f>E16+F16+G16</f>
        <v>4</v>
      </c>
      <c r="N25" s="37"/>
      <c r="O25" s="37"/>
    </row>
    <row r="26" spans="1:15" ht="18.95" customHeight="1">
      <c r="A26" s="38"/>
      <c r="B26" s="38"/>
      <c r="C26" s="39"/>
      <c r="D26" s="39"/>
      <c r="E26" s="39"/>
      <c r="F26" s="39"/>
      <c r="G26" s="39"/>
      <c r="H26" s="46"/>
      <c r="I26" s="46"/>
      <c r="J26" s="50"/>
      <c r="K26" s="46"/>
      <c r="L26" s="37"/>
      <c r="M26" s="37"/>
      <c r="N26" s="37"/>
      <c r="O26" s="37"/>
    </row>
    <row r="27" spans="1:15" ht="18.95" customHeight="1">
      <c r="A27" s="38"/>
      <c r="B27" s="38"/>
      <c r="C27" s="39"/>
      <c r="D27" s="39"/>
      <c r="E27" s="39"/>
      <c r="F27" s="39"/>
      <c r="G27" s="39"/>
      <c r="H27" s="46"/>
      <c r="I27" s="46"/>
      <c r="J27" s="50"/>
      <c r="K27" s="46"/>
      <c r="L27" s="37"/>
      <c r="M27" s="37"/>
      <c r="N27" s="37"/>
      <c r="O27" s="37"/>
    </row>
    <row r="28" spans="1:15" ht="18.95" customHeight="1">
      <c r="A28" s="38"/>
      <c r="B28" s="38"/>
      <c r="C28" s="39"/>
      <c r="D28" s="39"/>
      <c r="E28" s="39"/>
      <c r="F28" s="39"/>
      <c r="G28" s="39"/>
      <c r="H28" s="46"/>
      <c r="I28" s="46"/>
      <c r="J28" s="50"/>
      <c r="K28" s="46"/>
      <c r="L28" s="37"/>
      <c r="M28" s="37"/>
      <c r="N28" s="37"/>
      <c r="O28" s="37"/>
    </row>
    <row r="29" spans="1:15" ht="18.95" customHeight="1">
      <c r="A29" s="38"/>
      <c r="B29" s="38"/>
      <c r="C29" s="39"/>
      <c r="D29" s="39"/>
      <c r="E29" s="39"/>
      <c r="F29" s="39"/>
      <c r="G29" s="39"/>
      <c r="H29" s="46"/>
      <c r="I29" s="46"/>
      <c r="J29" s="50"/>
      <c r="K29" s="46"/>
      <c r="L29" s="37"/>
      <c r="M29" s="37"/>
      <c r="N29" s="37"/>
      <c r="O29" s="37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5"/>
  <sheetViews>
    <sheetView showGridLines="0" workbookViewId="0"/>
  </sheetViews>
  <sheetFormatPr baseColWidth="10" defaultColWidth="16.375" defaultRowHeight="20.100000000000001" customHeight="1"/>
  <cols>
    <col min="1" max="1" width="19.75" style="52" customWidth="1"/>
    <col min="2" max="3" width="16.375" style="52" customWidth="1"/>
    <col min="4" max="4" width="22.375" style="52" customWidth="1"/>
    <col min="5" max="5" width="12.625" style="52" customWidth="1"/>
    <col min="6" max="6" width="11.875" style="52" customWidth="1"/>
    <col min="7" max="7" width="9" style="52" customWidth="1"/>
    <col min="8" max="8" width="14.625" style="52" customWidth="1"/>
    <col min="9" max="9" width="10.375" style="52" customWidth="1"/>
    <col min="10" max="256" width="16.375" style="52" customWidth="1"/>
  </cols>
  <sheetData>
    <row r="1" spans="1:9" ht="22.35" customHeight="1">
      <c r="A1" s="3"/>
      <c r="B1" s="3"/>
      <c r="C1" s="3"/>
      <c r="D1" s="3"/>
      <c r="E1" s="3"/>
      <c r="F1" s="230" t="s">
        <v>78</v>
      </c>
      <c r="G1" s="228"/>
      <c r="H1" s="230" t="s">
        <v>79</v>
      </c>
      <c r="I1" s="228"/>
    </row>
    <row r="2" spans="1:9" ht="22.35" customHeight="1">
      <c r="A2" s="229" t="s">
        <v>80</v>
      </c>
      <c r="B2" s="228"/>
      <c r="C2" s="54" t="s">
        <v>81</v>
      </c>
      <c r="D2" s="53" t="s">
        <v>82</v>
      </c>
      <c r="E2" s="53" t="s">
        <v>83</v>
      </c>
      <c r="F2" s="53" t="s">
        <v>60</v>
      </c>
      <c r="G2" s="53" t="s">
        <v>8</v>
      </c>
      <c r="H2" s="53" t="s">
        <v>20</v>
      </c>
      <c r="I2" s="53" t="s">
        <v>8</v>
      </c>
    </row>
    <row r="3" spans="1:9" ht="22.35" customHeight="1">
      <c r="A3" s="53" t="s">
        <v>84</v>
      </c>
      <c r="B3" s="55">
        <f>Resum!B7</f>
        <v>80</v>
      </c>
      <c r="C3" s="56">
        <f t="shared" ref="C3:C5" si="0">IF($B$6&lt;&gt;0,1,0)</f>
        <v>0</v>
      </c>
      <c r="D3" s="54" t="s">
        <v>85</v>
      </c>
      <c r="E3" s="56">
        <v>16</v>
      </c>
      <c r="F3" s="57">
        <v>400</v>
      </c>
      <c r="G3" s="58">
        <v>0.7</v>
      </c>
      <c r="H3" s="57">
        <f>E3*F3*C3</f>
        <v>0</v>
      </c>
      <c r="I3" s="58">
        <f t="shared" ref="I3:I11" si="1">G3*E3*C3</f>
        <v>0</v>
      </c>
    </row>
    <row r="4" spans="1:9" ht="22.35" customHeight="1">
      <c r="A4" s="53" t="s">
        <v>86</v>
      </c>
      <c r="B4" s="59">
        <f>Resum!B4</f>
        <v>42</v>
      </c>
      <c r="C4" s="56">
        <f t="shared" si="0"/>
        <v>0</v>
      </c>
      <c r="D4" s="54" t="s">
        <v>87</v>
      </c>
      <c r="E4" s="56">
        <f>2*E15+B5*2</f>
        <v>6</v>
      </c>
      <c r="F4" s="57">
        <v>6000</v>
      </c>
      <c r="G4" s="58">
        <v>150</v>
      </c>
      <c r="H4" s="57">
        <f>E4*F4*C4</f>
        <v>0</v>
      </c>
      <c r="I4" s="58">
        <f t="shared" si="1"/>
        <v>0</v>
      </c>
    </row>
    <row r="5" spans="1:9" ht="36.4" customHeight="1">
      <c r="A5" s="53" t="s">
        <v>88</v>
      </c>
      <c r="B5" s="55">
        <f>ROUNDUP('Cabina de discos'!M24/B4,0)</f>
        <v>1</v>
      </c>
      <c r="C5" s="56">
        <f t="shared" si="0"/>
        <v>0</v>
      </c>
      <c r="D5" s="54" t="s">
        <v>89</v>
      </c>
      <c r="E5" s="56">
        <f>(B4-4)*2+E15+2+2</f>
        <v>82</v>
      </c>
      <c r="F5" s="57">
        <v>26</v>
      </c>
      <c r="G5" s="58">
        <v>0</v>
      </c>
      <c r="H5" s="57">
        <f>E5*F5*C5</f>
        <v>0</v>
      </c>
      <c r="I5" s="58">
        <f t="shared" si="1"/>
        <v>0</v>
      </c>
    </row>
    <row r="6" spans="1:9" ht="22.35" customHeight="1">
      <c r="A6" s="53" t="s">
        <v>90</v>
      </c>
      <c r="B6" s="55">
        <f>Resum!B27</f>
        <v>0</v>
      </c>
      <c r="C6" s="56">
        <f t="shared" ref="C6:C7" si="2">IF($B$6=1,1,0)</f>
        <v>0</v>
      </c>
      <c r="D6" s="54" t="s">
        <v>91</v>
      </c>
      <c r="E6" s="56">
        <f t="shared" ref="E6:E10" si="3">$B$3*2</f>
        <v>160</v>
      </c>
      <c r="F6" s="57">
        <v>1600</v>
      </c>
      <c r="G6" s="58">
        <v>6.2</v>
      </c>
      <c r="H6" s="57">
        <f t="shared" ref="H6:H11" si="4">C6*E6*F6</f>
        <v>0</v>
      </c>
      <c r="I6" s="58">
        <f t="shared" si="1"/>
        <v>0</v>
      </c>
    </row>
    <row r="7" spans="1:9" ht="22.35" customHeight="1">
      <c r="A7" s="3"/>
      <c r="B7" s="3"/>
      <c r="C7" s="56">
        <f t="shared" si="2"/>
        <v>0</v>
      </c>
      <c r="D7" s="54" t="s">
        <v>92</v>
      </c>
      <c r="E7" s="56">
        <v>2</v>
      </c>
      <c r="F7" s="57">
        <v>12800</v>
      </c>
      <c r="G7" s="58">
        <v>600</v>
      </c>
      <c r="H7" s="57">
        <f t="shared" si="4"/>
        <v>0</v>
      </c>
      <c r="I7" s="58">
        <f t="shared" si="1"/>
        <v>0</v>
      </c>
    </row>
    <row r="8" spans="1:9" ht="22.35" customHeight="1">
      <c r="A8" s="3"/>
      <c r="B8" s="3"/>
      <c r="C8" s="56">
        <f t="shared" ref="C8:C9" si="5">IF($B$6=2,1,0)</f>
        <v>0</v>
      </c>
      <c r="D8" s="54" t="s">
        <v>93</v>
      </c>
      <c r="E8" s="56">
        <f t="shared" si="3"/>
        <v>160</v>
      </c>
      <c r="F8" s="57">
        <v>2800</v>
      </c>
      <c r="G8" s="58">
        <v>10.199999999999999</v>
      </c>
      <c r="H8" s="57">
        <f t="shared" si="4"/>
        <v>0</v>
      </c>
      <c r="I8" s="58">
        <f t="shared" si="1"/>
        <v>0</v>
      </c>
    </row>
    <row r="9" spans="1:9" ht="22.35" customHeight="1">
      <c r="A9" s="3"/>
      <c r="B9" s="3"/>
      <c r="C9" s="56">
        <f t="shared" si="5"/>
        <v>0</v>
      </c>
      <c r="D9" s="54" t="s">
        <v>94</v>
      </c>
      <c r="E9" s="56">
        <v>2</v>
      </c>
      <c r="F9" s="57">
        <v>30000</v>
      </c>
      <c r="G9" s="58">
        <v>1800</v>
      </c>
      <c r="H9" s="57">
        <f t="shared" si="4"/>
        <v>0</v>
      </c>
      <c r="I9" s="58">
        <f t="shared" si="1"/>
        <v>0</v>
      </c>
    </row>
    <row r="10" spans="1:9" ht="22.35" customHeight="1">
      <c r="A10" s="3"/>
      <c r="B10" s="3"/>
      <c r="C10" s="56">
        <f t="shared" ref="C10:C11" si="6">IF($B$6=3,1,0)</f>
        <v>0</v>
      </c>
      <c r="D10" s="54" t="s">
        <v>95</v>
      </c>
      <c r="E10" s="56">
        <f t="shared" si="3"/>
        <v>160</v>
      </c>
      <c r="F10" s="57">
        <v>4200</v>
      </c>
      <c r="G10" s="58">
        <v>18.5</v>
      </c>
      <c r="H10" s="57">
        <f t="shared" si="4"/>
        <v>0</v>
      </c>
      <c r="I10" s="58">
        <f t="shared" si="1"/>
        <v>0</v>
      </c>
    </row>
    <row r="11" spans="1:9" ht="22.35" customHeight="1">
      <c r="A11" s="3"/>
      <c r="B11" s="3"/>
      <c r="C11" s="56">
        <f t="shared" si="6"/>
        <v>0</v>
      </c>
      <c r="D11" s="54" t="s">
        <v>96</v>
      </c>
      <c r="E11" s="56">
        <v>2</v>
      </c>
      <c r="F11" s="57">
        <v>72200</v>
      </c>
      <c r="G11" s="58">
        <v>3500</v>
      </c>
      <c r="H11" s="57">
        <f t="shared" si="4"/>
        <v>0</v>
      </c>
      <c r="I11" s="58">
        <f t="shared" si="1"/>
        <v>0</v>
      </c>
    </row>
    <row r="12" spans="1:9" ht="22.35" customHeight="1">
      <c r="A12" s="3"/>
      <c r="B12" s="3"/>
      <c r="C12" s="3"/>
      <c r="D12" s="54"/>
      <c r="E12" s="56"/>
      <c r="F12" s="57"/>
      <c r="G12" s="58"/>
      <c r="H12" s="57"/>
      <c r="I12" s="58"/>
    </row>
    <row r="13" spans="1:9" ht="22.35" customHeight="1">
      <c r="A13" s="229" t="s">
        <v>97</v>
      </c>
      <c r="B13" s="228"/>
      <c r="C13" s="3"/>
      <c r="D13" s="227" t="s">
        <v>98</v>
      </c>
      <c r="E13" s="228"/>
      <c r="F13" s="228"/>
      <c r="G13" s="228"/>
      <c r="H13" s="57">
        <f>SUM(H3:H12)</f>
        <v>0</v>
      </c>
      <c r="I13" s="58">
        <f>SUM(I3:I12)</f>
        <v>0</v>
      </c>
    </row>
    <row r="14" spans="1:9" ht="22.35" customHeight="1">
      <c r="A14" s="53" t="s">
        <v>99</v>
      </c>
      <c r="B14" s="60">
        <f>H13</f>
        <v>0</v>
      </c>
      <c r="C14" s="3"/>
      <c r="D14" s="3"/>
      <c r="E14" s="3"/>
      <c r="F14" s="61"/>
      <c r="G14" s="58"/>
      <c r="H14" s="56"/>
      <c r="I14" s="58"/>
    </row>
    <row r="15" spans="1:9" ht="22.35" customHeight="1">
      <c r="A15" s="53" t="s">
        <v>8</v>
      </c>
      <c r="B15" s="62">
        <f>I13/1000</f>
        <v>0</v>
      </c>
      <c r="C15" s="3"/>
      <c r="D15" s="54" t="s">
        <v>100</v>
      </c>
      <c r="E15" s="56">
        <f>MROUND(B3/(B4-4),1)</f>
        <v>2</v>
      </c>
      <c r="F15" s="3"/>
      <c r="G15" s="3"/>
      <c r="H15" s="3"/>
      <c r="I15" s="3"/>
    </row>
  </sheetData>
  <mergeCells count="5">
    <mergeCell ref="D13:G13"/>
    <mergeCell ref="A13:B13"/>
    <mergeCell ref="H1:I1"/>
    <mergeCell ref="F1:G1"/>
    <mergeCell ref="A2:B2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8"/>
  <sheetViews>
    <sheetView showGridLines="0" workbookViewId="0"/>
  </sheetViews>
  <sheetFormatPr baseColWidth="10" defaultColWidth="12.875" defaultRowHeight="15.75" customHeight="1"/>
  <cols>
    <col min="1" max="1" width="44.375" style="63" customWidth="1"/>
    <col min="2" max="2" width="16.375" style="63" customWidth="1"/>
    <col min="3" max="3" width="12.875" style="63" customWidth="1"/>
    <col min="4" max="4" width="14" style="63" customWidth="1"/>
    <col min="5" max="5" width="16.875" style="63" customWidth="1"/>
    <col min="6" max="6" width="15.875" style="63" customWidth="1"/>
    <col min="7" max="8" width="12.875" style="63" customWidth="1"/>
    <col min="9" max="9" width="36.375" style="63" customWidth="1"/>
    <col min="10" max="15" width="12.875" style="63" customWidth="1"/>
    <col min="16" max="16" width="14.625" style="63" customWidth="1"/>
    <col min="17" max="17" width="17" style="63" customWidth="1"/>
    <col min="18" max="18" width="7" style="63" customWidth="1"/>
    <col min="19" max="256" width="12.875" style="63" customWidth="1"/>
  </cols>
  <sheetData>
    <row r="1" spans="1:20" ht="18" customHeight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8" customHeight="1">
      <c r="A2" s="233" t="s">
        <v>101</v>
      </c>
      <c r="B2" s="234"/>
      <c r="C2" s="234"/>
      <c r="D2" s="234"/>
      <c r="E2" s="234"/>
      <c r="F2" s="234"/>
      <c r="G2" s="23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600000000000001" customHeight="1">
      <c r="A3" s="65" t="s">
        <v>102</v>
      </c>
      <c r="B3" s="66"/>
      <c r="C3" s="66"/>
      <c r="D3" s="66"/>
      <c r="E3" s="66"/>
      <c r="F3" s="66"/>
      <c r="G3" s="67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</row>
    <row r="4" spans="1:20" ht="18.95" customHeight="1">
      <c r="A4" s="68"/>
      <c r="B4" s="231" t="s">
        <v>103</v>
      </c>
      <c r="C4" s="232"/>
      <c r="D4" s="232"/>
      <c r="E4" s="232"/>
      <c r="F4" s="232"/>
      <c r="G4" s="232"/>
      <c r="H4" s="70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64"/>
    </row>
    <row r="5" spans="1:20" ht="18.95" customHeight="1">
      <c r="A5" s="72"/>
      <c r="B5" s="69" t="s">
        <v>104</v>
      </c>
      <c r="C5" s="69" t="s">
        <v>105</v>
      </c>
      <c r="D5" s="69" t="s">
        <v>106</v>
      </c>
      <c r="E5" s="69" t="s">
        <v>107</v>
      </c>
      <c r="F5" s="69" t="s">
        <v>108</v>
      </c>
      <c r="G5" s="69" t="s">
        <v>109</v>
      </c>
      <c r="H5" s="73"/>
      <c r="I5" s="74" t="s">
        <v>110</v>
      </c>
      <c r="J5" s="72"/>
      <c r="K5" s="72"/>
      <c r="L5" s="72"/>
      <c r="M5" s="72"/>
      <c r="N5" s="72"/>
      <c r="O5" s="72"/>
      <c r="P5" s="72"/>
      <c r="Q5" s="72"/>
      <c r="R5" s="72"/>
      <c r="S5" s="72"/>
      <c r="T5" s="70"/>
    </row>
    <row r="6" spans="1:20" ht="18" customHeight="1">
      <c r="A6" s="75" t="s">
        <v>111</v>
      </c>
      <c r="B6" s="76">
        <v>17.683102000000002</v>
      </c>
      <c r="C6" s="76">
        <v>8.8492049999999995</v>
      </c>
      <c r="D6" s="76">
        <v>6.4761480000000002</v>
      </c>
      <c r="E6" s="76">
        <v>6.4761480000000002</v>
      </c>
      <c r="F6" s="76">
        <v>6.4761480000000002</v>
      </c>
      <c r="G6" s="76">
        <v>2.9548369999999999</v>
      </c>
      <c r="H6" s="73"/>
      <c r="I6" s="72"/>
      <c r="J6" s="74" t="s">
        <v>104</v>
      </c>
      <c r="K6" s="74" t="s">
        <v>105</v>
      </c>
      <c r="L6" s="74" t="s">
        <v>106</v>
      </c>
      <c r="M6" s="74" t="s">
        <v>107</v>
      </c>
      <c r="N6" s="74" t="s">
        <v>108</v>
      </c>
      <c r="O6" s="74" t="s">
        <v>109</v>
      </c>
      <c r="P6" s="74" t="s">
        <v>112</v>
      </c>
      <c r="Q6" s="74" t="s">
        <v>113</v>
      </c>
      <c r="R6" s="74" t="s">
        <v>114</v>
      </c>
      <c r="S6" s="74" t="s">
        <v>115</v>
      </c>
      <c r="T6" s="70"/>
    </row>
    <row r="7" spans="1:20" ht="18" customHeight="1">
      <c r="A7" s="75" t="s">
        <v>116</v>
      </c>
      <c r="B7" s="76">
        <v>7.5697E-2</v>
      </c>
      <c r="C7" s="76">
        <v>5.6531999999999999E-2</v>
      </c>
      <c r="D7" s="76">
        <v>3.0124000000000001E-2</v>
      </c>
      <c r="E7" s="76">
        <v>1.4992E-2</v>
      </c>
      <c r="F7" s="76">
        <v>9.6819999999999996E-3</v>
      </c>
      <c r="G7" s="76">
        <v>6.0619999999999997E-3</v>
      </c>
      <c r="H7" s="73"/>
      <c r="I7" s="74" t="s">
        <v>117</v>
      </c>
      <c r="J7" s="77">
        <v>6</v>
      </c>
      <c r="K7" s="72">
        <v>10</v>
      </c>
      <c r="L7" s="72">
        <v>0</v>
      </c>
      <c r="M7" s="72">
        <v>0</v>
      </c>
      <c r="N7" s="72">
        <v>0</v>
      </c>
      <c r="O7" s="72">
        <v>8</v>
      </c>
      <c r="P7" s="72">
        <v>23</v>
      </c>
      <c r="Q7" s="72">
        <v>8</v>
      </c>
      <c r="R7" s="72">
        <f t="shared" ref="R7:R20" si="0">P7+Q7</f>
        <v>31</v>
      </c>
      <c r="S7" s="78">
        <f t="shared" ref="S7:S19" si="1">R7*24</f>
        <v>744</v>
      </c>
      <c r="T7" s="70"/>
    </row>
    <row r="8" spans="1:20" ht="18.95" customHeight="1">
      <c r="A8" s="79"/>
      <c r="B8" s="80"/>
      <c r="C8" s="79"/>
      <c r="D8" s="79"/>
      <c r="E8" s="79"/>
      <c r="F8" s="79"/>
      <c r="G8" s="81"/>
      <c r="H8" s="82"/>
      <c r="I8" s="74" t="s">
        <v>118</v>
      </c>
      <c r="J8" s="72">
        <v>6</v>
      </c>
      <c r="K8" s="72">
        <v>10</v>
      </c>
      <c r="L8" s="72">
        <v>0</v>
      </c>
      <c r="M8" s="72">
        <v>0</v>
      </c>
      <c r="N8" s="72">
        <v>0</v>
      </c>
      <c r="O8" s="72">
        <v>8</v>
      </c>
      <c r="P8" s="72">
        <v>20</v>
      </c>
      <c r="Q8" s="72">
        <v>8</v>
      </c>
      <c r="R8" s="72">
        <f t="shared" si="0"/>
        <v>28</v>
      </c>
      <c r="S8" s="78">
        <f t="shared" si="1"/>
        <v>672</v>
      </c>
      <c r="T8" s="70"/>
    </row>
    <row r="9" spans="1:20" ht="18.95" customHeight="1">
      <c r="A9" s="83" t="s">
        <v>119</v>
      </c>
      <c r="B9" s="84">
        <f>Resum!B6</f>
        <v>0.1</v>
      </c>
      <c r="C9" s="85" t="s">
        <v>120</v>
      </c>
      <c r="D9" s="37"/>
      <c r="E9" s="37"/>
      <c r="F9" s="37"/>
      <c r="G9" s="86"/>
      <c r="H9" s="82"/>
      <c r="I9" s="74" t="s">
        <v>121</v>
      </c>
      <c r="J9" s="72">
        <v>0</v>
      </c>
      <c r="K9" s="72">
        <v>0</v>
      </c>
      <c r="L9" s="72">
        <v>6</v>
      </c>
      <c r="M9" s="72">
        <v>10</v>
      </c>
      <c r="N9" s="72">
        <v>0</v>
      </c>
      <c r="O9" s="72">
        <v>8</v>
      </c>
      <c r="P9" s="72">
        <v>23</v>
      </c>
      <c r="Q9" s="72">
        <v>8</v>
      </c>
      <c r="R9" s="72">
        <f t="shared" si="0"/>
        <v>31</v>
      </c>
      <c r="S9" s="78">
        <f t="shared" si="1"/>
        <v>744</v>
      </c>
      <c r="T9" s="70"/>
    </row>
    <row r="10" spans="1:20" ht="18.95" customHeight="1">
      <c r="A10" s="75" t="s">
        <v>122</v>
      </c>
      <c r="B10" s="87">
        <f>Resum!B5+'Cabina de discos'!J24+SAN!B15+Backup!H29</f>
        <v>2002.3792000000001</v>
      </c>
      <c r="C10" s="85" t="s">
        <v>123</v>
      </c>
      <c r="D10" s="37"/>
      <c r="E10" s="37"/>
      <c r="F10" s="37"/>
      <c r="G10" s="86"/>
      <c r="H10" s="82"/>
      <c r="I10" s="74" t="s">
        <v>124</v>
      </c>
      <c r="J10" s="72">
        <v>0</v>
      </c>
      <c r="K10" s="72">
        <v>0</v>
      </c>
      <c r="L10" s="72">
        <v>0</v>
      </c>
      <c r="M10" s="72">
        <v>0</v>
      </c>
      <c r="N10" s="72">
        <v>16</v>
      </c>
      <c r="O10" s="72">
        <v>8</v>
      </c>
      <c r="P10" s="72">
        <v>22</v>
      </c>
      <c r="Q10" s="72">
        <v>8</v>
      </c>
      <c r="R10" s="72">
        <f t="shared" si="0"/>
        <v>30</v>
      </c>
      <c r="S10" s="78">
        <f t="shared" si="1"/>
        <v>720</v>
      </c>
      <c r="T10" s="70"/>
    </row>
    <row r="11" spans="1:20" ht="18.95" customHeight="1">
      <c r="A11" s="88"/>
      <c r="B11" s="88"/>
      <c r="C11" s="37"/>
      <c r="D11" s="37"/>
      <c r="E11" s="37"/>
      <c r="F11" s="37"/>
      <c r="G11" s="86"/>
      <c r="H11" s="82"/>
      <c r="I11" s="74" t="s">
        <v>125</v>
      </c>
      <c r="J11" s="72">
        <v>0</v>
      </c>
      <c r="K11" s="72">
        <v>0</v>
      </c>
      <c r="L11" s="72">
        <v>0</v>
      </c>
      <c r="M11" s="72">
        <v>0</v>
      </c>
      <c r="N11" s="72">
        <v>16</v>
      </c>
      <c r="O11" s="72">
        <v>8</v>
      </c>
      <c r="P11" s="72">
        <v>23</v>
      </c>
      <c r="Q11" s="72">
        <v>8</v>
      </c>
      <c r="R11" s="72">
        <f t="shared" si="0"/>
        <v>31</v>
      </c>
      <c r="S11" s="78">
        <f t="shared" si="1"/>
        <v>744</v>
      </c>
      <c r="T11" s="70"/>
    </row>
    <row r="12" spans="1:20" ht="18.95" customHeight="1">
      <c r="A12" s="89" t="s">
        <v>126</v>
      </c>
      <c r="B12" s="44"/>
      <c r="C12" s="37"/>
      <c r="D12" s="37"/>
      <c r="E12" s="37"/>
      <c r="F12" s="37"/>
      <c r="G12" s="86"/>
      <c r="H12" s="82"/>
      <c r="I12" s="74" t="s">
        <v>127</v>
      </c>
      <c r="J12" s="72">
        <v>0</v>
      </c>
      <c r="K12" s="72">
        <v>0</v>
      </c>
      <c r="L12" s="72">
        <v>6</v>
      </c>
      <c r="M12" s="72">
        <v>10</v>
      </c>
      <c r="N12" s="72">
        <v>0</v>
      </c>
      <c r="O12" s="72">
        <v>8</v>
      </c>
      <c r="P12" s="72">
        <v>11</v>
      </c>
      <c r="Q12" s="72">
        <v>4</v>
      </c>
      <c r="R12" s="72">
        <f t="shared" si="0"/>
        <v>15</v>
      </c>
      <c r="S12" s="78">
        <f t="shared" si="1"/>
        <v>360</v>
      </c>
      <c r="T12" s="70"/>
    </row>
    <row r="13" spans="1:20" ht="18.95" customHeight="1">
      <c r="A13" s="90"/>
      <c r="B13" s="91"/>
      <c r="C13" s="90"/>
      <c r="D13" s="90"/>
      <c r="E13" s="90"/>
      <c r="F13" s="90"/>
      <c r="G13" s="92"/>
      <c r="H13" s="82"/>
      <c r="I13" s="74" t="s">
        <v>128</v>
      </c>
      <c r="J13" s="72">
        <v>8</v>
      </c>
      <c r="K13" s="72">
        <v>8</v>
      </c>
      <c r="L13" s="72">
        <v>0</v>
      </c>
      <c r="M13" s="72">
        <v>0</v>
      </c>
      <c r="N13" s="72">
        <v>0</v>
      </c>
      <c r="O13" s="72">
        <v>8</v>
      </c>
      <c r="P13" s="72">
        <v>11</v>
      </c>
      <c r="Q13" s="72">
        <v>4</v>
      </c>
      <c r="R13" s="72">
        <f t="shared" si="0"/>
        <v>15</v>
      </c>
      <c r="S13" s="78">
        <f t="shared" si="1"/>
        <v>360</v>
      </c>
      <c r="T13" s="70"/>
    </row>
    <row r="14" spans="1:20" ht="18.95" customHeight="1">
      <c r="A14" s="93" t="s">
        <v>129</v>
      </c>
      <c r="B14" s="64"/>
      <c r="C14" s="64"/>
      <c r="D14" s="64"/>
      <c r="E14" s="64"/>
      <c r="F14" s="64"/>
      <c r="G14" s="64"/>
      <c r="H14" s="82"/>
      <c r="I14" s="74" t="s">
        <v>130</v>
      </c>
      <c r="J14" s="72">
        <v>8</v>
      </c>
      <c r="K14" s="72">
        <v>8</v>
      </c>
      <c r="L14" s="72">
        <v>0</v>
      </c>
      <c r="M14" s="72">
        <v>0</v>
      </c>
      <c r="N14" s="72">
        <v>0</v>
      </c>
      <c r="O14" s="72">
        <v>8</v>
      </c>
      <c r="P14" s="72">
        <v>23</v>
      </c>
      <c r="Q14" s="72">
        <v>8</v>
      </c>
      <c r="R14" s="72">
        <f t="shared" si="0"/>
        <v>31</v>
      </c>
      <c r="S14" s="78">
        <f t="shared" si="1"/>
        <v>744</v>
      </c>
      <c r="T14" s="70"/>
    </row>
    <row r="15" spans="1:20" ht="18.95" customHeight="1">
      <c r="A15" s="64"/>
      <c r="B15" s="94"/>
      <c r="C15" s="64"/>
      <c r="D15" s="64"/>
      <c r="E15" s="64"/>
      <c r="F15" s="64"/>
      <c r="G15" s="64"/>
      <c r="H15" s="82"/>
      <c r="I15" s="74" t="s">
        <v>131</v>
      </c>
      <c r="J15" s="72">
        <v>0</v>
      </c>
      <c r="K15" s="72">
        <v>0</v>
      </c>
      <c r="L15" s="72">
        <v>0</v>
      </c>
      <c r="M15" s="72">
        <v>0</v>
      </c>
      <c r="N15" s="72">
        <v>0</v>
      </c>
      <c r="O15" s="72">
        <v>24</v>
      </c>
      <c r="P15" s="72">
        <v>23</v>
      </c>
      <c r="Q15" s="72">
        <v>8</v>
      </c>
      <c r="R15" s="72">
        <f t="shared" si="0"/>
        <v>31</v>
      </c>
      <c r="S15" s="78">
        <f t="shared" si="1"/>
        <v>744</v>
      </c>
      <c r="T15" s="70"/>
    </row>
    <row r="16" spans="1:20" ht="18.95" customHeight="1">
      <c r="A16" s="71"/>
      <c r="B16" s="71"/>
      <c r="C16" s="71"/>
      <c r="D16" s="71"/>
      <c r="E16" s="71"/>
      <c r="F16" s="71"/>
      <c r="G16" s="64"/>
      <c r="H16" s="82"/>
      <c r="I16" s="74" t="s">
        <v>132</v>
      </c>
      <c r="J16" s="72">
        <v>0</v>
      </c>
      <c r="K16" s="72">
        <v>0</v>
      </c>
      <c r="L16" s="72">
        <v>6</v>
      </c>
      <c r="M16" s="72">
        <v>10</v>
      </c>
      <c r="N16" s="72">
        <v>0</v>
      </c>
      <c r="O16" s="72">
        <v>8</v>
      </c>
      <c r="P16" s="72">
        <v>22</v>
      </c>
      <c r="Q16" s="72">
        <v>8</v>
      </c>
      <c r="R16" s="72">
        <f t="shared" si="0"/>
        <v>30</v>
      </c>
      <c r="S16" s="78">
        <f t="shared" si="1"/>
        <v>720</v>
      </c>
      <c r="T16" s="70"/>
    </row>
    <row r="17" spans="1:20" ht="47.25" customHeight="1">
      <c r="A17" s="95" t="s">
        <v>133</v>
      </c>
      <c r="B17" s="96" t="s">
        <v>134</v>
      </c>
      <c r="C17" s="97" t="s">
        <v>135</v>
      </c>
      <c r="D17" s="96" t="s">
        <v>136</v>
      </c>
      <c r="E17" s="96" t="s">
        <v>137</v>
      </c>
      <c r="F17" s="98" t="s">
        <v>138</v>
      </c>
      <c r="G17" s="99" t="s">
        <v>139</v>
      </c>
      <c r="H17" s="82"/>
      <c r="I17" s="74" t="s">
        <v>140</v>
      </c>
      <c r="J17" s="72">
        <v>0</v>
      </c>
      <c r="K17" s="72">
        <v>0</v>
      </c>
      <c r="L17" s="72">
        <v>6</v>
      </c>
      <c r="M17" s="72">
        <v>10</v>
      </c>
      <c r="N17" s="72">
        <v>0</v>
      </c>
      <c r="O17" s="72">
        <v>8</v>
      </c>
      <c r="P17" s="72">
        <v>23</v>
      </c>
      <c r="Q17" s="72">
        <v>8</v>
      </c>
      <c r="R17" s="72">
        <f t="shared" si="0"/>
        <v>31</v>
      </c>
      <c r="S17" s="78">
        <f t="shared" si="1"/>
        <v>744</v>
      </c>
      <c r="T17" s="70"/>
    </row>
    <row r="18" spans="1:20" ht="18.95" customHeight="1">
      <c r="A18" s="100">
        <v>1</v>
      </c>
      <c r="B18" s="101">
        <f t="shared" ref="B18:B38" si="2">$B$10*A18</f>
        <v>2002.3792000000001</v>
      </c>
      <c r="C18" s="102">
        <f t="shared" ref="C18:C38" si="3">B18*(1+$B$9)</f>
        <v>2202.6171200000003</v>
      </c>
      <c r="D18" s="103">
        <f>SUM(B6:G6*C18)</f>
        <v>14264.474456453763</v>
      </c>
      <c r="E18" s="103">
        <f t="shared" ref="E18:E38" si="4">($J$38*$B$7+$K$38*$C$7+$L$38*$D$7+$M$38*$E$7+$N$38*$F$7+$O$38*$G$7+$P$38*$G$7)*B18</f>
        <v>345849.18133982079</v>
      </c>
      <c r="F18" s="104">
        <f t="shared" ref="F18:F38" si="5">D18+E18</f>
        <v>360113.65579627454</v>
      </c>
      <c r="G18" s="105">
        <f t="shared" ref="G18:G38" si="6">1-$F$18/F18</f>
        <v>0</v>
      </c>
      <c r="H18" s="82"/>
      <c r="I18" s="74" t="s">
        <v>141</v>
      </c>
      <c r="J18" s="72">
        <v>0</v>
      </c>
      <c r="K18" s="72">
        <v>0</v>
      </c>
      <c r="L18" s="72">
        <v>6</v>
      </c>
      <c r="M18" s="72">
        <v>10</v>
      </c>
      <c r="N18" s="72">
        <v>0</v>
      </c>
      <c r="O18" s="72">
        <v>8</v>
      </c>
      <c r="P18" s="72">
        <v>22</v>
      </c>
      <c r="Q18" s="72">
        <v>8</v>
      </c>
      <c r="R18" s="72">
        <f t="shared" si="0"/>
        <v>30</v>
      </c>
      <c r="S18" s="78">
        <f t="shared" si="1"/>
        <v>720</v>
      </c>
      <c r="T18" s="70"/>
    </row>
    <row r="19" spans="1:20" ht="18.95" customHeight="1">
      <c r="A19" s="106">
        <v>1.05</v>
      </c>
      <c r="B19" s="107">
        <f t="shared" si="2"/>
        <v>2102.4981600000001</v>
      </c>
      <c r="C19" s="108">
        <f t="shared" si="3"/>
        <v>2312.7479760000001</v>
      </c>
      <c r="D19" s="109">
        <v>1721.3454115905599</v>
      </c>
      <c r="E19" s="109">
        <f t="shared" si="4"/>
        <v>363141.64040681184</v>
      </c>
      <c r="F19" s="110">
        <f t="shared" si="5"/>
        <v>364862.98581840238</v>
      </c>
      <c r="G19" s="111">
        <f t="shared" si="6"/>
        <v>1.301674931885699E-2</v>
      </c>
      <c r="H19" s="82"/>
      <c r="I19" s="74" t="s">
        <v>142</v>
      </c>
      <c r="J19" s="72">
        <v>6</v>
      </c>
      <c r="K19" s="72">
        <v>10</v>
      </c>
      <c r="L19" s="72">
        <v>0</v>
      </c>
      <c r="M19" s="72">
        <v>0</v>
      </c>
      <c r="N19" s="72">
        <v>0</v>
      </c>
      <c r="O19" s="72">
        <v>8</v>
      </c>
      <c r="P19" s="72">
        <v>23</v>
      </c>
      <c r="Q19" s="72">
        <v>7</v>
      </c>
      <c r="R19" s="72">
        <f t="shared" si="0"/>
        <v>30</v>
      </c>
      <c r="S19" s="78">
        <f t="shared" si="1"/>
        <v>720</v>
      </c>
      <c r="T19" s="70"/>
    </row>
    <row r="20" spans="1:20" ht="18.95" customHeight="1">
      <c r="A20" s="106">
        <v>1.1000000000000001</v>
      </c>
      <c r="B20" s="107">
        <f t="shared" si="2"/>
        <v>2202.6171200000003</v>
      </c>
      <c r="C20" s="108">
        <f t="shared" si="3"/>
        <v>2422.8788320000008</v>
      </c>
      <c r="D20" s="109">
        <v>1803.314240713921</v>
      </c>
      <c r="E20" s="109">
        <f t="shared" si="4"/>
        <v>380434.0994738029</v>
      </c>
      <c r="F20" s="110">
        <f t="shared" si="5"/>
        <v>382237.41371451679</v>
      </c>
      <c r="G20" s="111">
        <f t="shared" si="6"/>
        <v>5.7879624349818082E-2</v>
      </c>
      <c r="H20" s="64"/>
      <c r="I20" s="112"/>
      <c r="J20" s="112"/>
      <c r="K20" s="112"/>
      <c r="L20" s="112"/>
      <c r="M20" s="112"/>
      <c r="N20" s="112"/>
      <c r="O20" s="112"/>
      <c r="P20" s="113">
        <f>SUM(P7:P19)</f>
        <v>269</v>
      </c>
      <c r="Q20" s="113">
        <f>SUM(Q7:Q19)</f>
        <v>95</v>
      </c>
      <c r="R20" s="113">
        <f t="shared" si="0"/>
        <v>364</v>
      </c>
      <c r="S20" s="113">
        <f>SUM(S7:S19)</f>
        <v>8736</v>
      </c>
      <c r="T20" s="64"/>
    </row>
    <row r="21" spans="1:20" ht="18.95" customHeight="1">
      <c r="A21" s="106">
        <v>1.1499999999999999</v>
      </c>
      <c r="B21" s="107">
        <f t="shared" si="2"/>
        <v>2302.7360800000001</v>
      </c>
      <c r="C21" s="108">
        <f t="shared" si="3"/>
        <v>2533.0096880000006</v>
      </c>
      <c r="D21" s="109">
        <v>1885.28306983728</v>
      </c>
      <c r="E21" s="109">
        <f t="shared" si="4"/>
        <v>397726.55854079395</v>
      </c>
      <c r="F21" s="110">
        <f t="shared" si="5"/>
        <v>399611.84161063121</v>
      </c>
      <c r="G21" s="111">
        <f t="shared" si="6"/>
        <v>9.8841379812869556E-2</v>
      </c>
      <c r="H21" s="64"/>
      <c r="I21" s="71"/>
      <c r="J21" s="71"/>
      <c r="K21" s="71"/>
      <c r="L21" s="71"/>
      <c r="M21" s="71"/>
      <c r="N21" s="71"/>
      <c r="O21" s="71"/>
      <c r="P21" s="71"/>
      <c r="Q21" s="64"/>
      <c r="R21" s="64"/>
      <c r="S21" s="64"/>
      <c r="T21" s="64"/>
    </row>
    <row r="22" spans="1:20" ht="18.95" customHeight="1">
      <c r="A22" s="106">
        <v>1.2</v>
      </c>
      <c r="B22" s="107">
        <f t="shared" si="2"/>
        <v>2402.8550399999999</v>
      </c>
      <c r="C22" s="108">
        <f t="shared" si="3"/>
        <v>2643.1405440000003</v>
      </c>
      <c r="D22" s="109">
        <v>1967.2518989606399</v>
      </c>
      <c r="E22" s="109">
        <f t="shared" si="4"/>
        <v>415019.01760778495</v>
      </c>
      <c r="F22" s="110">
        <f t="shared" si="5"/>
        <v>416986.26950674556</v>
      </c>
      <c r="G22" s="111">
        <f t="shared" si="6"/>
        <v>0.13638965565399985</v>
      </c>
      <c r="H22" s="82"/>
      <c r="I22" s="74" t="s">
        <v>143</v>
      </c>
      <c r="J22" s="72"/>
      <c r="K22" s="72"/>
      <c r="L22" s="72"/>
      <c r="M22" s="72"/>
      <c r="N22" s="72"/>
      <c r="O22" s="72"/>
      <c r="P22" s="72"/>
      <c r="Q22" s="70"/>
      <c r="R22" s="64"/>
      <c r="S22" s="64"/>
      <c r="T22" s="64"/>
    </row>
    <row r="23" spans="1:20" ht="18.95" customHeight="1">
      <c r="A23" s="106">
        <v>1.25</v>
      </c>
      <c r="B23" s="107">
        <f t="shared" si="2"/>
        <v>2502.9740000000002</v>
      </c>
      <c r="C23" s="108">
        <f t="shared" si="3"/>
        <v>2753.2714000000005</v>
      </c>
      <c r="D23" s="109">
        <v>2049.2207280839998</v>
      </c>
      <c r="E23" s="109">
        <f t="shared" si="4"/>
        <v>432311.476674776</v>
      </c>
      <c r="F23" s="110">
        <f t="shared" si="5"/>
        <v>434360.69740285998</v>
      </c>
      <c r="G23" s="111">
        <f t="shared" si="6"/>
        <v>0.17093406942783995</v>
      </c>
      <c r="H23" s="82"/>
      <c r="I23" s="72"/>
      <c r="J23" s="74" t="s">
        <v>104</v>
      </c>
      <c r="K23" s="74" t="s">
        <v>105</v>
      </c>
      <c r="L23" s="74" t="s">
        <v>106</v>
      </c>
      <c r="M23" s="74" t="s">
        <v>107</v>
      </c>
      <c r="N23" s="74" t="s">
        <v>108</v>
      </c>
      <c r="O23" s="74" t="s">
        <v>109</v>
      </c>
      <c r="P23" s="74" t="s">
        <v>144</v>
      </c>
      <c r="Q23" s="70"/>
      <c r="R23" s="64"/>
      <c r="S23" s="64"/>
      <c r="T23" s="64"/>
    </row>
    <row r="24" spans="1:20" ht="18" customHeight="1">
      <c r="A24" s="106">
        <v>1.3</v>
      </c>
      <c r="B24" s="107">
        <f t="shared" si="2"/>
        <v>2603.0929600000004</v>
      </c>
      <c r="C24" s="108">
        <f t="shared" si="3"/>
        <v>2863.4022560000008</v>
      </c>
      <c r="D24" s="109">
        <v>2131.1895572073599</v>
      </c>
      <c r="E24" s="109">
        <f t="shared" si="4"/>
        <v>449603.93574176711</v>
      </c>
      <c r="F24" s="110">
        <f t="shared" si="5"/>
        <v>451735.12529897445</v>
      </c>
      <c r="G24" s="111">
        <f t="shared" si="6"/>
        <v>0.20282122060369234</v>
      </c>
      <c r="H24" s="82"/>
      <c r="I24" s="74" t="s">
        <v>117</v>
      </c>
      <c r="J24" s="77">
        <f t="shared" ref="J24:O36" si="7">J7*$P7</f>
        <v>138</v>
      </c>
      <c r="K24" s="77">
        <f t="shared" si="7"/>
        <v>230</v>
      </c>
      <c r="L24" s="77">
        <f t="shared" si="7"/>
        <v>0</v>
      </c>
      <c r="M24" s="77">
        <f t="shared" si="7"/>
        <v>0</v>
      </c>
      <c r="N24" s="77">
        <f t="shared" si="7"/>
        <v>0</v>
      </c>
      <c r="O24" s="77">
        <f t="shared" si="7"/>
        <v>184</v>
      </c>
      <c r="P24" s="77">
        <f t="shared" ref="P24:P36" si="8">$Q7*24</f>
        <v>192</v>
      </c>
      <c r="Q24" s="70"/>
      <c r="R24" s="64"/>
      <c r="S24" s="64"/>
      <c r="T24" s="64"/>
    </row>
    <row r="25" spans="1:20" ht="18" customHeight="1">
      <c r="A25" s="106">
        <v>1.35</v>
      </c>
      <c r="B25" s="107">
        <f t="shared" si="2"/>
        <v>2703.2119200000002</v>
      </c>
      <c r="C25" s="108">
        <f t="shared" si="3"/>
        <v>2973.5331120000005</v>
      </c>
      <c r="D25" s="109">
        <v>2213.158386330721</v>
      </c>
      <c r="E25" s="109">
        <f t="shared" si="4"/>
        <v>466896.39480875811</v>
      </c>
      <c r="F25" s="110">
        <f t="shared" si="5"/>
        <v>469109.55319508881</v>
      </c>
      <c r="G25" s="111">
        <f t="shared" si="6"/>
        <v>0.23234636058133329</v>
      </c>
      <c r="H25" s="82"/>
      <c r="I25" s="74" t="s">
        <v>118</v>
      </c>
      <c r="J25" s="77">
        <f t="shared" si="7"/>
        <v>120</v>
      </c>
      <c r="K25" s="77">
        <f t="shared" si="7"/>
        <v>200</v>
      </c>
      <c r="L25" s="77">
        <f t="shared" si="7"/>
        <v>0</v>
      </c>
      <c r="M25" s="77">
        <f t="shared" si="7"/>
        <v>0</v>
      </c>
      <c r="N25" s="77">
        <f t="shared" si="7"/>
        <v>0</v>
      </c>
      <c r="O25" s="77">
        <f t="shared" si="7"/>
        <v>160</v>
      </c>
      <c r="P25" s="77">
        <f t="shared" si="8"/>
        <v>192</v>
      </c>
      <c r="Q25" s="70"/>
      <c r="R25" s="64"/>
      <c r="S25" s="64"/>
      <c r="T25" s="64"/>
    </row>
    <row r="26" spans="1:20" ht="18" customHeight="1">
      <c r="A26" s="106">
        <v>1.4</v>
      </c>
      <c r="B26" s="107">
        <f t="shared" si="2"/>
        <v>2803.33088</v>
      </c>
      <c r="C26" s="108">
        <f t="shared" si="3"/>
        <v>3083.6639680000003</v>
      </c>
      <c r="D26" s="109">
        <v>2295.1272154540811</v>
      </c>
      <c r="E26" s="109">
        <f t="shared" si="4"/>
        <v>484188.8538757491</v>
      </c>
      <c r="F26" s="110">
        <f t="shared" si="5"/>
        <v>486483.98109120317</v>
      </c>
      <c r="G26" s="111">
        <f t="shared" si="6"/>
        <v>0.25976256198914283</v>
      </c>
      <c r="H26" s="82"/>
      <c r="I26" s="74" t="s">
        <v>121</v>
      </c>
      <c r="J26" s="77">
        <f t="shared" si="7"/>
        <v>0</v>
      </c>
      <c r="K26" s="77">
        <f t="shared" si="7"/>
        <v>0</v>
      </c>
      <c r="L26" s="77">
        <f t="shared" si="7"/>
        <v>138</v>
      </c>
      <c r="M26" s="77">
        <f t="shared" si="7"/>
        <v>230</v>
      </c>
      <c r="N26" s="77">
        <f t="shared" si="7"/>
        <v>0</v>
      </c>
      <c r="O26" s="77">
        <f t="shared" si="7"/>
        <v>184</v>
      </c>
      <c r="P26" s="77">
        <f t="shared" si="8"/>
        <v>192</v>
      </c>
      <c r="Q26" s="70"/>
      <c r="R26" s="64"/>
      <c r="S26" s="64"/>
      <c r="T26" s="64"/>
    </row>
    <row r="27" spans="1:20" ht="18" customHeight="1">
      <c r="A27" s="106">
        <v>1.45</v>
      </c>
      <c r="B27" s="107">
        <f t="shared" si="2"/>
        <v>2903.4498400000002</v>
      </c>
      <c r="C27" s="108">
        <f t="shared" si="3"/>
        <v>3193.7948240000005</v>
      </c>
      <c r="D27" s="109">
        <v>2377.0960445774399</v>
      </c>
      <c r="E27" s="109">
        <f t="shared" si="4"/>
        <v>501481.31294274016</v>
      </c>
      <c r="F27" s="110">
        <f t="shared" si="5"/>
        <v>503858.40898731758</v>
      </c>
      <c r="G27" s="111">
        <f t="shared" si="6"/>
        <v>0.28528799088606893</v>
      </c>
      <c r="H27" s="82"/>
      <c r="I27" s="74" t="s">
        <v>124</v>
      </c>
      <c r="J27" s="77">
        <f t="shared" si="7"/>
        <v>0</v>
      </c>
      <c r="K27" s="77">
        <f t="shared" si="7"/>
        <v>0</v>
      </c>
      <c r="L27" s="77">
        <f t="shared" si="7"/>
        <v>0</v>
      </c>
      <c r="M27" s="77">
        <f t="shared" si="7"/>
        <v>0</v>
      </c>
      <c r="N27" s="77">
        <f t="shared" si="7"/>
        <v>352</v>
      </c>
      <c r="O27" s="77">
        <f t="shared" si="7"/>
        <v>176</v>
      </c>
      <c r="P27" s="77">
        <f t="shared" si="8"/>
        <v>192</v>
      </c>
      <c r="Q27" s="70"/>
      <c r="R27" s="64"/>
      <c r="S27" s="64"/>
      <c r="T27" s="64"/>
    </row>
    <row r="28" spans="1:20" ht="18" customHeight="1">
      <c r="A28" s="106">
        <v>1.5</v>
      </c>
      <c r="B28" s="107">
        <f t="shared" si="2"/>
        <v>3003.5688</v>
      </c>
      <c r="C28" s="108">
        <f t="shared" si="3"/>
        <v>3303.9256800000003</v>
      </c>
      <c r="D28" s="109">
        <v>2459.0648737008</v>
      </c>
      <c r="E28" s="109">
        <f t="shared" si="4"/>
        <v>518773.77200973115</v>
      </c>
      <c r="F28" s="110">
        <f t="shared" si="5"/>
        <v>521232.83688343194</v>
      </c>
      <c r="G28" s="111">
        <f t="shared" si="6"/>
        <v>0.3091117245231999</v>
      </c>
      <c r="H28" s="82"/>
      <c r="I28" s="74" t="s">
        <v>125</v>
      </c>
      <c r="J28" s="77">
        <f t="shared" si="7"/>
        <v>0</v>
      </c>
      <c r="K28" s="77">
        <f t="shared" si="7"/>
        <v>0</v>
      </c>
      <c r="L28" s="77">
        <f t="shared" si="7"/>
        <v>0</v>
      </c>
      <c r="M28" s="77">
        <f t="shared" si="7"/>
        <v>0</v>
      </c>
      <c r="N28" s="77">
        <f t="shared" si="7"/>
        <v>368</v>
      </c>
      <c r="O28" s="77">
        <f t="shared" si="7"/>
        <v>184</v>
      </c>
      <c r="P28" s="77">
        <f t="shared" si="8"/>
        <v>192</v>
      </c>
      <c r="Q28" s="70"/>
      <c r="R28" s="64"/>
      <c r="S28" s="64"/>
      <c r="T28" s="64"/>
    </row>
    <row r="29" spans="1:20" ht="18" customHeight="1">
      <c r="A29" s="106">
        <v>1.55</v>
      </c>
      <c r="B29" s="107">
        <f t="shared" si="2"/>
        <v>3103.6877600000003</v>
      </c>
      <c r="C29" s="108">
        <f t="shared" si="3"/>
        <v>3414.0565360000005</v>
      </c>
      <c r="D29" s="109">
        <v>2541.0337028241611</v>
      </c>
      <c r="E29" s="109">
        <f t="shared" si="4"/>
        <v>536066.23107672227</v>
      </c>
      <c r="F29" s="110">
        <f t="shared" si="5"/>
        <v>538607.26477954641</v>
      </c>
      <c r="G29" s="111">
        <f t="shared" si="6"/>
        <v>0.33139844308696775</v>
      </c>
      <c r="H29" s="82"/>
      <c r="I29" s="74" t="s">
        <v>127</v>
      </c>
      <c r="J29" s="77">
        <f t="shared" si="7"/>
        <v>0</v>
      </c>
      <c r="K29" s="77">
        <f t="shared" si="7"/>
        <v>0</v>
      </c>
      <c r="L29" s="77">
        <f t="shared" si="7"/>
        <v>66</v>
      </c>
      <c r="M29" s="77">
        <f t="shared" si="7"/>
        <v>110</v>
      </c>
      <c r="N29" s="77">
        <f t="shared" si="7"/>
        <v>0</v>
      </c>
      <c r="O29" s="77">
        <f t="shared" si="7"/>
        <v>88</v>
      </c>
      <c r="P29" s="77">
        <f t="shared" si="8"/>
        <v>96</v>
      </c>
      <c r="Q29" s="70"/>
      <c r="R29" s="64"/>
      <c r="S29" s="64"/>
      <c r="T29" s="64"/>
    </row>
    <row r="30" spans="1:20" ht="18" customHeight="1">
      <c r="A30" s="106">
        <v>1.6</v>
      </c>
      <c r="B30" s="107">
        <f t="shared" si="2"/>
        <v>3203.8067200000005</v>
      </c>
      <c r="C30" s="108">
        <f t="shared" si="3"/>
        <v>3524.1873920000007</v>
      </c>
      <c r="D30" s="109">
        <v>2623.0025319475199</v>
      </c>
      <c r="E30" s="109">
        <f t="shared" si="4"/>
        <v>553358.69014371338</v>
      </c>
      <c r="F30" s="110">
        <f t="shared" si="5"/>
        <v>555981.69267566095</v>
      </c>
      <c r="G30" s="111">
        <f t="shared" si="6"/>
        <v>0.35229224174050011</v>
      </c>
      <c r="H30" s="82"/>
      <c r="I30" s="74" t="s">
        <v>128</v>
      </c>
      <c r="J30" s="77">
        <f t="shared" si="7"/>
        <v>88</v>
      </c>
      <c r="K30" s="77">
        <f t="shared" si="7"/>
        <v>88</v>
      </c>
      <c r="L30" s="77">
        <f t="shared" si="7"/>
        <v>0</v>
      </c>
      <c r="M30" s="77">
        <f t="shared" si="7"/>
        <v>0</v>
      </c>
      <c r="N30" s="77">
        <f t="shared" si="7"/>
        <v>0</v>
      </c>
      <c r="O30" s="77">
        <f t="shared" si="7"/>
        <v>88</v>
      </c>
      <c r="P30" s="77">
        <f t="shared" si="8"/>
        <v>96</v>
      </c>
      <c r="Q30" s="70"/>
      <c r="R30" s="64"/>
      <c r="S30" s="64"/>
      <c r="T30" s="64"/>
    </row>
    <row r="31" spans="1:20" ht="18" customHeight="1">
      <c r="A31" s="106">
        <v>1.65</v>
      </c>
      <c r="B31" s="107">
        <f t="shared" si="2"/>
        <v>3303.9256799999998</v>
      </c>
      <c r="C31" s="108">
        <f t="shared" si="3"/>
        <v>3634.318248</v>
      </c>
      <c r="D31" s="109">
        <v>2704.97136107088</v>
      </c>
      <c r="E31" s="109">
        <f t="shared" si="4"/>
        <v>570651.14921070426</v>
      </c>
      <c r="F31" s="110">
        <f t="shared" si="5"/>
        <v>573356.12057177513</v>
      </c>
      <c r="G31" s="111">
        <f t="shared" si="6"/>
        <v>0.37191974956654539</v>
      </c>
      <c r="H31" s="82"/>
      <c r="I31" s="74" t="s">
        <v>130</v>
      </c>
      <c r="J31" s="77">
        <f t="shared" si="7"/>
        <v>184</v>
      </c>
      <c r="K31" s="77">
        <f t="shared" si="7"/>
        <v>184</v>
      </c>
      <c r="L31" s="77">
        <f t="shared" si="7"/>
        <v>0</v>
      </c>
      <c r="M31" s="77">
        <f t="shared" si="7"/>
        <v>0</v>
      </c>
      <c r="N31" s="77">
        <f t="shared" si="7"/>
        <v>0</v>
      </c>
      <c r="O31" s="77">
        <f t="shared" si="7"/>
        <v>184</v>
      </c>
      <c r="P31" s="77">
        <f t="shared" si="8"/>
        <v>192</v>
      </c>
      <c r="Q31" s="70"/>
      <c r="R31" s="64"/>
      <c r="S31" s="64"/>
      <c r="T31" s="64"/>
    </row>
    <row r="32" spans="1:20" ht="18" customHeight="1">
      <c r="A32" s="106">
        <v>1.7</v>
      </c>
      <c r="B32" s="107">
        <f t="shared" si="2"/>
        <v>3404.0446400000001</v>
      </c>
      <c r="C32" s="108">
        <f t="shared" si="3"/>
        <v>3744.4491040000003</v>
      </c>
      <c r="D32" s="109">
        <v>2786.940190194241</v>
      </c>
      <c r="E32" s="109">
        <f t="shared" si="4"/>
        <v>587943.60827769537</v>
      </c>
      <c r="F32" s="110">
        <f t="shared" si="5"/>
        <v>590730.54846788966</v>
      </c>
      <c r="G32" s="111">
        <f t="shared" si="6"/>
        <v>0.39039269810870592</v>
      </c>
      <c r="H32" s="82"/>
      <c r="I32" s="74" t="s">
        <v>131</v>
      </c>
      <c r="J32" s="77">
        <f t="shared" si="7"/>
        <v>0</v>
      </c>
      <c r="K32" s="77">
        <f t="shared" si="7"/>
        <v>0</v>
      </c>
      <c r="L32" s="77">
        <f t="shared" si="7"/>
        <v>0</v>
      </c>
      <c r="M32" s="77">
        <f t="shared" si="7"/>
        <v>0</v>
      </c>
      <c r="N32" s="77">
        <f t="shared" si="7"/>
        <v>0</v>
      </c>
      <c r="O32" s="77">
        <f t="shared" si="7"/>
        <v>552</v>
      </c>
      <c r="P32" s="77">
        <f t="shared" si="8"/>
        <v>192</v>
      </c>
      <c r="Q32" s="70"/>
      <c r="R32" s="64"/>
      <c r="S32" s="64"/>
      <c r="T32" s="64"/>
    </row>
    <row r="33" spans="1:20" ht="18" customHeight="1">
      <c r="A33" s="106">
        <v>1.75</v>
      </c>
      <c r="B33" s="107">
        <f t="shared" si="2"/>
        <v>3504.1636000000003</v>
      </c>
      <c r="C33" s="108">
        <f t="shared" si="3"/>
        <v>3854.5799600000005</v>
      </c>
      <c r="D33" s="109">
        <v>2868.9090193176012</v>
      </c>
      <c r="E33" s="109">
        <f t="shared" si="4"/>
        <v>605236.06734468648</v>
      </c>
      <c r="F33" s="110">
        <f t="shared" si="5"/>
        <v>608104.97636400408</v>
      </c>
      <c r="G33" s="111">
        <f t="shared" si="6"/>
        <v>0.40781004959131428</v>
      </c>
      <c r="H33" s="82"/>
      <c r="I33" s="74" t="s">
        <v>132</v>
      </c>
      <c r="J33" s="77">
        <f t="shared" si="7"/>
        <v>0</v>
      </c>
      <c r="K33" s="77">
        <f t="shared" si="7"/>
        <v>0</v>
      </c>
      <c r="L33" s="77">
        <f t="shared" si="7"/>
        <v>132</v>
      </c>
      <c r="M33" s="77">
        <f t="shared" si="7"/>
        <v>220</v>
      </c>
      <c r="N33" s="77">
        <f t="shared" si="7"/>
        <v>0</v>
      </c>
      <c r="O33" s="77">
        <f t="shared" si="7"/>
        <v>176</v>
      </c>
      <c r="P33" s="77">
        <f t="shared" si="8"/>
        <v>192</v>
      </c>
      <c r="Q33" s="70"/>
      <c r="R33" s="64"/>
      <c r="S33" s="64"/>
      <c r="T33" s="64"/>
    </row>
    <row r="34" spans="1:20" ht="18" customHeight="1">
      <c r="A34" s="106">
        <v>1.8</v>
      </c>
      <c r="B34" s="107">
        <f t="shared" si="2"/>
        <v>3604.2825600000001</v>
      </c>
      <c r="C34" s="108">
        <f t="shared" si="3"/>
        <v>3964.7108160000002</v>
      </c>
      <c r="D34" s="109">
        <v>2950.87784844096</v>
      </c>
      <c r="E34" s="109">
        <f t="shared" si="4"/>
        <v>622528.52641167748</v>
      </c>
      <c r="F34" s="110">
        <f t="shared" si="5"/>
        <v>625479.40426011849</v>
      </c>
      <c r="G34" s="111">
        <f t="shared" si="6"/>
        <v>0.42425977043600005</v>
      </c>
      <c r="H34" s="82"/>
      <c r="I34" s="74" t="s">
        <v>140</v>
      </c>
      <c r="J34" s="77">
        <f t="shared" si="7"/>
        <v>0</v>
      </c>
      <c r="K34" s="77">
        <f t="shared" si="7"/>
        <v>0</v>
      </c>
      <c r="L34" s="77">
        <f t="shared" si="7"/>
        <v>138</v>
      </c>
      <c r="M34" s="77">
        <f t="shared" si="7"/>
        <v>230</v>
      </c>
      <c r="N34" s="77">
        <f t="shared" si="7"/>
        <v>0</v>
      </c>
      <c r="O34" s="77">
        <f t="shared" si="7"/>
        <v>184</v>
      </c>
      <c r="P34" s="77">
        <f t="shared" si="8"/>
        <v>192</v>
      </c>
      <c r="Q34" s="70"/>
      <c r="R34" s="64"/>
      <c r="S34" s="64"/>
      <c r="T34" s="64"/>
    </row>
    <row r="35" spans="1:20" ht="18" customHeight="1">
      <c r="A35" s="106">
        <v>1.85</v>
      </c>
      <c r="B35" s="107">
        <f t="shared" si="2"/>
        <v>3704.4015200000003</v>
      </c>
      <c r="C35" s="108">
        <f t="shared" si="3"/>
        <v>4074.8416720000009</v>
      </c>
      <c r="D35" s="109">
        <v>3032.846677564321</v>
      </c>
      <c r="E35" s="109">
        <f t="shared" si="4"/>
        <v>639820.98547866847</v>
      </c>
      <c r="F35" s="110">
        <f t="shared" si="5"/>
        <v>642853.83215623279</v>
      </c>
      <c r="G35" s="111">
        <f t="shared" si="6"/>
        <v>0.43982031718097292</v>
      </c>
      <c r="H35" s="82"/>
      <c r="I35" s="74" t="s">
        <v>141</v>
      </c>
      <c r="J35" s="77">
        <f t="shared" si="7"/>
        <v>0</v>
      </c>
      <c r="K35" s="77">
        <f t="shared" si="7"/>
        <v>0</v>
      </c>
      <c r="L35" s="77">
        <f t="shared" si="7"/>
        <v>132</v>
      </c>
      <c r="M35" s="77">
        <f t="shared" si="7"/>
        <v>220</v>
      </c>
      <c r="N35" s="77">
        <f t="shared" si="7"/>
        <v>0</v>
      </c>
      <c r="O35" s="77">
        <f t="shared" si="7"/>
        <v>176</v>
      </c>
      <c r="P35" s="77">
        <f t="shared" si="8"/>
        <v>192</v>
      </c>
      <c r="Q35" s="70"/>
      <c r="R35" s="64"/>
      <c r="S35" s="64"/>
      <c r="T35" s="64"/>
    </row>
    <row r="36" spans="1:20" ht="18" customHeight="1">
      <c r="A36" s="106">
        <v>1.9</v>
      </c>
      <c r="B36" s="107">
        <f t="shared" si="2"/>
        <v>3804.5204800000001</v>
      </c>
      <c r="C36" s="108">
        <f t="shared" si="3"/>
        <v>4184.9725280000002</v>
      </c>
      <c r="D36" s="109">
        <v>3114.8155066876802</v>
      </c>
      <c r="E36" s="109">
        <f t="shared" si="4"/>
        <v>657113.44454565947</v>
      </c>
      <c r="F36" s="110">
        <f t="shared" si="5"/>
        <v>660228.26005234721</v>
      </c>
      <c r="G36" s="111">
        <f t="shared" si="6"/>
        <v>0.45456188778147366</v>
      </c>
      <c r="H36" s="82"/>
      <c r="I36" s="74" t="s">
        <v>142</v>
      </c>
      <c r="J36" s="77">
        <f t="shared" si="7"/>
        <v>138</v>
      </c>
      <c r="K36" s="77">
        <f t="shared" si="7"/>
        <v>230</v>
      </c>
      <c r="L36" s="77">
        <f t="shared" si="7"/>
        <v>0</v>
      </c>
      <c r="M36" s="77">
        <f t="shared" si="7"/>
        <v>0</v>
      </c>
      <c r="N36" s="77">
        <f t="shared" si="7"/>
        <v>0</v>
      </c>
      <c r="O36" s="77">
        <f t="shared" si="7"/>
        <v>184</v>
      </c>
      <c r="P36" s="77">
        <f t="shared" si="8"/>
        <v>168</v>
      </c>
      <c r="Q36" s="70"/>
      <c r="R36" s="64"/>
      <c r="S36" s="64"/>
      <c r="T36" s="64"/>
    </row>
    <row r="37" spans="1:20" ht="18.95" customHeight="1">
      <c r="A37" s="106">
        <v>1.95</v>
      </c>
      <c r="B37" s="107">
        <f t="shared" si="2"/>
        <v>3904.6394399999999</v>
      </c>
      <c r="C37" s="108">
        <f t="shared" si="3"/>
        <v>4295.103384</v>
      </c>
      <c r="D37" s="109">
        <v>3196.7843358110408</v>
      </c>
      <c r="E37" s="109">
        <f t="shared" si="4"/>
        <v>674405.90361265047</v>
      </c>
      <c r="F37" s="110">
        <f t="shared" si="5"/>
        <v>677602.68794846151</v>
      </c>
      <c r="G37" s="111">
        <f t="shared" si="6"/>
        <v>0.46854748040246141</v>
      </c>
      <c r="H37" s="82"/>
      <c r="I37" s="72"/>
      <c r="J37" s="72"/>
      <c r="K37" s="72"/>
      <c r="L37" s="72"/>
      <c r="M37" s="72"/>
      <c r="N37" s="72"/>
      <c r="O37" s="72"/>
      <c r="P37" s="72"/>
      <c r="Q37" s="70"/>
      <c r="R37" s="64"/>
      <c r="S37" s="64"/>
      <c r="T37" s="64"/>
    </row>
    <row r="38" spans="1:20" ht="18.95" customHeight="1">
      <c r="A38" s="106">
        <v>2</v>
      </c>
      <c r="B38" s="107">
        <f t="shared" si="2"/>
        <v>4004.7584000000002</v>
      </c>
      <c r="C38" s="108">
        <f t="shared" si="3"/>
        <v>4405.2342400000007</v>
      </c>
      <c r="D38" s="109">
        <v>3278.753164934401</v>
      </c>
      <c r="E38" s="109">
        <f t="shared" si="4"/>
        <v>691698.36267964158</v>
      </c>
      <c r="F38" s="110">
        <f t="shared" si="5"/>
        <v>694977.11584457592</v>
      </c>
      <c r="G38" s="111">
        <f t="shared" si="6"/>
        <v>0.48183379339239996</v>
      </c>
      <c r="H38" s="82"/>
      <c r="I38" s="74" t="s">
        <v>145</v>
      </c>
      <c r="J38" s="72">
        <f t="shared" ref="J38:P38" si="9">SUM(J24:J36)</f>
        <v>668</v>
      </c>
      <c r="K38" s="72">
        <f t="shared" si="9"/>
        <v>932</v>
      </c>
      <c r="L38" s="72">
        <f t="shared" si="9"/>
        <v>606</v>
      </c>
      <c r="M38" s="72">
        <f t="shared" si="9"/>
        <v>1010</v>
      </c>
      <c r="N38" s="72">
        <f t="shared" si="9"/>
        <v>720</v>
      </c>
      <c r="O38" s="72">
        <f t="shared" si="9"/>
        <v>2520</v>
      </c>
      <c r="P38" s="72">
        <f t="shared" si="9"/>
        <v>2280</v>
      </c>
      <c r="Q38" s="114">
        <f>SUM(J38:P38)</f>
        <v>8736</v>
      </c>
      <c r="R38" s="115"/>
      <c r="S38" s="64"/>
      <c r="T38" s="64"/>
    </row>
    <row r="39" spans="1:20" ht="18.600000000000001" customHeight="1">
      <c r="A39" s="112"/>
      <c r="B39" s="112"/>
      <c r="C39" s="112"/>
      <c r="D39" s="112"/>
      <c r="E39" s="112"/>
      <c r="F39" s="112"/>
      <c r="G39" s="64"/>
      <c r="H39" s="64"/>
      <c r="I39" s="112"/>
      <c r="J39" s="112"/>
      <c r="K39" s="112"/>
      <c r="L39" s="112"/>
      <c r="M39" s="112"/>
      <c r="N39" s="112"/>
      <c r="O39" s="112"/>
      <c r="P39" s="112"/>
      <c r="Q39" s="64"/>
      <c r="R39" s="64"/>
      <c r="S39" s="64"/>
      <c r="T39" s="64"/>
    </row>
    <row r="40" spans="1:20" ht="18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</row>
    <row r="41" spans="1:20" ht="18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</row>
    <row r="42" spans="1:20" ht="18" customHeight="1">
      <c r="A42" s="116"/>
      <c r="B42" s="117"/>
      <c r="C42" s="117"/>
      <c r="D42" s="117"/>
      <c r="E42" s="117"/>
      <c r="F42" s="118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</row>
    <row r="43" spans="1:20" ht="18" customHeight="1">
      <c r="A43" s="119"/>
      <c r="B43" s="120"/>
      <c r="C43" s="120"/>
      <c r="D43" s="121"/>
      <c r="E43" s="121"/>
      <c r="F43" s="122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</row>
    <row r="44" spans="1:20" ht="18" customHeight="1">
      <c r="A44" s="119"/>
      <c r="B44" s="120"/>
      <c r="C44" s="120"/>
      <c r="D44" s="121"/>
      <c r="E44" s="121"/>
      <c r="F44" s="122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</row>
    <row r="45" spans="1:20" ht="18" customHeight="1">
      <c r="A45" s="119"/>
      <c r="B45" s="120"/>
      <c r="C45" s="120"/>
      <c r="D45" s="121"/>
      <c r="E45" s="121"/>
      <c r="F45" s="122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</row>
    <row r="46" spans="1:20" ht="18" customHeight="1">
      <c r="A46" s="119"/>
      <c r="B46" s="120"/>
      <c r="C46" s="120"/>
      <c r="D46" s="121"/>
      <c r="E46" s="121"/>
      <c r="F46" s="122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</row>
    <row r="47" spans="1:20" ht="18" customHeight="1">
      <c r="A47" s="119"/>
      <c r="B47" s="120"/>
      <c r="C47" s="120"/>
      <c r="D47" s="121"/>
      <c r="E47" s="121"/>
      <c r="F47" s="122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</row>
    <row r="48" spans="1:20" ht="18" customHeight="1">
      <c r="A48" s="119"/>
      <c r="B48" s="120"/>
      <c r="C48" s="120"/>
      <c r="D48" s="121"/>
      <c r="E48" s="121"/>
      <c r="F48" s="122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</row>
  </sheetData>
  <mergeCells count="2">
    <mergeCell ref="B4:G4"/>
    <mergeCell ref="A2:G2"/>
  </mergeCells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showGridLines="0" workbookViewId="0"/>
  </sheetViews>
  <sheetFormatPr baseColWidth="10" defaultColWidth="13.5" defaultRowHeight="12.75" customHeight="1"/>
  <cols>
    <col min="1" max="1" width="36.5" style="123" customWidth="1"/>
    <col min="2" max="2" width="13.5" style="123" customWidth="1"/>
    <col min="3" max="3" width="3.625" style="123" customWidth="1"/>
    <col min="4" max="4" width="32.5" style="123" customWidth="1"/>
    <col min="5" max="5" width="12.875" style="123" customWidth="1"/>
    <col min="6" max="6" width="28.125" style="123" customWidth="1"/>
    <col min="7" max="7" width="13.5" style="123" customWidth="1"/>
    <col min="8" max="8" width="4.875" style="123" customWidth="1"/>
    <col min="9" max="9" width="6.5" style="123" customWidth="1"/>
    <col min="10" max="10" width="12.375" style="123" customWidth="1"/>
    <col min="11" max="11" width="15.875" style="123" customWidth="1"/>
    <col min="12" max="256" width="13.5" style="123" customWidth="1"/>
  </cols>
  <sheetData>
    <row r="1" spans="1:11" ht="18.95" customHeight="1">
      <c r="A1" s="37"/>
      <c r="B1" s="37"/>
      <c r="C1" s="37"/>
      <c r="D1" s="124"/>
      <c r="E1" s="124"/>
      <c r="F1" s="124"/>
      <c r="G1" s="124"/>
      <c r="H1" s="37"/>
      <c r="I1" s="124"/>
      <c r="J1" s="124"/>
      <c r="K1" s="124"/>
    </row>
    <row r="2" spans="1:11" ht="18.95" customHeight="1">
      <c r="A2" s="235" t="s">
        <v>146</v>
      </c>
      <c r="B2" s="236"/>
      <c r="C2" s="125"/>
      <c r="D2" s="237" t="s">
        <v>147</v>
      </c>
      <c r="E2" s="238"/>
      <c r="F2" s="238"/>
      <c r="G2" s="238"/>
      <c r="H2" s="126"/>
      <c r="I2" s="239" t="s">
        <v>148</v>
      </c>
      <c r="J2" s="240"/>
      <c r="K2" s="240"/>
    </row>
    <row r="3" spans="1:11" ht="18.95" customHeight="1">
      <c r="A3" s="127" t="s">
        <v>149</v>
      </c>
      <c r="B3" s="128">
        <f>B4+B5+B6</f>
        <v>1140</v>
      </c>
      <c r="C3" s="126"/>
      <c r="D3" s="237" t="s">
        <v>150</v>
      </c>
      <c r="E3" s="238"/>
      <c r="F3" s="237" t="s">
        <v>151</v>
      </c>
      <c r="G3" s="238"/>
      <c r="H3" s="126"/>
      <c r="I3" s="129" t="s">
        <v>152</v>
      </c>
      <c r="J3" s="129" t="s">
        <v>153</v>
      </c>
      <c r="K3" s="129" t="s">
        <v>154</v>
      </c>
    </row>
    <row r="4" spans="1:11" ht="18.95" customHeight="1">
      <c r="A4" s="130" t="s">
        <v>155</v>
      </c>
      <c r="B4" s="131">
        <f>'Cabina de discos'!M24</f>
        <v>16</v>
      </c>
      <c r="C4" s="126"/>
      <c r="D4" s="132" t="s">
        <v>156</v>
      </c>
      <c r="E4" s="133">
        <v>19</v>
      </c>
      <c r="F4" s="132" t="s">
        <v>157</v>
      </c>
      <c r="G4" s="134">
        <f>ROUND(B3/(E4*E5),0)+1</f>
        <v>2</v>
      </c>
      <c r="H4" s="126"/>
      <c r="I4" s="135">
        <v>1</v>
      </c>
      <c r="J4" s="136">
        <f>G9</f>
        <v>342034.09673888236</v>
      </c>
      <c r="K4" s="136">
        <f>J4*5</f>
        <v>1710170.4836944118</v>
      </c>
    </row>
    <row r="5" spans="1:11" ht="18.95" customHeight="1">
      <c r="A5" s="127" t="s">
        <v>158</v>
      </c>
      <c r="B5" s="131">
        <f>Resum!B3</f>
        <v>1124</v>
      </c>
      <c r="C5" s="126"/>
      <c r="D5" s="132" t="s">
        <v>159</v>
      </c>
      <c r="E5" s="137">
        <f>Resum!B4</f>
        <v>42</v>
      </c>
      <c r="F5" s="132" t="s">
        <v>160</v>
      </c>
      <c r="G5" s="138">
        <f>G4*E6</f>
        <v>230000</v>
      </c>
      <c r="H5" s="126"/>
      <c r="I5" s="135">
        <v>2</v>
      </c>
      <c r="J5" s="136">
        <f>G21</f>
        <v>421273.46231850982</v>
      </c>
      <c r="K5" s="136">
        <f>J5*5</f>
        <v>2106367.3115925491</v>
      </c>
    </row>
    <row r="6" spans="1:11" ht="18.95" customHeight="1">
      <c r="A6" s="139" t="s">
        <v>161</v>
      </c>
      <c r="B6" s="131">
        <f>Backup!G29</f>
        <v>0</v>
      </c>
      <c r="C6" s="126"/>
      <c r="D6" s="132" t="s">
        <v>162</v>
      </c>
      <c r="E6" s="140">
        <v>115000</v>
      </c>
      <c r="F6" s="132" t="s">
        <v>163</v>
      </c>
      <c r="G6" s="138">
        <f>E7*G4*B8</f>
        <v>4000</v>
      </c>
      <c r="H6" s="126"/>
      <c r="I6" s="135">
        <v>3</v>
      </c>
      <c r="J6" s="136">
        <f>G30</f>
        <v>446017.04836944118</v>
      </c>
      <c r="K6" s="136">
        <f>J6*5</f>
        <v>2230085.2418472059</v>
      </c>
    </row>
    <row r="7" spans="1:11" ht="18.95" customHeight="1">
      <c r="A7" s="139" t="s">
        <v>164</v>
      </c>
      <c r="B7" s="141">
        <f>Electricitat!F18</f>
        <v>360113.65579627454</v>
      </c>
      <c r="C7" s="126"/>
      <c r="D7" s="132" t="s">
        <v>165</v>
      </c>
      <c r="E7" s="140">
        <v>2000</v>
      </c>
      <c r="F7" s="132" t="s">
        <v>166</v>
      </c>
      <c r="G7" s="138">
        <f>1500*12*B9</f>
        <v>0</v>
      </c>
      <c r="H7" s="142"/>
      <c r="I7" s="143"/>
      <c r="J7" s="143"/>
      <c r="K7" s="143"/>
    </row>
    <row r="8" spans="1:11" ht="32.65" customHeight="1">
      <c r="A8" s="144" t="s">
        <v>167</v>
      </c>
      <c r="B8" s="145">
        <f>Resum!B22</f>
        <v>1</v>
      </c>
      <c r="C8" s="126"/>
      <c r="D8" s="146"/>
      <c r="E8" s="140"/>
      <c r="F8" s="147" t="s">
        <v>168</v>
      </c>
      <c r="G8" s="138">
        <f>B7*(E9-1)</f>
        <v>108034.09673888238</v>
      </c>
      <c r="H8" s="142"/>
      <c r="I8" s="37"/>
      <c r="J8" s="37"/>
      <c r="K8" s="37"/>
    </row>
    <row r="9" spans="1:11" ht="18.95" customHeight="1">
      <c r="A9" s="148" t="s">
        <v>35</v>
      </c>
      <c r="B9" s="145">
        <f>Resum!B21</f>
        <v>0</v>
      </c>
      <c r="C9" s="126"/>
      <c r="D9" s="132" t="s">
        <v>133</v>
      </c>
      <c r="E9" s="133">
        <v>1.3</v>
      </c>
      <c r="F9" s="132" t="s">
        <v>169</v>
      </c>
      <c r="G9" s="138">
        <f>SUM(G5:G8)</f>
        <v>342034.09673888236</v>
      </c>
      <c r="H9" s="142"/>
      <c r="I9" s="37"/>
      <c r="J9" s="37"/>
      <c r="K9" s="37"/>
    </row>
    <row r="10" spans="1:11" ht="18.95" customHeight="1">
      <c r="A10" s="37"/>
      <c r="B10" s="143"/>
      <c r="C10" s="125"/>
      <c r="D10" s="237" t="s">
        <v>170</v>
      </c>
      <c r="E10" s="238"/>
      <c r="F10" s="132" t="s">
        <v>171</v>
      </c>
      <c r="G10" s="149">
        <f>ROUND(B3/E5,0)+1</f>
        <v>28</v>
      </c>
      <c r="H10" s="142"/>
      <c r="I10" s="37"/>
      <c r="J10" s="37"/>
      <c r="K10" s="37"/>
    </row>
    <row r="11" spans="1:11" ht="18.95" customHeight="1">
      <c r="A11" s="37"/>
      <c r="B11" s="37"/>
      <c r="C11" s="37"/>
      <c r="D11" s="143"/>
      <c r="E11" s="143"/>
      <c r="F11" s="143"/>
      <c r="G11" s="143"/>
      <c r="H11" s="37"/>
      <c r="I11" s="37"/>
      <c r="J11" s="37"/>
      <c r="K11" s="37"/>
    </row>
    <row r="12" spans="1:11" ht="18.95" customHeight="1">
      <c r="A12" s="37"/>
      <c r="B12" s="37"/>
      <c r="C12" s="37"/>
      <c r="D12" s="150"/>
      <c r="E12" s="150"/>
      <c r="F12" s="37"/>
      <c r="G12" s="37"/>
      <c r="H12" s="37"/>
      <c r="I12" s="37"/>
      <c r="J12" s="37"/>
      <c r="K12" s="37"/>
    </row>
    <row r="13" spans="1:11" ht="18.95" customHeight="1">
      <c r="A13" s="37"/>
      <c r="B13" s="37"/>
      <c r="C13" s="37"/>
      <c r="D13" s="151"/>
      <c r="E13" s="151"/>
      <c r="F13" s="124"/>
      <c r="G13" s="124"/>
      <c r="H13" s="37"/>
      <c r="I13" s="37"/>
      <c r="J13" s="37"/>
      <c r="K13" s="37"/>
    </row>
    <row r="14" spans="1:11" ht="18.95" customHeight="1">
      <c r="A14" s="37"/>
      <c r="B14" s="37"/>
      <c r="C14" s="125"/>
      <c r="D14" s="237" t="s">
        <v>172</v>
      </c>
      <c r="E14" s="238"/>
      <c r="F14" s="238"/>
      <c r="G14" s="238"/>
      <c r="H14" s="142"/>
      <c r="I14" s="37"/>
      <c r="J14" s="37"/>
      <c r="K14" s="37"/>
    </row>
    <row r="15" spans="1:11" ht="18.95" customHeight="1">
      <c r="A15" s="37"/>
      <c r="B15" s="37"/>
      <c r="C15" s="125"/>
      <c r="D15" s="237" t="s">
        <v>150</v>
      </c>
      <c r="E15" s="238"/>
      <c r="F15" s="237" t="s">
        <v>151</v>
      </c>
      <c r="G15" s="238"/>
      <c r="H15" s="142"/>
      <c r="I15" s="37"/>
      <c r="J15" s="37"/>
      <c r="K15" s="37"/>
    </row>
    <row r="16" spans="1:11" ht="18.95" customHeight="1">
      <c r="A16" s="37"/>
      <c r="B16" s="37"/>
      <c r="C16" s="125"/>
      <c r="D16" s="132" t="s">
        <v>86</v>
      </c>
      <c r="E16" s="137">
        <f>Resum!B4</f>
        <v>42</v>
      </c>
      <c r="F16" s="132" t="s">
        <v>171</v>
      </c>
      <c r="G16" s="149">
        <f>ROUND(B3/E16,0)+1</f>
        <v>28</v>
      </c>
      <c r="H16" s="142"/>
      <c r="I16" s="37"/>
      <c r="J16" s="37"/>
      <c r="K16" s="37"/>
    </row>
    <row r="17" spans="1:11" ht="18.95" customHeight="1">
      <c r="A17" s="37"/>
      <c r="B17" s="37"/>
      <c r="C17" s="125"/>
      <c r="D17" s="132" t="s">
        <v>173</v>
      </c>
      <c r="E17" s="140">
        <v>9000</v>
      </c>
      <c r="F17" s="132" t="s">
        <v>174</v>
      </c>
      <c r="G17" s="138">
        <f>G16*E17</f>
        <v>252000</v>
      </c>
      <c r="H17" s="142"/>
      <c r="I17" s="37"/>
      <c r="J17" s="37"/>
      <c r="K17" s="37"/>
    </row>
    <row r="18" spans="1:11" ht="18.95" customHeight="1">
      <c r="A18" s="37"/>
      <c r="B18" s="37"/>
      <c r="C18" s="125"/>
      <c r="D18" s="132" t="s">
        <v>175</v>
      </c>
      <c r="E18" s="140">
        <v>900</v>
      </c>
      <c r="F18" s="132" t="s">
        <v>176</v>
      </c>
      <c r="G18" s="138">
        <f>B7*(E19-1)</f>
        <v>144045.46231850979</v>
      </c>
      <c r="H18" s="142"/>
      <c r="I18" s="37"/>
      <c r="J18" s="37"/>
      <c r="K18" s="37"/>
    </row>
    <row r="19" spans="1:11" ht="18.95" customHeight="1">
      <c r="A19" s="37"/>
      <c r="B19" s="37"/>
      <c r="C19" s="125"/>
      <c r="D19" s="132" t="s">
        <v>133</v>
      </c>
      <c r="E19" s="133">
        <v>1.4</v>
      </c>
      <c r="F19" s="132" t="s">
        <v>163</v>
      </c>
      <c r="G19" s="138">
        <f>B8*E18*G16</f>
        <v>25200</v>
      </c>
      <c r="H19" s="142"/>
      <c r="I19" s="37"/>
      <c r="J19" s="37"/>
      <c r="K19" s="37"/>
    </row>
    <row r="20" spans="1:11" ht="18.95" customHeight="1">
      <c r="A20" s="37"/>
      <c r="B20" s="37"/>
      <c r="C20" s="37"/>
      <c r="D20" s="152"/>
      <c r="E20" s="153"/>
      <c r="F20" s="132" t="s">
        <v>166</v>
      </c>
      <c r="G20" s="138">
        <f>B9*2000*12</f>
        <v>0</v>
      </c>
      <c r="H20" s="142"/>
      <c r="I20" s="37"/>
      <c r="J20" s="37"/>
      <c r="K20" s="37"/>
    </row>
    <row r="21" spans="1:11" ht="18.95" customHeight="1">
      <c r="A21" s="37"/>
      <c r="B21" s="37"/>
      <c r="C21" s="37"/>
      <c r="D21" s="154"/>
      <c r="E21" s="155"/>
      <c r="F21" s="132" t="s">
        <v>169</v>
      </c>
      <c r="G21" s="138">
        <f>SUM(G16:G20)</f>
        <v>421273.46231850982</v>
      </c>
      <c r="H21" s="142"/>
      <c r="I21" s="37"/>
      <c r="J21" s="37"/>
      <c r="K21" s="37"/>
    </row>
    <row r="22" spans="1:11" ht="18.95" customHeight="1">
      <c r="A22" s="37"/>
      <c r="B22" s="37"/>
      <c r="C22" s="37"/>
      <c r="D22" s="37"/>
      <c r="E22" s="37"/>
      <c r="F22" s="143"/>
      <c r="G22" s="143"/>
      <c r="H22" s="37"/>
      <c r="I22" s="37"/>
      <c r="J22" s="37"/>
      <c r="K22" s="37"/>
    </row>
    <row r="23" spans="1:11" ht="18.95" customHeight="1">
      <c r="A23" s="37"/>
      <c r="B23" s="37"/>
      <c r="C23" s="37"/>
      <c r="D23" s="124"/>
      <c r="E23" s="124"/>
      <c r="F23" s="124"/>
      <c r="G23" s="124"/>
      <c r="H23" s="37"/>
      <c r="I23" s="37"/>
      <c r="J23" s="37"/>
      <c r="K23" s="37"/>
    </row>
    <row r="24" spans="1:11" ht="18.95" customHeight="1">
      <c r="A24" s="37"/>
      <c r="B24" s="37"/>
      <c r="C24" s="125"/>
      <c r="D24" s="237" t="s">
        <v>177</v>
      </c>
      <c r="E24" s="238"/>
      <c r="F24" s="238"/>
      <c r="G24" s="238"/>
      <c r="H24" s="142"/>
      <c r="I24" s="37"/>
      <c r="J24" s="37"/>
      <c r="K24" s="37"/>
    </row>
    <row r="25" spans="1:11" ht="18.95" customHeight="1">
      <c r="A25" s="37"/>
      <c r="B25" s="37"/>
      <c r="C25" s="125"/>
      <c r="D25" s="237" t="s">
        <v>150</v>
      </c>
      <c r="E25" s="238"/>
      <c r="F25" s="237" t="s">
        <v>151</v>
      </c>
      <c r="G25" s="238"/>
      <c r="H25" s="142"/>
      <c r="I25" s="37"/>
      <c r="J25" s="37"/>
      <c r="K25" s="37"/>
    </row>
    <row r="26" spans="1:11" ht="18.95" customHeight="1">
      <c r="A26" s="37"/>
      <c r="B26" s="37"/>
      <c r="C26" s="125"/>
      <c r="D26" s="132" t="s">
        <v>86</v>
      </c>
      <c r="E26" s="137">
        <f>Resum!B4</f>
        <v>42</v>
      </c>
      <c r="F26" s="132" t="s">
        <v>171</v>
      </c>
      <c r="G26" s="149">
        <f>ROUND(B3/E26,0)+1</f>
        <v>28</v>
      </c>
      <c r="H26" s="142"/>
      <c r="I26" s="37"/>
      <c r="J26" s="37"/>
      <c r="K26" s="37"/>
    </row>
    <row r="27" spans="1:11" ht="18.95" customHeight="1">
      <c r="A27" s="37"/>
      <c r="B27" s="37"/>
      <c r="C27" s="125"/>
      <c r="D27" s="132" t="s">
        <v>173</v>
      </c>
      <c r="E27" s="140">
        <v>14000</v>
      </c>
      <c r="F27" s="132" t="s">
        <v>174</v>
      </c>
      <c r="G27" s="138">
        <f>G26*E27</f>
        <v>392000</v>
      </c>
      <c r="H27" s="142"/>
      <c r="I27" s="37"/>
      <c r="J27" s="37"/>
      <c r="K27" s="37"/>
    </row>
    <row r="28" spans="1:11" ht="18.95" customHeight="1">
      <c r="A28" s="37"/>
      <c r="B28" s="37"/>
      <c r="C28" s="125"/>
      <c r="D28" s="132" t="s">
        <v>133</v>
      </c>
      <c r="E28" s="133">
        <v>1.1499999999999999</v>
      </c>
      <c r="F28" s="132" t="s">
        <v>178</v>
      </c>
      <c r="G28" s="138">
        <f>B7*(E28-1)</f>
        <v>54017.048369441152</v>
      </c>
      <c r="H28" s="142"/>
      <c r="I28" s="37"/>
      <c r="J28" s="37"/>
      <c r="K28" s="37"/>
    </row>
    <row r="29" spans="1:11" ht="18.95" customHeight="1">
      <c r="A29" s="37"/>
      <c r="B29" s="37"/>
      <c r="C29" s="37"/>
      <c r="D29" s="156"/>
      <c r="E29" s="153"/>
      <c r="F29" s="132" t="s">
        <v>166</v>
      </c>
      <c r="G29" s="138">
        <f>B9*3500*12</f>
        <v>0</v>
      </c>
      <c r="H29" s="142"/>
      <c r="I29" s="37"/>
      <c r="J29" s="37"/>
      <c r="K29" s="37"/>
    </row>
    <row r="30" spans="1:11" ht="18.95" customHeight="1">
      <c r="A30" s="37"/>
      <c r="B30" s="37"/>
      <c r="C30" s="37"/>
      <c r="D30" s="157"/>
      <c r="E30" s="155"/>
      <c r="F30" s="132" t="s">
        <v>169</v>
      </c>
      <c r="G30" s="138">
        <f>SUM(G27:G29)</f>
        <v>446017.04836944118</v>
      </c>
      <c r="H30" s="142"/>
      <c r="I30" s="37"/>
      <c r="J30" s="37"/>
      <c r="K30" s="37"/>
    </row>
  </sheetData>
  <mergeCells count="12">
    <mergeCell ref="A2:B2"/>
    <mergeCell ref="F25:G25"/>
    <mergeCell ref="D10:E10"/>
    <mergeCell ref="I2:K2"/>
    <mergeCell ref="F3:G3"/>
    <mergeCell ref="D24:G24"/>
    <mergeCell ref="D25:E25"/>
    <mergeCell ref="D2:G2"/>
    <mergeCell ref="F15:G15"/>
    <mergeCell ref="D15:E15"/>
    <mergeCell ref="D3:E3"/>
    <mergeCell ref="D14:G14"/>
  </mergeCells>
  <pageMargins left="1" right="1" top="1" bottom="1" header="0.25" footer="0.25"/>
  <pageSetup orientation="portrait"/>
  <headerFooter>
    <oddHeader>&amp;L&amp;"Calibri,Regular"&amp;12&amp;K000000Infrastructura</oddHeader>
    <oddFooter>&amp;L&amp;"Calibri,Regular"&amp;12&amp;K000000Página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baseColWidth="10" defaultColWidth="12.625" defaultRowHeight="14.25" customHeight="1"/>
  <cols>
    <col min="1" max="1" width="35.625" style="158" customWidth="1"/>
    <col min="2" max="2" width="12.375" style="158" customWidth="1"/>
    <col min="3" max="3" width="4.25" style="158" customWidth="1"/>
    <col min="4" max="4" width="25.875" style="158" customWidth="1"/>
    <col min="5" max="5" width="8.875" style="158" customWidth="1"/>
    <col min="6" max="6" width="22.875" style="158" customWidth="1"/>
    <col min="7" max="7" width="35" style="158" customWidth="1"/>
    <col min="8" max="8" width="15.625" style="158" customWidth="1"/>
    <col min="9" max="9" width="12.375" style="158" customWidth="1"/>
    <col min="10" max="10" width="5.375" style="158" customWidth="1"/>
    <col min="11" max="11" width="14.25" style="158" customWidth="1"/>
    <col min="12" max="12" width="12.5" style="158" customWidth="1"/>
    <col min="13" max="13" width="20.625" style="158" customWidth="1"/>
    <col min="14" max="256" width="12.625" style="158" customWidth="1"/>
  </cols>
  <sheetData>
    <row r="1" spans="1:13" ht="18.95" customHeight="1">
      <c r="A1" s="159"/>
      <c r="B1" s="159"/>
      <c r="C1" s="37"/>
      <c r="D1" s="159"/>
      <c r="E1" s="159"/>
      <c r="F1" s="159"/>
      <c r="G1" s="159"/>
      <c r="H1" s="159"/>
      <c r="I1" s="37"/>
      <c r="J1" s="37"/>
      <c r="K1" s="37"/>
      <c r="L1" s="37"/>
      <c r="M1" s="37"/>
    </row>
    <row r="2" spans="1:13" ht="18.95" customHeight="1">
      <c r="A2" s="245" t="s">
        <v>179</v>
      </c>
      <c r="B2" s="246"/>
      <c r="C2" s="160"/>
      <c r="D2" s="241" t="s">
        <v>180</v>
      </c>
      <c r="E2" s="242"/>
      <c r="F2" s="242"/>
      <c r="G2" s="242"/>
      <c r="H2" s="242"/>
      <c r="I2" s="161"/>
      <c r="J2" s="37"/>
      <c r="K2" s="37"/>
      <c r="L2" s="37"/>
      <c r="M2" s="37"/>
    </row>
    <row r="3" spans="1:13" ht="15" customHeight="1">
      <c r="A3" s="162" t="s">
        <v>23</v>
      </c>
      <c r="B3" s="163">
        <f>Resum!B13</f>
        <v>227580</v>
      </c>
      <c r="C3" s="160"/>
      <c r="D3" s="241" t="s">
        <v>150</v>
      </c>
      <c r="E3" s="242"/>
      <c r="F3" s="164" t="s">
        <v>181</v>
      </c>
      <c r="G3" s="241" t="s">
        <v>151</v>
      </c>
      <c r="H3" s="242"/>
      <c r="I3" s="161"/>
      <c r="J3" s="251"/>
      <c r="K3" s="251"/>
      <c r="L3" s="159"/>
      <c r="M3" s="37"/>
    </row>
    <row r="4" spans="1:13" ht="18.95" customHeight="1">
      <c r="A4" s="165" t="s">
        <v>25</v>
      </c>
      <c r="B4" s="166">
        <f>Resum!B14</f>
        <v>10</v>
      </c>
      <c r="C4" s="160"/>
      <c r="D4" s="167" t="s">
        <v>182</v>
      </c>
      <c r="E4" s="168">
        <v>0.09</v>
      </c>
      <c r="F4" s="169">
        <f t="shared" ref="F4:F12" si="0">IF($B$3&gt;1024,1024,MAX($B$3,0))</f>
        <v>1024</v>
      </c>
      <c r="G4" s="167" t="s">
        <v>183</v>
      </c>
      <c r="H4" s="169">
        <f>F4*E4+F5*E5+F6*E6+F7*E7+F8*E8</f>
        <v>15320.060000000001</v>
      </c>
      <c r="I4" s="160"/>
      <c r="J4" s="243" t="s">
        <v>184</v>
      </c>
      <c r="K4" s="247"/>
      <c r="L4" s="247"/>
      <c r="M4" s="161"/>
    </row>
    <row r="5" spans="1:13" ht="18.95" customHeight="1">
      <c r="A5" s="162" t="s">
        <v>27</v>
      </c>
      <c r="B5" s="166">
        <f>Resum!B15</f>
        <v>4</v>
      </c>
      <c r="C5" s="160"/>
      <c r="D5" s="167" t="s">
        <v>185</v>
      </c>
      <c r="E5" s="168">
        <v>7.4999999999999997E-2</v>
      </c>
      <c r="F5" s="169">
        <f>IF($B$3&gt;50*1024,50*1024-F4,MAX($B$3-F4,0))</f>
        <v>50176</v>
      </c>
      <c r="G5" s="170"/>
      <c r="H5" s="171"/>
      <c r="I5" s="172"/>
      <c r="J5" s="173" t="s">
        <v>186</v>
      </c>
      <c r="K5" s="173" t="s">
        <v>152</v>
      </c>
      <c r="L5" s="173" t="s">
        <v>153</v>
      </c>
      <c r="M5" s="161"/>
    </row>
    <row r="6" spans="1:13" ht="18.95" customHeight="1">
      <c r="A6" s="162" t="s">
        <v>187</v>
      </c>
      <c r="B6" s="163">
        <v>400</v>
      </c>
      <c r="C6" s="160"/>
      <c r="D6" s="167" t="s">
        <v>188</v>
      </c>
      <c r="E6" s="168">
        <v>6.5000000000000002E-2</v>
      </c>
      <c r="F6" s="169">
        <f>IF($B$3&gt;500*1024,500*1024-F5-F4,MAX($B$3-F5-F4,0))</f>
        <v>176380</v>
      </c>
      <c r="G6" s="174"/>
      <c r="H6" s="175"/>
      <c r="I6" s="176" t="str">
        <f>IF(Resum!B16=1,"X","")</f>
        <v/>
      </c>
      <c r="J6" s="177">
        <v>1</v>
      </c>
      <c r="K6" s="178" t="s">
        <v>189</v>
      </c>
      <c r="L6" s="179">
        <f>H4*12</f>
        <v>183840.72000000003</v>
      </c>
      <c r="M6" s="161"/>
    </row>
    <row r="7" spans="1:13" ht="18.95" customHeight="1">
      <c r="A7" s="165" t="s">
        <v>30</v>
      </c>
      <c r="B7" s="180">
        <f>IF(Resum!B18=1,1,0)</f>
        <v>0</v>
      </c>
      <c r="C7" s="160"/>
      <c r="D7" s="167" t="s">
        <v>190</v>
      </c>
      <c r="E7" s="168">
        <v>5.5E-2</v>
      </c>
      <c r="F7" s="169">
        <f>IF($B$3&gt;5000*1024,5000*1024-F6-F5-F4,MAX($B$3-F6-F5-F4,0))</f>
        <v>0</v>
      </c>
      <c r="G7" s="174"/>
      <c r="H7" s="175"/>
      <c r="I7" s="176" t="str">
        <f>IF(Resum!B16=2,"X","")</f>
        <v>X</v>
      </c>
      <c r="J7" s="177">
        <v>2</v>
      </c>
      <c r="K7" s="178" t="s">
        <v>191</v>
      </c>
      <c r="L7" s="179">
        <f>H12*12</f>
        <v>196291.296</v>
      </c>
      <c r="M7" s="161"/>
    </row>
    <row r="8" spans="1:13" ht="18.95" customHeight="1">
      <c r="A8" s="249" t="s">
        <v>192</v>
      </c>
      <c r="B8" s="250"/>
      <c r="C8" s="160"/>
      <c r="D8" s="167" t="s">
        <v>193</v>
      </c>
      <c r="E8" s="168">
        <v>0.05</v>
      </c>
      <c r="F8" s="169">
        <f>IF($B$3&gt;5000*1024,$B$3-F7-F6-F5-F4,0)</f>
        <v>0</v>
      </c>
      <c r="G8" s="161"/>
      <c r="H8" s="182"/>
      <c r="I8" s="176" t="str">
        <f>IF(Resum!B16=3,"X","")</f>
        <v/>
      </c>
      <c r="J8" s="177">
        <v>3</v>
      </c>
      <c r="K8" s="178" t="s">
        <v>194</v>
      </c>
      <c r="L8" s="177">
        <v>0</v>
      </c>
      <c r="M8" s="161"/>
    </row>
    <row r="9" spans="1:13" ht="18.95" customHeight="1">
      <c r="A9" s="252" t="str">
        <f>IF(Resum!B16=1,"Microworks Azure M-A",IF(Resum!B16=2,"MonsoonS3 MS3",IF(Resum!B16=3,"Take the tapes and run","error")))</f>
        <v>MonsoonS3 MS3</v>
      </c>
      <c r="B9" s="250"/>
      <c r="C9" s="160"/>
      <c r="D9" s="183"/>
      <c r="E9" s="184"/>
      <c r="F9" s="184"/>
      <c r="G9" s="185"/>
      <c r="H9" s="185"/>
      <c r="I9" s="37"/>
      <c r="J9" s="88"/>
      <c r="K9" s="186"/>
      <c r="L9" s="88"/>
      <c r="M9" s="37"/>
    </row>
    <row r="10" spans="1:13" ht="18.95" customHeight="1">
      <c r="A10" s="181" t="s">
        <v>195</v>
      </c>
      <c r="B10" s="187">
        <f>Resum!B17</f>
        <v>1</v>
      </c>
      <c r="C10" s="160"/>
      <c r="D10" s="241" t="s">
        <v>196</v>
      </c>
      <c r="E10" s="242"/>
      <c r="F10" s="242"/>
      <c r="G10" s="242"/>
      <c r="H10" s="242"/>
      <c r="I10" s="161"/>
      <c r="J10" s="37"/>
      <c r="K10" s="37"/>
      <c r="L10" s="37"/>
      <c r="M10" s="37"/>
    </row>
    <row r="11" spans="1:13" ht="18.95" customHeight="1">
      <c r="A11" s="181" t="s">
        <v>197</v>
      </c>
      <c r="B11" s="187">
        <f>Resum!B18</f>
        <v>0</v>
      </c>
      <c r="C11" s="160"/>
      <c r="D11" s="241" t="s">
        <v>150</v>
      </c>
      <c r="E11" s="242"/>
      <c r="F11" s="164" t="s">
        <v>181</v>
      </c>
      <c r="G11" s="241" t="s">
        <v>151</v>
      </c>
      <c r="H11" s="242"/>
      <c r="I11" s="161"/>
      <c r="J11" s="37"/>
      <c r="K11" s="37"/>
      <c r="L11" s="37"/>
      <c r="M11" s="37"/>
    </row>
    <row r="12" spans="1:13" ht="18.95" customHeight="1">
      <c r="A12" s="88"/>
      <c r="B12" s="88"/>
      <c r="C12" s="172"/>
      <c r="D12" s="167" t="s">
        <v>182</v>
      </c>
      <c r="E12" s="168">
        <v>9.5000000000000001E-2</v>
      </c>
      <c r="F12" s="169">
        <f t="shared" si="0"/>
        <v>1024</v>
      </c>
      <c r="G12" s="167" t="s">
        <v>183</v>
      </c>
      <c r="H12" s="169">
        <f>F12*E12+F13*E13+F14*E14+F15*E15+F16*E16</f>
        <v>16357.608</v>
      </c>
      <c r="I12" s="161"/>
      <c r="J12" s="37"/>
      <c r="K12" s="37"/>
      <c r="L12" s="37"/>
      <c r="M12" s="37"/>
    </row>
    <row r="13" spans="1:13" ht="18.95" customHeight="1">
      <c r="A13" s="37"/>
      <c r="B13" s="37"/>
      <c r="C13" s="172"/>
      <c r="D13" s="167" t="s">
        <v>185</v>
      </c>
      <c r="E13" s="168">
        <v>7.8E-2</v>
      </c>
      <c r="F13" s="169">
        <f>IF($B$3&gt;50*1024,50*1024-F12,MAX($B$3-F12,0))</f>
        <v>50176</v>
      </c>
      <c r="G13" s="170"/>
      <c r="H13" s="171"/>
      <c r="I13" s="37"/>
      <c r="J13" s="37"/>
      <c r="K13" s="37"/>
      <c r="L13" s="37"/>
      <c r="M13" s="37"/>
    </row>
    <row r="14" spans="1:13" ht="18.95" customHeight="1">
      <c r="A14" s="37"/>
      <c r="B14" s="37"/>
      <c r="C14" s="172"/>
      <c r="D14" s="167" t="s">
        <v>188</v>
      </c>
      <c r="E14" s="168">
        <v>7.0000000000000007E-2</v>
      </c>
      <c r="F14" s="169">
        <f>IF($B$3&gt;500*1024,500*1024-F13-F12,MAX($B$3-F13-F12,0))</f>
        <v>176380</v>
      </c>
      <c r="G14" s="174"/>
      <c r="H14" s="175"/>
      <c r="I14" s="37"/>
      <c r="J14" s="37"/>
      <c r="K14" s="37"/>
      <c r="L14" s="37"/>
      <c r="M14" s="37"/>
    </row>
    <row r="15" spans="1:13" ht="18.95" customHeight="1">
      <c r="A15" s="37"/>
      <c r="B15" s="37"/>
      <c r="C15" s="172"/>
      <c r="D15" s="167" t="s">
        <v>190</v>
      </c>
      <c r="E15" s="168">
        <v>6.5000000000000002E-2</v>
      </c>
      <c r="F15" s="169">
        <f>IF($B$3&gt;5000*1024,5000*1024-F14-F13-F12,MAX($B$3-F14-F13-F12,0))</f>
        <v>0</v>
      </c>
      <c r="G15" s="174"/>
      <c r="H15" s="175"/>
      <c r="I15" s="37"/>
      <c r="J15" s="37"/>
      <c r="K15" s="37"/>
      <c r="L15" s="37"/>
      <c r="M15" s="37"/>
    </row>
    <row r="16" spans="1:13" ht="18.95" customHeight="1">
      <c r="A16" s="37"/>
      <c r="B16" s="37"/>
      <c r="C16" s="172"/>
      <c r="D16" s="167" t="s">
        <v>193</v>
      </c>
      <c r="E16" s="168">
        <v>5.5E-2</v>
      </c>
      <c r="F16" s="169">
        <f>IF($B$3&gt;5000*1024,$B$3-F15-F14-F13-F12,0)</f>
        <v>0</v>
      </c>
      <c r="G16" s="174"/>
      <c r="H16" s="182"/>
      <c r="I16" s="37"/>
      <c r="J16" s="37"/>
      <c r="K16" s="37"/>
      <c r="L16" s="37"/>
      <c r="M16" s="37"/>
    </row>
    <row r="17" spans="1:13" ht="18.95" customHeight="1">
      <c r="A17" s="37"/>
      <c r="B17" s="37"/>
      <c r="C17" s="172"/>
      <c r="D17" s="183"/>
      <c r="E17" s="184"/>
      <c r="F17" s="184"/>
      <c r="G17" s="185"/>
      <c r="H17" s="188"/>
      <c r="I17" s="37"/>
      <c r="J17" s="37"/>
      <c r="K17" s="37"/>
      <c r="L17" s="37"/>
      <c r="M17" s="37"/>
    </row>
    <row r="18" spans="1:13" ht="18.95" customHeight="1">
      <c r="A18" s="37"/>
      <c r="B18" s="37"/>
      <c r="C18" s="172"/>
      <c r="D18" s="241" t="s">
        <v>198</v>
      </c>
      <c r="E18" s="242"/>
      <c r="F18" s="242"/>
      <c r="G18" s="242"/>
      <c r="H18" s="248"/>
      <c r="I18" s="189"/>
      <c r="J18" s="37"/>
      <c r="K18" s="159"/>
      <c r="L18" s="159"/>
      <c r="M18" s="37"/>
    </row>
    <row r="19" spans="1:13" ht="18.95" customHeight="1">
      <c r="A19" s="37"/>
      <c r="B19" s="37"/>
      <c r="C19" s="172"/>
      <c r="D19" s="164" t="s">
        <v>198</v>
      </c>
      <c r="E19" s="164" t="s">
        <v>199</v>
      </c>
      <c r="F19" s="164" t="s">
        <v>200</v>
      </c>
      <c r="G19" s="164" t="s">
        <v>201</v>
      </c>
      <c r="H19" s="190" t="s">
        <v>202</v>
      </c>
      <c r="I19" s="164" t="s">
        <v>79</v>
      </c>
      <c r="J19" s="160"/>
      <c r="K19" s="243" t="s">
        <v>203</v>
      </c>
      <c r="L19" s="244"/>
      <c r="M19" s="161"/>
    </row>
    <row r="20" spans="1:13" ht="18.95" customHeight="1">
      <c r="A20" s="37"/>
      <c r="B20" s="37"/>
      <c r="C20" s="172"/>
      <c r="D20" s="167" t="s">
        <v>204</v>
      </c>
      <c r="E20" s="168">
        <v>1.0999999999999999E-2</v>
      </c>
      <c r="F20" s="169">
        <f t="shared" ref="F20:F25" si="1">365/$B$4</f>
        <v>36.5</v>
      </c>
      <c r="G20" s="169">
        <f>$B$3*E20*F20</f>
        <v>91373.369999999981</v>
      </c>
      <c r="H20" s="169">
        <f t="shared" ref="H20:H21" si="2">100*$B$5*12</f>
        <v>4800</v>
      </c>
      <c r="I20" s="169">
        <f>H20+G20</f>
        <v>96173.369999999981</v>
      </c>
      <c r="J20" s="160"/>
      <c r="K20" s="191" t="s">
        <v>152</v>
      </c>
      <c r="L20" s="173" t="s">
        <v>153</v>
      </c>
      <c r="M20" s="192" t="s">
        <v>205</v>
      </c>
    </row>
    <row r="21" spans="1:13" ht="18.95" customHeight="1">
      <c r="A21" s="37"/>
      <c r="B21" s="37"/>
      <c r="C21" s="172"/>
      <c r="D21" s="167" t="s">
        <v>206</v>
      </c>
      <c r="E21" s="168">
        <v>0.02</v>
      </c>
      <c r="F21" s="169">
        <f t="shared" si="1"/>
        <v>36.5</v>
      </c>
      <c r="G21" s="169">
        <f>$B$3*E21*F21</f>
        <v>166133.40000000002</v>
      </c>
      <c r="H21" s="169">
        <f t="shared" si="2"/>
        <v>4800</v>
      </c>
      <c r="I21" s="169">
        <f>H21+G21</f>
        <v>170933.40000000002</v>
      </c>
      <c r="J21" s="160"/>
      <c r="K21" s="178" t="s">
        <v>207</v>
      </c>
      <c r="L21" s="179">
        <f>I20</f>
        <v>96173.369999999981</v>
      </c>
      <c r="M21" s="193">
        <f>IF(AND(Resum!B16=1,Resum!B17=1),L21,0)</f>
        <v>0</v>
      </c>
    </row>
    <row r="22" spans="1:13" ht="18.95" customHeight="1">
      <c r="A22" s="37"/>
      <c r="B22" s="37"/>
      <c r="C22" s="172"/>
      <c r="D22" s="167" t="s">
        <v>208</v>
      </c>
      <c r="E22" s="168">
        <v>8.9999999999999993E-3</v>
      </c>
      <c r="F22" s="169">
        <f t="shared" si="1"/>
        <v>36.5</v>
      </c>
      <c r="G22" s="169">
        <f>$B$3*E22*F22</f>
        <v>74760.03</v>
      </c>
      <c r="H22" s="169">
        <f t="shared" ref="H22:H23" si="3">90*$B$5*12</f>
        <v>4320</v>
      </c>
      <c r="I22" s="169">
        <f>H22+G22</f>
        <v>79080.03</v>
      </c>
      <c r="J22" s="160"/>
      <c r="K22" s="178" t="s">
        <v>209</v>
      </c>
      <c r="L22" s="179">
        <f>I21</f>
        <v>170933.40000000002</v>
      </c>
      <c r="M22" s="193">
        <f>IF(AND(Resum!B16=1,Resum!B17=0),L22,0)</f>
        <v>0</v>
      </c>
    </row>
    <row r="23" spans="1:13" ht="18.95" customHeight="1">
      <c r="A23" s="37"/>
      <c r="B23" s="37"/>
      <c r="C23" s="172"/>
      <c r="D23" s="167" t="s">
        <v>210</v>
      </c>
      <c r="E23" s="168">
        <v>1.9E-2</v>
      </c>
      <c r="F23" s="169">
        <f t="shared" si="1"/>
        <v>36.5</v>
      </c>
      <c r="G23" s="169">
        <f>$B$3*E23*F23</f>
        <v>157826.72999999998</v>
      </c>
      <c r="H23" s="169">
        <f t="shared" si="3"/>
        <v>4320</v>
      </c>
      <c r="I23" s="169">
        <f>H23+G23</f>
        <v>162146.72999999998</v>
      </c>
      <c r="J23" s="160"/>
      <c r="K23" s="178" t="s">
        <v>211</v>
      </c>
      <c r="L23" s="179">
        <f>I22</f>
        <v>79080.03</v>
      </c>
      <c r="M23" s="194">
        <f>IF(AND(Resum!B16=2,Resum!B17=1),L23,0)</f>
        <v>79080.03</v>
      </c>
    </row>
    <row r="24" spans="1:13" ht="18.95" customHeight="1">
      <c r="A24" s="37"/>
      <c r="B24" s="37"/>
      <c r="C24" s="172"/>
      <c r="D24" s="195"/>
      <c r="E24" s="196" t="s">
        <v>212</v>
      </c>
      <c r="F24" s="196" t="s">
        <v>213</v>
      </c>
      <c r="G24" s="196" t="s">
        <v>214</v>
      </c>
      <c r="H24" s="196" t="s">
        <v>215</v>
      </c>
      <c r="I24" s="196" t="s">
        <v>79</v>
      </c>
      <c r="J24" s="197"/>
      <c r="K24" s="178" t="s">
        <v>216</v>
      </c>
      <c r="L24" s="179">
        <f>I23</f>
        <v>162146.72999999998</v>
      </c>
      <c r="M24" s="193">
        <f>IF(AND(Resum!B16=2,Resum!B17=0),L24,0)</f>
        <v>0</v>
      </c>
    </row>
    <row r="25" spans="1:13" ht="18.95" customHeight="1">
      <c r="A25" s="37"/>
      <c r="B25" s="37"/>
      <c r="C25" s="172"/>
      <c r="D25" s="167" t="s">
        <v>217</v>
      </c>
      <c r="E25" s="169">
        <f>ROUNDUP($B$3/$B$6,0)</f>
        <v>569</v>
      </c>
      <c r="F25" s="169">
        <f t="shared" si="1"/>
        <v>36.5</v>
      </c>
      <c r="G25" s="169">
        <f>120*F25*2</f>
        <v>8760</v>
      </c>
      <c r="H25" s="169">
        <f>ROUNDUP(E25*$B$5/20,0)*100</f>
        <v>11400</v>
      </c>
      <c r="I25" s="169">
        <f>G25+H25</f>
        <v>20160</v>
      </c>
      <c r="J25" s="160"/>
      <c r="K25" s="178" t="s">
        <v>218</v>
      </c>
      <c r="L25" s="179">
        <f>I25</f>
        <v>20160</v>
      </c>
      <c r="M25" s="193">
        <f>IF(Resum!B16=3,L25,0)</f>
        <v>0</v>
      </c>
    </row>
    <row r="26" spans="1:13" ht="18.95" customHeight="1">
      <c r="A26" s="37"/>
      <c r="B26" s="37"/>
      <c r="C26" s="37"/>
      <c r="D26" s="198" t="s">
        <v>219</v>
      </c>
      <c r="E26" s="198" t="s">
        <v>220</v>
      </c>
      <c r="F26" s="198" t="s">
        <v>221</v>
      </c>
      <c r="G26" s="198" t="s">
        <v>222</v>
      </c>
      <c r="H26" s="199"/>
      <c r="I26" s="198" t="s">
        <v>79</v>
      </c>
      <c r="J26" s="37"/>
      <c r="K26" s="88"/>
      <c r="L26" s="88"/>
      <c r="M26" s="37"/>
    </row>
    <row r="27" spans="1:13" ht="18.95" customHeight="1">
      <c r="A27" s="37"/>
      <c r="B27" s="37"/>
      <c r="C27" s="37"/>
      <c r="D27" s="200"/>
      <c r="E27" s="201">
        <f>E25*B5</f>
        <v>2276</v>
      </c>
      <c r="F27" s="201">
        <f>IF($E$25&lt;24,2500,IF($E$25&lt;48,3800,IF($E$25&lt;96,12000,70000)))</f>
        <v>70000</v>
      </c>
      <c r="G27" s="201">
        <f>E27*100</f>
        <v>227600</v>
      </c>
      <c r="H27" s="200"/>
      <c r="I27" s="201">
        <f>(F27+G27)*B11</f>
        <v>0</v>
      </c>
      <c r="J27" s="37"/>
      <c r="K27" s="37"/>
      <c r="L27" s="37"/>
      <c r="M27" s="44">
        <f>SUM(M21:M26)</f>
        <v>79080.03</v>
      </c>
    </row>
    <row r="28" spans="1:13" ht="18.95" customHeight="1">
      <c r="A28" s="37"/>
      <c r="B28" s="37"/>
      <c r="C28" s="37"/>
      <c r="D28" s="202" t="s">
        <v>223</v>
      </c>
      <c r="E28" s="203"/>
      <c r="F28" s="202" t="s">
        <v>224</v>
      </c>
      <c r="G28" s="204" t="s">
        <v>225</v>
      </c>
      <c r="H28" s="204" t="s">
        <v>226</v>
      </c>
      <c r="I28" s="201"/>
      <c r="J28" s="37"/>
      <c r="K28" s="37"/>
      <c r="L28" s="37"/>
      <c r="M28" s="44"/>
    </row>
    <row r="29" spans="1:13" ht="18.95" customHeight="1">
      <c r="A29" s="37"/>
      <c r="B29" s="37"/>
      <c r="C29" s="37"/>
      <c r="D29" s="205">
        <f>IF($E$25&lt;24,168,IF($E$25&lt;48,312,IF($E$25&lt;96,560,1500)))/1000</f>
        <v>1.5</v>
      </c>
      <c r="E29" s="201"/>
      <c r="F29" s="206">
        <f>IF($E$25&lt;24,2,IF($E$25&lt;48,4,IF($E$25&lt;96,8,40)))</f>
        <v>40</v>
      </c>
      <c r="G29" s="207">
        <f>F29*B7</f>
        <v>0</v>
      </c>
      <c r="H29" s="208">
        <f>D29*B7</f>
        <v>0</v>
      </c>
      <c r="I29" s="201"/>
      <c r="J29" s="37"/>
      <c r="K29" s="204" t="s">
        <v>227</v>
      </c>
      <c r="L29" s="209">
        <f>$I$27</f>
        <v>0</v>
      </c>
      <c r="M29" s="44">
        <f>L29*B10</f>
        <v>0</v>
      </c>
    </row>
  </sheetData>
  <mergeCells count="13">
    <mergeCell ref="G3:H3"/>
    <mergeCell ref="D3:E3"/>
    <mergeCell ref="K19:L19"/>
    <mergeCell ref="G11:H11"/>
    <mergeCell ref="A2:B2"/>
    <mergeCell ref="D2:H2"/>
    <mergeCell ref="D11:E11"/>
    <mergeCell ref="D10:H10"/>
    <mergeCell ref="J4:L4"/>
    <mergeCell ref="D18:H18"/>
    <mergeCell ref="A8:B8"/>
    <mergeCell ref="J3:K3"/>
    <mergeCell ref="A9:B9"/>
  </mergeCells>
  <pageMargins left="1" right="1" top="1" bottom="1" header="0.25" footer="0.25"/>
  <pageSetup orientation="portrait"/>
  <headerFooter>
    <oddHeader>&amp;L&amp;"Calibri,Regular"&amp;12&amp;K000000Backup</oddHeader>
    <oddFooter>&amp;L&amp;"Calibri,Regular"&amp;12&amp;K000000Página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"/>
  <sheetViews>
    <sheetView showGridLines="0" workbookViewId="0"/>
  </sheetViews>
  <sheetFormatPr baseColWidth="10" defaultColWidth="12.875" defaultRowHeight="15.75" customHeight="1"/>
  <cols>
    <col min="1" max="1" width="14.5" style="210" customWidth="1"/>
    <col min="2" max="2" width="14.625" style="210" customWidth="1"/>
    <col min="3" max="3" width="13.5" style="210" customWidth="1"/>
    <col min="4" max="4" width="16.125" style="210" customWidth="1"/>
    <col min="5" max="5" width="18.375" style="210" customWidth="1"/>
    <col min="6" max="6" width="13.375" style="210" customWidth="1"/>
    <col min="7" max="7" width="15.125" style="210" customWidth="1"/>
    <col min="8" max="8" width="12.875" style="210" customWidth="1"/>
    <col min="9" max="9" width="5.375" style="210" customWidth="1"/>
    <col min="10" max="10" width="9.5" style="210" customWidth="1"/>
    <col min="11" max="11" width="12.375" style="210" customWidth="1"/>
    <col min="12" max="256" width="12.875" style="210" customWidth="1"/>
  </cols>
  <sheetData>
    <row r="1" spans="1:11" ht="18.95" customHeight="1">
      <c r="A1" s="211" t="s">
        <v>228</v>
      </c>
      <c r="B1" s="211" t="s">
        <v>229</v>
      </c>
      <c r="C1" s="211" t="s">
        <v>230</v>
      </c>
      <c r="D1" s="211" t="s">
        <v>231</v>
      </c>
      <c r="E1" s="211" t="s">
        <v>232</v>
      </c>
      <c r="F1" s="211" t="s">
        <v>233</v>
      </c>
      <c r="G1" s="212" t="s">
        <v>234</v>
      </c>
      <c r="H1" s="37"/>
      <c r="I1" s="37"/>
      <c r="J1" s="37"/>
      <c r="K1" s="37"/>
    </row>
    <row r="2" spans="1:11" ht="19.5" customHeight="1">
      <c r="A2" s="78">
        <v>1</v>
      </c>
      <c r="B2" s="213">
        <v>10</v>
      </c>
      <c r="C2" s="214" t="s">
        <v>235</v>
      </c>
      <c r="D2" s="215">
        <v>0.63</v>
      </c>
      <c r="E2" s="187">
        <f>IF(Resum!$B$24=1,Resum!B25,0)</f>
        <v>0</v>
      </c>
      <c r="F2" s="216">
        <f>D2*E2*12</f>
        <v>0</v>
      </c>
      <c r="G2" s="216">
        <f>F2*0.4</f>
        <v>0</v>
      </c>
      <c r="H2" s="217"/>
      <c r="I2" s="150"/>
      <c r="J2" s="150"/>
      <c r="K2" s="150"/>
    </row>
    <row r="3" spans="1:11" ht="19.5" customHeight="1">
      <c r="A3" s="78">
        <v>2</v>
      </c>
      <c r="B3" s="213">
        <v>100</v>
      </c>
      <c r="C3" s="214" t="s">
        <v>235</v>
      </c>
      <c r="D3" s="215">
        <v>6.3</v>
      </c>
      <c r="E3" s="187">
        <f>IF(Resum!$B$24=2,Resum!B25,0)</f>
        <v>0</v>
      </c>
      <c r="F3" s="216">
        <f>D3*E3*12</f>
        <v>0</v>
      </c>
      <c r="G3" s="216">
        <f>F3*0.4</f>
        <v>0</v>
      </c>
      <c r="H3" s="174"/>
      <c r="I3" s="175"/>
      <c r="J3" s="175"/>
      <c r="K3" s="175"/>
    </row>
    <row r="4" spans="1:11" ht="19.5" customHeight="1">
      <c r="A4" s="78">
        <v>3</v>
      </c>
      <c r="B4" s="213">
        <v>1000</v>
      </c>
      <c r="C4" s="214" t="s">
        <v>235</v>
      </c>
      <c r="D4" s="215">
        <v>63</v>
      </c>
      <c r="E4" s="187">
        <f>IF(Resum!$B$24=3,Resum!B25,0)</f>
        <v>1</v>
      </c>
      <c r="F4" s="216">
        <f>D4*E4*12</f>
        <v>756</v>
      </c>
      <c r="G4" s="216">
        <f>F4*0.4</f>
        <v>302.40000000000003</v>
      </c>
      <c r="H4" s="174"/>
      <c r="I4" s="175"/>
      <c r="J4" s="175"/>
      <c r="K4" s="175"/>
    </row>
    <row r="5" spans="1:11" ht="19.5" customHeight="1">
      <c r="A5" s="78">
        <v>4</v>
      </c>
      <c r="B5" s="213">
        <v>10000</v>
      </c>
      <c r="C5" s="214" t="s">
        <v>236</v>
      </c>
      <c r="D5" s="215">
        <v>630</v>
      </c>
      <c r="E5" s="187">
        <f>IF(Resum!$B$24=4,Resum!B25,0)</f>
        <v>0</v>
      </c>
      <c r="F5" s="216">
        <f>D5*E5*12</f>
        <v>0</v>
      </c>
      <c r="G5" s="216">
        <f>F5*0.4</f>
        <v>0</v>
      </c>
      <c r="H5" s="174"/>
      <c r="I5" s="175"/>
      <c r="J5" s="175"/>
      <c r="K5" s="175"/>
    </row>
    <row r="6" spans="1:11" ht="31.5" customHeight="1">
      <c r="A6" s="78">
        <v>5</v>
      </c>
      <c r="B6" s="213">
        <v>100000</v>
      </c>
      <c r="C6" s="214" t="s">
        <v>237</v>
      </c>
      <c r="D6" s="215">
        <v>6300</v>
      </c>
      <c r="E6" s="187">
        <f>IF(Resum!$B$24=5,Resum!B25,0)</f>
        <v>0</v>
      </c>
      <c r="F6" s="216">
        <f>D6*E6*12</f>
        <v>0</v>
      </c>
      <c r="G6" s="216">
        <f>F6*0.4</f>
        <v>0</v>
      </c>
      <c r="H6" s="174"/>
      <c r="I6" s="175"/>
      <c r="J6" s="175"/>
      <c r="K6" s="175"/>
    </row>
    <row r="7" spans="1:11" ht="17.100000000000001" customHeight="1">
      <c r="A7" s="218"/>
      <c r="B7" s="171"/>
      <c r="C7" s="171"/>
      <c r="D7" s="171"/>
      <c r="E7" s="219" t="s">
        <v>98</v>
      </c>
      <c r="F7" s="220">
        <f>SUM(F2:F6)</f>
        <v>756</v>
      </c>
      <c r="G7" s="220">
        <f>IF(Resum!B20=3,SUM(G2:G6),0)</f>
        <v>302.40000000000003</v>
      </c>
      <c r="H7" s="175"/>
      <c r="I7" s="175"/>
      <c r="J7" s="175"/>
      <c r="K7" s="175"/>
    </row>
    <row r="8" spans="1:11" ht="17.100000000000001" customHeight="1">
      <c r="A8" s="175"/>
      <c r="B8" s="175"/>
      <c r="C8" s="175"/>
      <c r="D8" s="175"/>
      <c r="E8" s="175"/>
      <c r="F8" s="185"/>
      <c r="G8" s="175"/>
      <c r="H8" s="175"/>
      <c r="I8" s="175"/>
      <c r="J8" s="175"/>
      <c r="K8" s="175"/>
    </row>
    <row r="9" spans="1:11" ht="17.100000000000001" customHeight="1">
      <c r="A9" s="175"/>
      <c r="B9" s="175"/>
      <c r="C9" s="175"/>
      <c r="D9" s="175"/>
      <c r="E9" s="175"/>
      <c r="F9" s="220">
        <f>IF(Resum!B26=0,F7,F7+G7)</f>
        <v>1058.4000000000001</v>
      </c>
      <c r="G9" s="175"/>
      <c r="H9" s="175"/>
      <c r="I9" s="175"/>
      <c r="J9" s="175"/>
      <c r="K9" s="175"/>
    </row>
    <row r="10" spans="1:11" ht="18.95" customHeight="1">
      <c r="A10" s="150"/>
      <c r="B10" s="150"/>
      <c r="C10" s="150"/>
      <c r="D10" s="150"/>
      <c r="E10" s="150"/>
      <c r="F10" s="150"/>
      <c r="G10" s="150"/>
      <c r="H10" s="150"/>
      <c r="I10" s="150"/>
      <c r="J10" s="150"/>
      <c r="K10" s="150"/>
    </row>
    <row r="11" spans="1:11" ht="18.95" customHeight="1">
      <c r="A11" s="150"/>
      <c r="B11" s="150"/>
      <c r="C11" s="150"/>
      <c r="D11" s="150"/>
      <c r="E11" s="150"/>
      <c r="F11" s="150"/>
      <c r="G11" s="150"/>
      <c r="H11" s="150"/>
      <c r="I11" s="150"/>
      <c r="J11" s="150"/>
      <c r="K11" s="150"/>
    </row>
    <row r="12" spans="1:11" ht="18.95" customHeight="1">
      <c r="A12" s="150"/>
      <c r="B12" s="150"/>
      <c r="C12" s="150"/>
      <c r="D12" s="150"/>
      <c r="E12" s="150"/>
      <c r="F12" s="150"/>
      <c r="G12" s="150"/>
      <c r="H12" s="150"/>
      <c r="I12" s="150"/>
      <c r="J12" s="150"/>
      <c r="K12" s="150"/>
    </row>
    <row r="13" spans="1:11" ht="18.95" customHeight="1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</vt:lpstr>
      <vt:lpstr>Cabina de discos</vt:lpstr>
      <vt:lpstr>SAN</vt:lpstr>
      <vt:lpstr>Electricitat</vt:lpstr>
      <vt:lpstr>Infraestructura</vt:lpstr>
      <vt:lpstr>Backup</vt:lpstr>
      <vt:lpstr>Bandwidth provider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Papilomavirus</cp:lastModifiedBy>
  <dcterms:modified xsi:type="dcterms:W3CDTF">2017-10-20T15:55:55Z</dcterms:modified>
</cp:coreProperties>
</file>