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FileTest\"/>
    </mc:Choice>
  </mc:AlternateContent>
  <xr:revisionPtr revIDLastSave="0" documentId="13_ncr:1_{C38D8BC8-6A33-4255-B84C-009BE46C6254}" xr6:coauthVersionLast="45" xr6:coauthVersionMax="45" xr10:uidLastSave="{00000000-0000-0000-0000-000000000000}"/>
  <bookViews>
    <workbookView xWindow="-108" yWindow="-108" windowWidth="23256" windowHeight="12576" firstSheet="1" activeTab="1" xr2:uid="{00000000-000D-0000-FFFF-FFFF00000000}"/>
  </bookViews>
  <sheets>
    <sheet name="自2017年7月及其他重点工程" sheetId="1" state="hidden" r:id="rId1"/>
    <sheet name="2017.7接建设委托及16－17原有项目补充" sheetId="10" r:id="rId2"/>
    <sheet name="自2017年7月中心" sheetId="4" r:id="rId3"/>
    <sheet name="Sheet4" sheetId="12" r:id="rId4"/>
    <sheet name="报侯雪莹清单(分公司）" sheetId="5" state="hidden" r:id="rId5"/>
    <sheet name="报侯雪莹清单（中心）" sheetId="7" state="hidden" r:id="rId6"/>
    <sheet name="Sheet1" sheetId="8" state="hidden" r:id="rId7"/>
    <sheet name="Sheet2" sheetId="9" state="hidden" r:id="rId8"/>
  </sheets>
  <externalReferences>
    <externalReference r:id="rId9"/>
  </externalReferences>
  <definedNames>
    <definedName name="_xlnm._FilterDatabase" localSheetId="1" hidden="1">'2017.7接建设委托及16－17原有项目补充'!$A$2:$BG$556</definedName>
    <definedName name="_xlnm._FilterDatabase" localSheetId="3" hidden="1">Sheet4!$B$1:$H$1048455</definedName>
    <definedName name="_xlnm._FilterDatabase" localSheetId="4" hidden="1">'报侯雪莹清单(分公司）'!$N$1:$N$191</definedName>
    <definedName name="_xlnm._FilterDatabase" localSheetId="0" hidden="1">自2017年7月及其他重点工程!$A$2:$AX$257</definedName>
    <definedName name="_xlnm._FilterDatabase" localSheetId="2" hidden="1">自2017年7月中心!$A$1:$DR$75</definedName>
    <definedName name="_xlnm.Print_Titles" localSheetId="3">Sheet4!$1:$1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3" i="10" l="1"/>
  <c r="BF3" i="10"/>
  <c r="F35" i="8"/>
  <c r="F38" i="8" s="1"/>
  <c r="F40" i="8" s="1"/>
  <c r="I2" i="7"/>
  <c r="R1" i="7"/>
  <c r="Q1" i="7"/>
  <c r="P1" i="7"/>
  <c r="O1" i="7"/>
  <c r="N1" i="7"/>
  <c r="M1" i="7"/>
  <c r="L1" i="7"/>
  <c r="K1" i="7"/>
  <c r="J1" i="7"/>
  <c r="I1" i="7"/>
  <c r="H1" i="7"/>
  <c r="G1" i="7"/>
  <c r="F1" i="7"/>
  <c r="E1" i="7"/>
  <c r="D1" i="7"/>
  <c r="C1" i="7"/>
  <c r="B1" i="7"/>
  <c r="A1" i="7"/>
  <c r="O235" i="5"/>
  <c r="G235" i="5"/>
  <c r="F235" i="5"/>
  <c r="B235" i="5"/>
  <c r="C235" i="5" s="1"/>
  <c r="D235" i="5" s="1"/>
  <c r="E235" i="5" s="1"/>
  <c r="A235" i="5"/>
  <c r="L235" i="5" s="1"/>
  <c r="O234" i="5"/>
  <c r="M234" i="5"/>
  <c r="L234" i="5"/>
  <c r="K234" i="5"/>
  <c r="G234" i="5"/>
  <c r="F234" i="5"/>
  <c r="A234" i="5"/>
  <c r="J234" i="5" s="1"/>
  <c r="O233" i="5"/>
  <c r="L233" i="5"/>
  <c r="K233" i="5"/>
  <c r="J233" i="5"/>
  <c r="F233" i="5"/>
  <c r="B233" i="5"/>
  <c r="C233" i="5" s="1"/>
  <c r="D233" i="5" s="1"/>
  <c r="E233" i="5" s="1"/>
  <c r="A233" i="5"/>
  <c r="L232" i="5"/>
  <c r="J232" i="5"/>
  <c r="B232" i="5"/>
  <c r="C232" i="5" s="1"/>
  <c r="D232" i="5" s="1"/>
  <c r="E232" i="5" s="1"/>
  <c r="A232" i="5"/>
  <c r="O232" i="5" s="1"/>
  <c r="O231" i="5"/>
  <c r="M231" i="5"/>
  <c r="J231" i="5"/>
  <c r="G231" i="5"/>
  <c r="F231" i="5"/>
  <c r="B231" i="5"/>
  <c r="C231" i="5" s="1"/>
  <c r="D231" i="5" s="1"/>
  <c r="E231" i="5" s="1"/>
  <c r="A231" i="5"/>
  <c r="L231" i="5" s="1"/>
  <c r="O230" i="5"/>
  <c r="M230" i="5"/>
  <c r="L230" i="5"/>
  <c r="K230" i="5"/>
  <c r="G230" i="5"/>
  <c r="F230" i="5"/>
  <c r="A230" i="5"/>
  <c r="J230" i="5" s="1"/>
  <c r="O229" i="5"/>
  <c r="L229" i="5"/>
  <c r="K229" i="5"/>
  <c r="J229" i="5"/>
  <c r="F229" i="5"/>
  <c r="B229" i="5"/>
  <c r="C229" i="5" s="1"/>
  <c r="D229" i="5" s="1"/>
  <c r="E229" i="5" s="1"/>
  <c r="A229" i="5"/>
  <c r="L228" i="5"/>
  <c r="J228" i="5"/>
  <c r="B228" i="5"/>
  <c r="C228" i="5" s="1"/>
  <c r="D228" i="5" s="1"/>
  <c r="E228" i="5" s="1"/>
  <c r="A228" i="5"/>
  <c r="O228" i="5" s="1"/>
  <c r="O227" i="5"/>
  <c r="M227" i="5"/>
  <c r="J227" i="5"/>
  <c r="G227" i="5"/>
  <c r="F227" i="5"/>
  <c r="B227" i="5"/>
  <c r="C227" i="5" s="1"/>
  <c r="D227" i="5" s="1"/>
  <c r="E227" i="5" s="1"/>
  <c r="A227" i="5"/>
  <c r="L227" i="5" s="1"/>
  <c r="O226" i="5"/>
  <c r="M226" i="5"/>
  <c r="L226" i="5"/>
  <c r="K226" i="5"/>
  <c r="G226" i="5"/>
  <c r="F226" i="5"/>
  <c r="A226" i="5"/>
  <c r="J226" i="5" s="1"/>
  <c r="O225" i="5"/>
  <c r="L225" i="5"/>
  <c r="K225" i="5"/>
  <c r="J225" i="5"/>
  <c r="F225" i="5"/>
  <c r="B225" i="5"/>
  <c r="C225" i="5" s="1"/>
  <c r="D225" i="5" s="1"/>
  <c r="E225" i="5" s="1"/>
  <c r="A225" i="5"/>
  <c r="L224" i="5"/>
  <c r="J224" i="5"/>
  <c r="B224" i="5"/>
  <c r="C224" i="5" s="1"/>
  <c r="D224" i="5" s="1"/>
  <c r="E224" i="5" s="1"/>
  <c r="A224" i="5"/>
  <c r="O224" i="5" s="1"/>
  <c r="O223" i="5"/>
  <c r="M223" i="5"/>
  <c r="J223" i="5"/>
  <c r="G223" i="5"/>
  <c r="F223" i="5"/>
  <c r="B223" i="5"/>
  <c r="C223" i="5" s="1"/>
  <c r="D223" i="5" s="1"/>
  <c r="E223" i="5" s="1"/>
  <c r="A223" i="5"/>
  <c r="L223" i="5" s="1"/>
  <c r="O222" i="5"/>
  <c r="M222" i="5"/>
  <c r="L222" i="5"/>
  <c r="K222" i="5"/>
  <c r="G222" i="5"/>
  <c r="F222" i="5"/>
  <c r="A222" i="5"/>
  <c r="J222" i="5" s="1"/>
  <c r="O221" i="5"/>
  <c r="L221" i="5"/>
  <c r="K221" i="5"/>
  <c r="J221" i="5"/>
  <c r="F221" i="5"/>
  <c r="B221" i="5"/>
  <c r="C221" i="5" s="1"/>
  <c r="D221" i="5" s="1"/>
  <c r="E221" i="5" s="1"/>
  <c r="A221" i="5"/>
  <c r="L220" i="5"/>
  <c r="J220" i="5"/>
  <c r="B220" i="5"/>
  <c r="C220" i="5" s="1"/>
  <c r="D220" i="5" s="1"/>
  <c r="E220" i="5" s="1"/>
  <c r="A220" i="5"/>
  <c r="O220" i="5" s="1"/>
  <c r="O219" i="5"/>
  <c r="M219" i="5"/>
  <c r="J219" i="5"/>
  <c r="G219" i="5"/>
  <c r="F219" i="5"/>
  <c r="B219" i="5"/>
  <c r="C219" i="5" s="1"/>
  <c r="D219" i="5" s="1"/>
  <c r="E219" i="5" s="1"/>
  <c r="A219" i="5"/>
  <c r="L219" i="5" s="1"/>
  <c r="O218" i="5"/>
  <c r="M218" i="5"/>
  <c r="L218" i="5"/>
  <c r="K218" i="5"/>
  <c r="G218" i="5"/>
  <c r="F218" i="5"/>
  <c r="A218" i="5"/>
  <c r="J218" i="5" s="1"/>
  <c r="O217" i="5"/>
  <c r="L217" i="5"/>
  <c r="K217" i="5"/>
  <c r="J217" i="5"/>
  <c r="F217" i="5"/>
  <c r="B217" i="5"/>
  <c r="C217" i="5" s="1"/>
  <c r="D217" i="5" s="1"/>
  <c r="E217" i="5" s="1"/>
  <c r="A217" i="5"/>
  <c r="H217" i="5" s="1"/>
  <c r="L216" i="5"/>
  <c r="J216" i="5"/>
  <c r="B216" i="5"/>
  <c r="C216" i="5" s="1"/>
  <c r="D216" i="5" s="1"/>
  <c r="E216" i="5" s="1"/>
  <c r="A216" i="5"/>
  <c r="O216" i="5" s="1"/>
  <c r="O215" i="5"/>
  <c r="M215" i="5"/>
  <c r="J215" i="5"/>
  <c r="G215" i="5"/>
  <c r="F215" i="5"/>
  <c r="B215" i="5"/>
  <c r="C215" i="5" s="1"/>
  <c r="D215" i="5" s="1"/>
  <c r="E215" i="5" s="1"/>
  <c r="A215" i="5"/>
  <c r="L215" i="5" s="1"/>
  <c r="O214" i="5"/>
  <c r="M214" i="5"/>
  <c r="L214" i="5"/>
  <c r="K214" i="5"/>
  <c r="H214" i="5"/>
  <c r="G214" i="5"/>
  <c r="F214" i="5"/>
  <c r="A214" i="5"/>
  <c r="J214" i="5" s="1"/>
  <c r="O213" i="5"/>
  <c r="L213" i="5"/>
  <c r="K213" i="5"/>
  <c r="J213" i="5"/>
  <c r="F213" i="5"/>
  <c r="B213" i="5"/>
  <c r="C213" i="5" s="1"/>
  <c r="D213" i="5" s="1"/>
  <c r="E213" i="5" s="1"/>
  <c r="A213" i="5"/>
  <c r="L212" i="5"/>
  <c r="J212" i="5"/>
  <c r="B212" i="5"/>
  <c r="C212" i="5" s="1"/>
  <c r="D212" i="5" s="1"/>
  <c r="E212" i="5" s="1"/>
  <c r="A212" i="5"/>
  <c r="O212" i="5" s="1"/>
  <c r="O211" i="5"/>
  <c r="M211" i="5"/>
  <c r="J211" i="5"/>
  <c r="G211" i="5"/>
  <c r="F211" i="5"/>
  <c r="B211" i="5"/>
  <c r="C211" i="5" s="1"/>
  <c r="D211" i="5" s="1"/>
  <c r="E211" i="5" s="1"/>
  <c r="A211" i="5"/>
  <c r="L211" i="5" s="1"/>
  <c r="O210" i="5"/>
  <c r="M210" i="5"/>
  <c r="L210" i="5"/>
  <c r="K210" i="5"/>
  <c r="G210" i="5"/>
  <c r="F210" i="5"/>
  <c r="A210" i="5"/>
  <c r="J210" i="5" s="1"/>
  <c r="O209" i="5"/>
  <c r="L209" i="5"/>
  <c r="K209" i="5"/>
  <c r="J209" i="5"/>
  <c r="F209" i="5"/>
  <c r="B209" i="5"/>
  <c r="C209" i="5" s="1"/>
  <c r="D209" i="5" s="1"/>
  <c r="E209" i="5" s="1"/>
  <c r="A209" i="5"/>
  <c r="L208" i="5"/>
  <c r="J208" i="5"/>
  <c r="B208" i="5"/>
  <c r="C208" i="5" s="1"/>
  <c r="D208" i="5" s="1"/>
  <c r="E208" i="5" s="1"/>
  <c r="A208" i="5"/>
  <c r="O208" i="5" s="1"/>
  <c r="O207" i="5"/>
  <c r="M207" i="5"/>
  <c r="J207" i="5"/>
  <c r="G207" i="5"/>
  <c r="F207" i="5"/>
  <c r="B207" i="5"/>
  <c r="C207" i="5" s="1"/>
  <c r="D207" i="5" s="1"/>
  <c r="E207" i="5" s="1"/>
  <c r="A207" i="5"/>
  <c r="L207" i="5" s="1"/>
  <c r="O206" i="5"/>
  <c r="M206" i="5"/>
  <c r="L206" i="5"/>
  <c r="K206" i="5"/>
  <c r="J206" i="5"/>
  <c r="I206" i="5"/>
  <c r="G206" i="5"/>
  <c r="F206" i="5"/>
  <c r="D206" i="5"/>
  <c r="E206" i="5" s="1"/>
  <c r="C206" i="5"/>
  <c r="B206" i="5"/>
  <c r="M205" i="5"/>
  <c r="A205" i="5"/>
  <c r="G205" i="5" s="1"/>
  <c r="K204" i="5"/>
  <c r="G204" i="5"/>
  <c r="A204" i="5"/>
  <c r="M204" i="5" s="1"/>
  <c r="O203" i="5"/>
  <c r="M203" i="5"/>
  <c r="L203" i="5"/>
  <c r="K203" i="5"/>
  <c r="J203" i="5"/>
  <c r="I203" i="5"/>
  <c r="G203" i="5"/>
  <c r="F203" i="5"/>
  <c r="E203" i="5"/>
  <c r="D203" i="5"/>
  <c r="C203" i="5"/>
  <c r="B203" i="5"/>
  <c r="O202" i="5"/>
  <c r="M202" i="5"/>
  <c r="L202" i="5"/>
  <c r="K202" i="5"/>
  <c r="J202" i="5"/>
  <c r="I202" i="5"/>
  <c r="G202" i="5"/>
  <c r="F202" i="5"/>
  <c r="B202" i="5"/>
  <c r="C202" i="5" s="1"/>
  <c r="D202" i="5" s="1"/>
  <c r="E202" i="5" s="1"/>
  <c r="O201" i="5"/>
  <c r="M201" i="5"/>
  <c r="L201" i="5"/>
  <c r="K201" i="5"/>
  <c r="J201" i="5"/>
  <c r="I201" i="5"/>
  <c r="G201" i="5"/>
  <c r="F201" i="5"/>
  <c r="C201" i="5"/>
  <c r="D201" i="5" s="1"/>
  <c r="E201" i="5" s="1"/>
  <c r="B201" i="5"/>
  <c r="O200" i="5"/>
  <c r="M200" i="5"/>
  <c r="L200" i="5"/>
  <c r="K200" i="5"/>
  <c r="J200" i="5"/>
  <c r="I200" i="5"/>
  <c r="G200" i="5"/>
  <c r="F200" i="5"/>
  <c r="D200" i="5"/>
  <c r="E200" i="5" s="1"/>
  <c r="C200" i="5"/>
  <c r="B200" i="5"/>
  <c r="O199" i="5"/>
  <c r="M199" i="5"/>
  <c r="L199" i="5"/>
  <c r="K199" i="5"/>
  <c r="J199" i="5"/>
  <c r="I199" i="5"/>
  <c r="G199" i="5"/>
  <c r="F199" i="5"/>
  <c r="C199" i="5"/>
  <c r="D199" i="5" s="1"/>
  <c r="E199" i="5" s="1"/>
  <c r="B199" i="5"/>
  <c r="O198" i="5"/>
  <c r="M198" i="5"/>
  <c r="L198" i="5"/>
  <c r="K198" i="5"/>
  <c r="J198" i="5"/>
  <c r="I198" i="5"/>
  <c r="G198" i="5"/>
  <c r="F198" i="5"/>
  <c r="B198" i="5"/>
  <c r="C198" i="5" s="1"/>
  <c r="D198" i="5" s="1"/>
  <c r="E198" i="5" s="1"/>
  <c r="O197" i="5"/>
  <c r="M197" i="5"/>
  <c r="L197" i="5"/>
  <c r="K197" i="5"/>
  <c r="J197" i="5"/>
  <c r="I197" i="5"/>
  <c r="G197" i="5"/>
  <c r="F197" i="5"/>
  <c r="C197" i="5"/>
  <c r="D197" i="5" s="1"/>
  <c r="E197" i="5" s="1"/>
  <c r="B197" i="5"/>
  <c r="O196" i="5"/>
  <c r="M196" i="5"/>
  <c r="L196" i="5"/>
  <c r="K196" i="5"/>
  <c r="J196" i="5"/>
  <c r="I196" i="5"/>
  <c r="G196" i="5"/>
  <c r="F196" i="5"/>
  <c r="B196" i="5"/>
  <c r="C196" i="5" s="1"/>
  <c r="D196" i="5" s="1"/>
  <c r="E196" i="5" s="1"/>
  <c r="O195" i="5"/>
  <c r="M195" i="5"/>
  <c r="L195" i="5"/>
  <c r="K195" i="5"/>
  <c r="J195" i="5"/>
  <c r="I195" i="5"/>
  <c r="G195" i="5"/>
  <c r="F195" i="5"/>
  <c r="E195" i="5"/>
  <c r="D195" i="5"/>
  <c r="C195" i="5"/>
  <c r="B195" i="5"/>
  <c r="O194" i="5"/>
  <c r="M194" i="5"/>
  <c r="L194" i="5"/>
  <c r="K194" i="5"/>
  <c r="J194" i="5"/>
  <c r="I194" i="5"/>
  <c r="G194" i="5"/>
  <c r="F194" i="5"/>
  <c r="B194" i="5"/>
  <c r="C194" i="5" s="1"/>
  <c r="D194" i="5" s="1"/>
  <c r="E194" i="5" s="1"/>
  <c r="O193" i="5"/>
  <c r="M193" i="5"/>
  <c r="L193" i="5"/>
  <c r="K193" i="5"/>
  <c r="J193" i="5"/>
  <c r="I193" i="5"/>
  <c r="G193" i="5"/>
  <c r="F193" i="5"/>
  <c r="C193" i="5"/>
  <c r="D193" i="5" s="1"/>
  <c r="E193" i="5" s="1"/>
  <c r="B193" i="5"/>
  <c r="O192" i="5"/>
  <c r="M192" i="5"/>
  <c r="L192" i="5"/>
  <c r="K192" i="5"/>
  <c r="J192" i="5"/>
  <c r="I192" i="5"/>
  <c r="G192" i="5"/>
  <c r="F192" i="5"/>
  <c r="D192" i="5"/>
  <c r="E192" i="5" s="1"/>
  <c r="C192" i="5"/>
  <c r="B192" i="5"/>
  <c r="O191" i="5"/>
  <c r="M191" i="5"/>
  <c r="J191" i="5"/>
  <c r="I191" i="5"/>
  <c r="G191" i="5"/>
  <c r="F191" i="5"/>
  <c r="C191" i="5"/>
  <c r="D191" i="5" s="1"/>
  <c r="E191" i="5" s="1"/>
  <c r="B191" i="5"/>
  <c r="O128" i="5"/>
  <c r="M128" i="5"/>
  <c r="L128" i="5"/>
  <c r="K128" i="5"/>
  <c r="J128" i="5"/>
  <c r="I128" i="5"/>
  <c r="H128" i="5"/>
  <c r="V5" i="5"/>
  <c r="R1" i="5"/>
  <c r="Q1" i="5"/>
  <c r="P1" i="5"/>
  <c r="O1" i="5"/>
  <c r="N1" i="5"/>
  <c r="M1" i="5"/>
  <c r="L1" i="5"/>
  <c r="K1" i="5"/>
  <c r="J1" i="5"/>
  <c r="I1" i="5"/>
  <c r="H1" i="5"/>
  <c r="G1" i="5"/>
  <c r="F1" i="5"/>
  <c r="E1" i="5"/>
  <c r="D1" i="5"/>
  <c r="C1" i="5"/>
  <c r="B1" i="5"/>
  <c r="A1" i="5"/>
  <c r="W43" i="4"/>
  <c r="W42" i="4"/>
  <c r="W41" i="4"/>
  <c r="W40" i="4"/>
  <c r="W39" i="4"/>
  <c r="W38" i="4"/>
  <c r="W37" i="4"/>
  <c r="W36" i="4"/>
  <c r="W35" i="4"/>
  <c r="W34" i="4"/>
  <c r="W33" i="4"/>
  <c r="W32" i="4"/>
  <c r="W31" i="4"/>
  <c r="W30" i="4"/>
  <c r="W29" i="4"/>
  <c r="W28" i="4"/>
  <c r="W27" i="4"/>
  <c r="W26" i="4"/>
  <c r="W25" i="4"/>
  <c r="W24" i="4"/>
  <c r="W23" i="4"/>
  <c r="W22" i="4"/>
  <c r="W21" i="4"/>
  <c r="W17" i="4"/>
  <c r="X17" i="4" s="1"/>
  <c r="L17" i="4"/>
  <c r="X16" i="4"/>
  <c r="W16" i="4"/>
  <c r="X14" i="4"/>
  <c r="W14" i="4"/>
  <c r="W13" i="4"/>
  <c r="L13" i="4"/>
  <c r="X13" i="4" s="1"/>
  <c r="X12" i="4"/>
  <c r="W12" i="4"/>
  <c r="AU11" i="4"/>
  <c r="X11" i="4"/>
  <c r="W11" i="4"/>
  <c r="L11" i="4"/>
  <c r="AU10" i="4"/>
  <c r="X10" i="4"/>
  <c r="W10" i="4"/>
  <c r="AU8" i="4"/>
  <c r="W8" i="4"/>
  <c r="X8" i="4" s="1"/>
  <c r="AU7" i="4"/>
  <c r="X7" i="4"/>
  <c r="W7" i="4"/>
  <c r="AU6" i="4"/>
  <c r="X6" i="4"/>
  <c r="AU4" i="4"/>
  <c r="W4" i="4"/>
  <c r="X4" i="4" s="1"/>
  <c r="AU3" i="4"/>
  <c r="X3" i="4"/>
  <c r="W3" i="4"/>
  <c r="X2" i="4"/>
  <c r="W2" i="4"/>
  <c r="O2" i="4"/>
  <c r="N564" i="10"/>
  <c r="M564" i="10" s="1"/>
  <c r="N563" i="10"/>
  <c r="M563" i="10" s="1"/>
  <c r="N562" i="10"/>
  <c r="M562" i="10" s="1"/>
  <c r="N561" i="10"/>
  <c r="M561" i="10" s="1"/>
  <c r="N560" i="10"/>
  <c r="M560" i="10" s="1"/>
  <c r="N559" i="10"/>
  <c r="M559" i="10" s="1"/>
  <c r="N558" i="10"/>
  <c r="M558" i="10" s="1"/>
  <c r="N557" i="10"/>
  <c r="M557" i="10" s="1"/>
  <c r="AN556" i="10"/>
  <c r="N556" i="10"/>
  <c r="M556" i="10" s="1"/>
  <c r="BG555" i="10"/>
  <c r="AN555" i="10"/>
  <c r="N555" i="10"/>
  <c r="M555" i="10" s="1"/>
  <c r="BG554" i="10"/>
  <c r="AN554" i="10"/>
  <c r="N554" i="10"/>
  <c r="M554" i="10" s="1"/>
  <c r="BG553" i="10"/>
  <c r="AN553" i="10"/>
  <c r="N553" i="10"/>
  <c r="M553" i="10" s="1"/>
  <c r="BG552" i="10"/>
  <c r="AN552" i="10"/>
  <c r="N552" i="10"/>
  <c r="M552" i="10" s="1"/>
  <c r="BG551" i="10"/>
  <c r="AN551" i="10"/>
  <c r="N551" i="10"/>
  <c r="M551" i="10" s="1"/>
  <c r="BF551" i="10" s="1"/>
  <c r="BG550" i="10"/>
  <c r="AN550" i="10"/>
  <c r="N550" i="10"/>
  <c r="M550" i="10" s="1"/>
  <c r="BF550" i="10" s="1"/>
  <c r="BG549" i="10"/>
  <c r="AN549" i="10"/>
  <c r="N549" i="10"/>
  <c r="M549" i="10" s="1"/>
  <c r="BF549" i="10" s="1"/>
  <c r="BG548" i="10"/>
  <c r="AN548" i="10"/>
  <c r="N548" i="10"/>
  <c r="M548" i="10" s="1"/>
  <c r="BF548" i="10" s="1"/>
  <c r="BG547" i="10"/>
  <c r="AN547" i="10"/>
  <c r="N547" i="10"/>
  <c r="M547" i="10" s="1"/>
  <c r="BF547" i="10" s="1"/>
  <c r="BG546" i="10"/>
  <c r="AN546" i="10"/>
  <c r="N546" i="10"/>
  <c r="M546" i="10" s="1"/>
  <c r="BF546" i="10" s="1"/>
  <c r="BG545" i="10"/>
  <c r="AN545" i="10"/>
  <c r="N545" i="10"/>
  <c r="M545" i="10" s="1"/>
  <c r="BF545" i="10" s="1"/>
  <c r="BG544" i="10"/>
  <c r="AN544" i="10"/>
  <c r="N544" i="10"/>
  <c r="M544" i="10" s="1"/>
  <c r="BF544" i="10" s="1"/>
  <c r="BG543" i="10"/>
  <c r="AN543" i="10"/>
  <c r="N543" i="10"/>
  <c r="M543" i="10" s="1"/>
  <c r="BF543" i="10" s="1"/>
  <c r="BG542" i="10"/>
  <c r="AN542" i="10"/>
  <c r="N542" i="10"/>
  <c r="M542" i="10" s="1"/>
  <c r="BF542" i="10" s="1"/>
  <c r="BG541" i="10"/>
  <c r="AN541" i="10"/>
  <c r="N541" i="10"/>
  <c r="M541" i="10" s="1"/>
  <c r="BF541" i="10" s="1"/>
  <c r="BG540" i="10"/>
  <c r="AN540" i="10"/>
  <c r="N540" i="10"/>
  <c r="M540" i="10" s="1"/>
  <c r="BF540" i="10" s="1"/>
  <c r="BG539" i="10"/>
  <c r="AN539" i="10"/>
  <c r="N539" i="10"/>
  <c r="M539" i="10" s="1"/>
  <c r="BF539" i="10" s="1"/>
  <c r="BG538" i="10"/>
  <c r="AN538" i="10"/>
  <c r="N538" i="10"/>
  <c r="M538" i="10" s="1"/>
  <c r="BF538" i="10" s="1"/>
  <c r="BG537" i="10"/>
  <c r="AN537" i="10"/>
  <c r="N537" i="10"/>
  <c r="M537" i="10" s="1"/>
  <c r="BF537" i="10" s="1"/>
  <c r="BG536" i="10"/>
  <c r="AN536" i="10"/>
  <c r="N536" i="10"/>
  <c r="M536" i="10" s="1"/>
  <c r="BF536" i="10" s="1"/>
  <c r="BG535" i="10"/>
  <c r="AN535" i="10"/>
  <c r="N535" i="10"/>
  <c r="M535" i="10" s="1"/>
  <c r="BF535" i="10" s="1"/>
  <c r="BG534" i="10"/>
  <c r="AN534" i="10"/>
  <c r="N534" i="10"/>
  <c r="M534" i="10" s="1"/>
  <c r="BF534" i="10" s="1"/>
  <c r="BG533" i="10"/>
  <c r="AN533" i="10"/>
  <c r="N533" i="10"/>
  <c r="M533" i="10" s="1"/>
  <c r="BF533" i="10" s="1"/>
  <c r="BG532" i="10"/>
  <c r="AN532" i="10"/>
  <c r="N532" i="10"/>
  <c r="M532" i="10" s="1"/>
  <c r="BF532" i="10" s="1"/>
  <c r="BG531" i="10"/>
  <c r="AN531" i="10"/>
  <c r="N531" i="10"/>
  <c r="M531" i="10" s="1"/>
  <c r="BF531" i="10" s="1"/>
  <c r="BG530" i="10"/>
  <c r="AN530" i="10"/>
  <c r="N530" i="10"/>
  <c r="M530" i="10" s="1"/>
  <c r="BF530" i="10" s="1"/>
  <c r="BG529" i="10"/>
  <c r="AN529" i="10"/>
  <c r="N529" i="10"/>
  <c r="M529" i="10"/>
  <c r="BF529" i="10" s="1"/>
  <c r="BG528" i="10"/>
  <c r="AN528" i="10"/>
  <c r="N528" i="10"/>
  <c r="M528" i="10" s="1"/>
  <c r="BF528" i="10" s="1"/>
  <c r="BG527" i="10"/>
  <c r="AN527" i="10"/>
  <c r="N527" i="10"/>
  <c r="M527" i="10" s="1"/>
  <c r="BF527" i="10" s="1"/>
  <c r="BG526" i="10"/>
  <c r="AN526" i="10"/>
  <c r="N526" i="10"/>
  <c r="M526" i="10" s="1"/>
  <c r="BF526" i="10" s="1"/>
  <c r="BG525" i="10"/>
  <c r="AN525" i="10"/>
  <c r="N525" i="10"/>
  <c r="M525" i="10" s="1"/>
  <c r="BF525" i="10" s="1"/>
  <c r="BG524" i="10"/>
  <c r="AN524" i="10"/>
  <c r="N524" i="10"/>
  <c r="M524" i="10" s="1"/>
  <c r="BF524" i="10" s="1"/>
  <c r="BG523" i="10"/>
  <c r="AN523" i="10"/>
  <c r="N523" i="10"/>
  <c r="M523" i="10" s="1"/>
  <c r="BF523" i="10" s="1"/>
  <c r="BG522" i="10"/>
  <c r="AN522" i="10"/>
  <c r="N522" i="10"/>
  <c r="M522" i="10" s="1"/>
  <c r="BF522" i="10" s="1"/>
  <c r="BG521" i="10"/>
  <c r="AN521" i="10"/>
  <c r="N521" i="10"/>
  <c r="M521" i="10" s="1"/>
  <c r="BF521" i="10" s="1"/>
  <c r="BG520" i="10"/>
  <c r="AN520" i="10"/>
  <c r="N520" i="10"/>
  <c r="M520" i="10" s="1"/>
  <c r="BF520" i="10" s="1"/>
  <c r="BG519" i="10"/>
  <c r="AN519" i="10"/>
  <c r="N519" i="10"/>
  <c r="M519" i="10" s="1"/>
  <c r="BF519" i="10" s="1"/>
  <c r="BG518" i="10"/>
  <c r="AN518" i="10"/>
  <c r="N518" i="10"/>
  <c r="M518" i="10" s="1"/>
  <c r="BF518" i="10" s="1"/>
  <c r="BG517" i="10"/>
  <c r="AN517" i="10"/>
  <c r="N517" i="10"/>
  <c r="M517" i="10" s="1"/>
  <c r="BF517" i="10" s="1"/>
  <c r="BG516" i="10"/>
  <c r="AN516" i="10"/>
  <c r="N516" i="10"/>
  <c r="M516" i="10" s="1"/>
  <c r="BF516" i="10" s="1"/>
  <c r="BG515" i="10"/>
  <c r="AN515" i="10"/>
  <c r="N515" i="10"/>
  <c r="M515" i="10" s="1"/>
  <c r="BF515" i="10" s="1"/>
  <c r="BG514" i="10"/>
  <c r="AN514" i="10"/>
  <c r="N514" i="10"/>
  <c r="M514" i="10" s="1"/>
  <c r="BF514" i="10" s="1"/>
  <c r="BG513" i="10"/>
  <c r="AN513" i="10"/>
  <c r="N513" i="10"/>
  <c r="M513" i="10" s="1"/>
  <c r="BF513" i="10" s="1"/>
  <c r="BG512" i="10"/>
  <c r="AN512" i="10"/>
  <c r="N512" i="10"/>
  <c r="M512" i="10" s="1"/>
  <c r="BF512" i="10" s="1"/>
  <c r="BG511" i="10"/>
  <c r="AN511" i="10"/>
  <c r="N511" i="10"/>
  <c r="M511" i="10" s="1"/>
  <c r="BF511" i="10" s="1"/>
  <c r="BG510" i="10"/>
  <c r="AN510" i="10"/>
  <c r="N510" i="10"/>
  <c r="M510" i="10" s="1"/>
  <c r="BF510" i="10" s="1"/>
  <c r="BG509" i="10"/>
  <c r="AN509" i="10"/>
  <c r="N509" i="10"/>
  <c r="M509" i="10" s="1"/>
  <c r="BF509" i="10" s="1"/>
  <c r="BG508" i="10"/>
  <c r="AN508" i="10"/>
  <c r="N508" i="10"/>
  <c r="M508" i="10" s="1"/>
  <c r="BF508" i="10" s="1"/>
  <c r="BG507" i="10"/>
  <c r="AN507" i="10"/>
  <c r="N507" i="10"/>
  <c r="M507" i="10" s="1"/>
  <c r="BF507" i="10" s="1"/>
  <c r="BG506" i="10"/>
  <c r="AN506" i="10"/>
  <c r="N506" i="10"/>
  <c r="M506" i="10" s="1"/>
  <c r="BF506" i="10" s="1"/>
  <c r="BG505" i="10"/>
  <c r="AN505" i="10"/>
  <c r="N505" i="10"/>
  <c r="M505" i="10" s="1"/>
  <c r="BF505" i="10" s="1"/>
  <c r="BG504" i="10"/>
  <c r="AN504" i="10"/>
  <c r="N504" i="10"/>
  <c r="M504" i="10" s="1"/>
  <c r="BF504" i="10" s="1"/>
  <c r="BG503" i="10"/>
  <c r="AN503" i="10"/>
  <c r="N503" i="10"/>
  <c r="M503" i="10" s="1"/>
  <c r="BF503" i="10" s="1"/>
  <c r="BG502" i="10"/>
  <c r="AN502" i="10"/>
  <c r="N502" i="10"/>
  <c r="M502" i="10" s="1"/>
  <c r="BF502" i="10" s="1"/>
  <c r="BG501" i="10"/>
  <c r="AN501" i="10"/>
  <c r="N501" i="10"/>
  <c r="M501" i="10" s="1"/>
  <c r="BF501" i="10" s="1"/>
  <c r="BG500" i="10"/>
  <c r="AN500" i="10"/>
  <c r="N500" i="10"/>
  <c r="M500" i="10" s="1"/>
  <c r="BF500" i="10" s="1"/>
  <c r="BG499" i="10"/>
  <c r="AN499" i="10"/>
  <c r="N499" i="10"/>
  <c r="M499" i="10" s="1"/>
  <c r="BF499" i="10" s="1"/>
  <c r="BG498" i="10"/>
  <c r="AN498" i="10"/>
  <c r="N498" i="10"/>
  <c r="M498" i="10" s="1"/>
  <c r="BF498" i="10" s="1"/>
  <c r="BG497" i="10"/>
  <c r="AN497" i="10"/>
  <c r="N497" i="10"/>
  <c r="M497" i="10" s="1"/>
  <c r="BF497" i="10" s="1"/>
  <c r="BG496" i="10"/>
  <c r="AN496" i="10"/>
  <c r="N496" i="10"/>
  <c r="M496" i="10" s="1"/>
  <c r="BF496" i="10" s="1"/>
  <c r="BG495" i="10"/>
  <c r="AN495" i="10"/>
  <c r="N495" i="10"/>
  <c r="M495" i="10" s="1"/>
  <c r="BF495" i="10" s="1"/>
  <c r="BG494" i="10"/>
  <c r="AN494" i="10"/>
  <c r="N494" i="10"/>
  <c r="M494" i="10" s="1"/>
  <c r="BF494" i="10" s="1"/>
  <c r="BG493" i="10"/>
  <c r="AN493" i="10"/>
  <c r="N493" i="10"/>
  <c r="M493" i="10" s="1"/>
  <c r="BF493" i="10" s="1"/>
  <c r="BG492" i="10"/>
  <c r="AN492" i="10"/>
  <c r="N492" i="10"/>
  <c r="M492" i="10" s="1"/>
  <c r="BF492" i="10" s="1"/>
  <c r="BG491" i="10"/>
  <c r="AN491" i="10"/>
  <c r="N491" i="10"/>
  <c r="M491" i="10" s="1"/>
  <c r="BF491" i="10" s="1"/>
  <c r="BG490" i="10"/>
  <c r="AN490" i="10"/>
  <c r="N490" i="10"/>
  <c r="M490" i="10" s="1"/>
  <c r="BF490" i="10" s="1"/>
  <c r="BG489" i="10"/>
  <c r="AN489" i="10"/>
  <c r="N489" i="10"/>
  <c r="M489" i="10" s="1"/>
  <c r="BF489" i="10" s="1"/>
  <c r="BG488" i="10"/>
  <c r="AN488" i="10"/>
  <c r="N488" i="10"/>
  <c r="M488" i="10" s="1"/>
  <c r="BF488" i="10" s="1"/>
  <c r="BG487" i="10"/>
  <c r="AN487" i="10"/>
  <c r="N487" i="10"/>
  <c r="M487" i="10" s="1"/>
  <c r="BF487" i="10" s="1"/>
  <c r="BG486" i="10"/>
  <c r="AN486" i="10"/>
  <c r="N486" i="10"/>
  <c r="M486" i="10" s="1"/>
  <c r="BF486" i="10" s="1"/>
  <c r="BG485" i="10"/>
  <c r="AN485" i="10"/>
  <c r="N485" i="10"/>
  <c r="M485" i="10" s="1"/>
  <c r="BF485" i="10" s="1"/>
  <c r="BG484" i="10"/>
  <c r="AN484" i="10"/>
  <c r="N484" i="10"/>
  <c r="M484" i="10" s="1"/>
  <c r="BF484" i="10" s="1"/>
  <c r="BG483" i="10"/>
  <c r="AN483" i="10"/>
  <c r="N483" i="10"/>
  <c r="M483" i="10" s="1"/>
  <c r="BF483" i="10" s="1"/>
  <c r="BG482" i="10"/>
  <c r="AN482" i="10"/>
  <c r="N482" i="10"/>
  <c r="M482" i="10" s="1"/>
  <c r="BF482" i="10" s="1"/>
  <c r="BG481" i="10"/>
  <c r="AN481" i="10"/>
  <c r="N481" i="10"/>
  <c r="M481" i="10" s="1"/>
  <c r="BF481" i="10" s="1"/>
  <c r="BG480" i="10"/>
  <c r="AN480" i="10"/>
  <c r="N480" i="10"/>
  <c r="M480" i="10" s="1"/>
  <c r="BF480" i="10" s="1"/>
  <c r="BG479" i="10"/>
  <c r="AN479" i="10"/>
  <c r="N479" i="10"/>
  <c r="M479" i="10"/>
  <c r="BF479" i="10" s="1"/>
  <c r="BG478" i="10"/>
  <c r="AN478" i="10"/>
  <c r="N478" i="10"/>
  <c r="M478" i="10" s="1"/>
  <c r="BF478" i="10" s="1"/>
  <c r="BG477" i="10"/>
  <c r="AN477" i="10"/>
  <c r="N477" i="10"/>
  <c r="M477" i="10" s="1"/>
  <c r="BF477" i="10" s="1"/>
  <c r="BG476" i="10"/>
  <c r="AN476" i="10"/>
  <c r="N476" i="10"/>
  <c r="M476" i="10" s="1"/>
  <c r="BF476" i="10" s="1"/>
  <c r="BG475" i="10"/>
  <c r="AN475" i="10"/>
  <c r="N475" i="10"/>
  <c r="M475" i="10" s="1"/>
  <c r="BF475" i="10" s="1"/>
  <c r="BG474" i="10"/>
  <c r="AN474" i="10"/>
  <c r="N474" i="10"/>
  <c r="M474" i="10" s="1"/>
  <c r="BF474" i="10" s="1"/>
  <c r="BG473" i="10"/>
  <c r="AN473" i="10"/>
  <c r="N473" i="10"/>
  <c r="M473" i="10" s="1"/>
  <c r="BF473" i="10" s="1"/>
  <c r="BG472" i="10"/>
  <c r="AN472" i="10"/>
  <c r="W472" i="10"/>
  <c r="N472" i="10"/>
  <c r="M472" i="10"/>
  <c r="BF472" i="10" s="1"/>
  <c r="BG471" i="10"/>
  <c r="AN471" i="10"/>
  <c r="N471" i="10"/>
  <c r="M471" i="10" s="1"/>
  <c r="BF471" i="10" s="1"/>
  <c r="BG470" i="10"/>
  <c r="AN470" i="10"/>
  <c r="N470" i="10"/>
  <c r="M470" i="10" s="1"/>
  <c r="BF470" i="10" s="1"/>
  <c r="BG469" i="10"/>
  <c r="AN469" i="10"/>
  <c r="N469" i="10"/>
  <c r="M469" i="10" s="1"/>
  <c r="BF469" i="10" s="1"/>
  <c r="BG468" i="10"/>
  <c r="AN468" i="10"/>
  <c r="N468" i="10"/>
  <c r="M468" i="10" s="1"/>
  <c r="BF468" i="10" s="1"/>
  <c r="BG467" i="10"/>
  <c r="AN467" i="10"/>
  <c r="N467" i="10"/>
  <c r="M467" i="10" s="1"/>
  <c r="BF467" i="10" s="1"/>
  <c r="BG466" i="10"/>
  <c r="AN466" i="10"/>
  <c r="N466" i="10"/>
  <c r="M466" i="10" s="1"/>
  <c r="BF466" i="10" s="1"/>
  <c r="BG465" i="10"/>
  <c r="AN465" i="10"/>
  <c r="N465" i="10"/>
  <c r="M465" i="10" s="1"/>
  <c r="BF465" i="10" s="1"/>
  <c r="BG464" i="10"/>
  <c r="AN464" i="10"/>
  <c r="N464" i="10"/>
  <c r="M464" i="10" s="1"/>
  <c r="BF464" i="10" s="1"/>
  <c r="BG463" i="10"/>
  <c r="AN463" i="10"/>
  <c r="N463" i="10"/>
  <c r="M463" i="10" s="1"/>
  <c r="BF463" i="10" s="1"/>
  <c r="BG462" i="10"/>
  <c r="AN462" i="10"/>
  <c r="N462" i="10"/>
  <c r="M462" i="10"/>
  <c r="BF462" i="10" s="1"/>
  <c r="BG461" i="10"/>
  <c r="AN461" i="10"/>
  <c r="N461" i="10"/>
  <c r="M461" i="10" s="1"/>
  <c r="BF461" i="10" s="1"/>
  <c r="BG460" i="10"/>
  <c r="AN460" i="10"/>
  <c r="N460" i="10"/>
  <c r="M460" i="10"/>
  <c r="BF460" i="10" s="1"/>
  <c r="BG459" i="10"/>
  <c r="AN459" i="10"/>
  <c r="N459" i="10"/>
  <c r="M459" i="10" s="1"/>
  <c r="BF459" i="10" s="1"/>
  <c r="BG458" i="10"/>
  <c r="AN458" i="10"/>
  <c r="N458" i="10"/>
  <c r="M458" i="10" s="1"/>
  <c r="BF458" i="10" s="1"/>
  <c r="BG457" i="10"/>
  <c r="AN457" i="10"/>
  <c r="N457" i="10"/>
  <c r="M457" i="10" s="1"/>
  <c r="BF457" i="10" s="1"/>
  <c r="BG456" i="10"/>
  <c r="AN456" i="10"/>
  <c r="N456" i="10"/>
  <c r="M456" i="10" s="1"/>
  <c r="BF456" i="10" s="1"/>
  <c r="BG455" i="10"/>
  <c r="AN455" i="10"/>
  <c r="N455" i="10"/>
  <c r="M455" i="10" s="1"/>
  <c r="BF455" i="10" s="1"/>
  <c r="BG454" i="10"/>
  <c r="AN454" i="10"/>
  <c r="N454" i="10"/>
  <c r="M454" i="10" s="1"/>
  <c r="BF454" i="10" s="1"/>
  <c r="BG453" i="10"/>
  <c r="AN453" i="10"/>
  <c r="N453" i="10"/>
  <c r="M453" i="10" s="1"/>
  <c r="BF453" i="10" s="1"/>
  <c r="BG452" i="10"/>
  <c r="AN452" i="10"/>
  <c r="N452" i="10"/>
  <c r="M452" i="10" s="1"/>
  <c r="BF452" i="10" s="1"/>
  <c r="BG451" i="10"/>
  <c r="AN451" i="10"/>
  <c r="N451" i="10"/>
  <c r="M451" i="10" s="1"/>
  <c r="BF451" i="10" s="1"/>
  <c r="BG450" i="10"/>
  <c r="AN450" i="10"/>
  <c r="N450" i="10"/>
  <c r="M450" i="10" s="1"/>
  <c r="BF450" i="10" s="1"/>
  <c r="BG449" i="10"/>
  <c r="AN449" i="10"/>
  <c r="W449" i="10"/>
  <c r="N449" i="10"/>
  <c r="BG448" i="10"/>
  <c r="AN448" i="10"/>
  <c r="N448" i="10"/>
  <c r="M448" i="10" s="1"/>
  <c r="BF448" i="10" s="1"/>
  <c r="BG447" i="10"/>
  <c r="AN447" i="10"/>
  <c r="N447" i="10"/>
  <c r="M447" i="10" s="1"/>
  <c r="BF447" i="10" s="1"/>
  <c r="BG446" i="10"/>
  <c r="AN446" i="10"/>
  <c r="N446" i="10"/>
  <c r="M446" i="10" s="1"/>
  <c r="BF446" i="10" s="1"/>
  <c r="BG445" i="10"/>
  <c r="AN445" i="10"/>
  <c r="N445" i="10"/>
  <c r="M445" i="10" s="1"/>
  <c r="BF445" i="10" s="1"/>
  <c r="BG444" i="10"/>
  <c r="AN444" i="10"/>
  <c r="N444" i="10"/>
  <c r="M444" i="10" s="1"/>
  <c r="BF444" i="10" s="1"/>
  <c r="BG443" i="10"/>
  <c r="AN443" i="10"/>
  <c r="N443" i="10"/>
  <c r="M443" i="10" s="1"/>
  <c r="BF443" i="10" s="1"/>
  <c r="BG442" i="10"/>
  <c r="AN442" i="10"/>
  <c r="N442" i="10"/>
  <c r="M442" i="10" s="1"/>
  <c r="BF442" i="10" s="1"/>
  <c r="BG441" i="10"/>
  <c r="AN441" i="10"/>
  <c r="N441" i="10"/>
  <c r="M441" i="10" s="1"/>
  <c r="BF441" i="10" s="1"/>
  <c r="BG440" i="10"/>
  <c r="AD440" i="10"/>
  <c r="AN440" i="10" s="1"/>
  <c r="N440" i="10"/>
  <c r="M440" i="10" s="1"/>
  <c r="BF440" i="10" s="1"/>
  <c r="BG439" i="10"/>
  <c r="AN439" i="10"/>
  <c r="N439" i="10"/>
  <c r="M439" i="10" s="1"/>
  <c r="BF439" i="10" s="1"/>
  <c r="BG438" i="10"/>
  <c r="AN438" i="10"/>
  <c r="N438" i="10"/>
  <c r="M438" i="10" s="1"/>
  <c r="BF438" i="10" s="1"/>
  <c r="BG437" i="10"/>
  <c r="AN437" i="10"/>
  <c r="N437" i="10"/>
  <c r="M437" i="10" s="1"/>
  <c r="BF437" i="10" s="1"/>
  <c r="BG436" i="10"/>
  <c r="AN436" i="10"/>
  <c r="N436" i="10"/>
  <c r="M436" i="10" s="1"/>
  <c r="BF436" i="10" s="1"/>
  <c r="BG435" i="10"/>
  <c r="AN435" i="10"/>
  <c r="N435" i="10"/>
  <c r="M435" i="10" s="1"/>
  <c r="BF435" i="10" s="1"/>
  <c r="BG434" i="10"/>
  <c r="AN434" i="10"/>
  <c r="N434" i="10"/>
  <c r="M434" i="10" s="1"/>
  <c r="BF434" i="10" s="1"/>
  <c r="BG433" i="10"/>
  <c r="AN433" i="10"/>
  <c r="N433" i="10"/>
  <c r="M433" i="10" s="1"/>
  <c r="BF433" i="10" s="1"/>
  <c r="BG432" i="10"/>
  <c r="AN432" i="10"/>
  <c r="N432" i="10"/>
  <c r="M432" i="10"/>
  <c r="BF432" i="10" s="1"/>
  <c r="BG431" i="10"/>
  <c r="AN431" i="10"/>
  <c r="N431" i="10"/>
  <c r="M431" i="10" s="1"/>
  <c r="BF431" i="10" s="1"/>
  <c r="BG430" i="10"/>
  <c r="AN430" i="10"/>
  <c r="N430" i="10"/>
  <c r="M430" i="10" s="1"/>
  <c r="BF430" i="10" s="1"/>
  <c r="BG429" i="10"/>
  <c r="AN429" i="10"/>
  <c r="N429" i="10"/>
  <c r="M429" i="10" s="1"/>
  <c r="BF429" i="10" s="1"/>
  <c r="BG428" i="10"/>
  <c r="AN428" i="10"/>
  <c r="N428" i="10"/>
  <c r="M428" i="10" s="1"/>
  <c r="BF428" i="10" s="1"/>
  <c r="BG427" i="10"/>
  <c r="AN427" i="10"/>
  <c r="N427" i="10"/>
  <c r="M427" i="10"/>
  <c r="BF427" i="10" s="1"/>
  <c r="BG426" i="10"/>
  <c r="AN426" i="10"/>
  <c r="N426" i="10"/>
  <c r="M426" i="10"/>
  <c r="BF426" i="10" s="1"/>
  <c r="BG425" i="10"/>
  <c r="AN425" i="10"/>
  <c r="N425" i="10"/>
  <c r="M425" i="10" s="1"/>
  <c r="BF425" i="10" s="1"/>
  <c r="BG424" i="10"/>
  <c r="AN424" i="10"/>
  <c r="N424" i="10"/>
  <c r="M424" i="10" s="1"/>
  <c r="BF424" i="10" s="1"/>
  <c r="BG423" i="10"/>
  <c r="AN423" i="10"/>
  <c r="N423" i="10"/>
  <c r="M423" i="10" s="1"/>
  <c r="BF423" i="10" s="1"/>
  <c r="BG422" i="10"/>
  <c r="AN422" i="10"/>
  <c r="N422" i="10"/>
  <c r="M422" i="10" s="1"/>
  <c r="BF422" i="10" s="1"/>
  <c r="BG421" i="10"/>
  <c r="AN421" i="10"/>
  <c r="N421" i="10"/>
  <c r="M421" i="10" s="1"/>
  <c r="BF421" i="10" s="1"/>
  <c r="BG420" i="10"/>
  <c r="AN420" i="10"/>
  <c r="N420" i="10"/>
  <c r="M420" i="10" s="1"/>
  <c r="BF420" i="10" s="1"/>
  <c r="BG419" i="10"/>
  <c r="AN419" i="10"/>
  <c r="N419" i="10"/>
  <c r="M419" i="10"/>
  <c r="BF419" i="10" s="1"/>
  <c r="BG418" i="10"/>
  <c r="AN418" i="10"/>
  <c r="N418" i="10"/>
  <c r="M418" i="10" s="1"/>
  <c r="BF418" i="10" s="1"/>
  <c r="BG417" i="10"/>
  <c r="AN417" i="10"/>
  <c r="N417" i="10"/>
  <c r="M417" i="10"/>
  <c r="BF417" i="10" s="1"/>
  <c r="BG416" i="10"/>
  <c r="AN416" i="10"/>
  <c r="N416" i="10"/>
  <c r="M416" i="10" s="1"/>
  <c r="BF416" i="10" s="1"/>
  <c r="BG415" i="10"/>
  <c r="AN415" i="10"/>
  <c r="N415" i="10"/>
  <c r="M415" i="10"/>
  <c r="BF415" i="10" s="1"/>
  <c r="BG414" i="10"/>
  <c r="BF414" i="10"/>
  <c r="N414" i="10"/>
  <c r="BG413" i="10"/>
  <c r="BF413" i="10"/>
  <c r="N413" i="10"/>
  <c r="BG412" i="10"/>
  <c r="BF412" i="10"/>
  <c r="N412" i="10"/>
  <c r="BG411" i="10"/>
  <c r="AN411" i="10"/>
  <c r="N411" i="10"/>
  <c r="M411" i="10"/>
  <c r="BF411" i="10" s="1"/>
  <c r="BG410" i="10"/>
  <c r="AN410" i="10"/>
  <c r="N410" i="10"/>
  <c r="M410" i="10" s="1"/>
  <c r="BF410" i="10" s="1"/>
  <c r="BG409" i="10"/>
  <c r="AN409" i="10"/>
  <c r="N409" i="10"/>
  <c r="M409" i="10" s="1"/>
  <c r="BF409" i="10" s="1"/>
  <c r="BG408" i="10"/>
  <c r="AN408" i="10"/>
  <c r="N408" i="10"/>
  <c r="M408" i="10" s="1"/>
  <c r="BF408" i="10" s="1"/>
  <c r="BG407" i="10"/>
  <c r="AN407" i="10"/>
  <c r="N407" i="10"/>
  <c r="M407" i="10" s="1"/>
  <c r="BF407" i="10" s="1"/>
  <c r="BG406" i="10"/>
  <c r="AN406" i="10"/>
  <c r="N406" i="10"/>
  <c r="M406" i="10" s="1"/>
  <c r="BF406" i="10" s="1"/>
  <c r="BG405" i="10"/>
  <c r="AN405" i="10"/>
  <c r="N405" i="10"/>
  <c r="M405" i="10" s="1"/>
  <c r="BF405" i="10" s="1"/>
  <c r="BG404" i="10"/>
  <c r="AN404" i="10"/>
  <c r="N404" i="10"/>
  <c r="M404" i="10" s="1"/>
  <c r="BF404" i="10" s="1"/>
  <c r="BG403" i="10"/>
  <c r="AN403" i="10"/>
  <c r="N403" i="10"/>
  <c r="M403" i="10" s="1"/>
  <c r="BF403" i="10" s="1"/>
  <c r="BG402" i="10"/>
  <c r="AN402" i="10"/>
  <c r="N402" i="10"/>
  <c r="M402" i="10" s="1"/>
  <c r="BF402" i="10" s="1"/>
  <c r="BG401" i="10"/>
  <c r="AN401" i="10"/>
  <c r="N401" i="10"/>
  <c r="M401" i="10" s="1"/>
  <c r="BF401" i="10" s="1"/>
  <c r="BG400" i="10"/>
  <c r="AN400" i="10"/>
  <c r="N400" i="10"/>
  <c r="M400" i="10" s="1"/>
  <c r="BF400" i="10" s="1"/>
  <c r="BG399" i="10"/>
  <c r="AN399" i="10"/>
  <c r="N399" i="10"/>
  <c r="M399" i="10" s="1"/>
  <c r="BF399" i="10" s="1"/>
  <c r="BG398" i="10"/>
  <c r="AN398" i="10"/>
  <c r="N398" i="10"/>
  <c r="M398" i="10" s="1"/>
  <c r="BF398" i="10" s="1"/>
  <c r="BG397" i="10"/>
  <c r="AN397" i="10"/>
  <c r="N397" i="10"/>
  <c r="M397" i="10" s="1"/>
  <c r="BF397" i="10" s="1"/>
  <c r="BG396" i="10"/>
  <c r="AN396" i="10"/>
  <c r="N396" i="10"/>
  <c r="M396" i="10" s="1"/>
  <c r="BF396" i="10" s="1"/>
  <c r="BG395" i="10"/>
  <c r="AN395" i="10"/>
  <c r="N395" i="10"/>
  <c r="M395" i="10" s="1"/>
  <c r="BF395" i="10" s="1"/>
  <c r="BG394" i="10"/>
  <c r="AN394" i="10"/>
  <c r="N394" i="10"/>
  <c r="M394" i="10" s="1"/>
  <c r="BF394" i="10" s="1"/>
  <c r="BG393" i="10"/>
  <c r="AN393" i="10"/>
  <c r="N393" i="10"/>
  <c r="M393" i="10"/>
  <c r="BF393" i="10" s="1"/>
  <c r="BG392" i="10"/>
  <c r="AN392" i="10"/>
  <c r="N392" i="10"/>
  <c r="M392" i="10" s="1"/>
  <c r="BF392" i="10" s="1"/>
  <c r="BG391" i="10"/>
  <c r="AN391" i="10"/>
  <c r="N391" i="10"/>
  <c r="M391" i="10" s="1"/>
  <c r="BF391" i="10" s="1"/>
  <c r="BG390" i="10"/>
  <c r="AN390" i="10"/>
  <c r="N390" i="10"/>
  <c r="M390" i="10" s="1"/>
  <c r="BF390" i="10" s="1"/>
  <c r="BG389" i="10"/>
  <c r="AN389" i="10"/>
  <c r="N389" i="10"/>
  <c r="M389" i="10"/>
  <c r="BF389" i="10" s="1"/>
  <c r="BG388" i="10"/>
  <c r="AN388" i="10"/>
  <c r="N388" i="10"/>
  <c r="M388" i="10" s="1"/>
  <c r="BF388" i="10" s="1"/>
  <c r="BG387" i="10"/>
  <c r="AN387" i="10"/>
  <c r="N387" i="10"/>
  <c r="M387" i="10" s="1"/>
  <c r="BF387" i="10" s="1"/>
  <c r="BG386" i="10"/>
  <c r="AN386" i="10"/>
  <c r="N386" i="10"/>
  <c r="M386" i="10" s="1"/>
  <c r="BF386" i="10" s="1"/>
  <c r="BG385" i="10"/>
  <c r="AN385" i="10"/>
  <c r="N385" i="10"/>
  <c r="M385" i="10" s="1"/>
  <c r="BF385" i="10" s="1"/>
  <c r="BG384" i="10"/>
  <c r="AN384" i="10"/>
  <c r="N384" i="10"/>
  <c r="M384" i="10" s="1"/>
  <c r="BF384" i="10" s="1"/>
  <c r="BG383" i="10"/>
  <c r="AN383" i="10"/>
  <c r="W383" i="10"/>
  <c r="N383" i="10"/>
  <c r="BG382" i="10"/>
  <c r="AN382" i="10"/>
  <c r="N382" i="10"/>
  <c r="M382" i="10" s="1"/>
  <c r="BF382" i="10" s="1"/>
  <c r="BG381" i="10"/>
  <c r="AN381" i="10"/>
  <c r="N381" i="10"/>
  <c r="M381" i="10" s="1"/>
  <c r="BF381" i="10" s="1"/>
  <c r="BG380" i="10"/>
  <c r="AN380" i="10"/>
  <c r="N380" i="10"/>
  <c r="M380" i="10"/>
  <c r="BF380" i="10" s="1"/>
  <c r="BG379" i="10"/>
  <c r="AN379" i="10"/>
  <c r="N379" i="10"/>
  <c r="M379" i="10" s="1"/>
  <c r="BF379" i="10" s="1"/>
  <c r="BG378" i="10"/>
  <c r="AN378" i="10"/>
  <c r="N378" i="10"/>
  <c r="M378" i="10" s="1"/>
  <c r="BF378" i="10" s="1"/>
  <c r="BG377" i="10"/>
  <c r="AN377" i="10"/>
  <c r="N377" i="10"/>
  <c r="M377" i="10" s="1"/>
  <c r="BF377" i="10" s="1"/>
  <c r="BG376" i="10"/>
  <c r="AN376" i="10"/>
  <c r="N376" i="10"/>
  <c r="M376" i="10" s="1"/>
  <c r="BF376" i="10" s="1"/>
  <c r="BG375" i="10"/>
  <c r="BF375" i="10"/>
  <c r="AN375" i="10"/>
  <c r="BG374" i="10"/>
  <c r="BF374" i="10"/>
  <c r="BG373" i="10"/>
  <c r="BF373" i="10"/>
  <c r="BG372" i="10"/>
  <c r="BF372" i="10"/>
  <c r="N372" i="10"/>
  <c r="BG371" i="10"/>
  <c r="BF371" i="10"/>
  <c r="AN371" i="10"/>
  <c r="N371" i="10"/>
  <c r="BG370" i="10"/>
  <c r="BF370" i="10"/>
  <c r="AN370" i="10"/>
  <c r="N370" i="10"/>
  <c r="BG369" i="10"/>
  <c r="BF369" i="10"/>
  <c r="AH369" i="10"/>
  <c r="AN369" i="10" s="1"/>
  <c r="N369" i="10"/>
  <c r="BG368" i="10"/>
  <c r="BF368" i="10"/>
  <c r="AN368" i="10"/>
  <c r="N368" i="10"/>
  <c r="BG367" i="10"/>
  <c r="BF367" i="10"/>
  <c r="AN367" i="10"/>
  <c r="N367" i="10"/>
  <c r="BG366" i="10"/>
  <c r="BF366" i="10"/>
  <c r="AN366" i="10"/>
  <c r="N366" i="10"/>
  <c r="BG365" i="10"/>
  <c r="BF365" i="10"/>
  <c r="AN365" i="10"/>
  <c r="N365" i="10"/>
  <c r="BG364" i="10"/>
  <c r="BF364" i="10"/>
  <c r="BG363" i="10"/>
  <c r="BF363" i="10"/>
  <c r="BG362" i="10"/>
  <c r="BF362" i="10"/>
  <c r="BG361" i="10"/>
  <c r="BF361" i="10"/>
  <c r="BG360" i="10"/>
  <c r="BF360" i="10"/>
  <c r="BG359" i="10"/>
  <c r="BF359" i="10"/>
  <c r="BG358" i="10"/>
  <c r="BF358" i="10"/>
  <c r="AN358" i="10"/>
  <c r="N358" i="10"/>
  <c r="BG357" i="10"/>
  <c r="BF357" i="10"/>
  <c r="AN357" i="10"/>
  <c r="N357" i="10"/>
  <c r="BG356" i="10"/>
  <c r="BF356" i="10"/>
  <c r="AN356" i="10"/>
  <c r="N356" i="10"/>
  <c r="BG355" i="10"/>
  <c r="BF355" i="10"/>
  <c r="AN355" i="10"/>
  <c r="N355" i="10"/>
  <c r="BG354" i="10"/>
  <c r="BF354" i="10"/>
  <c r="AN354" i="10"/>
  <c r="N354" i="10"/>
  <c r="BG353" i="10"/>
  <c r="BF353" i="10"/>
  <c r="AN353" i="10"/>
  <c r="N353" i="10"/>
  <c r="BG352" i="10"/>
  <c r="BF352" i="10"/>
  <c r="AN352" i="10"/>
  <c r="N352" i="10"/>
  <c r="BG351" i="10"/>
  <c r="BF351" i="10"/>
  <c r="AN351" i="10"/>
  <c r="N351" i="10"/>
  <c r="BG350" i="10"/>
  <c r="BF350" i="10"/>
  <c r="AN350" i="10"/>
  <c r="BG349" i="10"/>
  <c r="BF349" i="10"/>
  <c r="BG348" i="10"/>
  <c r="BF348" i="10"/>
  <c r="AN348" i="10"/>
  <c r="N348" i="10"/>
  <c r="BG347" i="10"/>
  <c r="BF347" i="10"/>
  <c r="AN347" i="10"/>
  <c r="N347" i="10"/>
  <c r="BG346" i="10"/>
  <c r="BF346" i="10"/>
  <c r="AN346" i="10"/>
  <c r="N346" i="10"/>
  <c r="BG345" i="10"/>
  <c r="BF345" i="10"/>
  <c r="AN345" i="10"/>
  <c r="N345" i="10"/>
  <c r="BG344" i="10"/>
  <c r="BF344" i="10"/>
  <c r="AN344" i="10"/>
  <c r="N344" i="10"/>
  <c r="BG343" i="10"/>
  <c r="BF343" i="10"/>
  <c r="AN343" i="10"/>
  <c r="N343" i="10"/>
  <c r="BG342" i="10"/>
  <c r="BF342" i="10"/>
  <c r="AN342" i="10"/>
  <c r="BG341" i="10"/>
  <c r="AN341" i="10"/>
  <c r="N341" i="10"/>
  <c r="M341" i="10"/>
  <c r="BF341" i="10" s="1"/>
  <c r="BG340" i="10"/>
  <c r="BF340" i="10"/>
  <c r="AN340" i="10"/>
  <c r="N340" i="10"/>
  <c r="BG339" i="10"/>
  <c r="BF339" i="10"/>
  <c r="BG338" i="10"/>
  <c r="BF338" i="10"/>
  <c r="AN338" i="10"/>
  <c r="N338" i="10"/>
  <c r="BG337" i="10"/>
  <c r="BF337" i="10"/>
  <c r="AN337" i="10"/>
  <c r="N337" i="10"/>
  <c r="BG336" i="10"/>
  <c r="BF336" i="10"/>
  <c r="AN336" i="10"/>
  <c r="N336" i="10"/>
  <c r="BG335" i="10"/>
  <c r="BF335" i="10"/>
  <c r="AN335" i="10"/>
  <c r="N335" i="10"/>
  <c r="BG334" i="10"/>
  <c r="BF334" i="10"/>
  <c r="AN334" i="10"/>
  <c r="N334" i="10"/>
  <c r="BG333" i="10"/>
  <c r="BF333" i="10"/>
  <c r="AN333" i="10"/>
  <c r="N333" i="10"/>
  <c r="BG332" i="10"/>
  <c r="BF332" i="10"/>
  <c r="AN332" i="10"/>
  <c r="N332" i="10"/>
  <c r="BG331" i="10"/>
  <c r="BF331" i="10"/>
  <c r="AN331" i="10"/>
  <c r="N331" i="10"/>
  <c r="BG330" i="10"/>
  <c r="BF330" i="10"/>
  <c r="AN330" i="10"/>
  <c r="N330" i="10"/>
  <c r="BG329" i="10"/>
  <c r="BF329" i="10"/>
  <c r="AN329" i="10"/>
  <c r="W329" i="10"/>
  <c r="N329" i="10"/>
  <c r="BG328" i="10"/>
  <c r="BF328" i="10"/>
  <c r="AN328" i="10"/>
  <c r="N328" i="10"/>
  <c r="BG327" i="10"/>
  <c r="BF327" i="10"/>
  <c r="BG326" i="10"/>
  <c r="BF326" i="10"/>
  <c r="AN326" i="10"/>
  <c r="N326" i="10"/>
  <c r="BG325" i="10"/>
  <c r="BF325" i="10"/>
  <c r="AN325" i="10"/>
  <c r="N325" i="10"/>
  <c r="BG324" i="10"/>
  <c r="BF324" i="10"/>
  <c r="AN324" i="10"/>
  <c r="N324" i="10"/>
  <c r="BG323" i="10"/>
  <c r="BF323" i="10"/>
  <c r="AN323" i="10"/>
  <c r="N323" i="10"/>
  <c r="BG322" i="10"/>
  <c r="BF322" i="10"/>
  <c r="AN322" i="10"/>
  <c r="W322" i="10"/>
  <c r="N322" i="10"/>
  <c r="BG321" i="10"/>
  <c r="BF321" i="10"/>
  <c r="AN321" i="10"/>
  <c r="N321" i="10"/>
  <c r="BG320" i="10"/>
  <c r="BF320" i="10"/>
  <c r="AN320" i="10"/>
  <c r="N320" i="10"/>
  <c r="BG319" i="10"/>
  <c r="BF319" i="10"/>
  <c r="AN319" i="10"/>
  <c r="N319" i="10"/>
  <c r="BG318" i="10"/>
  <c r="BF318" i="10"/>
  <c r="AH318" i="10"/>
  <c r="AN318" i="10" s="1"/>
  <c r="N318" i="10"/>
  <c r="BG317" i="10"/>
  <c r="BF317" i="10"/>
  <c r="AN317" i="10"/>
  <c r="N317" i="10"/>
  <c r="BG316" i="10"/>
  <c r="BF316" i="10"/>
  <c r="BG315" i="10"/>
  <c r="BF315" i="10"/>
  <c r="AN315" i="10"/>
  <c r="N315" i="10"/>
  <c r="BG314" i="10"/>
  <c r="BF314" i="10"/>
  <c r="AN314" i="10"/>
  <c r="N314" i="10"/>
  <c r="BG313" i="10"/>
  <c r="BF313" i="10"/>
  <c r="AN313" i="10"/>
  <c r="N313" i="10"/>
  <c r="BG312" i="10"/>
  <c r="BF312" i="10"/>
  <c r="BG311" i="10"/>
  <c r="BF311" i="10"/>
  <c r="AN311" i="10"/>
  <c r="N311" i="10"/>
  <c r="BG310" i="10"/>
  <c r="BF310" i="10"/>
  <c r="AN310" i="10"/>
  <c r="N310" i="10"/>
  <c r="BG309" i="10"/>
  <c r="BF309" i="10"/>
  <c r="AC309" i="10"/>
  <c r="AN309" i="10" s="1"/>
  <c r="N309" i="10"/>
  <c r="BG308" i="10"/>
  <c r="BF308" i="10"/>
  <c r="AN308" i="10"/>
  <c r="BG307" i="10"/>
  <c r="BF307" i="10"/>
  <c r="AN307" i="10"/>
  <c r="N307" i="10"/>
  <c r="BG306" i="10"/>
  <c r="BF306" i="10"/>
  <c r="AN306" i="10"/>
  <c r="N306" i="10"/>
  <c r="BG305" i="10"/>
  <c r="BF305" i="10"/>
  <c r="AC305" i="10"/>
  <c r="AN305" i="10" s="1"/>
  <c r="N305" i="10"/>
  <c r="BG304" i="10"/>
  <c r="BF304" i="10"/>
  <c r="AN304" i="10"/>
  <c r="N304" i="10"/>
  <c r="BG303" i="10"/>
  <c r="BF303" i="10"/>
  <c r="BG302" i="10"/>
  <c r="BF302" i="10"/>
  <c r="AN302" i="10"/>
  <c r="N302" i="10"/>
  <c r="BG301" i="10"/>
  <c r="BF301" i="10"/>
  <c r="AN301" i="10"/>
  <c r="N301" i="10"/>
  <c r="BG300" i="10"/>
  <c r="BF300" i="10"/>
  <c r="AN300" i="10"/>
  <c r="N300" i="10"/>
  <c r="BG299" i="10"/>
  <c r="BF299" i="10"/>
  <c r="AN299" i="10"/>
  <c r="N299" i="10"/>
  <c r="BG298" i="10"/>
  <c r="BF298" i="10"/>
  <c r="AN298" i="10"/>
  <c r="N298" i="10"/>
  <c r="BG297" i="10"/>
  <c r="BF297" i="10"/>
  <c r="AN297" i="10"/>
  <c r="N297" i="10"/>
  <c r="BG296" i="10"/>
  <c r="BF296" i="10"/>
  <c r="BG295" i="10"/>
  <c r="BF295" i="10"/>
  <c r="AN295" i="10"/>
  <c r="N295" i="10"/>
  <c r="BG294" i="10"/>
  <c r="BF294" i="10"/>
  <c r="AN294" i="10"/>
  <c r="N294" i="10"/>
  <c r="BG293" i="10"/>
  <c r="BF293" i="10"/>
  <c r="AN293" i="10"/>
  <c r="N293" i="10"/>
  <c r="BG292" i="10"/>
  <c r="BF292" i="10"/>
  <c r="AN292" i="10"/>
  <c r="N292" i="10"/>
  <c r="BG291" i="10"/>
  <c r="BF291" i="10"/>
  <c r="AN291" i="10"/>
  <c r="N291" i="10"/>
  <c r="BG290" i="10"/>
  <c r="BF290" i="10"/>
  <c r="AN290" i="10"/>
  <c r="N290" i="10"/>
  <c r="BG289" i="10"/>
  <c r="BF289" i="10"/>
  <c r="AN289" i="10"/>
  <c r="N289" i="10"/>
  <c r="BG288" i="10"/>
  <c r="BF288" i="10"/>
  <c r="BG287" i="10"/>
  <c r="BF287" i="10"/>
  <c r="AN287" i="10"/>
  <c r="N287" i="10"/>
  <c r="BG286" i="10"/>
  <c r="BF286" i="10"/>
  <c r="AN286" i="10"/>
  <c r="N286" i="10"/>
  <c r="BG285" i="10"/>
  <c r="BF285" i="10"/>
  <c r="AN285" i="10"/>
  <c r="N285" i="10"/>
  <c r="BG284" i="10"/>
  <c r="BF284" i="10"/>
  <c r="AN284" i="10"/>
  <c r="N284" i="10"/>
  <c r="BG283" i="10"/>
  <c r="BF283" i="10"/>
  <c r="AN283" i="10"/>
  <c r="N283" i="10"/>
  <c r="BG282" i="10"/>
  <c r="BF282" i="10"/>
  <c r="AN282" i="10"/>
  <c r="N282" i="10"/>
  <c r="BG281" i="10"/>
  <c r="BF281" i="10"/>
  <c r="AN281" i="10"/>
  <c r="N281" i="10"/>
  <c r="BG280" i="10"/>
  <c r="BF280" i="10"/>
  <c r="AN280" i="10"/>
  <c r="N280" i="10"/>
  <c r="BG279" i="10"/>
  <c r="BF279" i="10"/>
  <c r="AN279" i="10"/>
  <c r="N279" i="10"/>
  <c r="BG278" i="10"/>
  <c r="BF278" i="10"/>
  <c r="AN278" i="10"/>
  <c r="N278" i="10"/>
  <c r="BG277" i="10"/>
  <c r="BF277" i="10"/>
  <c r="AN277" i="10"/>
  <c r="N277" i="10"/>
  <c r="BG276" i="10"/>
  <c r="BF276" i="10"/>
  <c r="AN276" i="10"/>
  <c r="N276" i="10"/>
  <c r="BG275" i="10"/>
  <c r="BF275" i="10"/>
  <c r="AN275" i="10"/>
  <c r="N275" i="10"/>
  <c r="BG274" i="10"/>
  <c r="BF274" i="10"/>
  <c r="AN274" i="10"/>
  <c r="N274" i="10"/>
  <c r="BG273" i="10"/>
  <c r="BF273" i="10"/>
  <c r="AN273" i="10"/>
  <c r="N273" i="10"/>
  <c r="BG272" i="10"/>
  <c r="BF272" i="10"/>
  <c r="AN272" i="10"/>
  <c r="N272" i="10"/>
  <c r="BG271" i="10"/>
  <c r="BF271" i="10"/>
  <c r="AN271" i="10"/>
  <c r="N271" i="10"/>
  <c r="BG270" i="10"/>
  <c r="BF270" i="10"/>
  <c r="AN270" i="10"/>
  <c r="N270" i="10"/>
  <c r="BG269" i="10"/>
  <c r="BF269" i="10"/>
  <c r="AN269" i="10"/>
  <c r="N269" i="10"/>
  <c r="BG268" i="10"/>
  <c r="BF268" i="10"/>
  <c r="AN268" i="10"/>
  <c r="N268" i="10"/>
  <c r="BG267" i="10"/>
  <c r="BF267" i="10"/>
  <c r="AN267" i="10"/>
  <c r="N267" i="10"/>
  <c r="BG266" i="10"/>
  <c r="BF266" i="10"/>
  <c r="AN266" i="10"/>
  <c r="N266" i="10"/>
  <c r="BG265" i="10"/>
  <c r="BF265" i="10"/>
  <c r="AN265" i="10"/>
  <c r="N265" i="10"/>
  <c r="BG264" i="10"/>
  <c r="BF264" i="10"/>
  <c r="AN264" i="10"/>
  <c r="N264" i="10"/>
  <c r="BG263" i="10"/>
  <c r="BF263" i="10"/>
  <c r="AN263" i="10"/>
  <c r="N263" i="10"/>
  <c r="BG262" i="10"/>
  <c r="BF262" i="10"/>
  <c r="AN262" i="10"/>
  <c r="N262" i="10"/>
  <c r="BG261" i="10"/>
  <c r="BF261" i="10"/>
  <c r="AN261" i="10"/>
  <c r="N261" i="10"/>
  <c r="BG260" i="10"/>
  <c r="BF260" i="10"/>
  <c r="AN260" i="10"/>
  <c r="N260" i="10"/>
  <c r="BG259" i="10"/>
  <c r="BF259" i="10"/>
  <c r="BG258" i="10"/>
  <c r="BF258" i="10"/>
  <c r="AN258" i="10"/>
  <c r="N258" i="10"/>
  <c r="BG257" i="10"/>
  <c r="BF257" i="10"/>
  <c r="AN257" i="10"/>
  <c r="N257" i="10"/>
  <c r="BG256" i="10"/>
  <c r="BF256" i="10"/>
  <c r="AN256" i="10"/>
  <c r="N256" i="10"/>
  <c r="BG255" i="10"/>
  <c r="BF255" i="10"/>
  <c r="AN255" i="10"/>
  <c r="N255" i="10"/>
  <c r="BG254" i="10"/>
  <c r="BF254" i="10"/>
  <c r="AN254" i="10"/>
  <c r="AK254" i="10"/>
  <c r="W254" i="10"/>
  <c r="N254" i="10"/>
  <c r="BG253" i="10"/>
  <c r="BF253" i="10"/>
  <c r="AN253" i="10"/>
  <c r="N253" i="10"/>
  <c r="BG252" i="10"/>
  <c r="BF252" i="10"/>
  <c r="AN252" i="10"/>
  <c r="N252" i="10"/>
  <c r="BG251" i="10"/>
  <c r="BF251" i="10"/>
  <c r="AN251" i="10"/>
  <c r="N251" i="10"/>
  <c r="BG250" i="10"/>
  <c r="BF250" i="10"/>
  <c r="AN250" i="10"/>
  <c r="BG249" i="10"/>
  <c r="BF249" i="10"/>
  <c r="AN249" i="10"/>
  <c r="N249" i="10"/>
  <c r="BG248" i="10"/>
  <c r="BF248" i="10"/>
  <c r="AN248" i="10"/>
  <c r="N248" i="10"/>
  <c r="BG247" i="10"/>
  <c r="BF247" i="10"/>
  <c r="AN247" i="10"/>
  <c r="N247" i="10"/>
  <c r="BG246" i="10"/>
  <c r="BF246" i="10"/>
  <c r="AH246" i="10"/>
  <c r="AN246" i="10" s="1"/>
  <c r="N246" i="10"/>
  <c r="BG245" i="10"/>
  <c r="BF245" i="10"/>
  <c r="AN245" i="10"/>
  <c r="BG244" i="10"/>
  <c r="BF244" i="10"/>
  <c r="AE244" i="10"/>
  <c r="AN244" i="10" s="1"/>
  <c r="W244" i="10"/>
  <c r="BG243" i="10"/>
  <c r="BF243" i="10"/>
  <c r="AN243" i="10"/>
  <c r="BG242" i="10"/>
  <c r="BF242" i="10"/>
  <c r="AH242" i="10"/>
  <c r="AN242" i="10" s="1"/>
  <c r="U242" i="10"/>
  <c r="N242" i="10"/>
  <c r="BG241" i="10"/>
  <c r="BF241" i="10"/>
  <c r="BG240" i="10"/>
  <c r="BF240" i="10"/>
  <c r="AN240" i="10"/>
  <c r="BG239" i="10"/>
  <c r="BF239" i="10"/>
  <c r="AN239" i="10"/>
  <c r="BG238" i="10"/>
  <c r="BF238" i="10"/>
  <c r="AN238" i="10"/>
  <c r="BG237" i="10"/>
  <c r="BF237" i="10"/>
  <c r="AN237" i="10"/>
  <c r="N237" i="10"/>
  <c r="BG236" i="10"/>
  <c r="BF236" i="10"/>
  <c r="AH236" i="10"/>
  <c r="AN236" i="10" s="1"/>
  <c r="BG235" i="10"/>
  <c r="BF235" i="10"/>
  <c r="AH235" i="10"/>
  <c r="AN235" i="10" s="1"/>
  <c r="BG234" i="10"/>
  <c r="BF234" i="10"/>
  <c r="AH234" i="10"/>
  <c r="AN234" i="10" s="1"/>
  <c r="N234" i="10"/>
  <c r="BG233" i="10"/>
  <c r="BF233" i="10"/>
  <c r="AN233" i="10"/>
  <c r="N233" i="10"/>
  <c r="BG232" i="10"/>
  <c r="BF232" i="10"/>
  <c r="AN232" i="10"/>
  <c r="BG231" i="10"/>
  <c r="BF231" i="10"/>
  <c r="AN231" i="10"/>
  <c r="BG230" i="10"/>
  <c r="BF230" i="10"/>
  <c r="AN230" i="10"/>
  <c r="N230" i="10"/>
  <c r="BG229" i="10"/>
  <c r="BF229" i="10"/>
  <c r="AB229" i="10"/>
  <c r="AN229" i="10" s="1"/>
  <c r="N229" i="10"/>
  <c r="BG228" i="10"/>
  <c r="BF228" i="10"/>
  <c r="AN228" i="10"/>
  <c r="N228" i="10"/>
  <c r="BG227" i="10"/>
  <c r="BF227" i="10"/>
  <c r="AN227" i="10"/>
  <c r="N227" i="10"/>
  <c r="BG226" i="10"/>
  <c r="BF226" i="10"/>
  <c r="AN226" i="10"/>
  <c r="AA226" i="10"/>
  <c r="BG225" i="10"/>
  <c r="BF225" i="10"/>
  <c r="AN225" i="10"/>
  <c r="N225" i="10"/>
  <c r="BG224" i="10"/>
  <c r="BF224" i="10"/>
  <c r="AN224" i="10"/>
  <c r="R224" i="10"/>
  <c r="N224" i="10"/>
  <c r="BG223" i="10"/>
  <c r="BF223" i="10"/>
  <c r="AN223" i="10"/>
  <c r="BG222" i="10"/>
  <c r="BF222" i="10"/>
  <c r="AN222" i="10"/>
  <c r="BG221" i="10"/>
  <c r="BF221" i="10"/>
  <c r="AN221" i="10"/>
  <c r="N221" i="10"/>
  <c r="BG220" i="10"/>
  <c r="BF220" i="10"/>
  <c r="AN220" i="10"/>
  <c r="N220" i="10"/>
  <c r="BG219" i="10"/>
  <c r="BF219" i="10"/>
  <c r="AN219" i="10"/>
  <c r="N219" i="10"/>
  <c r="BG218" i="10"/>
  <c r="BF218" i="10"/>
  <c r="AN218" i="10"/>
  <c r="N218" i="10"/>
  <c r="BG217" i="10"/>
  <c r="BF217" i="10"/>
  <c r="AN217" i="10"/>
  <c r="BG216" i="10"/>
  <c r="BF216" i="10"/>
  <c r="AN216" i="10"/>
  <c r="N216" i="10"/>
  <c r="BG215" i="10"/>
  <c r="BF215" i="10"/>
  <c r="AN215" i="10"/>
  <c r="N215" i="10"/>
  <c r="BG214" i="10"/>
  <c r="BF214" i="10"/>
  <c r="AN214" i="10"/>
  <c r="N214" i="10"/>
  <c r="BG213" i="10"/>
  <c r="BF213" i="10"/>
  <c r="AN213" i="10"/>
  <c r="N213" i="10"/>
  <c r="AA213" i="10" s="1"/>
  <c r="BG212" i="10"/>
  <c r="BF212" i="10"/>
  <c r="AN212" i="10"/>
  <c r="N212" i="10"/>
  <c r="BG211" i="10"/>
  <c r="BF211" i="10"/>
  <c r="AN211" i="10"/>
  <c r="BG210" i="10"/>
  <c r="BF210" i="10"/>
  <c r="AN210" i="10"/>
  <c r="BG209" i="10"/>
  <c r="BF209" i="10"/>
  <c r="AN209" i="10"/>
  <c r="N209" i="10"/>
  <c r="BG208" i="10"/>
  <c r="BF208" i="10"/>
  <c r="BG207" i="10"/>
  <c r="BF207" i="10"/>
  <c r="BG206" i="10"/>
  <c r="BF206" i="10"/>
  <c r="BG205" i="10"/>
  <c r="BF205" i="10"/>
  <c r="BG204" i="10"/>
  <c r="BF204" i="10"/>
  <c r="BG203" i="10"/>
  <c r="BF203" i="10"/>
  <c r="BG202" i="10"/>
  <c r="BF202" i="10"/>
  <c r="BG201" i="10"/>
  <c r="BF201" i="10"/>
  <c r="BG200" i="10"/>
  <c r="BF200" i="10"/>
  <c r="BG199" i="10"/>
  <c r="BF199" i="10"/>
  <c r="BG198" i="10"/>
  <c r="BF198" i="10"/>
  <c r="BG197" i="10"/>
  <c r="BF197" i="10"/>
  <c r="BG196" i="10"/>
  <c r="BF196" i="10"/>
  <c r="BG195" i="10"/>
  <c r="BF195" i="10"/>
  <c r="BG194" i="10"/>
  <c r="BF194" i="10"/>
  <c r="BG193" i="10"/>
  <c r="BF193" i="10"/>
  <c r="BG192" i="10"/>
  <c r="BF192" i="10"/>
  <c r="BG191" i="10"/>
  <c r="BF191" i="10"/>
  <c r="BG190" i="10"/>
  <c r="BF190" i="10"/>
  <c r="BG189" i="10"/>
  <c r="BF189" i="10"/>
  <c r="BG188" i="10"/>
  <c r="BF188" i="10"/>
  <c r="BG187" i="10"/>
  <c r="BF187" i="10"/>
  <c r="BG186" i="10"/>
  <c r="BF186" i="10"/>
  <c r="BG185" i="10"/>
  <c r="BF185" i="10"/>
  <c r="BG184" i="10"/>
  <c r="BF184" i="10"/>
  <c r="BG183" i="10"/>
  <c r="BF183" i="10"/>
  <c r="BG182" i="10"/>
  <c r="BF182" i="10"/>
  <c r="BG181" i="10"/>
  <c r="BF181" i="10"/>
  <c r="BG180" i="10"/>
  <c r="BF180" i="10"/>
  <c r="BG179" i="10"/>
  <c r="BF179" i="10"/>
  <c r="BG178" i="10"/>
  <c r="BF178" i="10"/>
  <c r="BG177" i="10"/>
  <c r="BF177" i="10"/>
  <c r="AH177" i="10"/>
  <c r="AN177" i="10" s="1"/>
  <c r="BG176" i="10"/>
  <c r="BF176" i="10"/>
  <c r="AH176" i="10"/>
  <c r="AN176" i="10" s="1"/>
  <c r="BG175" i="10"/>
  <c r="BF175" i="10"/>
  <c r="AH175" i="10"/>
  <c r="AN175" i="10" s="1"/>
  <c r="BG174" i="10"/>
  <c r="BF174" i="10"/>
  <c r="AN174" i="10"/>
  <c r="N174" i="10"/>
  <c r="BG173" i="10"/>
  <c r="BF173" i="10"/>
  <c r="AN173" i="10"/>
  <c r="N173" i="10"/>
  <c r="BG172" i="10"/>
  <c r="BF172" i="10"/>
  <c r="AN172" i="10"/>
  <c r="BG171" i="10"/>
  <c r="BF171" i="10"/>
  <c r="AH171" i="10"/>
  <c r="AB171" i="10"/>
  <c r="N171" i="10"/>
  <c r="BG170" i="10"/>
  <c r="BF170" i="10"/>
  <c r="AN170" i="10"/>
  <c r="N170" i="10"/>
  <c r="BG169" i="10"/>
  <c r="BF169" i="10"/>
  <c r="AN169" i="10"/>
  <c r="BG168" i="10"/>
  <c r="BF168" i="10"/>
  <c r="AH168" i="10"/>
  <c r="AN168" i="10" s="1"/>
  <c r="N168" i="10"/>
  <c r="BG167" i="10"/>
  <c r="BF167" i="10"/>
  <c r="AN167" i="10"/>
  <c r="N167" i="10"/>
  <c r="BG166" i="10"/>
  <c r="BF166" i="10"/>
  <c r="AN166" i="10"/>
  <c r="N166" i="10"/>
  <c r="BG165" i="10"/>
  <c r="BF165" i="10"/>
  <c r="AN165" i="10"/>
  <c r="N165" i="10"/>
  <c r="BG164" i="10"/>
  <c r="BF164" i="10"/>
  <c r="AN164" i="10"/>
  <c r="N164" i="10"/>
  <c r="BG163" i="10"/>
  <c r="BF163" i="10"/>
  <c r="AN163" i="10"/>
  <c r="N163" i="10"/>
  <c r="BG162" i="10"/>
  <c r="BF162" i="10"/>
  <c r="AN162" i="10"/>
  <c r="N162" i="10"/>
  <c r="BG161" i="10"/>
  <c r="BF161" i="10"/>
  <c r="AN161" i="10"/>
  <c r="N161" i="10"/>
  <c r="BG160" i="10"/>
  <c r="BF160" i="10"/>
  <c r="AN160" i="10"/>
  <c r="N160" i="10"/>
  <c r="BG159" i="10"/>
  <c r="BF159" i="10"/>
  <c r="AN159" i="10"/>
  <c r="N159" i="10"/>
  <c r="BG158" i="10"/>
  <c r="BF158" i="10"/>
  <c r="AN158" i="10"/>
  <c r="N158" i="10"/>
  <c r="BG157" i="10"/>
  <c r="BF157" i="10"/>
  <c r="AN157" i="10"/>
  <c r="AA157" i="10"/>
  <c r="BG156" i="10"/>
  <c r="BF156" i="10"/>
  <c r="AN156" i="10"/>
  <c r="BG155" i="10"/>
  <c r="BF155" i="10"/>
  <c r="AN155" i="10"/>
  <c r="AA155" i="10"/>
  <c r="BG154" i="10"/>
  <c r="BF154" i="10"/>
  <c r="AN154" i="10"/>
  <c r="N154" i="10"/>
  <c r="AA154" i="10" s="1"/>
  <c r="BG153" i="10"/>
  <c r="BF153" i="10"/>
  <c r="AN153" i="10"/>
  <c r="N153" i="10"/>
  <c r="AA153" i="10" s="1"/>
  <c r="BG152" i="10"/>
  <c r="BF152" i="10"/>
  <c r="AN152" i="10"/>
  <c r="N152" i="10"/>
  <c r="BG151" i="10"/>
  <c r="BF151" i="10"/>
  <c r="AN151" i="10"/>
  <c r="N151" i="10"/>
  <c r="AA151" i="10" s="1"/>
  <c r="BG150" i="10"/>
  <c r="BF150" i="10"/>
  <c r="AN150" i="10"/>
  <c r="AA150" i="10"/>
  <c r="BG149" i="10"/>
  <c r="BF149" i="10"/>
  <c r="BG148" i="10"/>
  <c r="BF148" i="10"/>
  <c r="AN148" i="10"/>
  <c r="AA148" i="10"/>
  <c r="BG147" i="10"/>
  <c r="BF147" i="10"/>
  <c r="AN147" i="10"/>
  <c r="N147" i="10"/>
  <c r="BG146" i="10"/>
  <c r="BF146" i="10"/>
  <c r="AN146" i="10"/>
  <c r="BG145" i="10"/>
  <c r="BF145" i="10"/>
  <c r="AH145" i="10"/>
  <c r="AN145" i="10" s="1"/>
  <c r="BG144" i="10"/>
  <c r="BF144" i="10"/>
  <c r="AN144" i="10"/>
  <c r="AA144" i="10"/>
  <c r="BG143" i="10"/>
  <c r="BF143" i="10"/>
  <c r="AN143" i="10"/>
  <c r="N143" i="10"/>
  <c r="BG142" i="10"/>
  <c r="BF142" i="10"/>
  <c r="AN142" i="10"/>
  <c r="BG141" i="10"/>
  <c r="BF141" i="10"/>
  <c r="AH141" i="10"/>
  <c r="AN141" i="10" s="1"/>
  <c r="BG140" i="10"/>
  <c r="BF140" i="10"/>
  <c r="AN140" i="10"/>
  <c r="BG139" i="10"/>
  <c r="BF139" i="10"/>
  <c r="AN139" i="10"/>
  <c r="AH139" i="10"/>
  <c r="BG138" i="10"/>
  <c r="BF138" i="10"/>
  <c r="AN138" i="10"/>
  <c r="BG137" i="10"/>
  <c r="BF137" i="10"/>
  <c r="AN137" i="10"/>
  <c r="BG136" i="10"/>
  <c r="BF136" i="10"/>
  <c r="AN136" i="10"/>
  <c r="BG135" i="10"/>
  <c r="BF135" i="10"/>
  <c r="BG134" i="10"/>
  <c r="BF134" i="10"/>
  <c r="AN134" i="10"/>
  <c r="BG133" i="10"/>
  <c r="BF133" i="10"/>
  <c r="AN133" i="10"/>
  <c r="BG132" i="10"/>
  <c r="BF132" i="10"/>
  <c r="BG131" i="10"/>
  <c r="BF131" i="10"/>
  <c r="BG130" i="10"/>
  <c r="BF130" i="10"/>
  <c r="AN130" i="10"/>
  <c r="BG129" i="10"/>
  <c r="BF129" i="10"/>
  <c r="AN129" i="10"/>
  <c r="BG128" i="10"/>
  <c r="BF128" i="10"/>
  <c r="AN128" i="10"/>
  <c r="AA128" i="10"/>
  <c r="BG127" i="10"/>
  <c r="BF127" i="10"/>
  <c r="BG126" i="10"/>
  <c r="BF126" i="10"/>
  <c r="BG125" i="10"/>
  <c r="BF125" i="10"/>
  <c r="BG124" i="10"/>
  <c r="BF124" i="10"/>
  <c r="BG123" i="10"/>
  <c r="BF123" i="10"/>
  <c r="AN123" i="10"/>
  <c r="BG122" i="10"/>
  <c r="BF122" i="10"/>
  <c r="BG121" i="10"/>
  <c r="BF121" i="10"/>
  <c r="BG120" i="10"/>
  <c r="BF120" i="10"/>
  <c r="BG119" i="10"/>
  <c r="BF119" i="10"/>
  <c r="BG118" i="10"/>
  <c r="BF118" i="10"/>
  <c r="BG117" i="10"/>
  <c r="BF117" i="10"/>
  <c r="BG116" i="10"/>
  <c r="BF116" i="10"/>
  <c r="BG115" i="10"/>
  <c r="BF115" i="10"/>
  <c r="BG114" i="10"/>
  <c r="BF114" i="10"/>
  <c r="BG113" i="10"/>
  <c r="BF113" i="10"/>
  <c r="BG112" i="10"/>
  <c r="BF112" i="10"/>
  <c r="BG111" i="10"/>
  <c r="BF111" i="10"/>
  <c r="BG110" i="10"/>
  <c r="BF110" i="10"/>
  <c r="BG109" i="10"/>
  <c r="BF109" i="10"/>
  <c r="AN109" i="10"/>
  <c r="BG108" i="10"/>
  <c r="BF108" i="10"/>
  <c r="BG107" i="10"/>
  <c r="BF107" i="10"/>
  <c r="BG106" i="10"/>
  <c r="BF106" i="10"/>
  <c r="BG105" i="10"/>
  <c r="BF105" i="10"/>
  <c r="BG104" i="10"/>
  <c r="BF104" i="10"/>
  <c r="BG103" i="10"/>
  <c r="BF103" i="10"/>
  <c r="BG102" i="10"/>
  <c r="BF102" i="10"/>
  <c r="BG101" i="10"/>
  <c r="BF101" i="10"/>
  <c r="BG100" i="10"/>
  <c r="BF100" i="10"/>
  <c r="BG99" i="10"/>
  <c r="BF99" i="10"/>
  <c r="BG98" i="10"/>
  <c r="BF98" i="10"/>
  <c r="AN98" i="10"/>
  <c r="BG97" i="10"/>
  <c r="BF97" i="10"/>
  <c r="BG96" i="10"/>
  <c r="BF96" i="10"/>
  <c r="AN96" i="10"/>
  <c r="BG95" i="10"/>
  <c r="BF95" i="10"/>
  <c r="BG94" i="10"/>
  <c r="BF94" i="10"/>
  <c r="BG93" i="10"/>
  <c r="BF93" i="10"/>
  <c r="BG92" i="10"/>
  <c r="BF92" i="10"/>
  <c r="N92" i="10"/>
  <c r="BG91" i="10"/>
  <c r="BF91" i="10"/>
  <c r="BG90" i="10"/>
  <c r="BF90" i="10"/>
  <c r="BG89" i="10"/>
  <c r="BF89" i="10"/>
  <c r="BG88" i="10"/>
  <c r="BF88" i="10"/>
  <c r="BG87" i="10"/>
  <c r="BF87" i="10"/>
  <c r="BG86" i="10"/>
  <c r="BF86" i="10"/>
  <c r="BG85" i="10"/>
  <c r="BF85" i="10"/>
  <c r="BG84" i="10"/>
  <c r="BF84" i="10"/>
  <c r="BG83" i="10"/>
  <c r="BF83" i="10"/>
  <c r="BG82" i="10"/>
  <c r="BF82" i="10"/>
  <c r="BG81" i="10"/>
  <c r="BF81" i="10"/>
  <c r="BG80" i="10"/>
  <c r="BF80" i="10"/>
  <c r="BG79" i="10"/>
  <c r="BF79" i="10"/>
  <c r="AN79" i="10"/>
  <c r="BG78" i="10"/>
  <c r="BF78" i="10"/>
  <c r="BG77" i="10"/>
  <c r="BF77" i="10"/>
  <c r="BG76" i="10"/>
  <c r="BF76" i="10"/>
  <c r="N76" i="10"/>
  <c r="BG75" i="10"/>
  <c r="BF75" i="10"/>
  <c r="BG74" i="10"/>
  <c r="BF74" i="10"/>
  <c r="BG73" i="10"/>
  <c r="BF73" i="10"/>
  <c r="BG72" i="10"/>
  <c r="BF72" i="10"/>
  <c r="BG71" i="10"/>
  <c r="BF71" i="10"/>
  <c r="BG70" i="10"/>
  <c r="BF70" i="10"/>
  <c r="BG69" i="10"/>
  <c r="BF69" i="10"/>
  <c r="R69" i="10"/>
  <c r="BG68" i="10"/>
  <c r="BF68" i="10"/>
  <c r="BG67" i="10"/>
  <c r="BF67" i="10"/>
  <c r="BG66" i="10"/>
  <c r="BF66" i="10"/>
  <c r="BG65" i="10"/>
  <c r="BF65" i="10"/>
  <c r="BG64" i="10"/>
  <c r="BF64" i="10"/>
  <c r="BG63" i="10"/>
  <c r="BF63" i="10"/>
  <c r="BG62" i="10"/>
  <c r="BF62" i="10"/>
  <c r="N62" i="10"/>
  <c r="BG61" i="10"/>
  <c r="BF61" i="10"/>
  <c r="BG60" i="10"/>
  <c r="BF60" i="10"/>
  <c r="BG59" i="10"/>
  <c r="BF59" i="10"/>
  <c r="BG58" i="10"/>
  <c r="BF58" i="10"/>
  <c r="BG57" i="10"/>
  <c r="BF57" i="10"/>
  <c r="BG56" i="10"/>
  <c r="BF56" i="10"/>
  <c r="BG55" i="10"/>
  <c r="BF55" i="10"/>
  <c r="BG54" i="10"/>
  <c r="BF54" i="10"/>
  <c r="BG53" i="10"/>
  <c r="BF53" i="10"/>
  <c r="BG52" i="10"/>
  <c r="BF52" i="10"/>
  <c r="BG51" i="10"/>
  <c r="BF51" i="10"/>
  <c r="BG50" i="10"/>
  <c r="BF50" i="10"/>
  <c r="BG49" i="10"/>
  <c r="BF49" i="10"/>
  <c r="BG48" i="10"/>
  <c r="BF48" i="10"/>
  <c r="BG47" i="10"/>
  <c r="BF47" i="10"/>
  <c r="BG46" i="10"/>
  <c r="BF46" i="10"/>
  <c r="BG45" i="10"/>
  <c r="BF45" i="10"/>
  <c r="BG44" i="10"/>
  <c r="BF44" i="10"/>
  <c r="BG43" i="10"/>
  <c r="BF43" i="10"/>
  <c r="BG42" i="10"/>
  <c r="BF42" i="10"/>
  <c r="N42" i="10"/>
  <c r="BG41" i="10"/>
  <c r="BF41" i="10"/>
  <c r="N41" i="10"/>
  <c r="BG40" i="10"/>
  <c r="BF40" i="10"/>
  <c r="BG39" i="10"/>
  <c r="BF39" i="10"/>
  <c r="BG38" i="10"/>
  <c r="BF38" i="10"/>
  <c r="BG37" i="10"/>
  <c r="BF37" i="10"/>
  <c r="BG36" i="10"/>
  <c r="BF36" i="10"/>
  <c r="BG35" i="10"/>
  <c r="BF35" i="10"/>
  <c r="BG34" i="10"/>
  <c r="BF34" i="10"/>
  <c r="BG33" i="10"/>
  <c r="BF33" i="10"/>
  <c r="BG32" i="10"/>
  <c r="BF32" i="10"/>
  <c r="BG31" i="10"/>
  <c r="BF31" i="10"/>
  <c r="BG30" i="10"/>
  <c r="BF30" i="10"/>
  <c r="BG29" i="10"/>
  <c r="BF29" i="10"/>
  <c r="BG28" i="10"/>
  <c r="BF28" i="10"/>
  <c r="BG27" i="10"/>
  <c r="BF27" i="10"/>
  <c r="BG26" i="10"/>
  <c r="BF26" i="10"/>
  <c r="BG25" i="10"/>
  <c r="BF25" i="10"/>
  <c r="BG24" i="10"/>
  <c r="BF24" i="10"/>
  <c r="BG23" i="10"/>
  <c r="BF23" i="10"/>
  <c r="BG22" i="10"/>
  <c r="BF22" i="10"/>
  <c r="BG21" i="10"/>
  <c r="BF21" i="10"/>
  <c r="BG20" i="10"/>
  <c r="BF20" i="10"/>
  <c r="BG19" i="10"/>
  <c r="BF19" i="10"/>
  <c r="BG18" i="10"/>
  <c r="BF18" i="10"/>
  <c r="BG17" i="10"/>
  <c r="BF17" i="10"/>
  <c r="BG16" i="10"/>
  <c r="BF16" i="10"/>
  <c r="BG15" i="10"/>
  <c r="BF15" i="10"/>
  <c r="BG14" i="10"/>
  <c r="BF14" i="10"/>
  <c r="BG13" i="10"/>
  <c r="BF13" i="10"/>
  <c r="BG12" i="10"/>
  <c r="BF12" i="10"/>
  <c r="BG11" i="10"/>
  <c r="BF11" i="10"/>
  <c r="BG10" i="10"/>
  <c r="BF10" i="10"/>
  <c r="AN10" i="10"/>
  <c r="N10" i="10"/>
  <c r="BG9" i="10"/>
  <c r="BF9" i="10"/>
  <c r="BG8" i="10"/>
  <c r="BF8" i="10"/>
  <c r="AN8" i="10"/>
  <c r="BG7" i="10"/>
  <c r="BF7" i="10"/>
  <c r="AN7" i="10"/>
  <c r="BG6" i="10"/>
  <c r="BF6" i="10"/>
  <c r="AN6" i="10"/>
  <c r="N6" i="10"/>
  <c r="BG5" i="10"/>
  <c r="BF5" i="10"/>
  <c r="AN5" i="10"/>
  <c r="BG4" i="10"/>
  <c r="BF4" i="10"/>
  <c r="AN4" i="10"/>
  <c r="AE256" i="1"/>
  <c r="L256" i="1"/>
  <c r="K256" i="1" s="1"/>
  <c r="AE255" i="1"/>
  <c r="L255" i="1"/>
  <c r="K255" i="1" s="1"/>
  <c r="AE254" i="1"/>
  <c r="AE253" i="1"/>
  <c r="AE252" i="1"/>
  <c r="L252" i="1"/>
  <c r="K252" i="1" s="1"/>
  <c r="AE251" i="1"/>
  <c r="L251" i="1"/>
  <c r="K251" i="1" s="1"/>
  <c r="AE250" i="1"/>
  <c r="L250" i="1"/>
  <c r="AE249" i="1"/>
  <c r="L249" i="1"/>
  <c r="AE248" i="1"/>
  <c r="L248" i="1"/>
  <c r="AE247" i="1"/>
  <c r="L247" i="1"/>
  <c r="AE246" i="1"/>
  <c r="L246" i="1"/>
  <c r="AE245" i="1"/>
  <c r="L245" i="1"/>
  <c r="AE244" i="1"/>
  <c r="L244" i="1"/>
  <c r="AE243" i="1"/>
  <c r="L243" i="1"/>
  <c r="AE242" i="1"/>
  <c r="L242" i="1"/>
  <c r="AE241" i="1"/>
  <c r="L241" i="1"/>
  <c r="AE240" i="1"/>
  <c r="L240" i="1"/>
  <c r="AE239" i="1"/>
  <c r="L239" i="1"/>
  <c r="AE238" i="1"/>
  <c r="L238" i="1"/>
  <c r="H235" i="5" s="1"/>
  <c r="AE237" i="1"/>
  <c r="L237" i="1"/>
  <c r="H234" i="5" s="1"/>
  <c r="AE236" i="1"/>
  <c r="L236" i="1"/>
  <c r="AE235" i="1"/>
  <c r="L235" i="1"/>
  <c r="H232" i="5" s="1"/>
  <c r="AE234" i="1"/>
  <c r="L234" i="1"/>
  <c r="H231" i="5" s="1"/>
  <c r="AE233" i="1"/>
  <c r="L233" i="1"/>
  <c r="H230" i="5" s="1"/>
  <c r="AE232" i="1"/>
  <c r="L232" i="1"/>
  <c r="AE231" i="1"/>
  <c r="L231" i="1"/>
  <c r="H228" i="5" s="1"/>
  <c r="AE230" i="1"/>
  <c r="L230" i="1"/>
  <c r="H227" i="5" s="1"/>
  <c r="AE229" i="1"/>
  <c r="L229" i="1"/>
  <c r="H226" i="5" s="1"/>
  <c r="AE228" i="1"/>
  <c r="L228" i="1"/>
  <c r="AE227" i="1"/>
  <c r="L227" i="1"/>
  <c r="H224" i="5" s="1"/>
  <c r="K227" i="1"/>
  <c r="AE226" i="1"/>
  <c r="L226" i="1"/>
  <c r="H223" i="5" s="1"/>
  <c r="K226" i="1"/>
  <c r="AE225" i="1"/>
  <c r="L225" i="1"/>
  <c r="H222" i="5" s="1"/>
  <c r="K225" i="1"/>
  <c r="AE224" i="1"/>
  <c r="L224" i="1"/>
  <c r="K224" i="1"/>
  <c r="AE223" i="1"/>
  <c r="L223" i="1"/>
  <c r="H220" i="5" s="1"/>
  <c r="AE222" i="1"/>
  <c r="L222" i="1"/>
  <c r="H219" i="5" s="1"/>
  <c r="AE221" i="1"/>
  <c r="L221" i="1"/>
  <c r="K221" i="1" s="1"/>
  <c r="AE220" i="1"/>
  <c r="L220" i="1"/>
  <c r="H218" i="5" s="1"/>
  <c r="AE219" i="1"/>
  <c r="AE218" i="1"/>
  <c r="L218" i="1"/>
  <c r="H216" i="5" s="1"/>
  <c r="AE217" i="1"/>
  <c r="L217" i="1"/>
  <c r="H215" i="5" s="1"/>
  <c r="K217" i="1"/>
  <c r="AE216" i="1"/>
  <c r="AE215" i="1"/>
  <c r="L215" i="1"/>
  <c r="K215" i="1"/>
  <c r="AE214" i="1"/>
  <c r="L214" i="1"/>
  <c r="AE213" i="1"/>
  <c r="L213" i="1"/>
  <c r="H211" i="5" s="1"/>
  <c r="K213" i="1"/>
  <c r="AE212" i="1"/>
  <c r="L212" i="1"/>
  <c r="K212" i="1"/>
  <c r="AE211" i="1"/>
  <c r="L211" i="1"/>
  <c r="H210" i="5" s="1"/>
  <c r="K211" i="1"/>
  <c r="AE210" i="1"/>
  <c r="L210" i="1"/>
  <c r="K210" i="1" s="1"/>
  <c r="AE209" i="1"/>
  <c r="L209" i="1"/>
  <c r="H208" i="5" s="1"/>
  <c r="AE208" i="1"/>
  <c r="L208" i="1"/>
  <c r="K208" i="1" s="1"/>
  <c r="AE207" i="1"/>
  <c r="L207" i="1"/>
  <c r="K207" i="1"/>
  <c r="AE206" i="1"/>
  <c r="L206" i="1"/>
  <c r="K206" i="1" s="1"/>
  <c r="AE205" i="1"/>
  <c r="L205" i="1"/>
  <c r="H203" i="5" s="1"/>
  <c r="AE204" i="1"/>
  <c r="L204" i="1"/>
  <c r="H202" i="5" s="1"/>
  <c r="K204" i="1"/>
  <c r="AE203" i="1"/>
  <c r="L203" i="1"/>
  <c r="H201" i="5" s="1"/>
  <c r="K203" i="1"/>
  <c r="AE202" i="1"/>
  <c r="S202" i="1"/>
  <c r="L202" i="1"/>
  <c r="H200" i="5" s="1"/>
  <c r="AE201" i="1"/>
  <c r="L201" i="1"/>
  <c r="AE200" i="1"/>
  <c r="L200" i="1"/>
  <c r="H198" i="5" s="1"/>
  <c r="K200" i="1"/>
  <c r="AE199" i="1"/>
  <c r="L199" i="1"/>
  <c r="H197" i="5" s="1"/>
  <c r="AE198" i="1"/>
  <c r="L198" i="1"/>
  <c r="H196" i="5" s="1"/>
  <c r="K198" i="1"/>
  <c r="AE197" i="1"/>
  <c r="L197" i="1"/>
  <c r="H195" i="5" s="1"/>
  <c r="AE196" i="1"/>
  <c r="L196" i="1"/>
  <c r="H194" i="5" s="1"/>
  <c r="K196" i="1"/>
  <c r="AE195" i="1"/>
  <c r="L195" i="1"/>
  <c r="H193" i="5" s="1"/>
  <c r="K195" i="1"/>
  <c r="AE194" i="1"/>
  <c r="L194" i="1"/>
  <c r="H192" i="5" s="1"/>
  <c r="K194" i="1"/>
  <c r="AE193" i="1"/>
  <c r="L193" i="1"/>
  <c r="AE192" i="1"/>
  <c r="L192" i="1"/>
  <c r="K192" i="1"/>
  <c r="AE191" i="1"/>
  <c r="X191" i="1"/>
  <c r="L191" i="1"/>
  <c r="K191" i="1" s="1"/>
  <c r="AA190" i="1"/>
  <c r="AE190" i="1" s="1"/>
  <c r="L190" i="1"/>
  <c r="K190" i="1" s="1"/>
  <c r="AE189" i="1"/>
  <c r="L189" i="1"/>
  <c r="K189" i="1" s="1"/>
  <c r="AE188" i="1"/>
  <c r="L188" i="1"/>
  <c r="K188" i="1"/>
  <c r="AE187" i="1"/>
  <c r="AE186" i="1"/>
  <c r="L186" i="1"/>
  <c r="K186" i="1"/>
  <c r="AE185" i="1"/>
  <c r="S185" i="1"/>
  <c r="K185" i="1" s="1"/>
  <c r="L185" i="1"/>
  <c r="AE184" i="1"/>
  <c r="L184" i="1"/>
  <c r="K184" i="1"/>
  <c r="AE183" i="1"/>
  <c r="L183" i="1"/>
  <c r="K183" i="1"/>
  <c r="AE182" i="1"/>
  <c r="L182" i="1"/>
  <c r="K182" i="1"/>
  <c r="AE181" i="1"/>
  <c r="L181" i="1"/>
  <c r="K181" i="1"/>
  <c r="AE180" i="1"/>
  <c r="L180" i="1"/>
  <c r="K180" i="1" s="1"/>
  <c r="AE179" i="1"/>
  <c r="L179" i="1"/>
  <c r="K179" i="1"/>
  <c r="X178" i="1"/>
  <c r="AE178" i="1" s="1"/>
  <c r="L178" i="1"/>
  <c r="K178" i="1" s="1"/>
  <c r="AE177" i="1"/>
  <c r="L177" i="1"/>
  <c r="K177" i="1"/>
  <c r="AE176" i="1"/>
  <c r="L176" i="1"/>
  <c r="K176" i="1"/>
  <c r="AE175" i="1"/>
  <c r="L175" i="1"/>
  <c r="K175" i="1" s="1"/>
  <c r="AE174" i="1"/>
  <c r="L174" i="1"/>
  <c r="K174" i="1"/>
  <c r="AE173" i="1"/>
  <c r="L173" i="1"/>
  <c r="K173" i="1"/>
  <c r="AE172" i="1"/>
  <c r="L172" i="1"/>
  <c r="K172" i="1"/>
  <c r="AE171" i="1"/>
  <c r="L171" i="1"/>
  <c r="K171" i="1"/>
  <c r="AE170" i="1"/>
  <c r="L170" i="1"/>
  <c r="K170" i="1"/>
  <c r="AE169" i="1"/>
  <c r="L169" i="1"/>
  <c r="K169" i="1" s="1"/>
  <c r="AE168" i="1"/>
  <c r="L168" i="1"/>
  <c r="K168" i="1" s="1"/>
  <c r="AE167" i="1"/>
  <c r="L167" i="1"/>
  <c r="K167" i="1" s="1"/>
  <c r="AE166" i="1"/>
  <c r="L166" i="1"/>
  <c r="K166" i="1" s="1"/>
  <c r="AE165" i="1"/>
  <c r="L165" i="1"/>
  <c r="K165" i="1" s="1"/>
  <c r="AE164" i="1"/>
  <c r="L164" i="1"/>
  <c r="K164" i="1"/>
  <c r="AE163" i="1"/>
  <c r="AA163" i="1"/>
  <c r="L163" i="1"/>
  <c r="K163" i="1"/>
  <c r="AE162" i="1"/>
  <c r="L162" i="1"/>
  <c r="K162" i="1" s="1"/>
  <c r="AE161" i="1"/>
  <c r="L161" i="1"/>
  <c r="K161" i="1"/>
  <c r="AE160" i="1"/>
  <c r="L160" i="1"/>
  <c r="K160" i="1"/>
  <c r="AE159" i="1"/>
  <c r="L159" i="1"/>
  <c r="K159" i="1"/>
  <c r="AE158" i="1"/>
  <c r="L158" i="1"/>
  <c r="K158" i="1" s="1"/>
  <c r="AE157" i="1"/>
  <c r="L157" i="1"/>
  <c r="K157" i="1" s="1"/>
  <c r="AE156" i="1"/>
  <c r="L156" i="1"/>
  <c r="K156" i="1" s="1"/>
  <c r="AE155" i="1"/>
  <c r="L155" i="1"/>
  <c r="K155" i="1"/>
  <c r="AE154" i="1"/>
  <c r="L154" i="1"/>
  <c r="AE153" i="1"/>
  <c r="L153" i="1"/>
  <c r="K153" i="1" s="1"/>
  <c r="AE152" i="1"/>
  <c r="L152" i="1"/>
  <c r="K152" i="1"/>
  <c r="AE151" i="1"/>
  <c r="L151" i="1"/>
  <c r="K151" i="1" s="1"/>
  <c r="AE150" i="1"/>
  <c r="L150" i="1"/>
  <c r="K150" i="1" s="1"/>
  <c r="AE149" i="1"/>
  <c r="L149" i="1"/>
  <c r="K149" i="1"/>
  <c r="AE148" i="1"/>
  <c r="L148" i="1"/>
  <c r="K148" i="1"/>
  <c r="AE147" i="1"/>
  <c r="L147" i="1"/>
  <c r="K147" i="1"/>
  <c r="AE146" i="1"/>
  <c r="L146" i="1"/>
  <c r="K146" i="1"/>
  <c r="AE145" i="1"/>
  <c r="AC145" i="1"/>
  <c r="S145" i="1"/>
  <c r="L145" i="1"/>
  <c r="K145" i="1"/>
  <c r="AE144" i="1"/>
  <c r="L144" i="1"/>
  <c r="K144" i="1"/>
  <c r="AE143" i="1"/>
  <c r="L143" i="1"/>
  <c r="K143" i="1"/>
  <c r="AE142" i="1"/>
  <c r="L142" i="1"/>
  <c r="K142" i="1" s="1"/>
  <c r="AE141" i="1"/>
  <c r="L141" i="1"/>
  <c r="K141" i="1" s="1"/>
  <c r="AE140" i="1"/>
  <c r="L140" i="1"/>
  <c r="K140" i="1"/>
  <c r="AE139" i="1"/>
  <c r="L139" i="1"/>
  <c r="K139" i="1" s="1"/>
  <c r="AE137" i="1"/>
  <c r="K137" i="1"/>
  <c r="AE136" i="1"/>
  <c r="L136" i="1"/>
  <c r="K136" i="1"/>
  <c r="AA135" i="1"/>
  <c r="AE135" i="1" s="1"/>
  <c r="Q135" i="1"/>
  <c r="L135" i="1"/>
  <c r="K135" i="1" s="1"/>
  <c r="AE134" i="1"/>
  <c r="K134" i="1"/>
  <c r="AE133" i="1"/>
  <c r="L133" i="1"/>
  <c r="K133" i="1" s="1"/>
  <c r="AE132" i="1"/>
  <c r="K132" i="1"/>
  <c r="K131" i="1"/>
  <c r="AE130" i="1"/>
  <c r="K130" i="1"/>
  <c r="AE129" i="1"/>
  <c r="K129" i="1"/>
  <c r="AE128" i="1"/>
  <c r="K128" i="1"/>
  <c r="AE127" i="1"/>
  <c r="AE126" i="1"/>
  <c r="K126" i="1"/>
  <c r="AE125" i="1"/>
  <c r="K125" i="1"/>
  <c r="AE124" i="1"/>
  <c r="L124" i="1"/>
  <c r="K124" i="1"/>
  <c r="AE123" i="1"/>
  <c r="L123" i="1"/>
  <c r="K123" i="1"/>
  <c r="AA122" i="1"/>
  <c r="AE122" i="1" s="1"/>
  <c r="K122" i="1"/>
  <c r="AA121" i="1"/>
  <c r="AE121" i="1" s="1"/>
  <c r="K121" i="1"/>
  <c r="AE120" i="1"/>
  <c r="L120" i="1"/>
  <c r="K120" i="1" s="1"/>
  <c r="AE119" i="1"/>
  <c r="K119" i="1"/>
  <c r="AE118" i="1"/>
  <c r="K118" i="1"/>
  <c r="AE117" i="1"/>
  <c r="K117" i="1"/>
  <c r="AE116" i="1"/>
  <c r="K116" i="1"/>
  <c r="AE115" i="1"/>
  <c r="K115" i="1"/>
  <c r="AE114" i="1"/>
  <c r="AE113" i="1"/>
  <c r="K113" i="1"/>
  <c r="AE112" i="1"/>
  <c r="L112" i="1"/>
  <c r="K112" i="1" s="1"/>
  <c r="AE111" i="1"/>
  <c r="L111" i="1"/>
  <c r="K111" i="1" s="1"/>
  <c r="AE110" i="1"/>
  <c r="L110" i="1"/>
  <c r="K110" i="1" s="1"/>
  <c r="AE109" i="1"/>
  <c r="L109" i="1"/>
  <c r="K109" i="1" s="1"/>
  <c r="AE108" i="1"/>
  <c r="L108" i="1"/>
  <c r="K108" i="1" s="1"/>
  <c r="AE107" i="1"/>
  <c r="O107" i="1"/>
  <c r="L107" i="1"/>
  <c r="K107" i="1"/>
  <c r="W106" i="1"/>
  <c r="AE106" i="1" s="1"/>
  <c r="L106" i="1"/>
  <c r="K106" i="1" s="1"/>
  <c r="AE105" i="1"/>
  <c r="K105" i="1"/>
  <c r="AE104" i="1"/>
  <c r="L104" i="1"/>
  <c r="K104" i="1" s="1"/>
  <c r="AE103" i="1"/>
  <c r="L103" i="1"/>
  <c r="K103" i="1" s="1"/>
  <c r="AE102" i="1"/>
  <c r="K102" i="1"/>
  <c r="AE101" i="1"/>
  <c r="K101" i="1"/>
  <c r="AA100" i="1"/>
  <c r="AE100" i="1" s="1"/>
  <c r="L100" i="1"/>
  <c r="K100" i="1" s="1"/>
  <c r="AE99" i="1"/>
  <c r="K99" i="1"/>
  <c r="AE67" i="1"/>
  <c r="L67" i="1"/>
  <c r="K67" i="1" s="1"/>
  <c r="AE66" i="1"/>
  <c r="K66" i="1"/>
  <c r="AA65" i="1"/>
  <c r="AE65" i="1" s="1"/>
  <c r="K65" i="1"/>
  <c r="AA64" i="1"/>
  <c r="AE64" i="1" s="1"/>
  <c r="K64" i="1"/>
  <c r="AA63" i="1"/>
  <c r="AE63" i="1" s="1"/>
  <c r="K63" i="1"/>
  <c r="AE62" i="1"/>
  <c r="L62" i="1"/>
  <c r="K62" i="1"/>
  <c r="AE61" i="1"/>
  <c r="K61" i="1"/>
  <c r="AE60" i="1"/>
  <c r="L60" i="1"/>
  <c r="K60" i="1" s="1"/>
  <c r="AE59" i="1"/>
  <c r="L59" i="1"/>
  <c r="K59" i="1"/>
  <c r="AE58" i="1"/>
  <c r="L58" i="1"/>
  <c r="K58" i="1"/>
  <c r="AE57" i="1"/>
  <c r="L57" i="1"/>
  <c r="K57" i="1"/>
  <c r="AA56" i="1"/>
  <c r="AE56" i="1" s="1"/>
  <c r="L56" i="1"/>
  <c r="K56" i="1"/>
  <c r="AE55" i="1"/>
  <c r="L55" i="1"/>
  <c r="K55" i="1"/>
  <c r="AA54" i="1"/>
  <c r="W54" i="1"/>
  <c r="L54" i="1"/>
  <c r="K54" i="1"/>
  <c r="AE53" i="1"/>
  <c r="AA53" i="1"/>
  <c r="K53" i="1"/>
  <c r="AE52" i="1"/>
  <c r="L52" i="1"/>
  <c r="K52" i="1" s="1"/>
  <c r="AE51" i="1"/>
  <c r="L51" i="1"/>
  <c r="K51" i="1"/>
  <c r="AE50" i="1"/>
  <c r="L50" i="1"/>
  <c r="K50" i="1"/>
  <c r="AE49" i="1"/>
  <c r="L49" i="1"/>
  <c r="K49" i="1"/>
  <c r="AE48" i="1"/>
  <c r="L48" i="1"/>
  <c r="K48" i="1"/>
  <c r="AE47" i="1"/>
  <c r="L47" i="1"/>
  <c r="K47" i="1"/>
  <c r="AE46" i="1"/>
  <c r="L46" i="1"/>
  <c r="K46" i="1" s="1"/>
  <c r="AE45" i="1"/>
  <c r="L45" i="1"/>
  <c r="K45" i="1" s="1"/>
  <c r="AE44" i="1"/>
  <c r="L44" i="1"/>
  <c r="K44" i="1" s="1"/>
  <c r="AE43" i="1"/>
  <c r="V43" i="1"/>
  <c r="K43" i="1"/>
  <c r="AE42" i="1"/>
  <c r="K42" i="1"/>
  <c r="Y41" i="1"/>
  <c r="AE41" i="1" s="1"/>
  <c r="S41" i="1"/>
  <c r="K41" i="1" s="1"/>
  <c r="AE40" i="1"/>
  <c r="V40" i="1"/>
  <c r="K40" i="1"/>
  <c r="AE39" i="1"/>
  <c r="L39" i="1"/>
  <c r="V39" i="1" s="1"/>
  <c r="K39" i="1"/>
  <c r="AE38" i="1"/>
  <c r="V38" i="1"/>
  <c r="K38" i="1"/>
  <c r="AE37" i="1"/>
  <c r="V37" i="1"/>
  <c r="K37" i="1"/>
  <c r="AE36" i="1"/>
  <c r="K36" i="1"/>
  <c r="AE35" i="1"/>
  <c r="V35" i="1"/>
  <c r="K35" i="1"/>
  <c r="AE34" i="1"/>
  <c r="V34" i="1"/>
  <c r="K34" i="1"/>
  <c r="AE33" i="1"/>
  <c r="V33" i="1"/>
  <c r="K33" i="1"/>
  <c r="AE32" i="1"/>
  <c r="V32" i="1"/>
  <c r="K32" i="1"/>
  <c r="AE31" i="1"/>
  <c r="L31" i="1"/>
  <c r="V31" i="1" s="1"/>
  <c r="K31" i="1"/>
  <c r="AE30" i="1"/>
  <c r="V30" i="1"/>
  <c r="L30" i="1"/>
  <c r="K30" i="1"/>
  <c r="AE29" i="1"/>
  <c r="L29" i="1"/>
  <c r="V29" i="1" s="1"/>
  <c r="K29" i="1"/>
  <c r="AE27" i="1"/>
  <c r="K27" i="1"/>
  <c r="AE26" i="1"/>
  <c r="L26" i="1"/>
  <c r="K26" i="1"/>
  <c r="AE25" i="1"/>
  <c r="K25" i="1"/>
  <c r="AE24" i="1"/>
  <c r="K24" i="1"/>
  <c r="AE23" i="1"/>
  <c r="K23" i="1"/>
  <c r="AA22" i="1"/>
  <c r="AE22" i="1" s="1"/>
  <c r="K22" i="1"/>
  <c r="AA21" i="1"/>
  <c r="AE21" i="1" s="1"/>
  <c r="K21" i="1"/>
  <c r="AE20" i="1"/>
  <c r="K20" i="1"/>
  <c r="AE19" i="1"/>
  <c r="K19" i="1"/>
  <c r="AE18" i="1"/>
  <c r="K18" i="1"/>
  <c r="AE17" i="1"/>
  <c r="AE16" i="1"/>
  <c r="K16" i="1"/>
  <c r="AE15" i="1"/>
  <c r="K15" i="1"/>
  <c r="AE14" i="1"/>
  <c r="K14" i="1"/>
  <c r="AE13" i="1"/>
  <c r="K13" i="1"/>
  <c r="AE12" i="1"/>
  <c r="K12" i="1"/>
  <c r="AE11" i="1"/>
  <c r="K11" i="1"/>
  <c r="K7" i="1"/>
  <c r="K6" i="1"/>
  <c r="K5" i="1"/>
  <c r="K4" i="1"/>
  <c r="L3" i="1"/>
  <c r="K3" i="1"/>
  <c r="M383" i="10" l="1"/>
  <c r="BF383" i="10" s="1"/>
  <c r="M449" i="10"/>
  <c r="BF449" i="10" s="1"/>
  <c r="K201" i="1"/>
  <c r="H199" i="5"/>
  <c r="K193" i="1"/>
  <c r="H191" i="5"/>
  <c r="K199" i="1"/>
  <c r="K202" i="1"/>
  <c r="K220" i="1"/>
  <c r="K223" i="1"/>
  <c r="H229" i="5"/>
  <c r="H233" i="5"/>
  <c r="K197" i="1"/>
  <c r="K205" i="1"/>
  <c r="H209" i="5"/>
  <c r="H213" i="5"/>
  <c r="H206" i="5"/>
  <c r="H207" i="5"/>
  <c r="K209" i="1"/>
  <c r="K222" i="1"/>
  <c r="H221" i="5"/>
  <c r="K214" i="1"/>
  <c r="H212" i="5"/>
  <c r="H225" i="5"/>
  <c r="F204" i="5"/>
  <c r="O204" i="5"/>
  <c r="H205" i="5"/>
  <c r="G208" i="5"/>
  <c r="I209" i="5"/>
  <c r="G212" i="5"/>
  <c r="I213" i="5"/>
  <c r="G216" i="5"/>
  <c r="I217" i="5"/>
  <c r="G220" i="5"/>
  <c r="I221" i="5"/>
  <c r="G224" i="5"/>
  <c r="I225" i="5"/>
  <c r="G228" i="5"/>
  <c r="I229" i="5"/>
  <c r="G232" i="5"/>
  <c r="I233" i="5"/>
  <c r="M235" i="5"/>
  <c r="I205" i="5"/>
  <c r="H204" i="5"/>
  <c r="B205" i="5"/>
  <c r="C205" i="5" s="1"/>
  <c r="D205" i="5" s="1"/>
  <c r="E205" i="5" s="1"/>
  <c r="J205" i="5"/>
  <c r="I208" i="5"/>
  <c r="I212" i="5"/>
  <c r="I216" i="5"/>
  <c r="I220" i="5"/>
  <c r="I224" i="5"/>
  <c r="I228" i="5"/>
  <c r="I232" i="5"/>
  <c r="I204" i="5"/>
  <c r="K205" i="5"/>
  <c r="B204" i="5"/>
  <c r="C204" i="5" s="1"/>
  <c r="D204" i="5" s="1"/>
  <c r="E204" i="5" s="1"/>
  <c r="J204" i="5"/>
  <c r="L205" i="5"/>
  <c r="I207" i="5"/>
  <c r="K208" i="5"/>
  <c r="M209" i="5"/>
  <c r="I211" i="5"/>
  <c r="K212" i="5"/>
  <c r="M213" i="5"/>
  <c r="I215" i="5"/>
  <c r="K216" i="5"/>
  <c r="M217" i="5"/>
  <c r="I219" i="5"/>
  <c r="K220" i="5"/>
  <c r="M221" i="5"/>
  <c r="I223" i="5"/>
  <c r="K224" i="5"/>
  <c r="M225" i="5"/>
  <c r="I227" i="5"/>
  <c r="K228" i="5"/>
  <c r="M229" i="5"/>
  <c r="I231" i="5"/>
  <c r="K232" i="5"/>
  <c r="M233" i="5"/>
  <c r="I235" i="5"/>
  <c r="J235" i="5"/>
  <c r="L204" i="5"/>
  <c r="F205" i="5"/>
  <c r="O205" i="5"/>
  <c r="K207" i="5"/>
  <c r="M208" i="5"/>
  <c r="G209" i="5"/>
  <c r="I210" i="5"/>
  <c r="K211" i="5"/>
  <c r="M212" i="5"/>
  <c r="G213" i="5"/>
  <c r="I214" i="5"/>
  <c r="K215" i="5"/>
  <c r="M216" i="5"/>
  <c r="G217" i="5"/>
  <c r="I218" i="5"/>
  <c r="K219" i="5"/>
  <c r="M220" i="5"/>
  <c r="G221" i="5"/>
  <c r="I222" i="5"/>
  <c r="K223" i="5"/>
  <c r="M224" i="5"/>
  <c r="G225" i="5"/>
  <c r="I226" i="5"/>
  <c r="K227" i="5"/>
  <c r="M228" i="5"/>
  <c r="G229" i="5"/>
  <c r="I230" i="5"/>
  <c r="K231" i="5"/>
  <c r="M232" i="5"/>
  <c r="G233" i="5"/>
  <c r="I234" i="5"/>
  <c r="K235" i="5"/>
  <c r="F208" i="5"/>
  <c r="B210" i="5"/>
  <c r="C210" i="5" s="1"/>
  <c r="D210" i="5" s="1"/>
  <c r="E210" i="5" s="1"/>
  <c r="F212" i="5"/>
  <c r="B214" i="5"/>
  <c r="C214" i="5" s="1"/>
  <c r="D214" i="5" s="1"/>
  <c r="E214" i="5" s="1"/>
  <c r="F216" i="5"/>
  <c r="B218" i="5"/>
  <c r="C218" i="5" s="1"/>
  <c r="D218" i="5" s="1"/>
  <c r="E218" i="5" s="1"/>
  <c r="F220" i="5"/>
  <c r="B222" i="5"/>
  <c r="C222" i="5" s="1"/>
  <c r="D222" i="5" s="1"/>
  <c r="E222" i="5" s="1"/>
  <c r="F224" i="5"/>
  <c r="B226" i="5"/>
  <c r="C226" i="5" s="1"/>
  <c r="D226" i="5" s="1"/>
  <c r="E226" i="5" s="1"/>
  <c r="F228" i="5"/>
  <c r="B230" i="5"/>
  <c r="C230" i="5" s="1"/>
  <c r="D230" i="5" s="1"/>
  <c r="E230" i="5" s="1"/>
  <c r="F232" i="5"/>
  <c r="B234" i="5"/>
  <c r="C234" i="5" s="1"/>
  <c r="D234" i="5" s="1"/>
  <c r="E23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杨静</author>
    <author>赵冲</author>
    <author>王桂林</author>
  </authors>
  <commentList>
    <comment ref="M13" authorId="0" shapeId="0" xr:uid="{00000000-0006-0000-0000-000001000000}">
      <text>
        <r>
          <rPr>
            <b/>
            <sz val="9"/>
            <rFont val="宋体"/>
            <family val="3"/>
            <charset val="134"/>
          </rPr>
          <t>杨静</t>
        </r>
        <r>
          <rPr>
            <b/>
            <sz val="9"/>
            <rFont val="Tahoma"/>
            <family val="2"/>
          </rPr>
          <t>:</t>
        </r>
        <r>
          <rPr>
            <sz val="9"/>
            <rFont val="Tahoma"/>
            <family val="2"/>
          </rPr>
          <t xml:space="preserve">
</t>
        </r>
        <r>
          <rPr>
            <sz val="9"/>
            <rFont val="宋体"/>
            <family val="3"/>
            <charset val="134"/>
          </rPr>
          <t>原有项目金额</t>
        </r>
        <r>
          <rPr>
            <sz val="9"/>
            <rFont val="Tahoma"/>
            <family val="2"/>
          </rPr>
          <t xml:space="preserve">4670242
</t>
        </r>
        <r>
          <rPr>
            <sz val="9"/>
            <rFont val="宋体"/>
            <family val="3"/>
            <charset val="134"/>
          </rPr>
          <t>委托书</t>
        </r>
        <r>
          <rPr>
            <sz val="9"/>
            <rFont val="Tahoma"/>
            <family val="2"/>
          </rPr>
          <t xml:space="preserve">5213242
</t>
        </r>
      </text>
    </comment>
    <comment ref="AA21" authorId="0" shapeId="0" xr:uid="{00000000-0006-0000-0000-000002000000}">
      <text>
        <r>
          <rPr>
            <b/>
            <sz val="9"/>
            <rFont val="宋体"/>
            <family val="3"/>
            <charset val="134"/>
          </rPr>
          <t>杨静</t>
        </r>
        <r>
          <rPr>
            <b/>
            <sz val="9"/>
            <rFont val="Tahoma"/>
            <family val="2"/>
          </rPr>
          <t>:</t>
        </r>
        <r>
          <rPr>
            <sz val="9"/>
            <rFont val="Tahoma"/>
            <family val="2"/>
          </rPr>
          <t xml:space="preserve">
11388400(6%) 1100000(6%)</t>
        </r>
      </text>
    </comment>
    <comment ref="AA22" authorId="0" shapeId="0" xr:uid="{00000000-0006-0000-0000-000003000000}">
      <text>
        <r>
          <rPr>
            <b/>
            <sz val="9"/>
            <rFont val="宋体"/>
            <family val="3"/>
            <charset val="134"/>
          </rPr>
          <t>杨静</t>
        </r>
        <r>
          <rPr>
            <b/>
            <sz val="9"/>
            <rFont val="Tahoma"/>
            <family val="2"/>
          </rPr>
          <t>:</t>
        </r>
        <r>
          <rPr>
            <sz val="9"/>
            <rFont val="Tahoma"/>
            <family val="2"/>
          </rPr>
          <t xml:space="preserve">
48000</t>
        </r>
        <r>
          <rPr>
            <sz val="9"/>
            <rFont val="宋体"/>
            <family val="3"/>
            <charset val="134"/>
          </rPr>
          <t>（</t>
        </r>
        <r>
          <rPr>
            <sz val="9"/>
            <rFont val="Tahoma"/>
            <family val="2"/>
          </rPr>
          <t>6</t>
        </r>
        <r>
          <rPr>
            <sz val="9"/>
            <rFont val="宋体"/>
            <family val="3"/>
            <charset val="134"/>
          </rPr>
          <t xml:space="preserve">％）
</t>
        </r>
        <r>
          <rPr>
            <sz val="9"/>
            <rFont val="Tahoma"/>
            <family val="2"/>
          </rPr>
          <t xml:space="preserve"> 423744</t>
        </r>
        <r>
          <rPr>
            <sz val="9"/>
            <rFont val="宋体"/>
            <family val="3"/>
            <charset val="134"/>
          </rPr>
          <t>（</t>
        </r>
        <r>
          <rPr>
            <sz val="9"/>
            <rFont val="Tahoma"/>
            <family val="2"/>
          </rPr>
          <t>6</t>
        </r>
        <r>
          <rPr>
            <sz val="9"/>
            <rFont val="宋体"/>
            <family val="3"/>
            <charset val="134"/>
          </rPr>
          <t>％）</t>
        </r>
      </text>
    </comment>
    <comment ref="W26" authorId="0" shapeId="0" xr:uid="{00000000-0006-0000-0000-000004000000}">
      <text>
        <r>
          <rPr>
            <b/>
            <sz val="9"/>
            <rFont val="宋体"/>
            <family val="3"/>
            <charset val="134"/>
          </rPr>
          <t>杨静</t>
        </r>
        <r>
          <rPr>
            <b/>
            <sz val="9"/>
            <rFont val="Tahoma"/>
            <family val="2"/>
          </rPr>
          <t>:</t>
        </r>
        <r>
          <rPr>
            <sz val="9"/>
            <rFont val="Tahoma"/>
            <family val="2"/>
          </rPr>
          <t xml:space="preserve">
</t>
        </r>
        <r>
          <rPr>
            <sz val="9"/>
            <rFont val="宋体"/>
            <family val="3"/>
            <charset val="134"/>
          </rPr>
          <t>第一次委托数量为</t>
        </r>
        <r>
          <rPr>
            <sz val="9"/>
            <rFont val="Tahoma"/>
            <family val="2"/>
          </rPr>
          <t xml:space="preserve">65940
</t>
        </r>
      </text>
    </comment>
    <comment ref="Y26" authorId="0" shapeId="0" xr:uid="{00000000-0006-0000-0000-000005000000}">
      <text>
        <r>
          <rPr>
            <b/>
            <sz val="9"/>
            <rFont val="宋体"/>
            <family val="3"/>
            <charset val="134"/>
          </rPr>
          <t>杨静</t>
        </r>
        <r>
          <rPr>
            <b/>
            <sz val="9"/>
            <rFont val="Tahoma"/>
            <family val="2"/>
          </rPr>
          <t>:</t>
        </r>
        <r>
          <rPr>
            <sz val="9"/>
            <rFont val="Tahoma"/>
            <family val="2"/>
          </rPr>
          <t xml:space="preserve">
</t>
        </r>
        <r>
          <rPr>
            <sz val="9"/>
            <rFont val="宋体"/>
            <family val="3"/>
            <charset val="134"/>
          </rPr>
          <t>第一次委托数量为</t>
        </r>
        <r>
          <rPr>
            <sz val="9"/>
            <rFont val="Tahoma"/>
            <family val="2"/>
          </rPr>
          <t>188580</t>
        </r>
      </text>
    </comment>
    <comment ref="Y33" authorId="1" shapeId="0" xr:uid="{00000000-0006-0000-0000-000006000000}">
      <text>
        <r>
          <rPr>
            <b/>
            <sz val="9"/>
            <rFont val="宋体"/>
            <family val="3"/>
            <charset val="134"/>
          </rPr>
          <t>赵冲</t>
        </r>
        <r>
          <rPr>
            <b/>
            <sz val="9"/>
            <rFont val="Tahoma"/>
            <family val="2"/>
          </rPr>
          <t>:</t>
        </r>
        <r>
          <rPr>
            <sz val="9"/>
            <rFont val="Tahoma"/>
            <family val="2"/>
          </rPr>
          <t xml:space="preserve">
</t>
        </r>
        <r>
          <rPr>
            <sz val="9"/>
            <rFont val="宋体"/>
            <family val="3"/>
            <charset val="134"/>
          </rPr>
          <t>原数额</t>
        </r>
        <r>
          <rPr>
            <sz val="9"/>
            <rFont val="Tahoma"/>
            <family val="2"/>
          </rPr>
          <t xml:space="preserve">118150
</t>
        </r>
      </text>
    </comment>
    <comment ref="L41" authorId="0" shapeId="0" xr:uid="{00000000-0006-0000-0000-000007000000}">
      <text>
        <r>
          <rPr>
            <b/>
            <sz val="9"/>
            <rFont val="宋体"/>
            <family val="3"/>
            <charset val="134"/>
          </rPr>
          <t>杨静</t>
        </r>
        <r>
          <rPr>
            <b/>
            <sz val="9"/>
            <rFont val="Tahoma"/>
            <family val="2"/>
          </rPr>
          <t>:</t>
        </r>
        <r>
          <rPr>
            <sz val="9"/>
            <rFont val="Tahoma"/>
            <family val="2"/>
          </rPr>
          <t xml:space="preserve">
</t>
        </r>
      </text>
    </comment>
    <comment ref="O41" authorId="0" shapeId="0" xr:uid="{00000000-0006-0000-0000-000008000000}">
      <text>
        <r>
          <rPr>
            <b/>
            <sz val="9"/>
            <rFont val="宋体"/>
            <family val="3"/>
            <charset val="134"/>
          </rPr>
          <t>杨静</t>
        </r>
        <r>
          <rPr>
            <b/>
            <sz val="9"/>
            <rFont val="Tahoma"/>
            <family val="2"/>
          </rPr>
          <t>:</t>
        </r>
        <r>
          <rPr>
            <sz val="9"/>
            <rFont val="Tahoma"/>
            <family val="2"/>
          </rPr>
          <t xml:space="preserve">
</t>
        </r>
      </text>
    </comment>
    <comment ref="S41" authorId="0" shapeId="0" xr:uid="{00000000-0006-0000-0000-000009000000}">
      <text>
        <r>
          <rPr>
            <b/>
            <sz val="9"/>
            <rFont val="宋体"/>
            <family val="3"/>
            <charset val="134"/>
          </rPr>
          <t>杨静</t>
        </r>
        <r>
          <rPr>
            <b/>
            <sz val="9"/>
            <rFont val="Tahoma"/>
            <family val="2"/>
          </rPr>
          <t>:</t>
        </r>
        <r>
          <rPr>
            <sz val="9"/>
            <rFont val="Tahoma"/>
            <family val="2"/>
          </rPr>
          <t xml:space="preserve">
</t>
        </r>
        <r>
          <rPr>
            <sz val="9"/>
            <rFont val="宋体"/>
            <family val="3"/>
            <charset val="134"/>
          </rPr>
          <t>原委托没有</t>
        </r>
        <r>
          <rPr>
            <sz val="9"/>
            <rFont val="Tahoma"/>
            <family val="2"/>
          </rPr>
          <t>CT</t>
        </r>
        <r>
          <rPr>
            <sz val="9"/>
            <rFont val="宋体"/>
            <family val="3"/>
            <charset val="134"/>
          </rPr>
          <t xml:space="preserve">部分
</t>
        </r>
      </text>
    </comment>
    <comment ref="W41" authorId="0" shapeId="0" xr:uid="{00000000-0006-0000-0000-00000A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2707976</t>
        </r>
      </text>
    </comment>
    <comment ref="Y41" authorId="0" shapeId="0" xr:uid="{00000000-0006-0000-0000-00000B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2809561</t>
        </r>
      </text>
    </comment>
    <comment ref="AA41" authorId="0" shapeId="0" xr:uid="{00000000-0006-0000-0000-00000C000000}">
      <text>
        <r>
          <rPr>
            <b/>
            <sz val="9"/>
            <rFont val="宋体"/>
            <family val="3"/>
            <charset val="134"/>
          </rPr>
          <t>杨静</t>
        </r>
        <r>
          <rPr>
            <b/>
            <sz val="9"/>
            <rFont val="Tahoma"/>
            <family val="2"/>
          </rPr>
          <t>:</t>
        </r>
        <r>
          <rPr>
            <sz val="9"/>
            <rFont val="Tahoma"/>
            <family val="2"/>
          </rPr>
          <t xml:space="preserve">
</t>
        </r>
        <r>
          <rPr>
            <sz val="9"/>
            <rFont val="宋体"/>
            <family val="3"/>
            <charset val="134"/>
          </rPr>
          <t xml:space="preserve">原没有
</t>
        </r>
      </text>
    </comment>
    <comment ref="S66" authorId="0" shapeId="0" xr:uid="{00000000-0006-0000-0000-00000D000000}">
      <text>
        <r>
          <rPr>
            <b/>
            <sz val="9"/>
            <rFont val="宋体"/>
            <family val="3"/>
            <charset val="134"/>
          </rPr>
          <t>杨静</t>
        </r>
        <r>
          <rPr>
            <b/>
            <sz val="9"/>
            <rFont val="Tahoma"/>
            <family val="2"/>
          </rPr>
          <t>:</t>
        </r>
        <r>
          <rPr>
            <sz val="9"/>
            <rFont val="Tahoma"/>
            <family val="2"/>
          </rPr>
          <t xml:space="preserve">
</t>
        </r>
        <r>
          <rPr>
            <sz val="9"/>
            <rFont val="宋体"/>
            <family val="3"/>
            <charset val="134"/>
          </rPr>
          <t>超租时间</t>
        </r>
        <r>
          <rPr>
            <sz val="9"/>
            <rFont val="Tahoma"/>
            <family val="2"/>
          </rPr>
          <t xml:space="preserve">2017.11
</t>
        </r>
      </text>
    </comment>
    <comment ref="K100" authorId="1" shapeId="0" xr:uid="{00000000-0006-0000-0000-00000E000000}">
      <text>
        <r>
          <rPr>
            <b/>
            <sz val="9"/>
            <rFont val="宋体"/>
            <family val="3"/>
            <charset val="134"/>
          </rPr>
          <t>赵冲</t>
        </r>
        <r>
          <rPr>
            <b/>
            <sz val="9"/>
            <rFont val="Tahoma"/>
            <family val="2"/>
          </rPr>
          <t>:</t>
        </r>
        <r>
          <rPr>
            <sz val="9"/>
            <rFont val="Tahoma"/>
            <family val="2"/>
          </rPr>
          <t xml:space="preserve">
</t>
        </r>
        <r>
          <rPr>
            <sz val="9"/>
            <rFont val="宋体"/>
            <family val="3"/>
            <charset val="134"/>
          </rPr>
          <t>委托中</t>
        </r>
        <r>
          <rPr>
            <sz val="9"/>
            <rFont val="Tahoma"/>
            <family val="2"/>
          </rPr>
          <t>CT</t>
        </r>
        <r>
          <rPr>
            <sz val="9"/>
            <rFont val="宋体"/>
            <family val="3"/>
            <charset val="134"/>
          </rPr>
          <t>合同包含在</t>
        </r>
        <r>
          <rPr>
            <sz val="9"/>
            <rFont val="Tahoma"/>
            <family val="2"/>
          </rPr>
          <t>IT</t>
        </r>
        <r>
          <rPr>
            <sz val="9"/>
            <rFont val="宋体"/>
            <family val="3"/>
            <charset val="134"/>
          </rPr>
          <t xml:space="preserve">内
</t>
        </r>
      </text>
    </comment>
    <comment ref="M100" authorId="1" shapeId="0" xr:uid="{00000000-0006-0000-0000-00000F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10849000 17</t>
        </r>
        <r>
          <rPr>
            <sz val="9"/>
            <rFont val="宋体"/>
            <family val="3"/>
            <charset val="134"/>
          </rPr>
          <t>％</t>
        </r>
        <r>
          <rPr>
            <sz val="9"/>
            <rFont val="Tahoma"/>
            <family val="2"/>
          </rPr>
          <t xml:space="preserve"> 15061000 6</t>
        </r>
        <r>
          <rPr>
            <sz val="9"/>
            <rFont val="宋体"/>
            <family val="3"/>
            <charset val="134"/>
          </rPr>
          <t>％</t>
        </r>
      </text>
    </comment>
    <comment ref="Q100" authorId="1" shapeId="0" xr:uid="{00000000-0006-0000-0000-000010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10849000 17</t>
        </r>
        <r>
          <rPr>
            <sz val="9"/>
            <rFont val="宋体"/>
            <family val="3"/>
            <charset val="134"/>
          </rPr>
          <t>％</t>
        </r>
        <r>
          <rPr>
            <sz val="9"/>
            <rFont val="Tahoma"/>
            <family val="2"/>
          </rPr>
          <t xml:space="preserve"> 15061000 6</t>
        </r>
        <r>
          <rPr>
            <sz val="9"/>
            <rFont val="宋体"/>
            <family val="3"/>
            <charset val="134"/>
          </rPr>
          <t>％</t>
        </r>
      </text>
    </comment>
    <comment ref="V100" authorId="1" shapeId="0" xr:uid="{00000000-0006-0000-0000-000011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t>
        </r>
        <r>
          <rPr>
            <sz val="9"/>
            <rFont val="宋体"/>
            <family val="3"/>
            <charset val="134"/>
          </rPr>
          <t>％</t>
        </r>
      </text>
    </comment>
    <comment ref="L119" authorId="0" shapeId="0" xr:uid="{00000000-0006-0000-0000-000012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22315
</t>
        </r>
      </text>
    </comment>
    <comment ref="O119" authorId="0" shapeId="0" xr:uid="{00000000-0006-0000-0000-000013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22315
</t>
        </r>
      </text>
    </comment>
    <comment ref="Y119" authorId="0" shapeId="0" xr:uid="{00000000-0006-0000-0000-000014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19136
</t>
        </r>
      </text>
    </comment>
    <comment ref="S221" authorId="2" shapeId="0" xr:uid="{00000000-0006-0000-0000-000015000000}">
      <text>
        <r>
          <rPr>
            <b/>
            <sz val="9"/>
            <rFont val="宋体"/>
            <family val="3"/>
            <charset val="134"/>
          </rPr>
          <t>王桂林</t>
        </r>
        <r>
          <rPr>
            <b/>
            <sz val="9"/>
            <rFont val="Tahoma"/>
            <family val="2"/>
          </rPr>
          <t>:</t>
        </r>
        <r>
          <rPr>
            <sz val="9"/>
            <rFont val="Tahoma"/>
            <family val="2"/>
          </rPr>
          <t xml:space="preserve">
2018.11.1</t>
        </r>
        <r>
          <rPr>
            <sz val="9"/>
            <rFont val="宋体"/>
            <family val="3"/>
            <charset val="134"/>
          </rPr>
          <t xml:space="preserve">开始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杨静</author>
    <author>赵冲</author>
    <author>王桂林</author>
  </authors>
  <commentList>
    <comment ref="N4" authorId="0" shapeId="0" xr:uid="{00000000-0006-0000-0100-000001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22315
</t>
        </r>
      </text>
    </comment>
    <comment ref="R4" authorId="0" shapeId="0" xr:uid="{00000000-0006-0000-0100-000002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22315
</t>
        </r>
      </text>
    </comment>
    <comment ref="AE4" authorId="0" shapeId="0" xr:uid="{00000000-0006-0000-0100-000003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 xml:space="preserve">19136
</t>
        </r>
      </text>
    </comment>
    <comment ref="O98" authorId="0" shapeId="0" xr:uid="{00000000-0006-0000-0100-000004000000}">
      <text>
        <r>
          <rPr>
            <b/>
            <sz val="9"/>
            <rFont val="宋体"/>
            <family val="3"/>
            <charset val="134"/>
          </rPr>
          <t>杨静</t>
        </r>
        <r>
          <rPr>
            <b/>
            <sz val="9"/>
            <rFont val="Tahoma"/>
            <family val="2"/>
          </rPr>
          <t>:</t>
        </r>
        <r>
          <rPr>
            <sz val="9"/>
            <rFont val="Tahoma"/>
            <family val="2"/>
          </rPr>
          <t xml:space="preserve">
</t>
        </r>
        <r>
          <rPr>
            <sz val="9"/>
            <rFont val="宋体"/>
            <family val="3"/>
            <charset val="134"/>
          </rPr>
          <t>原有项目金额</t>
        </r>
        <r>
          <rPr>
            <sz val="9"/>
            <rFont val="Tahoma"/>
            <family val="2"/>
          </rPr>
          <t xml:space="preserve">4670242
</t>
        </r>
        <r>
          <rPr>
            <sz val="9"/>
            <rFont val="宋体"/>
            <family val="3"/>
            <charset val="134"/>
          </rPr>
          <t>委托书</t>
        </r>
        <r>
          <rPr>
            <sz val="9"/>
            <rFont val="Tahoma"/>
            <family val="2"/>
          </rPr>
          <t xml:space="preserve">5213242
</t>
        </r>
      </text>
    </comment>
    <comment ref="AH139" authorId="0" shapeId="0" xr:uid="{00000000-0006-0000-0100-000005000000}">
      <text>
        <r>
          <rPr>
            <b/>
            <sz val="9"/>
            <rFont val="宋体"/>
            <family val="3"/>
            <charset val="134"/>
          </rPr>
          <t>杨静</t>
        </r>
        <r>
          <rPr>
            <b/>
            <sz val="9"/>
            <rFont val="Tahoma"/>
            <family val="2"/>
          </rPr>
          <t>:</t>
        </r>
        <r>
          <rPr>
            <sz val="9"/>
            <rFont val="Tahoma"/>
            <family val="2"/>
          </rPr>
          <t xml:space="preserve">
11388400(6%) 1100000(6%)</t>
        </r>
      </text>
    </comment>
    <comment ref="AH141" authorId="0" shapeId="0" xr:uid="{00000000-0006-0000-0100-000006000000}">
      <text>
        <r>
          <rPr>
            <b/>
            <sz val="9"/>
            <rFont val="宋体"/>
            <family val="3"/>
            <charset val="134"/>
          </rPr>
          <t>杨静</t>
        </r>
        <r>
          <rPr>
            <b/>
            <sz val="9"/>
            <rFont val="Tahoma"/>
            <family val="2"/>
          </rPr>
          <t>:</t>
        </r>
        <r>
          <rPr>
            <sz val="9"/>
            <rFont val="Tahoma"/>
            <family val="2"/>
          </rPr>
          <t xml:space="preserve">
48000</t>
        </r>
        <r>
          <rPr>
            <sz val="9"/>
            <rFont val="宋体"/>
            <family val="3"/>
            <charset val="134"/>
          </rPr>
          <t>（</t>
        </r>
        <r>
          <rPr>
            <sz val="9"/>
            <rFont val="Tahoma"/>
            <family val="2"/>
          </rPr>
          <t>6</t>
        </r>
        <r>
          <rPr>
            <sz val="9"/>
            <rFont val="宋体"/>
            <family val="3"/>
            <charset val="134"/>
          </rPr>
          <t xml:space="preserve">％）
</t>
        </r>
        <r>
          <rPr>
            <sz val="9"/>
            <rFont val="Tahoma"/>
            <family val="2"/>
          </rPr>
          <t xml:space="preserve"> 423744</t>
        </r>
        <r>
          <rPr>
            <sz val="9"/>
            <rFont val="宋体"/>
            <family val="3"/>
            <charset val="134"/>
          </rPr>
          <t>（</t>
        </r>
        <r>
          <rPr>
            <sz val="9"/>
            <rFont val="Tahoma"/>
            <family val="2"/>
          </rPr>
          <t>6</t>
        </r>
        <r>
          <rPr>
            <sz val="9"/>
            <rFont val="宋体"/>
            <family val="3"/>
            <charset val="134"/>
          </rPr>
          <t>％）</t>
        </r>
      </text>
    </comment>
    <comment ref="AB147" authorId="0" shapeId="0" xr:uid="{00000000-0006-0000-0100-000007000000}">
      <text>
        <r>
          <rPr>
            <b/>
            <sz val="9"/>
            <rFont val="宋体"/>
            <family val="3"/>
            <charset val="134"/>
          </rPr>
          <t>杨静</t>
        </r>
        <r>
          <rPr>
            <b/>
            <sz val="9"/>
            <rFont val="Tahoma"/>
            <family val="2"/>
          </rPr>
          <t>:</t>
        </r>
        <r>
          <rPr>
            <sz val="9"/>
            <rFont val="Tahoma"/>
            <family val="2"/>
          </rPr>
          <t xml:space="preserve">
</t>
        </r>
        <r>
          <rPr>
            <sz val="9"/>
            <rFont val="宋体"/>
            <family val="3"/>
            <charset val="134"/>
          </rPr>
          <t>第一次委托数量为</t>
        </r>
        <r>
          <rPr>
            <sz val="9"/>
            <rFont val="Tahoma"/>
            <family val="2"/>
          </rPr>
          <t xml:space="preserve">65940
</t>
        </r>
      </text>
    </comment>
    <comment ref="AE147" authorId="0" shapeId="0" xr:uid="{00000000-0006-0000-0100-000008000000}">
      <text>
        <r>
          <rPr>
            <b/>
            <sz val="9"/>
            <rFont val="宋体"/>
            <family val="3"/>
            <charset val="134"/>
          </rPr>
          <t>杨静</t>
        </r>
        <r>
          <rPr>
            <b/>
            <sz val="9"/>
            <rFont val="Tahoma"/>
            <family val="2"/>
          </rPr>
          <t>:</t>
        </r>
        <r>
          <rPr>
            <sz val="9"/>
            <rFont val="Tahoma"/>
            <family val="2"/>
          </rPr>
          <t xml:space="preserve">
</t>
        </r>
        <r>
          <rPr>
            <sz val="9"/>
            <rFont val="宋体"/>
            <family val="3"/>
            <charset val="134"/>
          </rPr>
          <t>第一次委托数量为</t>
        </r>
        <r>
          <rPr>
            <sz val="9"/>
            <rFont val="Tahoma"/>
            <family val="2"/>
          </rPr>
          <t>188580</t>
        </r>
      </text>
    </comment>
    <comment ref="AE226" authorId="1" shapeId="0" xr:uid="{00000000-0006-0000-0100-000009000000}">
      <text>
        <r>
          <rPr>
            <b/>
            <sz val="9"/>
            <rFont val="宋体"/>
            <family val="3"/>
            <charset val="134"/>
          </rPr>
          <t>赵冲</t>
        </r>
        <r>
          <rPr>
            <b/>
            <sz val="9"/>
            <rFont val="Tahoma"/>
            <family val="2"/>
          </rPr>
          <t>:</t>
        </r>
        <r>
          <rPr>
            <sz val="9"/>
            <rFont val="Tahoma"/>
            <family val="2"/>
          </rPr>
          <t xml:space="preserve">
</t>
        </r>
        <r>
          <rPr>
            <sz val="9"/>
            <rFont val="宋体"/>
            <family val="3"/>
            <charset val="134"/>
          </rPr>
          <t>原数额</t>
        </r>
        <r>
          <rPr>
            <sz val="9"/>
            <rFont val="Tahoma"/>
            <family val="2"/>
          </rPr>
          <t xml:space="preserve">118150
</t>
        </r>
      </text>
    </comment>
    <comment ref="M234" authorId="1" shapeId="0" xr:uid="{00000000-0006-0000-0100-00000A000000}">
      <text>
        <r>
          <rPr>
            <b/>
            <sz val="9"/>
            <rFont val="宋体"/>
            <family val="3"/>
            <charset val="134"/>
          </rPr>
          <t>赵冲</t>
        </r>
        <r>
          <rPr>
            <b/>
            <sz val="9"/>
            <rFont val="Tahoma"/>
            <family val="2"/>
          </rPr>
          <t>:</t>
        </r>
        <r>
          <rPr>
            <sz val="9"/>
            <rFont val="Tahoma"/>
            <family val="2"/>
          </rPr>
          <t xml:space="preserve">
</t>
        </r>
        <r>
          <rPr>
            <sz val="9"/>
            <rFont val="宋体"/>
            <family val="3"/>
            <charset val="134"/>
          </rPr>
          <t>委托中</t>
        </r>
        <r>
          <rPr>
            <sz val="9"/>
            <rFont val="Tahoma"/>
            <family val="2"/>
          </rPr>
          <t>CT</t>
        </r>
        <r>
          <rPr>
            <sz val="9"/>
            <rFont val="宋体"/>
            <family val="3"/>
            <charset val="134"/>
          </rPr>
          <t>合同包含在</t>
        </r>
        <r>
          <rPr>
            <sz val="9"/>
            <rFont val="Tahoma"/>
            <family val="2"/>
          </rPr>
          <t>IT</t>
        </r>
        <r>
          <rPr>
            <sz val="9"/>
            <rFont val="宋体"/>
            <family val="3"/>
            <charset val="134"/>
          </rPr>
          <t xml:space="preserve">内
</t>
        </r>
      </text>
    </comment>
    <comment ref="O234" authorId="1" shapeId="0" xr:uid="{00000000-0006-0000-0100-00000B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10849000 17</t>
        </r>
        <r>
          <rPr>
            <sz val="9"/>
            <rFont val="宋体"/>
            <family val="3"/>
            <charset val="134"/>
          </rPr>
          <t>％</t>
        </r>
        <r>
          <rPr>
            <sz val="9"/>
            <rFont val="Tahoma"/>
            <family val="2"/>
          </rPr>
          <t xml:space="preserve"> 15061000 6</t>
        </r>
        <r>
          <rPr>
            <sz val="9"/>
            <rFont val="宋体"/>
            <family val="3"/>
            <charset val="134"/>
          </rPr>
          <t>％</t>
        </r>
      </text>
    </comment>
    <comment ref="U234" authorId="1" shapeId="0" xr:uid="{00000000-0006-0000-0100-00000C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10849000 17</t>
        </r>
        <r>
          <rPr>
            <sz val="9"/>
            <rFont val="宋体"/>
            <family val="3"/>
            <charset val="134"/>
          </rPr>
          <t>％</t>
        </r>
        <r>
          <rPr>
            <sz val="9"/>
            <rFont val="Tahoma"/>
            <family val="2"/>
          </rPr>
          <t xml:space="preserve"> 15061000 6</t>
        </r>
        <r>
          <rPr>
            <sz val="9"/>
            <rFont val="宋体"/>
            <family val="3"/>
            <charset val="134"/>
          </rPr>
          <t>％</t>
        </r>
      </text>
    </comment>
    <comment ref="AA234" authorId="1" shapeId="0" xr:uid="{00000000-0006-0000-0100-00000D000000}">
      <text>
        <r>
          <rPr>
            <b/>
            <sz val="9"/>
            <rFont val="宋体"/>
            <family val="3"/>
            <charset val="134"/>
          </rPr>
          <t>赵冲</t>
        </r>
        <r>
          <rPr>
            <b/>
            <sz val="9"/>
            <rFont val="Tahoma"/>
            <family val="2"/>
          </rPr>
          <t>:</t>
        </r>
        <r>
          <rPr>
            <sz val="9"/>
            <rFont val="Tahoma"/>
            <family val="2"/>
          </rPr>
          <t xml:space="preserve">
</t>
        </r>
        <r>
          <rPr>
            <sz val="9"/>
            <rFont val="宋体"/>
            <family val="3"/>
            <charset val="134"/>
          </rPr>
          <t>原委托</t>
        </r>
        <r>
          <rPr>
            <sz val="9"/>
            <rFont val="Tahoma"/>
            <family val="2"/>
          </rPr>
          <t>10</t>
        </r>
        <r>
          <rPr>
            <sz val="9"/>
            <rFont val="宋体"/>
            <family val="3"/>
            <charset val="134"/>
          </rPr>
          <t>％</t>
        </r>
      </text>
    </comment>
    <comment ref="W243" authorId="0" shapeId="0" xr:uid="{00000000-0006-0000-0100-00000E000000}">
      <text>
        <r>
          <rPr>
            <b/>
            <sz val="9"/>
            <rFont val="宋体"/>
            <family val="3"/>
            <charset val="134"/>
          </rPr>
          <t>杨静</t>
        </r>
        <r>
          <rPr>
            <b/>
            <sz val="9"/>
            <rFont val="Tahoma"/>
            <family val="2"/>
          </rPr>
          <t>:</t>
        </r>
        <r>
          <rPr>
            <sz val="9"/>
            <rFont val="Tahoma"/>
            <family val="2"/>
          </rPr>
          <t xml:space="preserve">
</t>
        </r>
        <r>
          <rPr>
            <sz val="9"/>
            <rFont val="宋体"/>
            <family val="3"/>
            <charset val="134"/>
          </rPr>
          <t>超租时间</t>
        </r>
        <r>
          <rPr>
            <sz val="9"/>
            <rFont val="Tahoma"/>
            <family val="2"/>
          </rPr>
          <t xml:space="preserve">2017.11
</t>
        </r>
      </text>
    </comment>
    <comment ref="N244" authorId="0" shapeId="0" xr:uid="{00000000-0006-0000-0100-00000F000000}">
      <text>
        <r>
          <rPr>
            <b/>
            <sz val="9"/>
            <rFont val="宋体"/>
            <family val="3"/>
            <charset val="134"/>
          </rPr>
          <t>杨静</t>
        </r>
        <r>
          <rPr>
            <b/>
            <sz val="9"/>
            <rFont val="Tahoma"/>
            <family val="2"/>
          </rPr>
          <t>:</t>
        </r>
        <r>
          <rPr>
            <sz val="9"/>
            <rFont val="Tahoma"/>
            <family val="2"/>
          </rPr>
          <t xml:space="preserve">
</t>
        </r>
      </text>
    </comment>
    <comment ref="R244" authorId="0" shapeId="0" xr:uid="{00000000-0006-0000-0100-000010000000}">
      <text>
        <r>
          <rPr>
            <b/>
            <sz val="9"/>
            <rFont val="宋体"/>
            <family val="3"/>
            <charset val="134"/>
          </rPr>
          <t>杨静</t>
        </r>
        <r>
          <rPr>
            <b/>
            <sz val="9"/>
            <rFont val="Tahoma"/>
            <family val="2"/>
          </rPr>
          <t>:</t>
        </r>
        <r>
          <rPr>
            <sz val="9"/>
            <rFont val="Tahoma"/>
            <family val="2"/>
          </rPr>
          <t xml:space="preserve">
</t>
        </r>
      </text>
    </comment>
    <comment ref="W244" authorId="0" shapeId="0" xr:uid="{00000000-0006-0000-0100-000011000000}">
      <text>
        <r>
          <rPr>
            <b/>
            <sz val="9"/>
            <rFont val="宋体"/>
            <family val="3"/>
            <charset val="134"/>
          </rPr>
          <t>杨静</t>
        </r>
        <r>
          <rPr>
            <b/>
            <sz val="9"/>
            <rFont val="Tahoma"/>
            <family val="2"/>
          </rPr>
          <t>:</t>
        </r>
        <r>
          <rPr>
            <sz val="9"/>
            <rFont val="Tahoma"/>
            <family val="2"/>
          </rPr>
          <t xml:space="preserve">
</t>
        </r>
        <r>
          <rPr>
            <sz val="9"/>
            <rFont val="宋体"/>
            <family val="3"/>
            <charset val="134"/>
          </rPr>
          <t>原委托没有</t>
        </r>
        <r>
          <rPr>
            <sz val="9"/>
            <rFont val="Tahoma"/>
            <family val="2"/>
          </rPr>
          <t>CT</t>
        </r>
        <r>
          <rPr>
            <sz val="9"/>
            <rFont val="宋体"/>
            <family val="3"/>
            <charset val="134"/>
          </rPr>
          <t xml:space="preserve">部分
</t>
        </r>
      </text>
    </comment>
    <comment ref="AB244" authorId="0" shapeId="0" xr:uid="{00000000-0006-0000-0100-000012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2707976</t>
        </r>
      </text>
    </comment>
    <comment ref="AE244" authorId="0" shapeId="0" xr:uid="{00000000-0006-0000-0100-000013000000}">
      <text>
        <r>
          <rPr>
            <b/>
            <sz val="9"/>
            <rFont val="宋体"/>
            <family val="3"/>
            <charset val="134"/>
          </rPr>
          <t>杨静</t>
        </r>
        <r>
          <rPr>
            <b/>
            <sz val="9"/>
            <rFont val="Tahoma"/>
            <family val="2"/>
          </rPr>
          <t>:</t>
        </r>
        <r>
          <rPr>
            <sz val="9"/>
            <rFont val="Tahoma"/>
            <family val="2"/>
          </rPr>
          <t xml:space="preserve">
</t>
        </r>
        <r>
          <rPr>
            <sz val="9"/>
            <rFont val="宋体"/>
            <family val="3"/>
            <charset val="134"/>
          </rPr>
          <t>原</t>
        </r>
        <r>
          <rPr>
            <sz val="9"/>
            <rFont val="Tahoma"/>
            <family val="2"/>
          </rPr>
          <t>2809561</t>
        </r>
      </text>
    </comment>
    <comment ref="AH244" authorId="0" shapeId="0" xr:uid="{00000000-0006-0000-0100-000014000000}">
      <text>
        <r>
          <rPr>
            <b/>
            <sz val="9"/>
            <rFont val="宋体"/>
            <family val="3"/>
            <charset val="134"/>
          </rPr>
          <t>杨静</t>
        </r>
        <r>
          <rPr>
            <b/>
            <sz val="9"/>
            <rFont val="Tahoma"/>
            <family val="2"/>
          </rPr>
          <t>:</t>
        </r>
        <r>
          <rPr>
            <sz val="9"/>
            <rFont val="Tahoma"/>
            <family val="2"/>
          </rPr>
          <t xml:space="preserve">
</t>
        </r>
        <r>
          <rPr>
            <sz val="9"/>
            <rFont val="宋体"/>
            <family val="3"/>
            <charset val="134"/>
          </rPr>
          <t xml:space="preserve">原没有
</t>
        </r>
      </text>
    </comment>
    <comment ref="W366" authorId="2" shapeId="0" xr:uid="{00000000-0006-0000-0100-000015000000}">
      <text>
        <r>
          <rPr>
            <b/>
            <sz val="9"/>
            <rFont val="宋体"/>
            <family val="3"/>
            <charset val="134"/>
          </rPr>
          <t>王桂林</t>
        </r>
        <r>
          <rPr>
            <b/>
            <sz val="9"/>
            <rFont val="Tahoma"/>
            <family val="2"/>
          </rPr>
          <t>:</t>
        </r>
        <r>
          <rPr>
            <sz val="9"/>
            <rFont val="Tahoma"/>
            <family val="2"/>
          </rPr>
          <t xml:space="preserve">
2018.11.1</t>
        </r>
        <r>
          <rPr>
            <sz val="9"/>
            <rFont val="宋体"/>
            <family val="3"/>
            <charset val="134"/>
          </rPr>
          <t xml:space="preserve">开始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cher</author>
  </authors>
  <commentList>
    <comment ref="D29" authorId="0" shapeId="0" xr:uid="{00000000-0006-0000-0300-000001000000}">
      <text>
        <r>
          <rPr>
            <b/>
            <sz val="9"/>
            <rFont val="宋体"/>
            <family val="3"/>
            <charset val="134"/>
          </rPr>
          <t>3年，依据营销单位反馈，每年10月份应出账1600，其他月份出账1400</t>
        </r>
      </text>
    </comment>
  </commentList>
</comments>
</file>

<file path=xl/sharedStrings.xml><?xml version="1.0" encoding="utf-8"?>
<sst xmlns="http://schemas.openxmlformats.org/spreadsheetml/2006/main" count="15600" uniqueCount="3132">
  <si>
    <t>基础信息</t>
  </si>
  <si>
    <t>收入合同信息</t>
  </si>
  <si>
    <t>预计成本信息</t>
  </si>
  <si>
    <t>过程文档统计</t>
  </si>
  <si>
    <t xml:space="preserve">    验收报告情况</t>
  </si>
  <si>
    <t xml:space="preserve">             项目质保/维保期</t>
  </si>
  <si>
    <t xml:space="preserve"> 采购委托下达时间</t>
  </si>
  <si>
    <t>成本合同签订时间</t>
  </si>
  <si>
    <t>系统合同号</t>
  </si>
  <si>
    <t>项目编号</t>
  </si>
  <si>
    <t>ERP编号</t>
  </si>
  <si>
    <r>
      <rPr>
        <b/>
        <sz val="9"/>
        <rFont val="宋体"/>
        <family val="3"/>
        <charset val="134"/>
      </rPr>
      <t>项目名称</t>
    </r>
  </si>
  <si>
    <t>所属分公司</t>
  </si>
  <si>
    <r>
      <rPr>
        <b/>
        <sz val="9"/>
        <rFont val="宋体"/>
        <family val="3"/>
        <charset val="134"/>
      </rPr>
      <t>业务类型</t>
    </r>
  </si>
  <si>
    <r>
      <rPr>
        <b/>
        <sz val="9"/>
        <rFont val="宋体"/>
        <family val="3"/>
        <charset val="134"/>
      </rPr>
      <t>客户经理</t>
    </r>
  </si>
  <si>
    <t>技术经理</t>
  </si>
  <si>
    <t>下建维部委托时间</t>
  </si>
  <si>
    <t>备注</t>
  </si>
  <si>
    <t>收入合同总额</t>
  </si>
  <si>
    <t>收入合同总额(IT)</t>
  </si>
  <si>
    <t>收入合同（17％）</t>
  </si>
  <si>
    <t>收入合同（16％）</t>
  </si>
  <si>
    <t>收入合同（11％）</t>
  </si>
  <si>
    <t>收入合同（10％）</t>
  </si>
  <si>
    <t>收入合同（6％）</t>
  </si>
  <si>
    <t>收入合同（3％）</t>
  </si>
  <si>
    <t>收入合同总额(CT)</t>
  </si>
  <si>
    <t>分税率合同额</t>
  </si>
  <si>
    <r>
      <rPr>
        <b/>
        <sz val="9"/>
        <rFont val="宋体"/>
        <family val="3"/>
        <charset val="134"/>
      </rPr>
      <t>税率</t>
    </r>
  </si>
  <si>
    <t>委托书标注利润率</t>
  </si>
  <si>
    <t>预计设备成本（17％）</t>
  </si>
  <si>
    <t>预计设备成本（16％）</t>
  </si>
  <si>
    <t>预计施工成本（11％）</t>
  </si>
  <si>
    <t>预计施工成本（10％）</t>
  </si>
  <si>
    <t>预计服务成本（6％）</t>
  </si>
  <si>
    <t>预计服务成本（10％CT）</t>
  </si>
  <si>
    <t>预计服务成本（6％CT）</t>
  </si>
  <si>
    <t>预计施工成本（3％）</t>
  </si>
  <si>
    <t>预计施工合计</t>
  </si>
  <si>
    <r>
      <rPr>
        <b/>
        <sz val="9"/>
        <rFont val="宋体"/>
        <family val="3"/>
        <charset val="134"/>
      </rPr>
      <t>项目经理</t>
    </r>
  </si>
  <si>
    <t>开工日期</t>
  </si>
  <si>
    <t>是否有开工报告</t>
  </si>
  <si>
    <t>合同要求完工时间（已验收项目未填写）</t>
  </si>
  <si>
    <t>预计验收时间</t>
  </si>
  <si>
    <t>是否有到货确认</t>
  </si>
  <si>
    <t>其他过程文档</t>
  </si>
  <si>
    <t>是否有竣工文档</t>
  </si>
  <si>
    <t>有否有验收报告</t>
  </si>
  <si>
    <t>验收报告备注</t>
  </si>
  <si>
    <r>
      <rPr>
        <b/>
        <sz val="9"/>
        <rFont val="宋体"/>
        <family val="3"/>
        <charset val="134"/>
      </rPr>
      <t>验收时间</t>
    </r>
  </si>
  <si>
    <t>提供验收报告时间</t>
  </si>
  <si>
    <t>质保/维保期</t>
  </si>
  <si>
    <t>项目终止时间</t>
  </si>
  <si>
    <t>项目运行模式</t>
  </si>
  <si>
    <t>当前项目情况</t>
  </si>
  <si>
    <t>是否下采购委托</t>
  </si>
  <si>
    <t>采购委托下达时间</t>
  </si>
  <si>
    <t>F20160212</t>
  </si>
  <si>
    <t>192161HBWI0211</t>
  </si>
  <si>
    <t>2016年河北区视频监控系统建设工程项目</t>
  </si>
  <si>
    <t>河北</t>
  </si>
  <si>
    <t>系统集成</t>
  </si>
  <si>
    <t>刘嘉</t>
  </si>
  <si>
    <t>刘贺</t>
  </si>
  <si>
    <t>原重点项目</t>
  </si>
  <si>
    <t>原有重点项目，已有实际成本发生</t>
  </si>
  <si>
    <t>已验收</t>
  </si>
  <si>
    <t>图片资料</t>
  </si>
  <si>
    <t>公安组织的外部验收情况</t>
  </si>
  <si>
    <t>5年</t>
  </si>
  <si>
    <t>BOT项目，维保中</t>
  </si>
  <si>
    <t>是</t>
  </si>
  <si>
    <t>F20170078</t>
  </si>
  <si>
    <t>192171TGWI0027</t>
  </si>
  <si>
    <t>天津市滨海新区公安局公安交警电子警察监控系统项目（第三包）</t>
  </si>
  <si>
    <t>塘沽</t>
  </si>
  <si>
    <t>韩旭</t>
  </si>
  <si>
    <t>王桂林</t>
  </si>
  <si>
    <t>1年</t>
  </si>
  <si>
    <t>BT项目，维保中</t>
  </si>
  <si>
    <t>F20170087</t>
  </si>
  <si>
    <t>192171JCWI0030</t>
  </si>
  <si>
    <t>天津市全区域教育招生考试院教育考试高清视频监控及视频会议系统项目</t>
  </si>
  <si>
    <t>大客户</t>
  </si>
  <si>
    <t>赵立民</t>
  </si>
  <si>
    <t>李庆东</t>
  </si>
  <si>
    <t>有</t>
  </si>
  <si>
    <t>3年</t>
  </si>
  <si>
    <t>质保中</t>
  </si>
  <si>
    <t>F20160226</t>
  </si>
  <si>
    <t>192161HDWI0212</t>
  </si>
  <si>
    <r>
      <rPr>
        <sz val="9"/>
        <rFont val="宋体"/>
        <family val="3"/>
        <charset val="134"/>
      </rPr>
      <t>天津市公安局图像侦查和技防监管总队（第十一处）</t>
    </r>
    <r>
      <rPr>
        <sz val="9"/>
        <rFont val="Calibri"/>
        <family val="2"/>
      </rPr>
      <t>2016</t>
    </r>
    <r>
      <rPr>
        <sz val="9"/>
        <rFont val="宋体"/>
        <family val="3"/>
        <charset val="134"/>
      </rPr>
      <t>年河东区视频监控系统建设一期工程项目</t>
    </r>
  </si>
  <si>
    <t>河东</t>
  </si>
  <si>
    <t>李春彦</t>
  </si>
  <si>
    <t>F20160187</t>
  </si>
  <si>
    <t>192161XQWI0221</t>
  </si>
  <si>
    <r>
      <rPr>
        <sz val="9"/>
        <rFont val="宋体"/>
        <family val="3"/>
        <charset val="134"/>
      </rPr>
      <t>天津市公安局西青分局西青区高清视频监控网建设项目（第一包）</t>
    </r>
  </si>
  <si>
    <r>
      <rPr>
        <sz val="9"/>
        <rFont val="宋体"/>
        <family val="3"/>
        <charset val="134"/>
      </rPr>
      <t>西青</t>
    </r>
  </si>
  <si>
    <r>
      <rPr>
        <sz val="9"/>
        <rFont val="宋体"/>
        <family val="3"/>
        <charset val="134"/>
      </rPr>
      <t>王桂林</t>
    </r>
  </si>
  <si>
    <r>
      <rPr>
        <sz val="9"/>
        <color theme="1"/>
        <rFont val="宋体"/>
        <family val="3"/>
        <charset val="134"/>
      </rPr>
      <t>＝</t>
    </r>
    <r>
      <rPr>
        <sz val="9"/>
        <color theme="1"/>
        <rFont val="Calibri"/>
        <family val="2"/>
      </rPr>
      <t>9955493.92</t>
    </r>
    <r>
      <rPr>
        <sz val="9"/>
        <color theme="1"/>
        <rFont val="宋体"/>
        <family val="3"/>
        <charset val="134"/>
      </rPr>
      <t>＋</t>
    </r>
    <r>
      <rPr>
        <sz val="9"/>
        <color theme="1"/>
        <rFont val="Calibri"/>
        <family val="2"/>
      </rPr>
      <t>2308800</t>
    </r>
  </si>
  <si>
    <t>F20160230</t>
  </si>
  <si>
    <t>192161XQWI0220</t>
  </si>
  <si>
    <t>天津市公安局西青分局西青区高清视频监控网建设项目（第八包）</t>
  </si>
  <si>
    <t>F20160156</t>
  </si>
  <si>
    <t>192161HPWI0206</t>
  </si>
  <si>
    <t>天津智慧和平网络工程有限公司和平区社会治安防控体系视频监控网高清视频监控系统工程项目</t>
  </si>
  <si>
    <t>和平</t>
  </si>
  <si>
    <t>洪涛</t>
  </si>
  <si>
    <t>李翔</t>
  </si>
  <si>
    <t>JC21-1201-2016-000244</t>
  </si>
  <si>
    <t>F20170020</t>
  </si>
  <si>
    <t>192171HGWI0011</t>
  </si>
  <si>
    <t>天津市滨海新区2016年社会治安防控体系视频监控网高清视频监控系统及电子卡口系统建设项目</t>
  </si>
  <si>
    <t>汉沽</t>
  </si>
  <si>
    <t>吴俊杰</t>
  </si>
  <si>
    <t>F20170094</t>
  </si>
  <si>
    <t>19217000WI0031</t>
  </si>
  <si>
    <t>中国人民共和国第十三届运动会网络通信集成项目</t>
  </si>
  <si>
    <t>洪涛
李璐璐</t>
  </si>
  <si>
    <t>原重点项目，有纸质委托</t>
  </si>
  <si>
    <t>刘文顺
刘忠欣</t>
  </si>
  <si>
    <t>2018/3/30之前2017/12月提供</t>
  </si>
  <si>
    <t>已出保</t>
  </si>
  <si>
    <t>F20170063</t>
  </si>
  <si>
    <t>192171HXWI0024</t>
  </si>
  <si>
    <t>天津健康产业园体育基地新建生活区项目一期施工总承包</t>
  </si>
  <si>
    <t xml:space="preserve">河西 </t>
  </si>
  <si>
    <t>芮小静</t>
  </si>
  <si>
    <t>刘宇辰</t>
  </si>
  <si>
    <t>2017项目，未有纸质委托</t>
  </si>
  <si>
    <t>5656755.05</t>
  </si>
  <si>
    <t>没有纸质委托，查不到预计成本（7月以前项目）</t>
  </si>
  <si>
    <t>刘文顺</t>
  </si>
  <si>
    <t>项目已完工</t>
  </si>
  <si>
    <t>已结算未出验收报告</t>
  </si>
  <si>
    <t>JC21-1201-2017-000248</t>
  </si>
  <si>
    <t>F20170010</t>
  </si>
  <si>
    <t>192161JNWI0219</t>
  </si>
  <si>
    <r>
      <rPr>
        <sz val="9"/>
        <rFont val="宋体"/>
        <family val="3"/>
        <charset val="134"/>
      </rPr>
      <t>天津市津南区教育局中小学幼儿园监控工程</t>
    </r>
    <r>
      <rPr>
        <sz val="9"/>
        <rFont val="Calibri"/>
        <family val="2"/>
      </rPr>
      <t>(</t>
    </r>
    <r>
      <rPr>
        <sz val="9"/>
        <rFont val="宋体"/>
        <family val="3"/>
        <charset val="134"/>
      </rPr>
      <t>三期）采购项目合同</t>
    </r>
  </si>
  <si>
    <t>津南</t>
  </si>
  <si>
    <r>
      <rPr>
        <sz val="9"/>
        <rFont val="宋体"/>
        <family val="3"/>
        <charset val="134"/>
      </rPr>
      <t>第三方销售</t>
    </r>
  </si>
  <si>
    <r>
      <rPr>
        <sz val="9"/>
        <color theme="1"/>
        <rFont val="宋体"/>
        <family val="3"/>
        <charset val="134"/>
      </rPr>
      <t>李璐璐</t>
    </r>
  </si>
  <si>
    <t>没录</t>
  </si>
  <si>
    <t>纸质委托重新下达时间为2017年6月25日</t>
  </si>
  <si>
    <t>5213242</t>
  </si>
  <si>
    <t>张华艳</t>
  </si>
  <si>
    <t>JC21-1201-2017-000017</t>
  </si>
  <si>
    <t>F20170091</t>
  </si>
  <si>
    <t>19217000WI0032</t>
  </si>
  <si>
    <r>
      <rPr>
        <sz val="9"/>
        <rFont val="宋体"/>
        <family val="3"/>
        <charset val="134"/>
      </rPr>
      <t>天津市津南区双桥安置区</t>
    </r>
    <r>
      <rPr>
        <sz val="9"/>
        <rFont val="Calibri"/>
        <family val="2"/>
      </rPr>
      <t>“</t>
    </r>
    <r>
      <rPr>
        <sz val="9"/>
        <rFont val="宋体"/>
        <family val="3"/>
        <charset val="134"/>
      </rPr>
      <t>聚和园、友和园、福和园安防系统集中维护工程</t>
    </r>
    <r>
      <rPr>
        <sz val="9"/>
        <rFont val="Calibri"/>
        <family val="2"/>
      </rPr>
      <t>”</t>
    </r>
  </si>
  <si>
    <t>李璐璐</t>
  </si>
  <si>
    <t>479462</t>
  </si>
  <si>
    <t>2018/10/</t>
  </si>
  <si>
    <t>F20170103</t>
  </si>
  <si>
    <t>19217000WI0036</t>
  </si>
  <si>
    <t>天津市永兴和谐物业管理有限公司监控和楼宇对讲改造工程</t>
  </si>
  <si>
    <t>宁河</t>
  </si>
  <si>
    <t>常广宇</t>
  </si>
  <si>
    <t>2017/07未有纸质委托 2017/8/22月下纸质委托</t>
  </si>
  <si>
    <t>F20170109</t>
  </si>
  <si>
    <t>192171TGWI0035</t>
  </si>
  <si>
    <t>天津市滨海新区公安局视频监控网云平台和监控终端项目（第一包）</t>
  </si>
  <si>
    <t>2017/07未有纸质委托</t>
  </si>
  <si>
    <r>
      <rPr>
        <sz val="9"/>
        <rFont val="Calibri"/>
        <family val="2"/>
      </rPr>
      <t>4770000.00</t>
    </r>
  </si>
  <si>
    <r>
      <rPr>
        <sz val="9"/>
        <color theme="1"/>
        <rFont val="Calibri"/>
        <family val="2"/>
      </rPr>
      <t>530000.00</t>
    </r>
  </si>
  <si>
    <t>F20170118</t>
  </si>
  <si>
    <t>19217000WI0034</t>
  </si>
  <si>
    <t>蓟县地矿局指挥中心建设项目</t>
  </si>
  <si>
    <t>蓟州</t>
  </si>
  <si>
    <r>
      <rPr>
        <sz val="9"/>
        <rFont val="Calibri"/>
        <family val="2"/>
      </rPr>
      <t>3A</t>
    </r>
    <r>
      <rPr>
        <sz val="9"/>
        <rFont val="宋体"/>
        <family val="3"/>
        <charset val="134"/>
      </rPr>
      <t>没录，没有纸质委托。查不到相关信息</t>
    </r>
  </si>
  <si>
    <t>2017/11/8第二份验收报告2017/9/11  2018/3/22提供</t>
  </si>
  <si>
    <t>F20170117</t>
  </si>
  <si>
    <t>192171DGWO0038</t>
  </si>
  <si>
    <t>大港公安分局公安网升级改造工程</t>
  </si>
  <si>
    <t>大港</t>
  </si>
  <si>
    <t>陈建春</t>
  </si>
  <si>
    <t>2017/07未有纸质委托 2017/8/18月下纸质委托</t>
  </si>
  <si>
    <t>验收报告在验收资料里，全部归档</t>
  </si>
  <si>
    <t>F20170008</t>
  </si>
  <si>
    <t>192171TGWI0001</t>
  </si>
  <si>
    <t>中国电信滨海分公司（JC）新建滨海文化商务中心外管网管道工程</t>
  </si>
  <si>
    <t>37711.00</t>
  </si>
  <si>
    <t>没有纸质委托，查不到预计成本</t>
  </si>
  <si>
    <t>F20170119</t>
  </si>
  <si>
    <t>192171TGWI0039</t>
  </si>
  <si>
    <t>天津市滨海新区塘沽紫云中学</t>
  </si>
  <si>
    <t>JC21-1201-2017-000131</t>
  </si>
  <si>
    <t>F20170121</t>
  </si>
  <si>
    <t>192171JKWI0044</t>
  </si>
  <si>
    <t>天津广播电视台（电视）2017年广播电视传输项目</t>
  </si>
  <si>
    <t>纯维项目</t>
  </si>
  <si>
    <t>纸质委托信息不详，PMISS没下，纸质委托退回2017.7.28</t>
  </si>
  <si>
    <t>纯维项目，已出保</t>
  </si>
  <si>
    <t>F20170126</t>
  </si>
  <si>
    <t>192171IGWM0043</t>
  </si>
  <si>
    <t>天津市滨海新区中心商务区管理委员会呼叫中心维护座席服务项目</t>
  </si>
  <si>
    <t>服务</t>
  </si>
  <si>
    <t>服务项目</t>
  </si>
  <si>
    <t>F20170124</t>
  </si>
  <si>
    <t>192171IGWM0041</t>
  </si>
  <si>
    <t>天津顶育咨询有限公司视频联网项目</t>
  </si>
  <si>
    <t>8.18日没有成本清单</t>
  </si>
  <si>
    <t>JC12-1201-2017-00117</t>
  </si>
  <si>
    <t>F20170132</t>
  </si>
  <si>
    <t>192171HXWI0040</t>
  </si>
  <si>
    <t>友谊路16号弱电及智能化工程</t>
  </si>
  <si>
    <t>JC21-1201-2017-000135</t>
  </si>
  <si>
    <t>F20170153</t>
  </si>
  <si>
    <t>192171TGWO0045</t>
  </si>
  <si>
    <t>滨海新区环境监测与预警体系项目综合信息网络系统机房项目</t>
  </si>
  <si>
    <t>9.12日没有成本清单.9.19有成本清单，但财务要求商务合同需重新签订</t>
  </si>
  <si>
    <t>6800000</t>
  </si>
  <si>
    <t>无法预计</t>
  </si>
  <si>
    <t>施工中</t>
  </si>
  <si>
    <t>推荐供方有问题</t>
  </si>
  <si>
    <t xml:space="preserve"> </t>
  </si>
  <si>
    <t>F20170154</t>
  </si>
  <si>
    <t>19217000WI0046</t>
  </si>
  <si>
    <t>新华社全运会网络集成项目</t>
  </si>
  <si>
    <t>无质保</t>
  </si>
  <si>
    <t>JC21-1201-2016-000263</t>
  </si>
  <si>
    <t>F20170009</t>
  </si>
  <si>
    <t>192171HQWI0002</t>
  </si>
  <si>
    <t>关于《天津市都行商场监控系统改造项目合同》补充协议</t>
  </si>
  <si>
    <t>红桥</t>
  </si>
  <si>
    <t>924847</t>
  </si>
  <si>
    <t>关于《天津市都行商场监控系统改造项目合同》补充协议－增加七个监控点</t>
  </si>
  <si>
    <t>JC21-1201-2017-000152</t>
  </si>
  <si>
    <t>F20170173</t>
  </si>
  <si>
    <t>192171HXWI0053</t>
  </si>
  <si>
    <t>河西区民政局婚姻登记服务中心网络改造项目</t>
  </si>
  <si>
    <r>
      <rPr>
        <sz val="9"/>
        <color theme="1"/>
        <rFont val="Calibri"/>
        <family val="2"/>
      </rPr>
      <t>117117</t>
    </r>
  </si>
  <si>
    <r>
      <rPr>
        <sz val="9"/>
        <color theme="1"/>
        <rFont val="Calibri"/>
        <family val="2"/>
      </rPr>
      <t>63300</t>
    </r>
  </si>
  <si>
    <t>JC21-1201-2017-000151</t>
  </si>
  <si>
    <t>F20170174</t>
  </si>
  <si>
    <t>192171HXWI0054</t>
  </si>
  <si>
    <t>河西区民政局婚姻登记服务中心二次叫号及扩声系统项目</t>
  </si>
  <si>
    <r>
      <rPr>
        <sz val="9"/>
        <color theme="1"/>
        <rFont val="Calibri"/>
        <family val="2"/>
      </rPr>
      <t>100088</t>
    </r>
  </si>
  <si>
    <r>
      <rPr>
        <sz val="9"/>
        <color theme="1"/>
        <rFont val="Calibri"/>
        <family val="2"/>
      </rPr>
      <t>26500</t>
    </r>
  </si>
  <si>
    <t>JC21-1201-2017-000157</t>
  </si>
  <si>
    <t>F20170169</t>
  </si>
  <si>
    <t>192171HXWI0052</t>
  </si>
  <si>
    <t>世界智能大会N7/N6区域综合布线系统集成项目</t>
  </si>
  <si>
    <r>
      <rPr>
        <sz val="9"/>
        <color theme="1"/>
        <rFont val="Calibri"/>
        <family val="2"/>
      </rPr>
      <t>54386</t>
    </r>
  </si>
  <si>
    <r>
      <rPr>
        <sz val="9"/>
        <color theme="1"/>
        <rFont val="Calibri"/>
        <family val="2"/>
      </rPr>
      <t xml:space="preserve">  64028</t>
    </r>
  </si>
  <si>
    <t>JC21-1201-2017-000166</t>
  </si>
  <si>
    <t>F20170164</t>
  </si>
  <si>
    <t>19217BCWD0050</t>
  </si>
  <si>
    <t>天津市北辰区人民政府果园新村街道办事处OA办公系统项目系统集成服务</t>
  </si>
  <si>
    <t>北辰</t>
  </si>
  <si>
    <t>JC21-1201-2017-000262</t>
  </si>
  <si>
    <t>F20180071</t>
  </si>
  <si>
    <t>192181HDWI0020</t>
  </si>
  <si>
    <t>视频会议系统及政务内网设备采购项目</t>
  </si>
  <si>
    <t>2017.11.1下预委托，信息全无。2018.3.13下正在建设委托.2018.3.29日改成本数额</t>
  </si>
  <si>
    <t>844000</t>
  </si>
  <si>
    <t>139000</t>
  </si>
  <si>
    <t>JC21-1201-2017-000219</t>
  </si>
  <si>
    <t>F20170175</t>
  </si>
  <si>
    <t>192171XQWI0048</t>
  </si>
  <si>
    <t>咸阳路污水处理厂迁建提标工程通信线杆迁改</t>
  </si>
  <si>
    <t>西青</t>
  </si>
  <si>
    <t>F20140191</t>
  </si>
  <si>
    <t>192140NKWI1910</t>
  </si>
  <si>
    <t>熙汇广场工程（一期）弱电工程补充协议</t>
  </si>
  <si>
    <t>南开</t>
  </si>
  <si>
    <t>刘建欣</t>
  </si>
  <si>
    <t>JC21-1201-2017-000200</t>
  </si>
  <si>
    <t>F20170187</t>
  </si>
  <si>
    <t>192170BDSI0067</t>
  </si>
  <si>
    <t>天津市宝坻区露天焚烧高架视频监控系统建设服务项目合同</t>
  </si>
  <si>
    <t>宝坻</t>
  </si>
  <si>
    <t>其余资料邮箱发至刘文顺</t>
  </si>
  <si>
    <t>JC21-1201-2017-000122</t>
  </si>
  <si>
    <t>F20170135</t>
  </si>
  <si>
    <t>19217FJX070135</t>
  </si>
  <si>
    <t>蓟州分局公共安全和社会治安综合管理服务平台项目</t>
  </si>
  <si>
    <t>JC21-1201-2017-000082-1</t>
  </si>
  <si>
    <t>F20170087-1</t>
  </si>
  <si>
    <t>19217JCWI0030</t>
  </si>
  <si>
    <t>天津市教育招生考试教育考试高清视频监控及视频会议系统项目（补充）</t>
  </si>
  <si>
    <t>集成中心</t>
  </si>
  <si>
    <t>JC21-1201-2018-000021</t>
  </si>
  <si>
    <t>F201800055-1</t>
  </si>
  <si>
    <t>192181NKWI0012</t>
  </si>
  <si>
    <t>古文化街智慧旅游信息化项目（一期）项目</t>
  </si>
  <si>
    <t>刘健欣</t>
  </si>
  <si>
    <t>因为进场施工，先下的委托，没有收入合同等</t>
  </si>
  <si>
    <t>7557000</t>
  </si>
  <si>
    <t xml:space="preserve"> 4150800</t>
  </si>
  <si>
    <t>JC21-1201-2017-000126</t>
  </si>
  <si>
    <t>F20170168-1</t>
  </si>
  <si>
    <t>192171WQNI0056</t>
  </si>
  <si>
    <t>徐官屯街道办事处网络提升改造项目</t>
  </si>
  <si>
    <t>武清</t>
  </si>
  <si>
    <t>项目经理退，后合格，已下</t>
  </si>
  <si>
    <t>JC21-1201-2018-000167</t>
  </si>
  <si>
    <t>F20180112</t>
  </si>
  <si>
    <t>192171TGWI0074</t>
  </si>
  <si>
    <t>滨海新区教育专网租用及运行维护服务项目</t>
  </si>
  <si>
    <t>ITO维护</t>
  </si>
  <si>
    <t>因为进场施工，先下的委托，没有收入合同等。20184.25日下达新委托。最终2018.8.14日下委托</t>
  </si>
  <si>
    <r>
      <rPr>
        <sz val="9"/>
        <color theme="1"/>
        <rFont val="Calibri"/>
        <family val="2"/>
      </rPr>
      <t>1144800</t>
    </r>
    <r>
      <rPr>
        <sz val="9"/>
        <color theme="1"/>
        <rFont val="宋体"/>
        <family val="3"/>
        <charset val="134"/>
      </rPr>
      <t>（</t>
    </r>
    <r>
      <rPr>
        <sz val="9"/>
        <color theme="1"/>
        <rFont val="Calibri"/>
        <family val="2"/>
      </rPr>
      <t>11%</t>
    </r>
    <r>
      <rPr>
        <sz val="9"/>
        <color theme="1"/>
        <rFont val="宋体"/>
        <family val="3"/>
        <charset val="134"/>
      </rPr>
      <t>）</t>
    </r>
    <r>
      <rPr>
        <sz val="9"/>
        <color theme="1"/>
        <rFont val="Calibri"/>
        <family val="2"/>
      </rPr>
      <t xml:space="preserve"> 108000</t>
    </r>
    <r>
      <rPr>
        <sz val="9"/>
        <color theme="1"/>
        <rFont val="宋体"/>
        <family val="3"/>
        <charset val="134"/>
      </rPr>
      <t>（</t>
    </r>
    <r>
      <rPr>
        <sz val="9"/>
        <color theme="1"/>
        <rFont val="Calibri"/>
        <family val="2"/>
      </rPr>
      <t>6</t>
    </r>
    <r>
      <rPr>
        <sz val="9"/>
        <color theme="1"/>
        <rFont val="宋体"/>
        <family val="3"/>
        <charset val="134"/>
      </rPr>
      <t>％）</t>
    </r>
  </si>
  <si>
    <t>分税率</t>
  </si>
  <si>
    <t>2017/9后五年</t>
  </si>
  <si>
    <t>JC21-1201-2017-000163</t>
  </si>
  <si>
    <t>F20170208</t>
  </si>
  <si>
    <t>19217000WI0079</t>
  </si>
  <si>
    <t>天津市疾病控制预防中心局域网改造项目</t>
  </si>
  <si>
    <t>视频监控</t>
  </si>
  <si>
    <t>2017.12.11因为进场施工，先下的委托，没有收入合同等。2017.12.27下正式委托</t>
  </si>
  <si>
    <t>JC21-1201-2017-000125</t>
  </si>
  <si>
    <t>F20170188</t>
  </si>
  <si>
    <t>192171HXWI0065</t>
  </si>
  <si>
    <t>红星职专高清视频监控系统工程服务项目</t>
  </si>
  <si>
    <t>网络集成</t>
  </si>
  <si>
    <t>JC21-1201-2017-000145</t>
  </si>
  <si>
    <t>F20170189</t>
  </si>
  <si>
    <t>192171HXWI0066</t>
  </si>
  <si>
    <t>三水南里小区高清数字监控系统集成工程</t>
  </si>
  <si>
    <t>115435</t>
  </si>
  <si>
    <t xml:space="preserve"> 81900</t>
  </si>
  <si>
    <t>JC21-1201-2017-000216</t>
  </si>
  <si>
    <t>F20170189-1</t>
  </si>
  <si>
    <t>192171HXWI0057</t>
  </si>
  <si>
    <t>河西区挂甲寺社会事务管理科前端信息采集设备采购项目</t>
  </si>
  <si>
    <t>437876</t>
  </si>
  <si>
    <t>168764</t>
  </si>
  <si>
    <t>JC21-1201-2017-000220</t>
  </si>
  <si>
    <t>F20170190</t>
  </si>
  <si>
    <t>192171HXWI0058</t>
  </si>
  <si>
    <t>河西区挂甲寺街美泉新苑新增临时移动监控工程</t>
  </si>
  <si>
    <t>19000</t>
  </si>
  <si>
    <t xml:space="preserve"> 17619</t>
  </si>
  <si>
    <t>JC21-1201-2017-000205</t>
  </si>
  <si>
    <t>F20170191</t>
  </si>
  <si>
    <t>192171HXWI0059</t>
  </si>
  <si>
    <t>河西区挂甲寺街道办事处一楼高清视频监控系统工程</t>
  </si>
  <si>
    <t>442</t>
  </si>
  <si>
    <t xml:space="preserve"> 4505</t>
  </si>
  <si>
    <t>JC21-1201-2017-000188</t>
  </si>
  <si>
    <t>F20170195</t>
  </si>
  <si>
    <t>192171HXWI0063</t>
  </si>
  <si>
    <t>河西区大营门街敬重里社区居委会高清视频监控系统工程</t>
  </si>
  <si>
    <t>33420</t>
  </si>
  <si>
    <t xml:space="preserve"> 37870</t>
  </si>
  <si>
    <t>JC21-1201-2017-000191</t>
  </si>
  <si>
    <t>F20170196</t>
  </si>
  <si>
    <t>192171HXWI0064</t>
  </si>
  <si>
    <t>河西区大营门街九江路社区居委会高清视频监控系统工程</t>
  </si>
  <si>
    <t>30930</t>
  </si>
  <si>
    <t xml:space="preserve"> 35560</t>
  </si>
  <si>
    <t>JC21-1201-2017-000215</t>
  </si>
  <si>
    <t>F20170192</t>
  </si>
  <si>
    <t>192171HXWI0061</t>
  </si>
  <si>
    <t>大营门综治办大屏系统工程</t>
  </si>
  <si>
    <t>114250</t>
  </si>
  <si>
    <t xml:space="preserve"> 63271</t>
  </si>
  <si>
    <t>JC21-1201-2017-000218</t>
  </si>
  <si>
    <t>F20170193</t>
  </si>
  <si>
    <t>192171HXWI0060</t>
  </si>
  <si>
    <t>大营门综治办弱电系统工程</t>
  </si>
  <si>
    <t>126487</t>
  </si>
  <si>
    <t xml:space="preserve"> 58830</t>
  </si>
  <si>
    <t>JC21-1201-2017-000204</t>
  </si>
  <si>
    <t>F20170194</t>
  </si>
  <si>
    <t>192171HXWI0062</t>
  </si>
  <si>
    <t>天津市河西区人民政府大营门街道办事处精品小区高清数字监控系统采购项目</t>
  </si>
  <si>
    <t>417155</t>
  </si>
  <si>
    <t xml:space="preserve"> 112100</t>
  </si>
  <si>
    <t>JC21-1201-2017-000241</t>
  </si>
  <si>
    <t>F20170150</t>
  </si>
  <si>
    <t>192171JHWI0070</t>
  </si>
  <si>
    <t>环保监察智能化平台建设基站信号传输工程项目</t>
  </si>
  <si>
    <t>静海</t>
  </si>
  <si>
    <t>JC21-1201-2017-000276</t>
  </si>
  <si>
    <t>F20180001</t>
  </si>
  <si>
    <t>192171JKWI0089</t>
  </si>
  <si>
    <t>天津市公安局图像侦查和技防监管总队2017年天津市重点单位视频监控点整合联网项目</t>
  </si>
  <si>
    <t>因为进场施工，先下的委托，没有收入合同等后项目经理退回.新委托2018.1.26日下(委托书成本总计与分项不符,项目经理知晓)</t>
  </si>
  <si>
    <t xml:space="preserve"> 802875</t>
  </si>
  <si>
    <t>953125</t>
  </si>
  <si>
    <t>2018.9.30</t>
  </si>
  <si>
    <t>2018.11.31</t>
  </si>
  <si>
    <t>已下委托</t>
  </si>
  <si>
    <t>F20170197</t>
  </si>
  <si>
    <t>19217XQWI0071</t>
  </si>
  <si>
    <t>创建全国文明城区视频系统网络终端项目建设</t>
  </si>
  <si>
    <t>154000</t>
  </si>
  <si>
    <t xml:space="preserve"> 33000</t>
  </si>
  <si>
    <t>F20170198</t>
  </si>
  <si>
    <t>192181JXWI0004</t>
  </si>
  <si>
    <t>天津市蓟州区智慧旅游建设项目</t>
  </si>
  <si>
    <t>2.28日重新下达建设委托.3.12日重新下达委托</t>
  </si>
  <si>
    <t>1073684</t>
  </si>
  <si>
    <t xml:space="preserve"> 306316</t>
  </si>
  <si>
    <t>5900000</t>
  </si>
  <si>
    <t>2019年</t>
  </si>
  <si>
    <t>JC21-1201-2017-000237</t>
  </si>
  <si>
    <t>F20170212</t>
  </si>
  <si>
    <t>192171NKWI0072</t>
  </si>
  <si>
    <t>天津中医药大学第一附属医院一键式报警项目</t>
  </si>
  <si>
    <t>刘彤</t>
  </si>
  <si>
    <t xml:space="preserve"> 172292</t>
  </si>
  <si>
    <t>77368</t>
  </si>
  <si>
    <t>无验收时间</t>
  </si>
  <si>
    <t>F20180069</t>
  </si>
  <si>
    <t>192181TGWI0005</t>
  </si>
  <si>
    <t>滨海新区高自考和成人高考标准化考点建设项目</t>
  </si>
  <si>
    <t>6130743</t>
  </si>
  <si>
    <t xml:space="preserve"> 1152414</t>
  </si>
  <si>
    <t>2018/</t>
  </si>
  <si>
    <t>JC21-1201-2017-000252</t>
  </si>
  <si>
    <t>F20180005</t>
  </si>
  <si>
    <t>192171JKWI0073</t>
  </si>
  <si>
    <t>天津市教育招生考试教育考试院UPS不间断电源及配电系统设备更新项目</t>
  </si>
  <si>
    <t>624000</t>
  </si>
  <si>
    <t>33000</t>
  </si>
  <si>
    <t xml:space="preserve"> 18000</t>
  </si>
  <si>
    <t>JC21-1201-2017-000269</t>
  </si>
  <si>
    <t>F20180003</t>
  </si>
  <si>
    <t>19217000WI0113</t>
  </si>
  <si>
    <t>信息安全管理中心监控显示系统改造项目</t>
  </si>
  <si>
    <t>6930</t>
  </si>
  <si>
    <t xml:space="preserve"> 172917</t>
  </si>
  <si>
    <t>2018/1/</t>
  </si>
  <si>
    <t>JC21-1201-2017-000231</t>
  </si>
  <si>
    <t>F20180045</t>
  </si>
  <si>
    <t>192181JKWI0008</t>
  </si>
  <si>
    <t>红桥职大高清视频监控系统集成服务</t>
  </si>
  <si>
    <t>2453</t>
  </si>
  <si>
    <t>JC21-1201-2017-000230</t>
  </si>
  <si>
    <t>F20180047</t>
  </si>
  <si>
    <t>192181JKWI0075</t>
  </si>
  <si>
    <t>天津市红星职业中等学校食堂监控项目</t>
  </si>
  <si>
    <t>34718</t>
  </si>
  <si>
    <t xml:space="preserve"> 49282</t>
  </si>
  <si>
    <t>JC21-1201-2017-000265</t>
  </si>
  <si>
    <t>F20180007</t>
  </si>
  <si>
    <t>192171JXWM0109</t>
  </si>
  <si>
    <t>蓟州区消防物联网</t>
  </si>
  <si>
    <t>25200</t>
  </si>
  <si>
    <t>徐哲</t>
  </si>
  <si>
    <t>2018/1后五年</t>
  </si>
  <si>
    <t>JC21-1201-2017-000266</t>
  </si>
  <si>
    <t>F20180008</t>
  </si>
  <si>
    <t>192171JXWM0110</t>
  </si>
  <si>
    <t>JC21-1201-2017-000267</t>
  </si>
  <si>
    <t>F20180009-1</t>
  </si>
  <si>
    <t>192171JXWM0107</t>
  </si>
  <si>
    <t>JC21-1201-2018-000126</t>
  </si>
  <si>
    <t>F20180111</t>
  </si>
  <si>
    <t>19218000WM0032</t>
  </si>
  <si>
    <t>2013年高清技防网运行维护，供电维护及光纤租赁项目</t>
  </si>
  <si>
    <t>之前委托所有信息全无，主任必须要。2018.4.25下了全的委拖</t>
  </si>
  <si>
    <t>刘畅</t>
  </si>
  <si>
    <t>JC21-1201-2017-000243</t>
  </si>
  <si>
    <t>F20180057</t>
  </si>
  <si>
    <t>192181BCWI0010</t>
  </si>
  <si>
    <t>天津华涛汽车塑料饰件有限公司网络布线系统及监控系统建设工程</t>
  </si>
  <si>
    <t xml:space="preserve"> 150660</t>
  </si>
  <si>
    <t>165085</t>
  </si>
  <si>
    <t>JC21-1201-2017-000159</t>
  </si>
  <si>
    <t>19217000WI0049</t>
  </si>
  <si>
    <t>天津市津南区-天津市津南区八里台第一小学电子围栏维修改造项目</t>
  </si>
  <si>
    <t>JC21-1201-2017-000170</t>
  </si>
  <si>
    <t>19217000WI0068</t>
  </si>
  <si>
    <r>
      <rPr>
        <sz val="9"/>
        <rFont val="宋体"/>
        <family val="3"/>
        <charset val="134"/>
        <scheme val="minor"/>
      </rPr>
      <t>天津市津南区八里台第二小学电子围栏维修改造项目</t>
    </r>
  </si>
  <si>
    <t>JC21-1201-2017-000169</t>
  </si>
  <si>
    <t>19217000WI0069</t>
  </si>
  <si>
    <r>
      <rPr>
        <sz val="9"/>
        <rFont val="宋体"/>
        <family val="3"/>
        <charset val="134"/>
        <scheme val="minor"/>
      </rPr>
      <t>天津市八里台第一中学电子围栏维修改造项目</t>
    </r>
  </si>
  <si>
    <t>JC21-1201-2017-000173</t>
  </si>
  <si>
    <t>19217000WI0076</t>
  </si>
  <si>
    <r>
      <rPr>
        <sz val="9"/>
        <rFont val="宋体"/>
        <family val="3"/>
        <charset val="134"/>
        <scheme val="minor"/>
      </rPr>
      <t xml:space="preserve">天津市八里台第二中学电子围栏维修改造项目 </t>
    </r>
  </si>
  <si>
    <t>JC21-1201-2017-000171</t>
  </si>
  <si>
    <t>19217000WI0077</t>
  </si>
  <si>
    <r>
      <rPr>
        <sz val="9"/>
        <rFont val="宋体"/>
        <family val="3"/>
        <charset val="134"/>
        <scheme val="minor"/>
      </rPr>
      <t>天津市津南区八里台第三小学电子围栏维修改造项目</t>
    </r>
  </si>
  <si>
    <t>JC21-1201-2017-000174</t>
  </si>
  <si>
    <t>19217000WI0080</t>
  </si>
  <si>
    <r>
      <rPr>
        <sz val="9"/>
        <rFont val="宋体"/>
        <family val="3"/>
        <charset val="134"/>
        <scheme val="minor"/>
      </rPr>
      <t>天津市津南区咸水沽第七小学电子围栏维修改造项目</t>
    </r>
  </si>
  <si>
    <t>JC21-1201-2017-000180</t>
  </si>
  <si>
    <t>19217000WI0081</t>
  </si>
  <si>
    <r>
      <rPr>
        <sz val="9"/>
        <rFont val="宋体"/>
        <family val="3"/>
        <charset val="134"/>
        <scheme val="minor"/>
      </rPr>
      <t>天津市津南区高庄子联合小学电子围栏维修改造项目</t>
    </r>
  </si>
  <si>
    <t>JC21-1201-2017-000192</t>
  </si>
  <si>
    <t>19217000WI0082</t>
  </si>
  <si>
    <r>
      <rPr>
        <sz val="9"/>
        <rFont val="宋体"/>
        <family val="3"/>
        <charset val="134"/>
        <scheme val="minor"/>
      </rPr>
      <t>天津市津南区培智学校电子围栏维修改造项目</t>
    </r>
  </si>
  <si>
    <t>JC21-1201-2017-000175</t>
  </si>
  <si>
    <t>19217000WI0083</t>
  </si>
  <si>
    <r>
      <rPr>
        <sz val="9"/>
        <rFont val="宋体"/>
        <family val="3"/>
        <charset val="134"/>
        <scheme val="minor"/>
      </rPr>
      <t>天津市葛沽第三中学电子围栏维修改造项目</t>
    </r>
  </si>
  <si>
    <t>JC21-1201-2017-000224</t>
  </si>
  <si>
    <t>19217000WI0084</t>
  </si>
  <si>
    <r>
      <rPr>
        <sz val="9"/>
        <rFont val="宋体"/>
        <family val="3"/>
        <charset val="134"/>
        <scheme val="minor"/>
      </rPr>
      <t>天津市北闸口中学电子围栏维修改造项目合同</t>
    </r>
  </si>
  <si>
    <t>JC21-1201-2017-000176</t>
  </si>
  <si>
    <t>19217000WI0085</t>
  </si>
  <si>
    <r>
      <rPr>
        <sz val="9"/>
        <color rgb="FFFF0000"/>
        <rFont val="宋体"/>
        <family val="3"/>
        <charset val="134"/>
        <scheme val="minor"/>
      </rPr>
      <t>天津市津南区三台联合小学电子围栏维修改造项目</t>
    </r>
  </si>
  <si>
    <t>JC21-1201-2017-000229</t>
  </si>
  <si>
    <t>19217000WI0086</t>
  </si>
  <si>
    <r>
      <rPr>
        <sz val="9"/>
        <rFont val="宋体"/>
        <family val="3"/>
        <charset val="134"/>
        <scheme val="minor"/>
      </rPr>
      <t>天津市津南区八里台第四小学电子围栏维修改造项目</t>
    </r>
  </si>
  <si>
    <t>JC21-1201-2017-000177</t>
  </si>
  <si>
    <t>19217000WI0087</t>
  </si>
  <si>
    <r>
      <rPr>
        <sz val="9"/>
        <rFont val="宋体"/>
        <family val="3"/>
        <charset val="134"/>
        <scheme val="minor"/>
      </rPr>
      <t>天津市双桥中学电子围栏维修改造项目</t>
    </r>
  </si>
  <si>
    <t>JC21-1201-2017-000225</t>
  </si>
  <si>
    <t>19217000WI0088</t>
  </si>
  <si>
    <r>
      <rPr>
        <sz val="9"/>
        <rFont val="宋体"/>
        <family val="3"/>
        <charset val="134"/>
        <scheme val="minor"/>
      </rPr>
      <t>天津市津南区第八幼儿园电子围栏维修改造项目</t>
    </r>
  </si>
  <si>
    <t>JC21-1201-2017-000167</t>
  </si>
  <si>
    <t>19217000WI0090</t>
  </si>
  <si>
    <r>
      <rPr>
        <sz val="9"/>
        <rFont val="宋体"/>
        <family val="3"/>
        <charset val="134"/>
        <scheme val="minor"/>
      </rPr>
      <t>天津市津南区教育局中小学幼儿园教育网络设备维护合同</t>
    </r>
  </si>
  <si>
    <t>JC21-1201-2017-000195</t>
  </si>
  <si>
    <t>19217000WI0091</t>
  </si>
  <si>
    <r>
      <rPr>
        <sz val="9"/>
        <rFont val="宋体"/>
        <family val="3"/>
        <charset val="134"/>
        <scheme val="minor"/>
      </rPr>
      <t>天津市津南区学生劳动教育基地电子围栏维修改造项目</t>
    </r>
  </si>
  <si>
    <t>JC21-1201-2017-000196</t>
  </si>
  <si>
    <t>19217000WI0092</t>
  </si>
  <si>
    <r>
      <rPr>
        <sz val="9"/>
        <rFont val="宋体"/>
        <family val="3"/>
        <charset val="134"/>
        <scheme val="minor"/>
      </rPr>
      <t>天津市小站实验中学电子围栏维修改造项目</t>
    </r>
  </si>
  <si>
    <t>JC21-1201-2017-000254</t>
  </si>
  <si>
    <t>19217000WI0093</t>
  </si>
  <si>
    <r>
      <rPr>
        <sz val="9"/>
        <rFont val="宋体"/>
        <family val="3"/>
        <charset val="134"/>
        <scheme val="minor"/>
      </rPr>
      <t>天津市小站第一中学电子围栏维修改造项目</t>
    </r>
  </si>
  <si>
    <t>JC21-1201-2017-000197</t>
  </si>
  <si>
    <t>19217000WI0094</t>
  </si>
  <si>
    <r>
      <rPr>
        <sz val="9"/>
        <rFont val="宋体"/>
        <family val="3"/>
        <charset val="134"/>
        <scheme val="minor"/>
      </rPr>
      <t>天津市双港中学电子围栏维修改造项目</t>
    </r>
  </si>
  <si>
    <t>JC21-1201-2017-000179</t>
  </si>
  <si>
    <t>19217000WI0095</t>
  </si>
  <si>
    <r>
      <rPr>
        <sz val="9"/>
        <rFont val="宋体"/>
        <family val="3"/>
        <charset val="134"/>
        <scheme val="minor"/>
      </rPr>
      <t>天津市津南区北闸口第一小学电子围栏维修改造项目</t>
    </r>
  </si>
  <si>
    <t>JC21-1201-2017-000181</t>
  </si>
  <si>
    <t>19217000WI0096</t>
  </si>
  <si>
    <t>天津市津南区白塘口联合小学电子围栏维修改造项目合同</t>
  </si>
  <si>
    <t>JC21-1201-2017-000187</t>
  </si>
  <si>
    <t>19217000WI0097</t>
  </si>
  <si>
    <r>
      <rPr>
        <sz val="9"/>
        <rFont val="宋体"/>
        <family val="3"/>
        <charset val="134"/>
        <scheme val="minor"/>
      </rPr>
      <t>天津市津南区少年宫电子围栏维修改造项目</t>
    </r>
  </si>
  <si>
    <t>JC21-1201-2017-000193</t>
  </si>
  <si>
    <t>19217000WI0098</t>
  </si>
  <si>
    <r>
      <rPr>
        <sz val="9"/>
        <rFont val="宋体"/>
        <family val="3"/>
        <charset val="134"/>
        <scheme val="minor"/>
      </rPr>
      <t>天津市咸水沽第五中学电子围栏维修改造项目合同</t>
    </r>
  </si>
  <si>
    <t>JC21-1201-2017-000186</t>
  </si>
  <si>
    <t>19217000WI0099</t>
  </si>
  <si>
    <r>
      <rPr>
        <sz val="9"/>
        <rFont val="宋体"/>
        <family val="3"/>
        <charset val="134"/>
        <scheme val="minor"/>
      </rPr>
      <t>天津市咸水沽第一中学电子围栏维修改造项目</t>
    </r>
  </si>
  <si>
    <t>JC21-1201-2017-000235</t>
  </si>
  <si>
    <t>19217000WI0100</t>
  </si>
  <si>
    <r>
      <rPr>
        <sz val="9"/>
        <rFont val="宋体"/>
        <family val="3"/>
        <charset val="134"/>
        <scheme val="minor"/>
      </rPr>
      <t>天津市南洋工业学校电子围栏维修改造项目</t>
    </r>
  </si>
  <si>
    <t>JC21-1201-2017-000190</t>
  </si>
  <si>
    <t>19217000WI0101</t>
  </si>
  <si>
    <r>
      <rPr>
        <sz val="9"/>
        <rFont val="宋体"/>
        <family val="3"/>
        <charset val="134"/>
        <scheme val="minor"/>
      </rPr>
      <t>天津市津南区咸水沽第三小学电子围栏维修改造项目合同</t>
    </r>
  </si>
  <si>
    <t>JC21-1201-2017-000185</t>
  </si>
  <si>
    <t>19217000WI0102</t>
  </si>
  <si>
    <r>
      <rPr>
        <sz val="9"/>
        <rFont val="宋体"/>
        <family val="3"/>
        <charset val="134"/>
        <scheme val="minor"/>
      </rPr>
      <t>天津市津南区海天小学电子围栏维修改造项目</t>
    </r>
  </si>
  <si>
    <t>JC21-1201-2017-000183</t>
  </si>
  <si>
    <t>19217000WI0103</t>
  </si>
  <si>
    <r>
      <rPr>
        <sz val="9"/>
        <rFont val="宋体"/>
        <family val="3"/>
        <charset val="134"/>
        <scheme val="minor"/>
      </rPr>
      <t>天津市津南区第四幼儿园电子围栏维修改造项目</t>
    </r>
  </si>
  <si>
    <t>JC21-1201-2017-000189</t>
  </si>
  <si>
    <t>19217000WI0104</t>
  </si>
  <si>
    <r>
      <rPr>
        <sz val="9"/>
        <rFont val="宋体"/>
        <family val="3"/>
        <charset val="134"/>
        <scheme val="minor"/>
      </rPr>
      <t>天津市津南区东大站联合小学电子围栏维修改造项目</t>
    </r>
  </si>
  <si>
    <t>JC21-1201-2017-000182</t>
  </si>
  <si>
    <t>19217000WI0105</t>
  </si>
  <si>
    <r>
      <rPr>
        <sz val="9"/>
        <rFont val="宋体"/>
        <family val="3"/>
        <charset val="134"/>
        <scheme val="minor"/>
      </rPr>
      <t>天津市津南区小站实验小学电子围栏维修改造项目</t>
    </r>
  </si>
  <si>
    <t>JC21-1201-2017-000198</t>
  </si>
  <si>
    <t>19217000WI0106</t>
  </si>
  <si>
    <t>天津市津南区双港联合小学电子围栏维修改造项目</t>
  </si>
  <si>
    <t>JC21-1201-2018-000160</t>
  </si>
  <si>
    <t>F20180108</t>
  </si>
  <si>
    <t>192181JKWI0030</t>
  </si>
  <si>
    <t>2018年天津夏季达沃斯论坛会场弱电布设服务项目</t>
  </si>
  <si>
    <t>2.12下达预委托，4.26下正式委托</t>
  </si>
  <si>
    <t>1175092</t>
  </si>
  <si>
    <t>正在签属验收</t>
  </si>
  <si>
    <t>JC21-1201-2018-000142</t>
  </si>
  <si>
    <t>F20180099</t>
  </si>
  <si>
    <t>1921800W00024</t>
  </si>
  <si>
    <t>出租车载远程识别预警控制系统建设合同</t>
  </si>
  <si>
    <t>2018/2/24/2018/3/29</t>
  </si>
  <si>
    <t>2018.2.24下的预委托，无相关信息2018.3.29日重新下全部委托</t>
  </si>
  <si>
    <t>10514000</t>
  </si>
  <si>
    <t xml:space="preserve"> 14600000</t>
  </si>
  <si>
    <t>2018年12月31日前未安装完毕的车辆双方协商确定安装时间</t>
  </si>
  <si>
    <t>按目前进度，最快2018年底完成安装，试运行一个月后最快春节前验收</t>
  </si>
  <si>
    <t>JC21-1201-2018-000260</t>
  </si>
  <si>
    <t>F20180002</t>
  </si>
  <si>
    <t>19217DLWD0108</t>
  </si>
  <si>
    <t>天津市东丽区人民政府张贵庄街道办事处</t>
  </si>
  <si>
    <t>东丽</t>
  </si>
  <si>
    <t>F20180066</t>
  </si>
  <si>
    <t>192181BCWM0019</t>
  </si>
  <si>
    <t>天津市北辰区政务网运行维护项目系统集成服务</t>
  </si>
  <si>
    <t>服务外包</t>
  </si>
  <si>
    <t>2018/1/1－12/31</t>
  </si>
  <si>
    <t>JC21-1201-2017-000233</t>
  </si>
  <si>
    <t>F20180056</t>
  </si>
  <si>
    <t>192181BDWM0013</t>
  </si>
  <si>
    <t>宝坻冠城办公楼网络电话系统项目</t>
  </si>
  <si>
    <t xml:space="preserve"> 40700</t>
  </si>
  <si>
    <t>94300</t>
  </si>
  <si>
    <t>JC21-1201-2017-000222</t>
  </si>
  <si>
    <t>F20170134</t>
  </si>
  <si>
    <r>
      <rPr>
        <sz val="9"/>
        <color theme="1"/>
        <rFont val="宋体"/>
        <family val="3"/>
        <charset val="134"/>
      </rPr>
      <t>天津市永兴和谐物业管理有限公司监控和楼宇对讲改造增项工程</t>
    </r>
  </si>
  <si>
    <t xml:space="preserve"> 62404</t>
  </si>
  <si>
    <t>192286</t>
  </si>
  <si>
    <t>JC21-1201-2018-000005</t>
  </si>
  <si>
    <t>F20180067</t>
  </si>
  <si>
    <t>192181JXWI0002</t>
  </si>
  <si>
    <t>交警大队分中心机房安装工程</t>
  </si>
  <si>
    <t>机房建设</t>
  </si>
  <si>
    <t>JC21-1201-2018-000094</t>
  </si>
  <si>
    <t>F20180076</t>
  </si>
  <si>
    <t>19218000WI0033</t>
  </si>
  <si>
    <t>天津北达线缆厂监控系统建设项目</t>
  </si>
  <si>
    <t>于芳</t>
  </si>
  <si>
    <t>2.2下一版全无委托。3.13下另一版，信息不全。项目经理等到3.15。仍然没有则退。已退.4.20日重新下，收入合同号变（收入合同重新签订）4.25日再次重新下。4.26PMISS中客户为虚拟客户，再次退回委托</t>
  </si>
  <si>
    <t>116550</t>
  </si>
  <si>
    <t xml:space="preserve"> 13326</t>
  </si>
  <si>
    <t>刘文顺改李翔</t>
  </si>
  <si>
    <t>有（原件项目经理处）</t>
  </si>
  <si>
    <t>JC21-1201-2018-000006</t>
  </si>
  <si>
    <t>F20180068</t>
  </si>
  <si>
    <t>192181JXWI0001</t>
  </si>
  <si>
    <t>数据机房平台及存储设备安装工程</t>
  </si>
  <si>
    <t>JC21-1201-2018-000012</t>
  </si>
  <si>
    <t>F20180058</t>
  </si>
  <si>
    <t>192181TGWI0014</t>
  </si>
  <si>
    <t>友谊名都地库光缆敷设项目</t>
  </si>
  <si>
    <t>1200</t>
  </si>
  <si>
    <t xml:space="preserve">  16800</t>
  </si>
  <si>
    <t>JC21-1201-2018-000011</t>
  </si>
  <si>
    <t>F20180064</t>
  </si>
  <si>
    <t>192181HXWI0017</t>
  </si>
  <si>
    <t>天津市河西区行政审批局WIFI覆盖项目</t>
  </si>
  <si>
    <t>36840</t>
  </si>
  <si>
    <t xml:space="preserve"> 12416</t>
  </si>
  <si>
    <t>JC21-1201-2018-000008</t>
  </si>
  <si>
    <t>F20180063</t>
  </si>
  <si>
    <t>192181TGWI0016</t>
  </si>
  <si>
    <t>塘沽第六中学无线AP覆盖项目</t>
  </si>
  <si>
    <t>55910</t>
  </si>
  <si>
    <t xml:space="preserve"> 39661</t>
  </si>
  <si>
    <t>JC21-1201-2018-000061</t>
  </si>
  <si>
    <t>F20180075</t>
  </si>
  <si>
    <t>192181JKWD0018</t>
  </si>
  <si>
    <t>天津市环境保护局天津市机动车遥感监测网络建设项目遥感监测信息联网平台项目</t>
  </si>
  <si>
    <t>567000</t>
  </si>
  <si>
    <t>118000</t>
  </si>
  <si>
    <t>未约定具体时间</t>
  </si>
  <si>
    <t>JC21-1201-2017-000263</t>
  </si>
  <si>
    <t>F20180077</t>
  </si>
  <si>
    <t>19217HPWI0078</t>
  </si>
  <si>
    <t>天津市卫生计生综合监督所信号屏蔽及有线</t>
  </si>
  <si>
    <t>48320</t>
  </si>
  <si>
    <t>48680</t>
  </si>
  <si>
    <t>已完工</t>
  </si>
  <si>
    <t>JC21-1201-2015-000108</t>
  </si>
  <si>
    <t>F20150168</t>
  </si>
  <si>
    <t>192150JXWI1680</t>
  </si>
  <si>
    <t>天津市体育局蓟县训练基地运动员宿舍及附属用房工地</t>
  </si>
  <si>
    <t>除委托外其余全无。项目经理等到3.15。仍然没有则退。建设委托退2018.5.16。已发邮件</t>
  </si>
  <si>
    <t>F20170026</t>
  </si>
  <si>
    <t>192161JXWI0248</t>
  </si>
  <si>
    <t>蓟县2016年视频监控及电子卡口系统工程项目</t>
  </si>
  <si>
    <t xml:space="preserve">原项目，为计验收报告 </t>
  </si>
  <si>
    <t>原有项目</t>
  </si>
  <si>
    <t>JC21-1201-2017-000136</t>
  </si>
  <si>
    <t>F20150144-7</t>
  </si>
  <si>
    <t>192181JKWM0022</t>
  </si>
  <si>
    <t>理光（中国）投资有限公司2017年4月－6月运营报告书</t>
  </si>
  <si>
    <t>JC21-1201-2017-000054</t>
  </si>
  <si>
    <t>F20170066</t>
  </si>
  <si>
    <t>19217000WO0025</t>
  </si>
  <si>
    <t>上海岩谷有限公司储罐状况监控管理项目服务合同（2017）</t>
  </si>
  <si>
    <t>2017年整年</t>
  </si>
  <si>
    <t>JC21-1201-2017-000201</t>
  </si>
  <si>
    <t>F20180085</t>
  </si>
  <si>
    <t>192181JKWM0023</t>
  </si>
  <si>
    <t>理光（中国）投资有限公司2017年7月运营报告书</t>
  </si>
  <si>
    <t>JC21-1201-2017-000261</t>
  </si>
  <si>
    <t>F20180046</t>
  </si>
  <si>
    <t>1921HXWI0007</t>
  </si>
  <si>
    <t>天津市河西区民政局婚姻登记服务中心LED全彩显示屏</t>
  </si>
  <si>
    <t>视频应用</t>
  </si>
  <si>
    <t>F2011051-1</t>
  </si>
  <si>
    <t>192110TGWI1051</t>
  </si>
  <si>
    <t>巨川百合酒店弱电安装工程合同增项部分补充协议</t>
  </si>
  <si>
    <t>4.11日退。4.25重新下</t>
  </si>
  <si>
    <t>已结算</t>
  </si>
  <si>
    <t>JC21-1201-2017-000206</t>
  </si>
  <si>
    <t>F20170171</t>
  </si>
  <si>
    <t>192171HXWI0055</t>
  </si>
  <si>
    <t>世界智能大会N3、登录大厅等区域综合布线系统集成项目</t>
  </si>
  <si>
    <t>58251</t>
  </si>
  <si>
    <t>80364</t>
  </si>
  <si>
    <t>JC21-1201-2018-000026</t>
  </si>
  <si>
    <t>F20180102</t>
  </si>
  <si>
    <t>192181JXWM0025</t>
  </si>
  <si>
    <t>建设委托收入成本金额相同，4.12退4.13日再次提交.因PMISS没有徐哲等人工位，18日加上。25日陈建春PMISS下至徐哲</t>
  </si>
  <si>
    <t>2018/5后五年</t>
  </si>
  <si>
    <t>JC21-1201-2018-000027</t>
  </si>
  <si>
    <t>F20180101</t>
  </si>
  <si>
    <t>192181JXWM0026</t>
  </si>
  <si>
    <t>JC21-1201-2017-000236</t>
  </si>
  <si>
    <t>F20180073</t>
  </si>
  <si>
    <t>192171TGWI0112</t>
  </si>
  <si>
    <t>巨川大厦五层弱电项目</t>
  </si>
  <si>
    <t>弱电</t>
  </si>
  <si>
    <t>60900</t>
  </si>
  <si>
    <t>154873</t>
  </si>
  <si>
    <t>JC21-1201-2018-000137</t>
  </si>
  <si>
    <t>F20180103</t>
  </si>
  <si>
    <t>19218D00WI0027</t>
  </si>
  <si>
    <t>天津市西青区开发总公司移动侦测监控系统项目工程</t>
  </si>
  <si>
    <t>韩磊</t>
  </si>
  <si>
    <t>74803</t>
  </si>
  <si>
    <t>44398</t>
  </si>
  <si>
    <t>JC21-1201-2016-000195</t>
  </si>
  <si>
    <t>F20160224</t>
  </si>
  <si>
    <t>192161JKWM0241</t>
  </si>
  <si>
    <t>天津市电子政务信息与网络中心天津市电子政务外网接入网建设服务项目</t>
  </si>
  <si>
    <t>还未起租</t>
  </si>
  <si>
    <t>JC21-1201-2018-000117</t>
  </si>
  <si>
    <t>F20180107</t>
  </si>
  <si>
    <t>192181JXWM0029</t>
  </si>
  <si>
    <t>蓟县交通局出租车车辆定位项目</t>
  </si>
  <si>
    <t>蓟县</t>
  </si>
  <si>
    <t>2018.4.20日退2018.5.8日重新下</t>
  </si>
  <si>
    <t>2018.12.31</t>
  </si>
  <si>
    <t>2018年1年</t>
  </si>
  <si>
    <t>2016年静海视频监控设备采购项目</t>
  </si>
  <si>
    <t>JC21-1201-2018-000127</t>
  </si>
  <si>
    <t>F20180106</t>
  </si>
  <si>
    <t>19218000WM0031</t>
  </si>
  <si>
    <t>天津市公安局西青分局采购2014年、2015年高清技防网供电维护及2015年光纤租赁项目</t>
  </si>
  <si>
    <t>JC21-1201-2018-000184</t>
  </si>
  <si>
    <t>F20180114</t>
  </si>
  <si>
    <t>19218000WI0036</t>
  </si>
  <si>
    <t>国家统计局天津调查总队</t>
  </si>
  <si>
    <t>2018.5.9日合同齐</t>
  </si>
  <si>
    <t>JC21-1201-2017-000090</t>
  </si>
  <si>
    <t>F20180083</t>
  </si>
  <si>
    <t>19218000WA0021</t>
  </si>
  <si>
    <t>中共天津市委办公厅信息化技术服务中心购销合同</t>
  </si>
  <si>
    <t>设备采购</t>
  </si>
  <si>
    <t>57200</t>
  </si>
  <si>
    <t>JC21-1201-2018-000035</t>
  </si>
  <si>
    <t>F20180109</t>
  </si>
  <si>
    <t>19218000WM0035</t>
  </si>
  <si>
    <t>天津市委信息化系统运维服务项目－2017</t>
  </si>
  <si>
    <t>后补</t>
  </si>
  <si>
    <t>297000</t>
  </si>
  <si>
    <t>JC21-1201-2016-000128-2</t>
  </si>
  <si>
    <t>F20180059</t>
  </si>
  <si>
    <t>192161BCWI0208</t>
  </si>
  <si>
    <t>2016年天津市北辰区视频监控系统建设工程项目</t>
  </si>
  <si>
    <t>JC21-1201-2017-000259</t>
  </si>
  <si>
    <t>F20180044</t>
  </si>
  <si>
    <t>192181HXWI0006</t>
  </si>
  <si>
    <t>尖山纯洁里社区高清数字监控工程</t>
  </si>
  <si>
    <t>2018.5.7日退5.17再下</t>
  </si>
  <si>
    <t>50895</t>
  </si>
  <si>
    <t>75935</t>
  </si>
  <si>
    <t>2018/8/16放在45号院后面</t>
  </si>
  <si>
    <t>JC21-1201-2018-000152</t>
  </si>
  <si>
    <t>F20180123</t>
  </si>
  <si>
    <t>192181JKWM0040</t>
  </si>
  <si>
    <t>天津市信息中心机房提升改造工程项目</t>
  </si>
  <si>
    <t>一次割接无质保</t>
  </si>
  <si>
    <t>JC21-1201-2018-000163</t>
  </si>
  <si>
    <t>F20180110</t>
  </si>
  <si>
    <t>19218000WM0028</t>
  </si>
  <si>
    <t>中国共产党天津市和平区委员会和平区信息化综合运营向社会购买服务项目</t>
  </si>
  <si>
    <t>2018.5.9差公公司工联单5.18差三家</t>
  </si>
  <si>
    <t>JC21-1201-2018-000185</t>
  </si>
  <si>
    <t>F20180122</t>
  </si>
  <si>
    <t>192181JHWM0038</t>
  </si>
  <si>
    <t>天津市静海区食安工程项目</t>
  </si>
  <si>
    <t>王月</t>
  </si>
  <si>
    <t>500960</t>
  </si>
  <si>
    <t>953000</t>
  </si>
  <si>
    <t>已验收2018.8.10</t>
  </si>
  <si>
    <t>项目经理</t>
  </si>
  <si>
    <t>F20160033</t>
  </si>
  <si>
    <t>192161JCWI0175</t>
  </si>
  <si>
    <t>天津市红星职业中等专业学校实训监控购置项目</t>
  </si>
  <si>
    <t>F20170167</t>
  </si>
  <si>
    <t>192171DLWD0051</t>
  </si>
  <si>
    <t>中恩（天津）医药科技有限公司办公OA系统服务项目</t>
  </si>
  <si>
    <t>JC21-1201-2018-000048</t>
  </si>
  <si>
    <t>F20180130</t>
  </si>
  <si>
    <t>192181JCWI0048</t>
  </si>
  <si>
    <t>天津市静海区居家养老项目</t>
  </si>
  <si>
    <t>维护期三年</t>
  </si>
  <si>
    <t>JC21-1201-2018-0015</t>
  </si>
  <si>
    <t>F20180132</t>
  </si>
  <si>
    <t>192181NKWI0015</t>
  </si>
  <si>
    <t>天津市第一中心医院一键式报警项目</t>
  </si>
  <si>
    <t>JC21-1201-2018-000187</t>
  </si>
  <si>
    <t>F20180120</t>
  </si>
  <si>
    <t>19218000WI0039</t>
  </si>
  <si>
    <t>天津市公安局西青分局第三期标清技防网改高清技防网项目</t>
  </si>
  <si>
    <t>2018.10.31</t>
  </si>
  <si>
    <t>JC21-1201-2018-000181</t>
  </si>
  <si>
    <t>F20180133</t>
  </si>
  <si>
    <t>192181BDWI0041</t>
  </si>
  <si>
    <t>丹桂园住宅小区项目</t>
  </si>
  <si>
    <t>陶金</t>
  </si>
  <si>
    <t>合同签订后7天</t>
  </si>
  <si>
    <t>JC21-1201-2018-000205</t>
  </si>
  <si>
    <t>F20180121</t>
  </si>
  <si>
    <t>192181BCWI0045</t>
  </si>
  <si>
    <t>北辰区区域生态环境综合监管平台项目</t>
  </si>
  <si>
    <t>2018.5.18</t>
  </si>
  <si>
    <t>JC21-1201-2018-000198</t>
  </si>
  <si>
    <t>F20180127</t>
  </si>
  <si>
    <t>192181JCWI0042</t>
  </si>
  <si>
    <t>金梧桐花园住宅小区项目（住宅。公建）通信管网及光纤网络建设</t>
  </si>
  <si>
    <t>黄峥</t>
  </si>
  <si>
    <t>甲方通知60天内</t>
  </si>
  <si>
    <t>2019.1.30</t>
  </si>
  <si>
    <t>F20180128</t>
  </si>
  <si>
    <t>192181BDWM0050</t>
  </si>
  <si>
    <t>中共天津市宝坻区委网络安全和信息化领导小组办公室政务外网和云平台产品运行</t>
  </si>
  <si>
    <t>2018.5.16 2018.9.26重新下</t>
  </si>
  <si>
    <t>李翔 徐哲</t>
  </si>
  <si>
    <t>JC21-1201-2018-000025</t>
  </si>
  <si>
    <t>F20180124</t>
  </si>
  <si>
    <t>192181WQWI0047</t>
  </si>
  <si>
    <t>武清区杨村街道办事处网络提升改造</t>
  </si>
  <si>
    <t>JC21-1201-2018-000161</t>
  </si>
  <si>
    <t>F20180125</t>
  </si>
  <si>
    <t>192181WQWI0046</t>
  </si>
  <si>
    <t>天津华住金属制品有限公司改扩建厂房远程监控工程</t>
  </si>
  <si>
    <t>JC21-1201-2018-000204</t>
  </si>
  <si>
    <t>F20180147</t>
  </si>
  <si>
    <t>192181000WI0052</t>
  </si>
  <si>
    <t>天津市招生考试院信息机房购置项目</t>
  </si>
  <si>
    <t>完工</t>
  </si>
  <si>
    <t>JC21-1201-2018-000189</t>
  </si>
  <si>
    <t>F20180168</t>
  </si>
  <si>
    <t>19218000WI0056</t>
  </si>
  <si>
    <t>敬重里、九江路网络电话系统工程</t>
  </si>
  <si>
    <t>JC21-1201-2018-000188</t>
  </si>
  <si>
    <t>F20170205</t>
  </si>
  <si>
    <t>19218000WI0051</t>
  </si>
  <si>
    <t>45号院高清数字监控系统工程</t>
  </si>
  <si>
    <t>JC21-1201-2018-000193</t>
  </si>
  <si>
    <t>F20180131</t>
  </si>
  <si>
    <t>192181BCWI0049</t>
  </si>
  <si>
    <t>天津华涛汽车塑料饰件有限公司网络布线系统及监控系统建设工程（增项）</t>
  </si>
  <si>
    <t>JC21-1201-2018-000207</t>
  </si>
  <si>
    <t>F20180175</t>
  </si>
  <si>
    <t>19218000WI0057</t>
  </si>
  <si>
    <t>纪检委光纤迁改</t>
  </si>
  <si>
    <t>JC21-1201-2018-000180</t>
  </si>
  <si>
    <t>F20180091</t>
  </si>
  <si>
    <t>192181DLWI0044</t>
  </si>
  <si>
    <t>中国铁路设计集团有限公司空港研发基地ICT综合布线系统设备项目</t>
  </si>
  <si>
    <t>JC21-1201-2017-000203</t>
  </si>
  <si>
    <t>F20180166</t>
  </si>
  <si>
    <t>19218000WI0084</t>
  </si>
  <si>
    <t>天津市红桥区－红桥区电子政务基础网络建设项目增项</t>
  </si>
  <si>
    <t>JC21-1201-2018-000183</t>
  </si>
  <si>
    <t>F20180165</t>
  </si>
  <si>
    <t>19218000WI0083</t>
  </si>
  <si>
    <t>东方证券天津南马路证券营业部监控、会议系统系统工程</t>
  </si>
  <si>
    <t>JC21-1201-2018-000151</t>
  </si>
  <si>
    <t>F20180135</t>
  </si>
  <si>
    <t>19218000WI0055</t>
  </si>
  <si>
    <t>天津市交通（集团）有限公司委员会党校新校址综合监控项目</t>
  </si>
  <si>
    <t>JC21-1201-2018-000145</t>
  </si>
  <si>
    <t>F20180190</t>
  </si>
  <si>
    <t>19218000WI0054</t>
  </si>
  <si>
    <t>天津市交通（集团）有限公司委员会党校新校址综合布线项目</t>
  </si>
  <si>
    <t>JC21-1201-2018-000013</t>
  </si>
  <si>
    <t>19218WQWI0053</t>
  </si>
  <si>
    <t>汊沽港镇违法停车设备项目</t>
  </si>
  <si>
    <t>由于税率变更没提供改税率后的价格</t>
  </si>
  <si>
    <t>因前台合同未定，验收时间未签属</t>
  </si>
  <si>
    <t>2018/7/</t>
  </si>
  <si>
    <t>未签时间</t>
  </si>
  <si>
    <t>2016年天津市北辰区视频监控系统建设工程项目主（第四包）增项合同</t>
  </si>
  <si>
    <t>李翔（代刘文顺下委托）</t>
  </si>
  <si>
    <t>JC21-1201-2018-000206</t>
  </si>
  <si>
    <t>F20180189</t>
  </si>
  <si>
    <t>192181BCWI0076</t>
  </si>
  <si>
    <t>天津市北辰区妇女儿童保健和计划生育服务中心无线网络改造工程项目</t>
  </si>
  <si>
    <t>192181WQWI0058</t>
  </si>
  <si>
    <t>武清区露天焚烧高架视频监控系统工程各乡镇三级平台联网建设项目</t>
  </si>
  <si>
    <t>有初验整改报告</t>
  </si>
  <si>
    <t>JC21-1201-2018-000281</t>
  </si>
  <si>
    <t>F20180205</t>
  </si>
  <si>
    <t>192181TGWI0092</t>
  </si>
  <si>
    <t>天津经济技术开发区第一中学中考考场设备与安装</t>
  </si>
  <si>
    <t>自营</t>
  </si>
  <si>
    <t>5月下预委托。7月13日下正式委托</t>
  </si>
  <si>
    <t>JC21-1201-2017-000085-3</t>
  </si>
  <si>
    <t>F20180118</t>
  </si>
  <si>
    <t>全运会网络通信集成项目增项</t>
  </si>
  <si>
    <t>附件待核实</t>
  </si>
  <si>
    <t>JC21-1201-2018-000186</t>
  </si>
  <si>
    <t>F20180174</t>
  </si>
  <si>
    <t>19218000WI0034</t>
  </si>
  <si>
    <t>天津市公安局西青分局电子卡口维护、维修项目</t>
  </si>
  <si>
    <t>JC21-1201-2015-000170</t>
  </si>
  <si>
    <t>F20160005</t>
  </si>
  <si>
    <t>192160HGWI0050</t>
  </si>
  <si>
    <t>天津市滨海新区汉沽泰达美源网络集成项目</t>
  </si>
  <si>
    <t>JC21-1201-2018-000245</t>
  </si>
  <si>
    <t>F20180193</t>
  </si>
  <si>
    <t>192181JKWI0088</t>
  </si>
  <si>
    <t>天津市农村工作委员会放心猪肉工程质量安全监督可追溯系统设备采购项目</t>
  </si>
  <si>
    <t>预计11月底</t>
  </si>
  <si>
    <t>JC21-1201-2018-000279</t>
  </si>
  <si>
    <t>F20180207</t>
  </si>
  <si>
    <t>192181JHWI0094</t>
  </si>
  <si>
    <t>2017年天津市专用局东丽、西青、津南、北辰四区党政党政专用通信远端接入系统建设项目（传输设备部分）</t>
  </si>
  <si>
    <t>签订合同后50天</t>
  </si>
  <si>
    <t>JC21-1201-2018-000233</t>
  </si>
  <si>
    <t>F20180195</t>
  </si>
  <si>
    <t>192181HXWI0090</t>
  </si>
  <si>
    <t>华江一委弱电改造工程</t>
  </si>
  <si>
    <t>JC21-1201-2018-000232</t>
  </si>
  <si>
    <t>F20180197</t>
  </si>
  <si>
    <t>192181HXWI0089</t>
  </si>
  <si>
    <t>云江新苑弱电改造工程</t>
  </si>
  <si>
    <t>JC21-1201-2018-000254</t>
  </si>
  <si>
    <t>F20180206</t>
  </si>
  <si>
    <t>192181HXWI0091</t>
  </si>
  <si>
    <t>海河南院区办公楼网络建设项目</t>
  </si>
  <si>
    <t>JC21-1201-2018-000267</t>
  </si>
  <si>
    <t>F20180204</t>
  </si>
  <si>
    <t>192181HXWI0093</t>
  </si>
  <si>
    <t>天津市机械设备成套局弱电工程集成项目</t>
  </si>
  <si>
    <t>208/11/</t>
  </si>
  <si>
    <t>JC21-1201-2014-000146-1</t>
  </si>
  <si>
    <t>F20150016－1</t>
  </si>
  <si>
    <t>192150DLWF0160</t>
  </si>
  <si>
    <t>国网客服中心北园区智慧园区项目增项</t>
  </si>
  <si>
    <t>F20160095-1</t>
  </si>
  <si>
    <t>192161JCWI0191</t>
  </si>
  <si>
    <t>天津市滨海新区教育体育委员会－教育专网及校园网租赁项目</t>
  </si>
  <si>
    <t>维保中</t>
  </si>
  <si>
    <t>此为初验报告</t>
  </si>
  <si>
    <t>同上</t>
  </si>
  <si>
    <t>F20160159</t>
  </si>
  <si>
    <t>192161XQWI0210</t>
  </si>
  <si>
    <t>蓝晨一期监控系统项目</t>
  </si>
  <si>
    <t>F20160238</t>
  </si>
  <si>
    <t>192161HDWM0242</t>
  </si>
  <si>
    <t>天津市第三中心医院网络设备系统集成项目</t>
  </si>
  <si>
    <t>正在确定，现从9月计收</t>
  </si>
  <si>
    <t>期限未定,等分公司确定</t>
  </si>
  <si>
    <t>JC21-1201-2018-000008-1</t>
  </si>
  <si>
    <t>F20180206－1</t>
  </si>
  <si>
    <t>塘沽第六中学无线AP覆盖项目补充协议</t>
  </si>
  <si>
    <t>JC21-1201-2018-000340</t>
  </si>
  <si>
    <t>19218000WD0102</t>
  </si>
  <si>
    <t>天津市公路处办公自动化系统软件采购合同</t>
  </si>
  <si>
    <t>张东亮张华艳</t>
  </si>
  <si>
    <t>JC21-1201-2018-000345</t>
  </si>
  <si>
    <t>F20180229</t>
  </si>
  <si>
    <t>192181HXWI0104</t>
  </si>
  <si>
    <t>天津市河西区人民政府大营门街道办事处下属社区活动室设备购置项目</t>
  </si>
  <si>
    <t>JC21-1201-2018-000353</t>
  </si>
  <si>
    <t>F20180222</t>
  </si>
  <si>
    <t>19218000WM0111</t>
  </si>
  <si>
    <t>天津市和平区教育信息化管理中心和平教育系统网络运维及软件</t>
  </si>
  <si>
    <t>李翔徐哲</t>
  </si>
  <si>
    <t>JC21-1201-2018-000283</t>
  </si>
  <si>
    <t>F20180217</t>
  </si>
  <si>
    <t>19218000WA0099</t>
  </si>
  <si>
    <t>红桥区政府VPN网络项目设备采购</t>
  </si>
  <si>
    <t>成本合同未签属完成</t>
  </si>
  <si>
    <t>JC21-1201-2018-000351</t>
  </si>
  <si>
    <t>F20180236</t>
  </si>
  <si>
    <t>19218000WI0108</t>
  </si>
  <si>
    <t>红桥区委综合布线项目</t>
  </si>
  <si>
    <t>JC21-1201-2018-000335</t>
  </si>
  <si>
    <t>F20180232</t>
  </si>
  <si>
    <t>192181HXWI0107</t>
  </si>
  <si>
    <t>天津市河西区文化中心弱电维护合同</t>
  </si>
  <si>
    <t>JC21-1201-2018-000339</t>
  </si>
  <si>
    <t>F20180230</t>
  </si>
  <si>
    <t>192181HXWI0103</t>
  </si>
  <si>
    <t>天津市河西区人民政府东海街道办事处办公楼弱电工程项目</t>
  </si>
  <si>
    <t>张华艳张东亮</t>
  </si>
  <si>
    <t>JC21-1201-2018-000424</t>
  </si>
  <si>
    <t>F20180261</t>
  </si>
  <si>
    <t>192181JKWI0116</t>
  </si>
  <si>
    <t>天津市市容园林委视频会议指挥调度系统建设项目</t>
  </si>
  <si>
    <t>2018.9.20下预委托，截至2018.11.28新下委托，正在沟通中</t>
  </si>
  <si>
    <t>12000（10％）65700（6％）</t>
  </si>
  <si>
    <t>商务合同未签属，无法预计</t>
  </si>
  <si>
    <t>JC21-1201-2018-000356</t>
  </si>
  <si>
    <t>F20180237</t>
  </si>
  <si>
    <t>192181TGWI0105</t>
  </si>
  <si>
    <t>中新生态城服务中心综合布线</t>
  </si>
  <si>
    <t>无项目名称</t>
  </si>
  <si>
    <t>JC21-1201-2018-000338</t>
  </si>
  <si>
    <t>F20180225</t>
  </si>
  <si>
    <t>192181NKWI0101</t>
  </si>
  <si>
    <t>天津市公安局南开分局视频会议系统改造项目</t>
  </si>
  <si>
    <t>项目经理后补</t>
  </si>
  <si>
    <t>试运行</t>
  </si>
  <si>
    <t>JC21-1201-2018-000333</t>
  </si>
  <si>
    <t>F20180214</t>
  </si>
  <si>
    <t>19218000II0098</t>
  </si>
  <si>
    <t>杨柳青古镇创建国家5A级旅游景区项目旅游管理系统软件集成服务项目</t>
  </si>
  <si>
    <t>西青分公司</t>
  </si>
  <si>
    <t>主合同已经施工完毕，CT部分绝大多数未开通，验收听客户通知。</t>
  </si>
  <si>
    <t>JC21-1201-2018-000372</t>
  </si>
  <si>
    <t>F20180243</t>
  </si>
  <si>
    <t>192181HDWI0109</t>
  </si>
  <si>
    <t>天津市河东区政务外网建设项目</t>
  </si>
  <si>
    <t>韩博宇</t>
  </si>
  <si>
    <t>到10/16工联单正在交涉中10/30日</t>
  </si>
  <si>
    <t>刚接到委托暂无法预估</t>
  </si>
  <si>
    <t>正在准备下</t>
  </si>
  <si>
    <t>F20180242</t>
  </si>
  <si>
    <t>192181TGWM0112</t>
  </si>
  <si>
    <t>天津经济技术开发区行政审批局</t>
  </si>
  <si>
    <t>2018/10/11工联单正在交涉中.2018.11.12全</t>
  </si>
  <si>
    <t>6－8已出</t>
  </si>
  <si>
    <t>正在下</t>
  </si>
  <si>
    <t>JC21-1201-2018-000834</t>
  </si>
  <si>
    <t>F20180215</t>
  </si>
  <si>
    <t>192181JKWD0097</t>
  </si>
  <si>
    <t>天津市河长制信息管理平台建设项目</t>
  </si>
  <si>
    <t>BU</t>
  </si>
  <si>
    <t>王帅</t>
  </si>
  <si>
    <t>李梅</t>
  </si>
  <si>
    <t>张东亮</t>
  </si>
  <si>
    <t>JC21-1201-2018-000378</t>
  </si>
  <si>
    <t>F20180247</t>
  </si>
  <si>
    <t>192181HXWI0118</t>
  </si>
  <si>
    <t>东海街社区办事大厅弱电改造工程</t>
  </si>
  <si>
    <t>JC21-1201-2018-000376</t>
  </si>
  <si>
    <t>F20180244</t>
  </si>
  <si>
    <t>192181DLWD0117</t>
  </si>
  <si>
    <t>中国共产党天津市东丽区委员会督查室督查系统开发服务项目</t>
  </si>
  <si>
    <t>软件开发</t>
  </si>
  <si>
    <t>JC21-1201-2018-000368</t>
  </si>
  <si>
    <t>F20180254</t>
  </si>
  <si>
    <t>192181JKWI0119</t>
  </si>
  <si>
    <t>农商银行政务网迁移工程项目</t>
  </si>
  <si>
    <t>JC21-1201-2018-000</t>
  </si>
  <si>
    <t>F20180241</t>
  </si>
  <si>
    <t>19218000WM0113</t>
  </si>
  <si>
    <t>天津市和平区司法局通讯网络维护项目</t>
  </si>
  <si>
    <t>截至2018.11.26仍在系统交涉中</t>
  </si>
  <si>
    <t xml:space="preserve">2018年7月至2019年6月
</t>
  </si>
  <si>
    <t>JC21-1201-2018-000427</t>
  </si>
  <si>
    <t>F20180263</t>
  </si>
  <si>
    <t>19218110WI0124</t>
  </si>
  <si>
    <t>天津市河西区人民政府陈塘庄街道办事处社区公共安全系统设备购置项目</t>
  </si>
  <si>
    <t>郑欣杰</t>
  </si>
  <si>
    <t>2018.11.28</t>
  </si>
  <si>
    <t>2018/12/</t>
  </si>
  <si>
    <t>一年</t>
  </si>
  <si>
    <t>JC21-1201-2018-000428</t>
  </si>
  <si>
    <t>F20180264</t>
  </si>
  <si>
    <t>19218110WI0123</t>
  </si>
  <si>
    <t>天津市河西区人民政府陈塘庄街道办事处综合治理大厅多媒体系统购置项目</t>
  </si>
  <si>
    <t>JC21-1201-2018-000421</t>
  </si>
  <si>
    <t>F20180260</t>
  </si>
  <si>
    <t>19218110WT0127</t>
  </si>
  <si>
    <t>天津市河西区网信办服务外包维护合同</t>
  </si>
  <si>
    <t>JC21-1201-2018-000415</t>
  </si>
  <si>
    <t>F20180256</t>
  </si>
  <si>
    <t>1921181HXWI0106</t>
  </si>
  <si>
    <t>川江里小区高清数字监控系统工程</t>
  </si>
  <si>
    <t>JC21-1201-2018-000390</t>
  </si>
  <si>
    <t>F20180255</t>
  </si>
  <si>
    <t>192181JKWI0100</t>
  </si>
  <si>
    <t>2018景区监控及客流量监测平台服务项目</t>
  </si>
  <si>
    <t>JC21-1201-2018-000390-1</t>
  </si>
  <si>
    <t>2018景区监控及客流量监测平台服务项目补充</t>
  </si>
  <si>
    <t>JC21-1201-2018-000392</t>
  </si>
  <si>
    <t>F20180251</t>
  </si>
  <si>
    <t>192181XQWI0114</t>
  </si>
  <si>
    <t>天津市西青区教育局视频监控系统购置安装项目</t>
  </si>
  <si>
    <t>JC21-1201-2018-000412</t>
  </si>
  <si>
    <t>F20180257</t>
  </si>
  <si>
    <t>192181HXWI0125</t>
  </si>
  <si>
    <t>粤江里社区居委会弱电改造工程</t>
  </si>
  <si>
    <t>JC21-1201-2018-000420</t>
  </si>
  <si>
    <t>F20180273</t>
  </si>
  <si>
    <t>19218100WI0126</t>
  </si>
  <si>
    <t>2018年交通基础设施和科技管理设施项目取电施工项目</t>
  </si>
  <si>
    <t>JC21-1201-2018-000426</t>
  </si>
  <si>
    <t>F20180274</t>
  </si>
  <si>
    <t>19218100WI0128</t>
  </si>
  <si>
    <t>JC21-1201-2018-000422</t>
  </si>
  <si>
    <t>F20180272</t>
  </si>
  <si>
    <t>19218110WI0129</t>
  </si>
  <si>
    <t>越秀路街下属社区电子阅览室网络工程合同</t>
  </si>
  <si>
    <t>JC21-1201-2018-000425</t>
  </si>
  <si>
    <t>F20180278</t>
  </si>
  <si>
    <t>19218102WI0136</t>
  </si>
  <si>
    <t>天津市北辰区卫生和计划生育委员会医保监控设备采购</t>
  </si>
  <si>
    <t>JC21-1201-2018-000445</t>
  </si>
  <si>
    <t>192181HXWD0120</t>
  </si>
  <si>
    <t>河西区数据共享交换平台项目</t>
  </si>
  <si>
    <t>河西</t>
  </si>
  <si>
    <t>JC21-1201-2018-000465</t>
  </si>
  <si>
    <t>F20180295</t>
  </si>
  <si>
    <t>19218111WI0144</t>
  </si>
  <si>
    <t xml:space="preserve">天津市红桥区2018年人脸抓拍识别比对系统建设项目  </t>
  </si>
  <si>
    <t>JC21-1201-2018-000453</t>
  </si>
  <si>
    <t>F20180279</t>
  </si>
  <si>
    <t>19218110WI0137</t>
  </si>
  <si>
    <t xml:space="preserve">天津市河西区人民政府尖山街道办事处社区安装高清数字监控系统采购项目  </t>
  </si>
  <si>
    <t xml:space="preserve">JC21-1201-2018-000447 </t>
  </si>
  <si>
    <t>F20180280</t>
  </si>
  <si>
    <t>19218110WI0132</t>
  </si>
  <si>
    <t>挂甲寺街机关办公楼弱电改造项目</t>
  </si>
  <si>
    <t xml:space="preserve">JC21-1201-2018-000447－1 </t>
  </si>
  <si>
    <t>F20180280－1</t>
  </si>
  <si>
    <t>挂甲寺街机关办公楼弱电改造项目补充</t>
  </si>
  <si>
    <t>JC21-1201-2018-000455</t>
  </si>
  <si>
    <t>F20180290</t>
  </si>
  <si>
    <t>19218100WI0142</t>
  </si>
  <si>
    <t>天津市滨海新区汉沽第八中学公共广播系统集成工程</t>
  </si>
  <si>
    <t>JC21-1201-2018-000456</t>
  </si>
  <si>
    <t>F20180291</t>
  </si>
  <si>
    <t>19218100WI0143</t>
  </si>
  <si>
    <t>天津市滨海新区汉沽第九中学公共广播系统集成工程</t>
  </si>
  <si>
    <t>JC21-1201-2018-000458</t>
  </si>
  <si>
    <t>F20180294</t>
  </si>
  <si>
    <t>19218100WI0141</t>
  </si>
  <si>
    <t>天津市滨海新区汉沽第三中学公共广播系统集成工程</t>
  </si>
  <si>
    <t>JC21-1201-2018-000469</t>
  </si>
  <si>
    <t>F20180289</t>
  </si>
  <si>
    <t>19218107WC0148</t>
  </si>
  <si>
    <t>集成 重要产品追溯体系建设平台一期项目和重要产品（肉菜）追溯体系建设项目云平台采购及相关服务项目</t>
  </si>
  <si>
    <t>委托还存在问题（现在成本绿盟、操作系统windows、等保、CT网络已经下采购到采购部，操作系统centos、数据库My SQL还没有下到采购部，因为供方非合作伙伴，又不能单一来源；同时CT中成本分配和平分公司与大客户中心怎么分配还没给准信）</t>
  </si>
  <si>
    <t>JC21-1201-2018-000451</t>
  </si>
  <si>
    <t>F20180285</t>
  </si>
  <si>
    <t>19218114WM0138</t>
  </si>
  <si>
    <t>2018年天津市党政专用通信网络发展建设项目（十五个区高清电视会议建设项目）宽带红网B网城域网部分</t>
  </si>
  <si>
    <t>无</t>
  </si>
  <si>
    <t>JC21-1201-2018-000474</t>
  </si>
  <si>
    <t>F20180284</t>
  </si>
  <si>
    <t>19218107WI0147</t>
  </si>
  <si>
    <t>天津市和平区校园视频监控提升改造设备运维项目</t>
  </si>
  <si>
    <t xml:space="preserve">JC21-1201-2019-000005 </t>
  </si>
  <si>
    <t>F20190006</t>
  </si>
  <si>
    <t>19218000WI0159</t>
  </si>
  <si>
    <t>双桥河镇监控显示屏系统改造工程项目</t>
  </si>
  <si>
    <t>JC21-1201-2018-000435</t>
  </si>
  <si>
    <t>19218100WS0133</t>
  </si>
  <si>
    <t>天津市市场和质量监督管理委员会信息化处综合行政系统软件项目</t>
  </si>
  <si>
    <t>系统集成中心</t>
  </si>
  <si>
    <t>JC21-1201-2018-000433</t>
  </si>
  <si>
    <t>19218100WI0131</t>
  </si>
  <si>
    <t>天津市市场和质量监督管理委员会信息化处综合行政系统硬件项目</t>
  </si>
  <si>
    <t>JC21-1201-2018-000505</t>
  </si>
  <si>
    <t>F20190007</t>
  </si>
  <si>
    <t>19219110WI0001</t>
  </si>
  <si>
    <t>天津市河西区人民政府东海街道办事处粤江里、汉江里和三水南里等4个社区高清数字监控项目</t>
  </si>
  <si>
    <t xml:space="preserve">JC21-1201-2018-000483 </t>
  </si>
  <si>
    <t>F20190008</t>
  </si>
  <si>
    <t>19219110WI0005</t>
  </si>
  <si>
    <t>越秀路街道办事处(菜市场)视频监控项目</t>
  </si>
  <si>
    <t>20109/1/</t>
  </si>
  <si>
    <t xml:space="preserve">JC21-1201-2018-000482 </t>
  </si>
  <si>
    <t>F20190001</t>
  </si>
  <si>
    <t>19218110WI0157</t>
  </si>
  <si>
    <t>河西区南昌路二期“城市双修”示范项目二批工程视频监控改造项目</t>
  </si>
  <si>
    <t>JC21-1201-2018-000454</t>
  </si>
  <si>
    <t>192201812260045</t>
  </si>
  <si>
    <t>蓟县交通局出租车车辆定位项目（2019）</t>
  </si>
  <si>
    <t>JC21-1201-2018-000472</t>
  </si>
  <si>
    <t>19218110WI0145</t>
  </si>
  <si>
    <t>天津市河西区人民政府大营门街道办事处蚌埠道东莱里社区安装高清数字监控系统采购项目</t>
  </si>
  <si>
    <t>JC21-1201-2018-000480</t>
  </si>
  <si>
    <t>19218101WI0156</t>
  </si>
  <si>
    <t>天津市宝坻区建设工程质量安全监督管理支队网络升级改造项目</t>
  </si>
  <si>
    <t>李庆东张东亮</t>
  </si>
  <si>
    <t>JC21-1201-2018-000162</t>
  </si>
  <si>
    <t>19218000WI0078</t>
  </si>
  <si>
    <t>天津市津南区教育局下属5所学校电子围栏维修改造项目</t>
  </si>
  <si>
    <t>JC21-1201-2018-000102</t>
  </si>
  <si>
    <t>19218000WI0064</t>
  </si>
  <si>
    <t>天津市津南区双桥河第二小学电子围栏维修改造项目</t>
  </si>
  <si>
    <t>JC21-1201-2018-000168</t>
  </si>
  <si>
    <t>19218000WI0085</t>
  </si>
  <si>
    <t>天津市咸水沽第二中学电子围栏维修改造项目</t>
  </si>
  <si>
    <t>JC21-1201-2018-000103</t>
  </si>
  <si>
    <t>19218000WI0065</t>
  </si>
  <si>
    <t>天津市津南区咸水沽第六小学电子围栏维修改造项目</t>
  </si>
  <si>
    <t>JC21-1201-2018-000107</t>
  </si>
  <si>
    <t>19218000WI0066</t>
  </si>
  <si>
    <t>天津市津南区咸水沽第五小学电子围栏维修改造项目</t>
  </si>
  <si>
    <t>JC21-1201-2018-000100</t>
  </si>
  <si>
    <t>19218000WI0063</t>
  </si>
  <si>
    <t>天津市津南区葛沽第二小学电子围栏维修改造项目</t>
  </si>
  <si>
    <t>JC21-1201-2018-000110</t>
  </si>
  <si>
    <t>19218000WI0068</t>
  </si>
  <si>
    <t>天津市津南区第二幼儿园电子围栏维修改造项目</t>
  </si>
  <si>
    <t>JC21-1201-2018-000108</t>
  </si>
  <si>
    <t>19218000WI0069</t>
  </si>
  <si>
    <t>天津市津南区第一幼儿园电子围栏维修改造项目</t>
  </si>
  <si>
    <t>JC21-1201-2018-000109</t>
  </si>
  <si>
    <t>19218000WI0067</t>
  </si>
  <si>
    <t>天津市津南区第三幼儿园电子围栏维修改造项目</t>
  </si>
  <si>
    <t>JC21-1201-2018-000124</t>
  </si>
  <si>
    <t>19218000WA0070</t>
  </si>
  <si>
    <t>天津市葛沽第一中学电子围栏维修改造项目</t>
  </si>
  <si>
    <t>JC21-1201-2018-000122</t>
  </si>
  <si>
    <t>19218000WI0061</t>
  </si>
  <si>
    <t>天津市辛庄中学电子围栏维修改造项目</t>
  </si>
  <si>
    <t>JC21-1201-2018-000118</t>
  </si>
  <si>
    <t>19218000WI0062</t>
  </si>
  <si>
    <t>天津市津南区双港新家园小学电子围栏维修改造项目</t>
  </si>
  <si>
    <t>JC21-1201-2018-000139</t>
  </si>
  <si>
    <t>192118000WI0059</t>
  </si>
  <si>
    <t>天津市津南区第九幼儿园电子围栏维修改造项目</t>
  </si>
  <si>
    <t>JC21-1201-2018-000125</t>
  </si>
  <si>
    <t>19218000WI0075</t>
  </si>
  <si>
    <t>天津市津南区实验小学电子围栏维修改造项目</t>
  </si>
  <si>
    <t>JC21-1201-2018-000120</t>
  </si>
  <si>
    <t>192181000WI0072</t>
  </si>
  <si>
    <t>天津市津南区北闸口第三小学电子围栏维修改造项目</t>
  </si>
  <si>
    <t>JC21-1201-2018-000116</t>
  </si>
  <si>
    <t>19218000WI0071</t>
  </si>
  <si>
    <t>天津市津南区何庄子联合小学电子围栏维修改造项目</t>
  </si>
  <si>
    <t>JC21-1201-2018-000119</t>
  </si>
  <si>
    <t>19218000WI0080</t>
  </si>
  <si>
    <t>天津市津南区小站第四小学电子围栏维修改造项目</t>
  </si>
  <si>
    <t>JC21-1201-2018-000121</t>
  </si>
  <si>
    <t>19218000WI0081</t>
  </si>
  <si>
    <t>天津市津南区小站第六小学电子围栏维修改造项目</t>
  </si>
  <si>
    <t>JC21-1201-2018-000140</t>
  </si>
  <si>
    <t>19218000WI0060</t>
  </si>
  <si>
    <t>天津市津南区第七幼儿园电子围栏维修改造项目</t>
  </si>
  <si>
    <t>JC21-1201-2018-000123</t>
  </si>
  <si>
    <t>19218000WI0074</t>
  </si>
  <si>
    <t>天津市津南区第十幼儿园电子围栏维修改造项目</t>
  </si>
  <si>
    <t>JC21-1201-2018-000115</t>
  </si>
  <si>
    <t>19218000WI0082</t>
  </si>
  <si>
    <t>天津市津南区小站第一小学电子围栏维修改造项目</t>
  </si>
  <si>
    <t>JC21-1201-2018-000113</t>
  </si>
  <si>
    <t>19218000WI0073</t>
  </si>
  <si>
    <t>天津市津南区北闸口第二小学电子围栏维修改造项目</t>
  </si>
  <si>
    <t>JC21-1201-2018-000114</t>
  </si>
  <si>
    <t>19218000WI0079</t>
  </si>
  <si>
    <t>天津市津南区小站第三小学电子围栏维修改造项目</t>
  </si>
  <si>
    <t xml:space="preserve">JC21-1201-2019-000006 </t>
  </si>
  <si>
    <t>F20190017</t>
  </si>
  <si>
    <t>19218119WT0146</t>
  </si>
  <si>
    <t>高清技防网运行维护项目</t>
  </si>
  <si>
    <t>JC21-1201-2019-000029</t>
  </si>
  <si>
    <t>F20190013</t>
  </si>
  <si>
    <t>19219119WI0006</t>
  </si>
  <si>
    <t>天津市公安局西青分局各单位人脸识别设备购置安装项目</t>
  </si>
  <si>
    <t>403项目</t>
  </si>
  <si>
    <t>中标未下建设委托</t>
  </si>
  <si>
    <t>河西网信办</t>
  </si>
  <si>
    <t xml:space="preserve">JC21-1201-2019-000027 </t>
  </si>
  <si>
    <t>F20190025</t>
  </si>
  <si>
    <t>19219119WI0015</t>
  </si>
  <si>
    <t>中小学安防和视频监控升级项目--视频监控系统(一)增项</t>
  </si>
  <si>
    <t>2019.2.27</t>
  </si>
  <si>
    <t>JC21-1201-2019-000017</t>
  </si>
  <si>
    <t>F20190038</t>
  </si>
  <si>
    <t>19219107WI0010</t>
  </si>
  <si>
    <t>天津市第十九中学质控中心项目</t>
  </si>
  <si>
    <t>苏腾飞</t>
  </si>
  <si>
    <t>2019年3月按新规执行</t>
  </si>
  <si>
    <t>项目质保/维保期</t>
  </si>
  <si>
    <t>业务类型（建设委托＋运营）</t>
  </si>
  <si>
    <t>根据运营部填写项目类型</t>
  </si>
  <si>
    <t>收入合同（13％）</t>
  </si>
  <si>
    <t>收入合同（9％）</t>
  </si>
  <si>
    <t>云</t>
  </si>
  <si>
    <t>预计设备成本（13％）</t>
  </si>
  <si>
    <t>预计施工成本（9％）</t>
  </si>
  <si>
    <t>预计服务成本（9％CT）</t>
  </si>
  <si>
    <t>预计施工成本（云）</t>
  </si>
  <si>
    <t>调走项目经理按区分配的新项目经理</t>
  </si>
  <si>
    <t>成本合同签订日期</t>
  </si>
  <si>
    <t>回款金额</t>
  </si>
  <si>
    <t>回款比例</t>
  </si>
  <si>
    <t>吴俊杰（按区）</t>
  </si>
  <si>
    <t>建设</t>
  </si>
  <si>
    <t>刘建欣（按区）</t>
  </si>
  <si>
    <t>ITO</t>
  </si>
  <si>
    <t>2017.4-6</t>
  </si>
  <si>
    <t>2017/6/31</t>
  </si>
  <si>
    <t>ITO项目，已出保</t>
  </si>
  <si>
    <t>JC21-1201-2015-000173</t>
  </si>
  <si>
    <t>192160DLWI0010</t>
  </si>
  <si>
    <t>F20160001</t>
  </si>
  <si>
    <t>空港经济区2015年智能交通工程</t>
  </si>
  <si>
    <t>原有项目补充</t>
  </si>
  <si>
    <t>原陈建春</t>
  </si>
  <si>
    <t>李翔（按区）</t>
  </si>
  <si>
    <t>2015/11/15</t>
  </si>
  <si>
    <t>2015/10/</t>
  </si>
  <si>
    <t>JC21-1201-2016-000005</t>
  </si>
  <si>
    <t>192160XQWI0071</t>
  </si>
  <si>
    <t>F20160007</t>
  </si>
  <si>
    <t>天津市公安局西青分局2015年技防网建设工程、光缆租费及电费</t>
  </si>
  <si>
    <t>租赁</t>
  </si>
  <si>
    <t>王桂林（按区）</t>
  </si>
  <si>
    <t>2016/2/24</t>
  </si>
  <si>
    <t>JC21-1201-2015-000164</t>
  </si>
  <si>
    <t>192160JXWI0080</t>
  </si>
  <si>
    <t>F20160008</t>
  </si>
  <si>
    <t>2016/1/18</t>
  </si>
  <si>
    <t>2016/2/1 2016/4/20</t>
  </si>
  <si>
    <t>2016/3/11 2016/4/21</t>
  </si>
  <si>
    <t>JC21-1201-2016-000016</t>
  </si>
  <si>
    <t>192160HQWI0120</t>
  </si>
  <si>
    <t>F20160012</t>
  </si>
  <si>
    <t>红桥区电子政务基础网络建设项目</t>
  </si>
  <si>
    <t>张智超</t>
  </si>
  <si>
    <t>苏腾飞（按区）</t>
  </si>
  <si>
    <t>验收日期因被压字，估为5月</t>
  </si>
  <si>
    <t>JC21-1201-2016-000008</t>
  </si>
  <si>
    <t>192160JKWF0131</t>
  </si>
  <si>
    <t>F20160013</t>
  </si>
  <si>
    <t>天津市旅游信息中心基于天津联通数据的天津旅游全域及景区数据分析预警系统及云存储项目</t>
  </si>
  <si>
    <t>建设+CT</t>
  </si>
  <si>
    <t>2016/1/</t>
  </si>
  <si>
    <t>JC21-1201-2015-000093</t>
  </si>
  <si>
    <t>192161NKWD0008</t>
  </si>
  <si>
    <t>F20160014</t>
  </si>
  <si>
    <t>天津市清新空气行动信息化建设项目</t>
  </si>
  <si>
    <t>2015/11/6</t>
  </si>
  <si>
    <t>JC21-1201-2016-000002</t>
  </si>
  <si>
    <t>19216000WO0002</t>
  </si>
  <si>
    <t>F20160015</t>
  </si>
  <si>
    <t>静海县建设管理委员会远程监控系统采购项目</t>
  </si>
  <si>
    <t>JC21-1201-2016-000018</t>
  </si>
  <si>
    <t>192160TGWI0170</t>
  </si>
  <si>
    <t>F20160017</t>
  </si>
  <si>
    <t>天津市滨海新区塘沽教学仪器设备站考点信息化建设项目</t>
  </si>
  <si>
    <t>2016/2/4</t>
  </si>
  <si>
    <t>JC21-1201-2016-000021</t>
  </si>
  <si>
    <t>192161JKWI0223</t>
  </si>
  <si>
    <t>F20160021</t>
  </si>
  <si>
    <t>天津市公安交通管理局泗村店交警执法站公安专网接入项目</t>
  </si>
  <si>
    <t>135000.00</t>
  </si>
  <si>
    <t>原刘建欣</t>
  </si>
  <si>
    <t>2016/2/23</t>
  </si>
  <si>
    <t>2016/12/</t>
  </si>
  <si>
    <t>JC21-1201-2016-000030</t>
  </si>
  <si>
    <t>192161BCWI0007</t>
  </si>
  <si>
    <t>F20160023</t>
  </si>
  <si>
    <t>2015年天津市公安局北辰分局技防网建设工程项目</t>
  </si>
  <si>
    <t>JC21-1201-2016-000053</t>
  </si>
  <si>
    <t>192161HGWI0010</t>
  </si>
  <si>
    <t>F20160025</t>
  </si>
  <si>
    <t>天津市滨海新区城市管理综合执法局监控设备改造项目</t>
  </si>
  <si>
    <t>JC21-1201-2016-000015</t>
  </si>
  <si>
    <t>192161XQWI0172</t>
  </si>
  <si>
    <t>F20160029</t>
  </si>
  <si>
    <t>天津市西青区技防网2013年项目供电线路代理维护合同</t>
  </si>
  <si>
    <t>维护</t>
  </si>
  <si>
    <t>JC21-1201-2016-000014</t>
  </si>
  <si>
    <t>192161XQWI0173</t>
  </si>
  <si>
    <r>
      <rPr>
        <b/>
        <sz val="9"/>
        <rFont val="宋体"/>
        <family val="3"/>
        <charset val="134"/>
      </rPr>
      <t>F20160030</t>
    </r>
  </si>
  <si>
    <r>
      <rPr>
        <sz val="9"/>
        <rFont val="宋体"/>
        <family val="3"/>
        <charset val="134"/>
      </rPr>
      <t>天津市西青区技防网2014年项目供电线路代理维护合同</t>
    </r>
  </si>
  <si>
    <t>JC21-1201-2016-000043</t>
  </si>
  <si>
    <t>JC</t>
  </si>
  <si>
    <t>JC21-1201-2016-000042</t>
  </si>
  <si>
    <t>192161JCWO0176</t>
  </si>
  <si>
    <t>F20160034</t>
  </si>
  <si>
    <t>天津市教育招生考试院多联式空调室内外机机空调移机项目</t>
  </si>
  <si>
    <t>JC21-1201-2015-000143</t>
  </si>
  <si>
    <t>19216000WO0179</t>
  </si>
  <si>
    <t>F20160040</t>
  </si>
  <si>
    <t>天津市公安局光缆路由查勘项目合同</t>
  </si>
  <si>
    <t>W</t>
  </si>
  <si>
    <t>JC21-1201-2016-000057</t>
  </si>
  <si>
    <t>192160HBND0177</t>
  </si>
  <si>
    <t>F20160043</t>
  </si>
  <si>
    <t>中新天津生态城管理委员会OA系统和门户网站维护检测升级合同2015</t>
  </si>
  <si>
    <t>袁静</t>
  </si>
  <si>
    <t>刘嘉（按区）</t>
  </si>
  <si>
    <t>JC21-1201-2016-000056</t>
  </si>
  <si>
    <t>192161FGWO0178</t>
  </si>
  <si>
    <t>F20160044</t>
  </si>
  <si>
    <t>天津滨海新都市御海东苑室外通信线路工程</t>
  </si>
  <si>
    <t>JC21-1201-2016-000027</t>
  </si>
  <si>
    <t>192161HGWI0181</t>
  </si>
  <si>
    <t>F20160049</t>
  </si>
  <si>
    <t>清河地区公安局、检察院、法院有线通信系统工程</t>
  </si>
  <si>
    <t>2015/5/</t>
  </si>
  <si>
    <t>JC21-1201-2016-000033</t>
  </si>
  <si>
    <t>192161JCWI0006</t>
  </si>
  <si>
    <t>F20160050</t>
  </si>
  <si>
    <t>天津市河西区文化局三馆室外弱电工程</t>
  </si>
  <si>
    <t>2017/1/</t>
  </si>
  <si>
    <t>JC21-1201-2016-000044</t>
  </si>
  <si>
    <t>192161HGWO0171</t>
  </si>
  <si>
    <t>F20160051</t>
  </si>
  <si>
    <t>天津宝龙城项目现场安装视频监控工程</t>
  </si>
  <si>
    <t>JC21-1201-2016-000069</t>
  </si>
  <si>
    <t>192161JCWI0183</t>
  </si>
  <si>
    <t>F20160061</t>
  </si>
  <si>
    <t>天津市红星职业中等专业学校实训监控系统购置项目合同</t>
  </si>
  <si>
    <t>JC21-1201-2016-000023</t>
  </si>
  <si>
    <t>192161HGWI0182</t>
  </si>
  <si>
    <t>F20160065</t>
  </si>
  <si>
    <t>德晟祥广场建委远程监控项目</t>
  </si>
  <si>
    <t>JC21-1201-2016-000071</t>
  </si>
  <si>
    <t>192161JCWO0009</t>
  </si>
  <si>
    <t>F20160069</t>
  </si>
  <si>
    <t>天津滨腾会展管理有限公司2016天津夏季达沃斯论坛弱电</t>
  </si>
  <si>
    <t>JC21-1201-2016-000055</t>
  </si>
  <si>
    <t>19216000WR0185</t>
  </si>
  <si>
    <t>F20160071</t>
  </si>
  <si>
    <t>上海岩谷有限公司储罐状况监控管理项目</t>
  </si>
  <si>
    <t>芮晓静</t>
  </si>
  <si>
    <t>JC21-1201-2016-000076</t>
  </si>
  <si>
    <t>192161HXWI0184</t>
  </si>
  <si>
    <t>F20160073</t>
  </si>
  <si>
    <t>天津市河西区人民政府尖山街道办事处社区监控一期系统集成项目</t>
  </si>
  <si>
    <t>芮晓靖</t>
  </si>
  <si>
    <t>JC21-1201-2016-000066</t>
  </si>
  <si>
    <t>192161WQWI0187</t>
  </si>
  <si>
    <t>F20160076</t>
  </si>
  <si>
    <t>天津市武清区安全生产防控网（硬件部分）建设项目</t>
  </si>
  <si>
    <t>JC21-1201-2016-000065</t>
  </si>
  <si>
    <t>192161WQWI0186</t>
  </si>
  <si>
    <t>F20160078</t>
  </si>
  <si>
    <t>杨北公路津蓟铁路K9+414辛庄道口安装超速违法摄录装置安装工程</t>
  </si>
  <si>
    <t>验收报告上只有写开竣工时间的地方</t>
  </si>
  <si>
    <t>2017/</t>
  </si>
  <si>
    <t>JC21-1201-2016-000079</t>
  </si>
  <si>
    <t>192161TGWD0188</t>
  </si>
  <si>
    <t>F20160079</t>
  </si>
  <si>
    <t>天津临港港务集团有限公司档案管理系统软件开发服务合同</t>
  </si>
  <si>
    <t>F20160079-2</t>
  </si>
  <si>
    <t>天津临港港务集团有限公司档案管理系统软件开发服务合同-设备部分</t>
  </si>
  <si>
    <t>JC21-1201-2016-000081</t>
  </si>
  <si>
    <t>192161HGWI0189</t>
  </si>
  <si>
    <t>F20160080</t>
  </si>
  <si>
    <t>汉沽紫润别苑住宅小区弱电工程</t>
  </si>
  <si>
    <t>JC21-1201-2016-000101</t>
  </si>
  <si>
    <t>BOT</t>
  </si>
  <si>
    <t>2016/7/1</t>
  </si>
  <si>
    <t>JC21-1201-2016-000078</t>
  </si>
  <si>
    <t>192161JNWI0190</t>
  </si>
  <si>
    <t>F20160110</t>
  </si>
  <si>
    <t>天津市公安局津南分局2015年技防网高清视频监控和电子卡口系统建设项目</t>
  </si>
  <si>
    <t>2016/3/1</t>
  </si>
  <si>
    <t>F20160112</t>
  </si>
  <si>
    <t>天津津南双桥河镇福和园视频监控项目</t>
  </si>
  <si>
    <t>王鼐（按区）</t>
  </si>
  <si>
    <t>2016/1/22</t>
  </si>
  <si>
    <t>192161BDWI02030</t>
  </si>
  <si>
    <t>F20160113</t>
  </si>
  <si>
    <t>天津市金梧桐花园小区一期集成</t>
  </si>
  <si>
    <t>2016/7/4</t>
  </si>
  <si>
    <t>JC21-1201-2016-000124</t>
  </si>
  <si>
    <t>192161HBWI0193</t>
  </si>
  <si>
    <t>F20160116</t>
  </si>
  <si>
    <t>天津市河北区建设工程质量安全监督管理支队智慧工地机房改造</t>
  </si>
  <si>
    <t>2016/6/25</t>
  </si>
  <si>
    <t>JC21-1201-2016-000115</t>
  </si>
  <si>
    <t>192161HBWI0192</t>
  </si>
  <si>
    <t>F20160117</t>
  </si>
  <si>
    <t>天津市河北区建设工程质量安全监督管理支队智慧工地监控平台项目</t>
  </si>
  <si>
    <t>JC21-1201-2016-000116</t>
  </si>
  <si>
    <t>192161JNWI0195</t>
  </si>
  <si>
    <t>F20160120</t>
  </si>
  <si>
    <t>中小企业公关服务平台津南区窗口平台视频会议系统项目</t>
  </si>
  <si>
    <t>2016/6/29</t>
  </si>
  <si>
    <t>JC21-1201-2016-000068</t>
  </si>
  <si>
    <t>192161WQWI0197</t>
  </si>
  <si>
    <t>F20160125</t>
  </si>
  <si>
    <t>2015泉州路违反停车视频监控建设工程</t>
  </si>
  <si>
    <t>2016/3/8</t>
  </si>
  <si>
    <t>JC21-1201-2016-000118</t>
  </si>
  <si>
    <t>192161TGWO0199</t>
  </si>
  <si>
    <t>F20160126</t>
  </si>
  <si>
    <t>天津滨海新区商务区管理委员会呼叫中心维护及坐席服务项目-坐席部分</t>
  </si>
  <si>
    <t>JC21-1201-2016-000122</t>
  </si>
  <si>
    <t>192161JHWI0201</t>
  </si>
  <si>
    <t>F20160129</t>
  </si>
  <si>
    <t>天津市公安局图像侦查和技防监管总队（第11处）2016年静海区视频监控系统建设工程</t>
  </si>
  <si>
    <t>JC21-1201-2016-000123-1</t>
  </si>
  <si>
    <t>192160HBND0202</t>
  </si>
  <si>
    <t>F20160130</t>
  </si>
  <si>
    <t>2016年中新天津生态城管理委员会OA系统和门户网站有偿维护检测升级合同</t>
  </si>
  <si>
    <t>JC21-1201-2016-000119</t>
  </si>
  <si>
    <t>192161TGWO0200</t>
  </si>
  <si>
    <t>F20160134</t>
  </si>
  <si>
    <t>天保金海岸D06住宅项目光纤入户配套工程</t>
  </si>
  <si>
    <t>2016/8/1</t>
  </si>
  <si>
    <t>2017/3/</t>
  </si>
  <si>
    <t>JC21-1201-2016-000120</t>
  </si>
  <si>
    <t>192161DLWI0204</t>
  </si>
  <si>
    <t>F20160142</t>
  </si>
  <si>
    <t>2016年度天津港保税区、空港经济区、空港国际物流区技防及智能交通设施养管项目协议书</t>
  </si>
  <si>
    <t>JC21-1201-2016-000061</t>
  </si>
  <si>
    <t>19216000WI0003</t>
  </si>
  <si>
    <t>F20160144</t>
  </si>
  <si>
    <t>天津市2015-2016年度外阜技防网系统代理维护合同</t>
  </si>
  <si>
    <t>JC21-1201-2016-000245</t>
  </si>
  <si>
    <t>192161HXWI0237</t>
  </si>
  <si>
    <t>F20160145</t>
  </si>
  <si>
    <t>天安佰盈保险销售有限公司天津分公司集成项目工程</t>
  </si>
  <si>
    <t>刘健欣（按区）</t>
  </si>
  <si>
    <t>2016/7/10</t>
  </si>
  <si>
    <t>JC21-1201-2016-000126</t>
  </si>
  <si>
    <t>192161TGWI0205</t>
  </si>
  <si>
    <t>F20160148</t>
  </si>
  <si>
    <t>天津临港智能装备起步区室内信号放大工程</t>
  </si>
  <si>
    <t>JC21-1201-2016-000130</t>
  </si>
  <si>
    <t>192161TGWO0207</t>
  </si>
  <si>
    <t>F20160152</t>
  </si>
  <si>
    <t>泰达建设集团第一大街A地块通信工程</t>
  </si>
  <si>
    <t>竣工资料</t>
  </si>
  <si>
    <t>JC21-1201-2016-000128</t>
  </si>
  <si>
    <t>F20160154</t>
  </si>
  <si>
    <t>2016年北辰区视频监控系统建设工程项目（第四包）</t>
  </si>
  <si>
    <t>JC21-1201-2016-000144</t>
  </si>
  <si>
    <t>192161TGWI0209</t>
  </si>
  <si>
    <t>F20160155</t>
  </si>
  <si>
    <t>天津滨海新区海防网络信道建设项目系统集成服务合同</t>
  </si>
  <si>
    <t>维护中</t>
  </si>
  <si>
    <t>JC21-1201-2016-000129</t>
  </si>
  <si>
    <t>JC21-1201-2016-000110</t>
  </si>
  <si>
    <t>JC21-1201-2015-000050</t>
  </si>
  <si>
    <t>192161HGWI0213</t>
  </si>
  <si>
    <t>F20160179</t>
  </si>
  <si>
    <t>天津市滨海新区规划和国土资源管理局第二分局办公楼弱电工程</t>
  </si>
  <si>
    <t>2016/11/1</t>
  </si>
  <si>
    <t>JC21-1201-2016-000125</t>
  </si>
  <si>
    <t>192161HXWI0198</t>
  </si>
  <si>
    <t>F20160180</t>
  </si>
  <si>
    <r>
      <rPr>
        <sz val="9"/>
        <rFont val="宋体"/>
        <family val="3"/>
        <charset val="134"/>
      </rPr>
      <t>修理厂弱电配套项目工程</t>
    </r>
  </si>
  <si>
    <t>2017/6/24</t>
  </si>
  <si>
    <t>项目至今记收80％，时间暂空</t>
  </si>
  <si>
    <t>空</t>
  </si>
  <si>
    <t>JC21-1201-2016-000121</t>
  </si>
  <si>
    <t>192161HXWI0194</t>
  </si>
  <si>
    <t>F20160181</t>
  </si>
  <si>
    <t>天津市纪律检查委员会通信机房建设工程</t>
  </si>
  <si>
    <t>2016/8/20</t>
  </si>
  <si>
    <t>JC21-1201-2016-000158</t>
  </si>
  <si>
    <t>192161JKWI0216</t>
  </si>
  <si>
    <t>F20160182</t>
  </si>
  <si>
    <t>一商集团办公楼弱电综合布线系统工程</t>
  </si>
  <si>
    <t>2016/8/23</t>
  </si>
  <si>
    <t>JC21-1201-2016-000141</t>
  </si>
  <si>
    <t>19216000WD0215</t>
  </si>
  <si>
    <t>F20160183</t>
  </si>
  <si>
    <t>天津市恶臭污染源排放信息动态管理平台建设项目</t>
  </si>
  <si>
    <t>李翔（一直在管）</t>
  </si>
  <si>
    <t>放外边</t>
  </si>
  <si>
    <t>192161BDWI0230</t>
  </si>
  <si>
    <t>F20160185</t>
  </si>
  <si>
    <t>天津市金梧桐花园小区二期集成</t>
  </si>
  <si>
    <t>JC21-1201-2016-000165</t>
  </si>
  <si>
    <t>BT项目，质保中</t>
  </si>
  <si>
    <t>JC21-1201-2016-000159</t>
  </si>
  <si>
    <t>192161JKWI0224</t>
  </si>
  <si>
    <t>F20160190</t>
  </si>
  <si>
    <t>天津市司法局专网建设项目</t>
  </si>
  <si>
    <t>JC21-1201-2016-000170</t>
  </si>
  <si>
    <t>192161HGWI0229</t>
  </si>
  <si>
    <t>F20160203</t>
  </si>
  <si>
    <t>杨家泊道路主要出入口视频监控云存储项目</t>
  </si>
  <si>
    <t>JC21-1201-2016-000169</t>
  </si>
  <si>
    <r>
      <rPr>
        <sz val="9"/>
        <rFont val="宋体"/>
        <family val="3"/>
        <charset val="134"/>
      </rPr>
      <t>192161HGWI0230</t>
    </r>
  </si>
  <si>
    <t>F20160204</t>
  </si>
  <si>
    <t>高庄道路主要出入口视频监控云存储项目</t>
  </si>
  <si>
    <t>JC21-1201-2016-000168</t>
  </si>
  <si>
    <t>192161HGWI0228</t>
  </si>
  <si>
    <t>F20160205</t>
  </si>
  <si>
    <t>西庄坨道路主要出入口视频监控云存储项目</t>
  </si>
  <si>
    <t>JC21-1201-2016-000172</t>
  </si>
  <si>
    <t>192161BDWI0218</t>
  </si>
  <si>
    <t>F20160208</t>
  </si>
  <si>
    <t>天津市宝坻区人民法院网络电话系统工程</t>
  </si>
  <si>
    <t>JC21-1201-2016-000178</t>
  </si>
  <si>
    <t>192161HXWI0217</t>
  </si>
  <si>
    <t>F20160211</t>
  </si>
  <si>
    <t>天津市河西区残疾人劳动服务所系统集成合同</t>
  </si>
  <si>
    <t>C21-1201-2016-000190</t>
  </si>
  <si>
    <t>JC21-1201-2016-000185</t>
  </si>
  <si>
    <t>192161HXWI0226</t>
  </si>
  <si>
    <t>F20160216</t>
  </si>
  <si>
    <t>天津市河西区人民政府桃园街道办事处泰达园二期系统集成合同</t>
  </si>
  <si>
    <t>JC21-1201-2016-000184</t>
  </si>
  <si>
    <t>192161HXWI0225</t>
  </si>
  <si>
    <t>F20160217</t>
  </si>
  <si>
    <t>天津市河西区人民政府大营门街道办事处系统集成合同</t>
  </si>
  <si>
    <t>JC21-1201-2016-000173</t>
  </si>
  <si>
    <t>JC21-1201-2016-000216</t>
  </si>
  <si>
    <t>19216000WI0235</t>
  </si>
  <si>
    <t>F20160227</t>
  </si>
  <si>
    <t>天津市河东区政府网关项目</t>
  </si>
  <si>
    <t>JC21-1201-2016-000217</t>
  </si>
  <si>
    <r>
      <rPr>
        <sz val="9"/>
        <rFont val="宋体"/>
        <family val="3"/>
        <charset val="134"/>
      </rPr>
      <t>19216000WI0236</t>
    </r>
  </si>
  <si>
    <t>F20160228</t>
  </si>
  <si>
    <t>天津市河东区政府服务器项目</t>
  </si>
  <si>
    <t>JC21-1201-2016-000182</t>
  </si>
  <si>
    <t>19216000WI0227</t>
  </si>
  <si>
    <t>F20160229</t>
  </si>
  <si>
    <t>天津市河东区政府政务网平台改造服务项目</t>
  </si>
  <si>
    <t>JC21-1201-2016-000207</t>
  </si>
  <si>
    <t>JC21-1201-2016-000222</t>
  </si>
  <si>
    <t>192161JKWI0232</t>
  </si>
  <si>
    <t>F20160231</t>
  </si>
  <si>
    <t>天津市司法局建设互联网无线WIFI系统项目</t>
  </si>
  <si>
    <t>JC21-1201-2016-000242</t>
  </si>
  <si>
    <t>192161JKWI0245</t>
  </si>
  <si>
    <t>F20160232</t>
  </si>
  <si>
    <t>天津市教育招生考试院蓄电池及配电线路改造项目</t>
  </si>
  <si>
    <t>图片打印件</t>
  </si>
  <si>
    <t>JC21-1201-2016-000239</t>
  </si>
  <si>
    <t>192161JKWI0244</t>
  </si>
  <si>
    <t>F20160233</t>
  </si>
  <si>
    <t>天津市教育招生考试院机房专用精密空调维保服务项目</t>
  </si>
  <si>
    <t>JC21-1201-2016-000214</t>
  </si>
  <si>
    <t>192161TGWI0247</t>
  </si>
  <si>
    <t>F20160234</t>
  </si>
  <si>
    <t>天津市滨海新区天津临港港务集团有限公司件杂货码头生产作业管理系统（一期）项目软件部</t>
  </si>
  <si>
    <t>JC21-1201-2016-000228</t>
  </si>
  <si>
    <t>192161TGWI0246</t>
  </si>
  <si>
    <t>F20160235</t>
  </si>
  <si>
    <t>天津市滨海新区天津临港港务集团有限公司件杂货码头生产作业管理系统（一期）项目硬件部</t>
  </si>
  <si>
    <t>JC21-1201-2016-000179</t>
  </si>
  <si>
    <t>192161TGWO0240</t>
  </si>
  <si>
    <t>F20160236</t>
  </si>
  <si>
    <t>天津市滨海新区塘沽区向阳第一小学楼内弱电金属桥架项目</t>
  </si>
  <si>
    <t>JC21-1201-2016-000221</t>
  </si>
  <si>
    <t>192161JKWO0239</t>
  </si>
  <si>
    <t>F20160237</t>
  </si>
  <si>
    <t>天津市北洋职业中等专业学校线路铺设工程</t>
  </si>
  <si>
    <t>JC21-1201-2016-000257</t>
  </si>
  <si>
    <t>JC21-1201-2016-000243</t>
  </si>
  <si>
    <t>19216000WD0238</t>
  </si>
  <si>
    <t>F20170006</t>
  </si>
  <si>
    <t>天津市恶臭污染源排放信息动态管理平台建设项目增项</t>
  </si>
  <si>
    <t>JC21-1201-2017-000213</t>
  </si>
  <si>
    <t>2017/7/</t>
  </si>
  <si>
    <t>关于《天津市都行商场监控系统改造项目合同》</t>
  </si>
  <si>
    <t>F20170009-1</t>
  </si>
  <si>
    <t>F20170009-2</t>
  </si>
  <si>
    <t>第三方销售</t>
  </si>
  <si>
    <t>F20170010-1</t>
  </si>
  <si>
    <t>JC21-1201-2016-000231</t>
  </si>
  <si>
    <t>19217000WI0008</t>
  </si>
  <si>
    <t>F20170012</t>
  </si>
  <si>
    <t>天津贵云通商贸有限公司弱电工程</t>
  </si>
  <si>
    <t>JC21-1201-2016-000232</t>
  </si>
  <si>
    <t>192171JNWI0004</t>
  </si>
  <si>
    <t>F20170013</t>
  </si>
  <si>
    <t>咸水沽镇卫生院VPN工程项目</t>
  </si>
  <si>
    <t>JC21-1201-2017-000256</t>
  </si>
  <si>
    <t>192171TGWI0003</t>
  </si>
  <si>
    <t>F20170015</t>
  </si>
  <si>
    <t>天津市滨海新区塘沽十四中无线网络覆盖建设工程</t>
  </si>
  <si>
    <t>192171TGWM0005</t>
  </si>
  <si>
    <t>F20170017</t>
  </si>
  <si>
    <t>塘沽十四中网络设备线路维护服务项目</t>
  </si>
  <si>
    <t>JC21-1201-2017-000007</t>
  </si>
  <si>
    <t>192171DLWI0013</t>
  </si>
  <si>
    <t>F20170018</t>
  </si>
  <si>
    <t>中铁隧道集团第五建筑有限公司网络设备购置买卖合同</t>
  </si>
  <si>
    <t>JC21-1201-2016-000208</t>
  </si>
  <si>
    <t>192171DGWI0012</t>
  </si>
  <si>
    <t>F20170019</t>
  </si>
  <si>
    <t>天津市滨海新区大港区中塘镇政府视频会议ICT集成项目</t>
  </si>
  <si>
    <t xml:space="preserve">大港 </t>
  </si>
  <si>
    <t>JC21-1201-2017-000015</t>
  </si>
  <si>
    <t>19217000WI0010</t>
  </si>
  <si>
    <t>F20170023</t>
  </si>
  <si>
    <t>天津市公安局图像侦查和技防监管总队（第十一处）2016年河东区视频监控系统建设二期</t>
  </si>
  <si>
    <t>11000000.00</t>
  </si>
  <si>
    <t>JC21-1201-2016-000211</t>
  </si>
  <si>
    <t>19216000WI0234</t>
  </si>
  <si>
    <t>F20170024</t>
  </si>
  <si>
    <t>双湖花园456号楼红线内管道、光纤线路、军线线路建设项目</t>
  </si>
  <si>
    <t>JC21-1201-2017-000001</t>
  </si>
  <si>
    <t>JC21-1201-2016-000218</t>
  </si>
  <si>
    <t>19217000WM0015</t>
  </si>
  <si>
    <t>F20170027</t>
  </si>
  <si>
    <t>天津市电子政务内网信息化运维项目</t>
  </si>
  <si>
    <t>JC21-1201-2017-000049</t>
  </si>
  <si>
    <t>19217000WM0017</t>
  </si>
  <si>
    <t>天津市委信息化系统运维服务项目-2016年度运维服务</t>
  </si>
  <si>
    <t>192171WQWT0014</t>
  </si>
  <si>
    <t>F20170030</t>
  </si>
  <si>
    <t>天津市公安局图像侦查和技防监管总队（第十一处）2016年武清区视频监控系统建设工程项目</t>
  </si>
  <si>
    <t>192161HXWI0233</t>
  </si>
  <si>
    <t>F20170032</t>
  </si>
  <si>
    <t>哈尔滨银行股份有限公司系统集成合同</t>
  </si>
  <si>
    <t>JC21-1201-2017-000018</t>
  </si>
  <si>
    <t>192171HXWI0009</t>
  </si>
  <si>
    <t>F20170033</t>
  </si>
  <si>
    <t>天津健康产业园体育基地新建生活区项目一期施工总承包工程</t>
  </si>
  <si>
    <t>JC21-1201-2017-000047</t>
  </si>
  <si>
    <t>192171NKWI0019</t>
  </si>
  <si>
    <t>F20170046</t>
  </si>
  <si>
    <t>天津易华录信息技术有限公司网络设备采购项目</t>
  </si>
  <si>
    <t>JC21-1201-2017-000042-2</t>
  </si>
  <si>
    <t>192171JHWI0021</t>
  </si>
  <si>
    <t>F20170051</t>
  </si>
  <si>
    <t>2016年静海视频监控设备采购合同</t>
  </si>
  <si>
    <t xml:space="preserve">有 </t>
  </si>
  <si>
    <t>JC21-1201-2017-000013</t>
  </si>
  <si>
    <t>192171BDWI0007</t>
  </si>
  <si>
    <t>F20170053</t>
  </si>
  <si>
    <t>宝地经典小区视频监控安装工程</t>
  </si>
  <si>
    <t>JC21-1201-2017-000014</t>
  </si>
  <si>
    <t>192171BDWI0006</t>
  </si>
  <si>
    <t>F20170054</t>
  </si>
  <si>
    <t>馨逸家园小区视频监控安装工程</t>
  </si>
  <si>
    <t>JC21-1201-2017-000059</t>
  </si>
  <si>
    <t>19217000WM0022</t>
  </si>
  <si>
    <t>F20170055</t>
  </si>
  <si>
    <t>ICT天津国家密码管理局通信备份配套设备采购项目</t>
  </si>
  <si>
    <t>JC21-1201-2017-000052</t>
  </si>
  <si>
    <t>19217000WI0023</t>
  </si>
  <si>
    <t>F20170056</t>
  </si>
  <si>
    <t>天津市公安局蓟州分局机房搬迁</t>
  </si>
  <si>
    <t>JC21-1201-2017-000019</t>
  </si>
  <si>
    <t>JC21-1201-2017-000060</t>
  </si>
  <si>
    <t>192171BDWI0020</t>
  </si>
  <si>
    <t>F20170065</t>
  </si>
  <si>
    <t>馨逸家园党建视频监控安装工程</t>
  </si>
  <si>
    <t>JC21-1201-2017-000070</t>
  </si>
  <si>
    <t>192161HDWI0243</t>
  </si>
  <si>
    <t>F20170074</t>
  </si>
  <si>
    <t>天津市第三中心医院网络平台租用服务项目</t>
  </si>
  <si>
    <t>JC21-1201-2017-000072</t>
  </si>
  <si>
    <t>19217000WM0029</t>
  </si>
  <si>
    <t>F20170076</t>
  </si>
  <si>
    <t>2017年度天津港保税区、空港经济区、空港国际物流区技防及智能交通设施养管项目协议书</t>
  </si>
  <si>
    <t>服务项目，已出保</t>
  </si>
  <si>
    <t>JC21-1201-2017-000073</t>
  </si>
  <si>
    <t>图片资料（打印）</t>
  </si>
  <si>
    <t>BT项目，已出保</t>
  </si>
  <si>
    <t>JC21-1201-2017-000082</t>
  </si>
  <si>
    <t>JC21-1201-2017-000085</t>
  </si>
  <si>
    <t>JC21-1201-2017-000084</t>
  </si>
  <si>
    <t>19217000WI0028</t>
  </si>
  <si>
    <t>F20170095</t>
  </si>
  <si>
    <t>天津市滨海新区开元房地产D07地块通信配套工程</t>
  </si>
  <si>
    <t>原项目补充</t>
  </si>
  <si>
    <t>JC21-1201-2017-000076</t>
  </si>
  <si>
    <t>192171JCWI0033</t>
  </si>
  <si>
    <t>F20170096</t>
  </si>
  <si>
    <t>教育招生考试院空调采购及安装项目</t>
  </si>
  <si>
    <t>JC21-1201-2017-000111</t>
  </si>
  <si>
    <t>JC21-1201-2017-000091</t>
  </si>
  <si>
    <t>F20170115</t>
  </si>
  <si>
    <t>JC21-1201-2017-000120</t>
  </si>
  <si>
    <t>JC12-1201-2017-000092</t>
  </si>
  <si>
    <t>JC21-1201-2017-000123</t>
  </si>
  <si>
    <t>19217FJX070037</t>
  </si>
  <si>
    <t>复印件暂时单放，原件刘嘉</t>
  </si>
  <si>
    <t>JC21-1201-2017-000141</t>
  </si>
  <si>
    <t>JC21-1201-2017-000134</t>
  </si>
  <si>
    <t>后还有2017天津智能大会媒体及外宣办部分系统集成项目</t>
  </si>
  <si>
    <t>有第二阶段验收报告（2019/8月）</t>
  </si>
  <si>
    <t>2018/2/27 2019/8/25</t>
  </si>
  <si>
    <t>2019/3/</t>
  </si>
  <si>
    <t>JC21-1201-2017-000</t>
  </si>
  <si>
    <t>ITO项目，维护中</t>
  </si>
  <si>
    <t>F20180010</t>
  </si>
  <si>
    <t>F20180011</t>
  </si>
  <si>
    <t>F20180013</t>
  </si>
  <si>
    <t>F20180015</t>
  </si>
  <si>
    <t>F20180017</t>
  </si>
  <si>
    <t>F20180018</t>
  </si>
  <si>
    <t>F20180019</t>
  </si>
  <si>
    <t>F20180020</t>
  </si>
  <si>
    <t>F20180021</t>
  </si>
  <si>
    <t>F20180022</t>
  </si>
  <si>
    <t>F20180023</t>
  </si>
  <si>
    <t>F20180024</t>
  </si>
  <si>
    <t>F20180025</t>
  </si>
  <si>
    <t>F20180026</t>
  </si>
  <si>
    <t>F20180027</t>
  </si>
  <si>
    <t>F20180028</t>
  </si>
  <si>
    <t>F20180029</t>
  </si>
  <si>
    <t>F20180030</t>
  </si>
  <si>
    <t>F20180031</t>
  </si>
  <si>
    <t>F20180032</t>
  </si>
  <si>
    <t>F20180033</t>
  </si>
  <si>
    <t>F20180034</t>
  </si>
  <si>
    <t>F20180035</t>
  </si>
  <si>
    <t>F20180036</t>
  </si>
  <si>
    <t>F20180037</t>
  </si>
  <si>
    <t>F20180038</t>
  </si>
  <si>
    <t>F20180039</t>
  </si>
  <si>
    <t>F20180040</t>
  </si>
  <si>
    <t>F20180041</t>
  </si>
  <si>
    <t>F20180042</t>
  </si>
  <si>
    <t>F20180043</t>
  </si>
  <si>
    <t>192181HXWI0007</t>
  </si>
  <si>
    <t>技防网全部验收报告中（全部复印件）</t>
  </si>
  <si>
    <t>JC21-1201-2017-000249</t>
  </si>
  <si>
    <t>JC21-1201-2018-000029</t>
  </si>
  <si>
    <t>建设+ITO</t>
  </si>
  <si>
    <t>打印</t>
  </si>
  <si>
    <t>后有“天津市公安局反恐怖工作总队车载DVR采购项目：</t>
  </si>
  <si>
    <t>19218000WI0027</t>
  </si>
  <si>
    <t>ITO+CT</t>
  </si>
  <si>
    <t>纯维项目，维保中</t>
  </si>
  <si>
    <t>同原项目</t>
  </si>
  <si>
    <t>ITO+CT+云</t>
  </si>
  <si>
    <t>F20180134</t>
  </si>
  <si>
    <t xml:space="preserve">ICT中国铁路设计集团有限公司空港研发基地综合布线系统项目采购合同 </t>
  </si>
  <si>
    <t>补充</t>
  </si>
  <si>
    <t>F20180137</t>
  </si>
  <si>
    <t>F20180138</t>
  </si>
  <si>
    <t>F20180140</t>
  </si>
  <si>
    <t>F20180141</t>
  </si>
  <si>
    <t>F20180142</t>
  </si>
  <si>
    <t>F20180143</t>
  </si>
  <si>
    <t>F20180144</t>
  </si>
  <si>
    <t>F20180145</t>
  </si>
  <si>
    <t>F20180146</t>
  </si>
  <si>
    <t>F20180148</t>
  </si>
  <si>
    <t>F20180151</t>
  </si>
  <si>
    <t>F20180152</t>
  </si>
  <si>
    <t>F20180153</t>
  </si>
  <si>
    <t>F20180154</t>
  </si>
  <si>
    <t>F20180156</t>
  </si>
  <si>
    <t>F20180157</t>
  </si>
  <si>
    <t>F20180158</t>
  </si>
  <si>
    <t>F20180159</t>
  </si>
  <si>
    <t>F20180160</t>
  </si>
  <si>
    <t>F20180161</t>
  </si>
  <si>
    <t>F20180162</t>
  </si>
  <si>
    <t>F20180150</t>
  </si>
  <si>
    <t>F20180155</t>
  </si>
  <si>
    <t>192181WQWI0053</t>
  </si>
  <si>
    <t>F20180173</t>
  </si>
  <si>
    <t>因合同签订问题，验收报告只记录，无法提供</t>
  </si>
  <si>
    <t>JC21-1201-2018-000209</t>
  </si>
  <si>
    <t>F20180177</t>
  </si>
  <si>
    <t>初验整改报告及验收报告2018/9/22</t>
  </si>
  <si>
    <t>F20180178</t>
  </si>
  <si>
    <t>JC21-1201-2018-000194-1</t>
  </si>
  <si>
    <t>192180JCIM0087</t>
  </si>
  <si>
    <t>F20180194</t>
  </si>
  <si>
    <r>
      <rPr>
        <sz val="9"/>
        <color theme="1"/>
        <rFont val="宋体"/>
        <family val="3"/>
        <charset val="134"/>
        <scheme val="minor"/>
      </rPr>
      <t>2018</t>
    </r>
    <r>
      <rPr>
        <sz val="9"/>
        <rFont val="宋体"/>
        <family val="3"/>
        <charset val="134"/>
      </rPr>
      <t>年天津节点现场会议保障和维护项目</t>
    </r>
  </si>
  <si>
    <t>JC21-1201-2018-000321</t>
  </si>
  <si>
    <t>19218000WA0096</t>
  </si>
  <si>
    <t>F20180211</t>
  </si>
  <si>
    <t>天津市津南区双港镇卫生院VPN网络项目设备采购合同</t>
  </si>
  <si>
    <t>王鼐</t>
  </si>
  <si>
    <t>图片打印</t>
  </si>
  <si>
    <t>集团建设+大数据+CT</t>
  </si>
  <si>
    <t>F20180226</t>
  </si>
  <si>
    <t>192180HQSM0121</t>
  </si>
  <si>
    <t>F20180231</t>
  </si>
  <si>
    <t>天津市红桥区公安消防支队物联网维护项目</t>
  </si>
  <si>
    <t>建设+ITO+CT</t>
  </si>
  <si>
    <t>JC21-1201-2018-000450</t>
  </si>
  <si>
    <t>19219117WT0020</t>
  </si>
  <si>
    <t>2019.4原ERP终止，新ERP重新下发</t>
  </si>
  <si>
    <t>验收日期时间为2018年，月日为空。第一次收为2019.4.22但因验收日期未接。第二次收为2019/7/4。验收日期依然为2018年</t>
  </si>
  <si>
    <t>192180JKQI0095</t>
  </si>
  <si>
    <t>集团项目无F号</t>
  </si>
  <si>
    <t>天津市公安局长途客运汽车站及进京长途汽车防控系统建设项目</t>
  </si>
  <si>
    <t>集团</t>
  </si>
  <si>
    <t>应已验收，见过图片竣收报告，但未给纸质及图片</t>
  </si>
  <si>
    <t>JC21-1201-2018-000470</t>
  </si>
  <si>
    <t xml:space="preserve">已验收 </t>
  </si>
  <si>
    <t>192181HXWI0106</t>
  </si>
  <si>
    <t>JC21-1201-2018-000406</t>
  </si>
  <si>
    <t>19218100WT0122</t>
  </si>
  <si>
    <t>F20180258</t>
  </si>
  <si>
    <t>天津市滨海新区大港电子政务信息中心机房网络系统维护项目</t>
  </si>
  <si>
    <t>19218106WI0139</t>
  </si>
  <si>
    <t>F20180281</t>
  </si>
  <si>
    <t>滨海新区建筑领域治欠保支信息系统项目</t>
  </si>
  <si>
    <t>JC21-1201-2018-000451-1</t>
  </si>
  <si>
    <t>完工报告</t>
  </si>
  <si>
    <t>带竣工资料</t>
  </si>
  <si>
    <t>F20180305</t>
  </si>
  <si>
    <t>F20190002</t>
  </si>
  <si>
    <t>F20190003</t>
  </si>
  <si>
    <t>F20190004</t>
  </si>
  <si>
    <t>F20190005</t>
  </si>
  <si>
    <t>F20190009</t>
  </si>
  <si>
    <t>F20190011</t>
  </si>
  <si>
    <t>JC21-1201-2018-000440-2</t>
  </si>
  <si>
    <t>19218118WO0135</t>
  </si>
  <si>
    <t>F20190012</t>
  </si>
  <si>
    <t xml:space="preserve">天津市武清区农村基层防汛预报预警体系建设中通讯网络建设项目服务合同 </t>
  </si>
  <si>
    <t>2019年4月运营通知改收入合同，此项目算未接到，需重新下委托</t>
  </si>
  <si>
    <t>JC21-1201-2018-000442</t>
  </si>
  <si>
    <t>19218105WI0155</t>
  </si>
  <si>
    <t>天津市滨海新区公安局保税分局视频监控网扩容项目合同</t>
  </si>
  <si>
    <t>JC21-1201-2018-000508</t>
  </si>
  <si>
    <t>19219111WI0002</t>
  </si>
  <si>
    <t>F20190014</t>
  </si>
  <si>
    <t>天津大悦城购物中心反恐整改项目施工合同</t>
  </si>
  <si>
    <t>JC21-1201-2018-000463</t>
  </si>
  <si>
    <t>19218104WI0152</t>
  </si>
  <si>
    <t>F20190015</t>
  </si>
  <si>
    <t>天津市政协机关监控系统提升改造项目合同</t>
  </si>
  <si>
    <t>JC21-1201-2019-000028</t>
  </si>
  <si>
    <t>19218000WT0158</t>
  </si>
  <si>
    <t>F20190016</t>
  </si>
  <si>
    <t>天津市津南区教育局中小学、幼儿园监控系统及围栏维保采购项目</t>
  </si>
  <si>
    <t>JC21-1201-2019-000030</t>
  </si>
  <si>
    <t>19219000WI0012</t>
  </si>
  <si>
    <t>天津市津南区教育局津南教育安防工程采购项目合同</t>
  </si>
  <si>
    <t>F20190018</t>
  </si>
  <si>
    <t>F20190019</t>
  </si>
  <si>
    <t>F20190020</t>
  </si>
  <si>
    <t>F20190021</t>
  </si>
  <si>
    <t>JC21-1201-2018-000502－1</t>
  </si>
  <si>
    <t>19219110WS0013</t>
  </si>
  <si>
    <t>F20190022</t>
  </si>
  <si>
    <t>天津市河西区智慧市政综合平台软件购置项目</t>
  </si>
  <si>
    <t>有两个模块的验收，没有全部验收</t>
  </si>
  <si>
    <t>JC21-1201-2019-000067</t>
  </si>
  <si>
    <t>19219110WT0016</t>
  </si>
  <si>
    <t>F20190023</t>
  </si>
  <si>
    <t>河西区政务网络运维项目</t>
  </si>
  <si>
    <t xml:space="preserve">JC21-1201-2019-000021 </t>
  </si>
  <si>
    <t>19219104WI0030</t>
  </si>
  <si>
    <t>F20190024</t>
  </si>
  <si>
    <t>中国农业发展银行天津市分行联通IDC租用机柜改造工程</t>
  </si>
  <si>
    <t xml:space="preserve">JC21-1201-2019-000003 </t>
  </si>
  <si>
    <t>19219000WI0004</t>
  </si>
  <si>
    <t>津南区双桥河示范小城镇农民安置用房二期工程兆和园室外配套工程</t>
  </si>
  <si>
    <t>有进度款审查意见表</t>
  </si>
  <si>
    <t>JC21-1201-2019-000096</t>
  </si>
  <si>
    <t>19219104WI0029</t>
  </si>
  <si>
    <t>F20190026</t>
  </si>
  <si>
    <t>太平人寿保险有限公司天津分公司综合布线和机房装修项目</t>
  </si>
  <si>
    <t>张芮</t>
  </si>
  <si>
    <t xml:space="preserve">JC21-1201-2019-000093 </t>
  </si>
  <si>
    <t>19219110WT0031</t>
  </si>
  <si>
    <t>F20190027</t>
  </si>
  <si>
    <t>天津市河西区教育局服务外包维护服务项目合同</t>
  </si>
  <si>
    <t xml:space="preserve">JC21-1201-2019-000090 </t>
  </si>
  <si>
    <t>19219101WI0026</t>
  </si>
  <si>
    <t>F20190028</t>
  </si>
  <si>
    <t>城管委网络改造项目</t>
  </si>
  <si>
    <t>杨楠</t>
  </si>
  <si>
    <t xml:space="preserve">JC21-1201-2019-000085 </t>
  </si>
  <si>
    <t>19219100WI0024</t>
  </si>
  <si>
    <t>F20190029</t>
  </si>
  <si>
    <t>天津市西青区教育招生考试中心ups不间断电源及配电系统设备更新项目</t>
  </si>
  <si>
    <t>19219104WI0023</t>
  </si>
  <si>
    <t>F20190030</t>
  </si>
  <si>
    <t>中心城区老旧排水管网及泵站改造一期工程泵站自动化及防汛信息系统升级改造工程泵站自控数据传输光纤安装</t>
  </si>
  <si>
    <t>包兰天</t>
  </si>
  <si>
    <t>JC21-1201-2018-000417</t>
  </si>
  <si>
    <t>19218000WM0110</t>
  </si>
  <si>
    <t>F20190031</t>
  </si>
  <si>
    <t>天津市公安局西青分局第三期标清改高清技防网（298）项目光纤租赁和供电服务项目</t>
  </si>
  <si>
    <t>光纤维护</t>
  </si>
  <si>
    <t>刘振彪</t>
  </si>
  <si>
    <t xml:space="preserve">JC21-1201-2019-000100 </t>
  </si>
  <si>
    <t>19219117WW0019</t>
  </si>
  <si>
    <t>F20190032</t>
  </si>
  <si>
    <t>天津市开发区公安消防支队消防物联网建设项目</t>
  </si>
  <si>
    <t>集团建设</t>
  </si>
  <si>
    <t xml:space="preserve">JC21-1201-2019-000104 </t>
  </si>
  <si>
    <t>19219108WW0022</t>
  </si>
  <si>
    <t>F20190033</t>
  </si>
  <si>
    <t>天津市河北区消防物联网建设项目</t>
  </si>
  <si>
    <t>集团建设+CT</t>
  </si>
  <si>
    <t>JC21-1201-2019-000059</t>
  </si>
  <si>
    <t>19219102BI0018</t>
  </si>
  <si>
    <t>F20190034</t>
  </si>
  <si>
    <t>2018年北辰区环保局中心机房升级改造项目</t>
  </si>
  <si>
    <t>JC21-1201-2019-000012</t>
  </si>
  <si>
    <t>19219104WS0007</t>
  </si>
  <si>
    <t>F20190035</t>
  </si>
  <si>
    <t>天津市工业企业上云上平台公共服务平台项目</t>
  </si>
  <si>
    <t>平台服务</t>
  </si>
  <si>
    <t>2020/9/</t>
  </si>
  <si>
    <t>JC21-1201-2019-000122</t>
  </si>
  <si>
    <t>19219000WI0044</t>
  </si>
  <si>
    <t>F20190036</t>
  </si>
  <si>
    <t>全国第十届残运会基础网络服务项目</t>
  </si>
  <si>
    <t>无ERP等编号</t>
  </si>
  <si>
    <t>9%  6%</t>
  </si>
  <si>
    <t>JC21-1201-2019-000117</t>
  </si>
  <si>
    <t>19219102WT0040</t>
  </si>
  <si>
    <t>F20190037</t>
  </si>
  <si>
    <t>2019年北辰区政务MPLS-VPN网络维护项目系统集成服务项目</t>
  </si>
  <si>
    <t>曹金毅</t>
  </si>
  <si>
    <t>还缺项目需求书</t>
  </si>
  <si>
    <t>JC21-1201-2019-000120</t>
  </si>
  <si>
    <t>19219107WS0041</t>
  </si>
  <si>
    <t>天津市和平区人民政府劝业场街道办事处智慧医疗项目</t>
  </si>
  <si>
    <t>章双佐</t>
  </si>
  <si>
    <t>JC21-1201-2019-000089</t>
  </si>
  <si>
    <t>19219105WI0037</t>
  </si>
  <si>
    <t>F20190039</t>
  </si>
  <si>
    <t>天津市东丽区华新街道“雪亮工程”综治视频监控系统专用网络维护项目</t>
  </si>
  <si>
    <t>张天</t>
  </si>
  <si>
    <t>直至5月7号建设委托税率为老税率，以及没有项目需求书和标前会会议纪要</t>
  </si>
  <si>
    <t>JC21-1201-2019-000119</t>
  </si>
  <si>
    <t>19219110WI0035</t>
  </si>
  <si>
    <t>F20190040</t>
  </si>
  <si>
    <t>天津市河西区人民政府下瓦房街道办事处2019年度“一制三化”建设网络提升改造项目</t>
  </si>
  <si>
    <t>李振宇</t>
  </si>
  <si>
    <t>JC21-1201-2019-000099</t>
  </si>
  <si>
    <t>19219000WI0043</t>
  </si>
  <si>
    <t>F20190041</t>
  </si>
  <si>
    <t>天津市信息化建设投资管理局ITO服务与维护项目</t>
  </si>
  <si>
    <t xml:space="preserve">JC21-1201-2018-000021-1  </t>
  </si>
  <si>
    <t>F20190042</t>
  </si>
  <si>
    <t>关于《古文化街智慧旅游信息化项目（一期）项目》的补充协议</t>
  </si>
  <si>
    <t>JC21-1201-2019-000102</t>
  </si>
  <si>
    <t>19219109WT0025</t>
  </si>
  <si>
    <t>F20190043</t>
  </si>
  <si>
    <t>天津市城市公用事业管理局弱电信息化平台综合维保服务项目</t>
  </si>
  <si>
    <t>JC21-1201-2019-000151</t>
  </si>
  <si>
    <t>19219102WS0058</t>
  </si>
  <si>
    <t>F20190044</t>
  </si>
  <si>
    <t>天津市滨海新区拓明科技有限公司运维服务平台系统开发项目</t>
  </si>
  <si>
    <t>JC21-1201-2019-000143</t>
  </si>
  <si>
    <t>19219111WT0051</t>
  </si>
  <si>
    <t>F20190045</t>
  </si>
  <si>
    <t>北京居和信弱电维护服务项目</t>
  </si>
  <si>
    <t>冯震宇</t>
  </si>
  <si>
    <t>JC21-1201-2019-000138</t>
  </si>
  <si>
    <t>19219111WI0052</t>
  </si>
  <si>
    <t>F20190046</t>
  </si>
  <si>
    <t>中共天津市红桥区委宣传部信息系统集成服务项目</t>
  </si>
  <si>
    <t>JC21-1201-2019-000165</t>
  </si>
  <si>
    <t>19219107WT0066</t>
  </si>
  <si>
    <t>F20190047</t>
  </si>
  <si>
    <t>天津市第十九中学信息化服务项目合同</t>
  </si>
  <si>
    <t>JC21-1201-2019-000167</t>
  </si>
  <si>
    <t>19219107WS0061</t>
  </si>
  <si>
    <t>F20190048</t>
  </si>
  <si>
    <t>天津老干部局天津市离退休干部服务管理系统软件开发项目</t>
  </si>
  <si>
    <t>JC21-1201-2019-000160</t>
  </si>
  <si>
    <t>19219107WS0063</t>
  </si>
  <si>
    <t>F20190049</t>
  </si>
  <si>
    <t>天津市和平区河（湖）长制管理信息系统项目</t>
  </si>
  <si>
    <t>付欣</t>
  </si>
  <si>
    <t>245472.48 6％  2927.529％</t>
  </si>
  <si>
    <t>JC21-1201-2019-000175</t>
  </si>
  <si>
    <t>19219112WI0072</t>
  </si>
  <si>
    <t>F20190050</t>
  </si>
  <si>
    <t>天津市2019年度山洪灾害防治非工程措施补充完善项目标</t>
  </si>
  <si>
    <t xml:space="preserve">JC21-1201-2019-000125    </t>
  </si>
  <si>
    <t>19219110WI0045</t>
  </si>
  <si>
    <t>F20190051</t>
  </si>
  <si>
    <t>天津市农业农村委员会系统集成合同</t>
  </si>
  <si>
    <t>升级改造服务</t>
  </si>
  <si>
    <t>补</t>
  </si>
  <si>
    <t>2019/9/210</t>
  </si>
  <si>
    <t xml:space="preserve">JC21-1201-2019-000163 </t>
  </si>
  <si>
    <t>19219110WI0059</t>
  </si>
  <si>
    <t>F20190052</t>
  </si>
  <si>
    <t>天津市北航通信网络工程有限公司小型建设工程项目</t>
  </si>
  <si>
    <t>JC21-1201-2019-000150</t>
  </si>
  <si>
    <t>19219109WT0057</t>
  </si>
  <si>
    <t>F20190053</t>
  </si>
  <si>
    <t>天津市河东区房管供热服务中心信息服务项目</t>
  </si>
  <si>
    <t>JC21-1201-2019-000137</t>
  </si>
  <si>
    <t>19219101WI0060</t>
  </si>
  <si>
    <t>F20190054</t>
  </si>
  <si>
    <t>天津冠城物业管理有限公司弱电改造项目</t>
  </si>
  <si>
    <t>李天慈</t>
  </si>
  <si>
    <t xml:space="preserve">2019/6/ </t>
  </si>
  <si>
    <t>JC21-1201-2019-000171</t>
  </si>
  <si>
    <t>19219110WI0069</t>
  </si>
  <si>
    <t>F20190055</t>
  </si>
  <si>
    <t>天津何庄子农产品批发市场弱电改造项目</t>
  </si>
  <si>
    <t xml:space="preserve">JC21-1201-2019-000135 </t>
  </si>
  <si>
    <t>19219115WI0070</t>
  </si>
  <si>
    <t>F20190056</t>
  </si>
  <si>
    <t>天津市民俗博物馆人脸识别通道闸系统工程</t>
  </si>
  <si>
    <t>JC21-1201-2019-000139</t>
  </si>
  <si>
    <t>19219115WI0033</t>
  </si>
  <si>
    <t>F20190057</t>
  </si>
  <si>
    <t>天津市安澜利运文化交流活动策划有限公司智能检票通道闸系统工程项目合同</t>
  </si>
  <si>
    <t>JC21-1201-2019-000177</t>
  </si>
  <si>
    <t>19219105WT0080</t>
  </si>
  <si>
    <t>F20190058</t>
  </si>
  <si>
    <t>天津市东丽区网络资源整合项目</t>
  </si>
  <si>
    <t>3988800  1411200</t>
  </si>
  <si>
    <t>9% 6％</t>
  </si>
  <si>
    <t>JC21-1201-2019-000200</t>
  </si>
  <si>
    <t>19219105WI0065</t>
  </si>
  <si>
    <t>F20190059</t>
  </si>
  <si>
    <t>天津市规划和自然资源局东丽分局机房信息平台系统集成服务项目</t>
  </si>
  <si>
    <t>JC21-1201-2019-000153</t>
  </si>
  <si>
    <t>19219117WO0009</t>
  </si>
  <si>
    <t>F20190060</t>
  </si>
  <si>
    <t>易泰达科技有限公司呼叫中心座席服务项目</t>
  </si>
  <si>
    <t>JC21-1201-2019-000172</t>
  </si>
  <si>
    <t>19219112WI0071</t>
  </si>
  <si>
    <t>F20190061</t>
  </si>
  <si>
    <t>天津市第一中心医院话务台总机系统升级维护服务项目</t>
  </si>
  <si>
    <t>JC21-1201-2018-000443</t>
  </si>
  <si>
    <t>19219117WO0011</t>
  </si>
  <si>
    <t>F20190062</t>
  </si>
  <si>
    <t>天津市滨海新区供热集团有限公司集团办公楼网络线缆改造工程</t>
  </si>
  <si>
    <t>JC21-1201-2019-000169</t>
  </si>
  <si>
    <t>19219114WI0062</t>
  </si>
  <si>
    <t>F20190063</t>
  </si>
  <si>
    <t>天津市静海区民政局网络信息平台系统集成服务项目</t>
  </si>
  <si>
    <t>JC21-1201-2019-000178</t>
  </si>
  <si>
    <t>19219110WI0074</t>
  </si>
  <si>
    <t>F20190064</t>
  </si>
  <si>
    <t>1114项目</t>
  </si>
  <si>
    <t>类型一：提供服务加设备所有权转移</t>
  </si>
  <si>
    <t>JC21-1201-2017-000243-2</t>
  </si>
  <si>
    <t>1921818BCWI0010</t>
  </si>
  <si>
    <t>F20190065</t>
  </si>
  <si>
    <t>华涛汽车增项</t>
  </si>
  <si>
    <t>JC21-1201-2019-000180</t>
  </si>
  <si>
    <t>19219115WI0077</t>
  </si>
  <si>
    <t>F20190066</t>
  </si>
  <si>
    <t>南开交警支队wifi项目</t>
  </si>
  <si>
    <t>JC21-1201-2019-000170</t>
  </si>
  <si>
    <t>19219111WI0068</t>
  </si>
  <si>
    <t>F20190067</t>
  </si>
  <si>
    <t xml:space="preserve">  红桥审批局智能化系统服务项目</t>
  </si>
  <si>
    <t>类型四：客户采购服务业务</t>
  </si>
  <si>
    <t>JC21-1201-2018-000449</t>
  </si>
  <si>
    <t>19219119WI0073</t>
  </si>
  <si>
    <t>F20190068</t>
  </si>
  <si>
    <t>天津市西青经济开发总公司视频监控维护服务项目</t>
  </si>
  <si>
    <t xml:space="preserve"> JC21-1201-2019-000166 </t>
  </si>
  <si>
    <t>19219115WI0050</t>
  </si>
  <si>
    <t>F20190069</t>
  </si>
  <si>
    <t xml:space="preserve">天津中油燃气车用燃料技术有限公司系统集成项目 </t>
  </si>
  <si>
    <t xml:space="preserve">  JC21-1201-2019-000149 </t>
  </si>
  <si>
    <t>19219115WO0053</t>
  </si>
  <si>
    <t>F20190070</t>
  </si>
  <si>
    <t>上海岩谷有限公司储罐状况监控管理项目（2019年）</t>
  </si>
  <si>
    <t>JC21-1201-2019-000136</t>
  </si>
  <si>
    <t>19219107WT0021</t>
  </si>
  <si>
    <t>F20190071</t>
  </si>
  <si>
    <t>天津市和平区政务外网信息化服务项目</t>
  </si>
  <si>
    <t>57600 9％ 3280800 6％</t>
  </si>
  <si>
    <t>2019.10开始后一年</t>
  </si>
  <si>
    <t>JC21-1201-2019-000183</t>
  </si>
  <si>
    <t>19219000II0038</t>
  </si>
  <si>
    <t>F20190072</t>
  </si>
  <si>
    <t>公安蓟州分局2018年社会治安综合管理服务平台三期项目（信息化维保工程）</t>
  </si>
  <si>
    <t>JC21-1201-2019-000182</t>
  </si>
  <si>
    <t>19219111WI0064</t>
  </si>
  <si>
    <t>F20190073</t>
  </si>
  <si>
    <t>天津市红桥区双环邨街道办事处网络语音平台系统集成服务项目</t>
  </si>
  <si>
    <t>19219119WI0087</t>
  </si>
  <si>
    <t>F20190074</t>
  </si>
  <si>
    <t>天津市西青区张家窝镇智慧平安社区建设服务项目</t>
  </si>
  <si>
    <t>JC21-1201-2019-000191</t>
  </si>
  <si>
    <t>19219112WO0086</t>
  </si>
  <si>
    <t>F20190075</t>
  </si>
  <si>
    <t>天津市蓟州区智慧社区信息推送平台系统开发项目</t>
  </si>
  <si>
    <t>JC21-1201-2019-000195</t>
  </si>
  <si>
    <t>19219102WI0090</t>
  </si>
  <si>
    <t>F20190076</t>
  </si>
  <si>
    <t>天津市北辰区文化和旅游局ICT项目</t>
  </si>
  <si>
    <t>JC21-1201-2019-000187</t>
  </si>
  <si>
    <t>19219104WI0088</t>
  </si>
  <si>
    <t>F20190077</t>
  </si>
  <si>
    <t>津南双新街道视频监控服务项目</t>
  </si>
  <si>
    <t>JC21-1201-2019-000179</t>
  </si>
  <si>
    <t>19219115WI0067</t>
  </si>
  <si>
    <t>F20190078</t>
  </si>
  <si>
    <t>南开区密码（普密）机房UPS系统升级改造服务项目</t>
  </si>
  <si>
    <t>JC21-1001-2019-00737</t>
  </si>
  <si>
    <t>19219113WI0076</t>
  </si>
  <si>
    <t>F20190079</t>
  </si>
  <si>
    <t>天津市津南区信息中心视频监控系统运维项目</t>
  </si>
  <si>
    <t>集团建设+ITO</t>
  </si>
  <si>
    <t>JC21-1201-2019-000198</t>
  </si>
  <si>
    <t>19219111WT0081</t>
  </si>
  <si>
    <t>F20190080</t>
  </si>
  <si>
    <t>中铁隧道设计院UPS项目</t>
  </si>
  <si>
    <t>原件小苏处</t>
  </si>
  <si>
    <t>JC21-1201-2019-000192</t>
  </si>
  <si>
    <t>19219107WI0089</t>
  </si>
  <si>
    <t>F20190081</t>
  </si>
  <si>
    <t>天津市和平区智慧平安社区建设项目</t>
  </si>
  <si>
    <t xml:space="preserve">JC21-1201-2019-000181 </t>
  </si>
  <si>
    <t>19219110WI0092</t>
  </si>
  <si>
    <t>F20190082</t>
  </si>
  <si>
    <t xml:space="preserve">盛邦物流（天津）有限公司综合布线项目 </t>
  </si>
  <si>
    <t>JC21-1201-2019-000185</t>
  </si>
  <si>
    <t>19219116WI0075</t>
  </si>
  <si>
    <t>F20190083</t>
  </si>
  <si>
    <t>天富骏强（唐山）科技产业园开发建设有限公司系统集成服务项目合同</t>
  </si>
  <si>
    <t>JC21-1201-2019-000157</t>
  </si>
  <si>
    <t>19219110WI0091</t>
  </si>
  <si>
    <t>F20190084</t>
  </si>
  <si>
    <t>越秀路街道办事处视频监控项目</t>
  </si>
  <si>
    <t>JC21-1201-2019-000210</t>
  </si>
  <si>
    <t>19219105WI0082</t>
  </si>
  <si>
    <t>F20190085</t>
  </si>
  <si>
    <t>金桥街雪亮工程服务项目</t>
  </si>
  <si>
    <t>JC21-1201-2019-000252</t>
  </si>
  <si>
    <t>19219109WI0103</t>
  </si>
  <si>
    <t>F20190086</t>
  </si>
  <si>
    <t>天津市热电有限公司IP交换机呼叫中心项目</t>
  </si>
  <si>
    <t xml:space="preserve">JC21-1201-2019-000237 </t>
  </si>
  <si>
    <t>19219110WI0107</t>
  </si>
  <si>
    <t>F20190087</t>
  </si>
  <si>
    <t>天津市河西区友谊路街综合治理大厅多媒体系统购置项目</t>
  </si>
  <si>
    <t xml:space="preserve">JC21-1201-2019-000112 </t>
  </si>
  <si>
    <t>19219000WI0042</t>
  </si>
  <si>
    <t>F20190088</t>
  </si>
  <si>
    <t>天津中交绿城城市建设发展有限公司系统集成项目</t>
  </si>
  <si>
    <t>JC21-1201-2019-000194</t>
  </si>
  <si>
    <t>19219119WI0104</t>
  </si>
  <si>
    <t>F20190089</t>
  </si>
  <si>
    <t>天津市公安局西青分局2015年高清技防网光纤租赁与供电服务项目</t>
  </si>
  <si>
    <t xml:space="preserve"> 王桂林</t>
  </si>
  <si>
    <t>JC21-1201-2019-000221</t>
  </si>
  <si>
    <t>19219104WS0106</t>
  </si>
  <si>
    <t>F20190090</t>
  </si>
  <si>
    <t>天津地铁无线智能平台项目</t>
  </si>
  <si>
    <t>JC12-1201-2019-000226</t>
  </si>
  <si>
    <t>F20190091</t>
  </si>
  <si>
    <t>2019年ZYWXB 403项目</t>
  </si>
  <si>
    <t>宋鹏</t>
  </si>
  <si>
    <t xml:space="preserve">JC21-1201-2019-000216 </t>
  </si>
  <si>
    <t>19219110WI0096</t>
  </si>
  <si>
    <t>F20190092</t>
  </si>
  <si>
    <t>天津市方卫信息系统工程技术有限公司北辰道院区网络和机房改造项目</t>
  </si>
  <si>
    <t>JC21-1201-2019-000233</t>
  </si>
  <si>
    <t>19219103WI0084</t>
  </si>
  <si>
    <t>F20190093</t>
  </si>
  <si>
    <t>先达海水淡化弱电项目</t>
  </si>
  <si>
    <t>JC21-1201-2019-000217</t>
  </si>
  <si>
    <t>19219110WI0097</t>
  </si>
  <si>
    <t>F20190094</t>
  </si>
  <si>
    <t>天津市方卫信息系统工程技术有限公司马场道院区网络和机房改造项目</t>
  </si>
  <si>
    <t xml:space="preserve">JC21-1201-2019-000121  </t>
  </si>
  <si>
    <t>19219117WI0046</t>
  </si>
  <si>
    <t>F20190095</t>
  </si>
  <si>
    <t>PPG公司电话升级改造项目</t>
  </si>
  <si>
    <t>JC21-1201-2017-000163-2</t>
  </si>
  <si>
    <t>F20190096</t>
  </si>
  <si>
    <t>天津市蓟州区智慧旅游建设项目-结算增项</t>
  </si>
  <si>
    <t>JC21-1201-2018-000501</t>
  </si>
  <si>
    <t>19219117WI0014</t>
  </si>
  <si>
    <t>F20190097</t>
  </si>
  <si>
    <t>天津市第五中心医院一键报警系统</t>
  </si>
  <si>
    <t>JC21-1201-2019-000238</t>
  </si>
  <si>
    <t>19219114WI0108</t>
  </si>
  <si>
    <t>F20190098</t>
  </si>
  <si>
    <t>天津市静海区中医医院信息系统集成服务项目</t>
  </si>
  <si>
    <t>JC21-1201-2019-000256</t>
  </si>
  <si>
    <t>19219114WI0111</t>
  </si>
  <si>
    <t>F20190099</t>
  </si>
  <si>
    <t>天津市惠意科贸有限公司系统集成服务项目</t>
  </si>
  <si>
    <t xml:space="preserve">JC21-1201-2019-000255  </t>
  </si>
  <si>
    <t>19219114WI0083</t>
  </si>
  <si>
    <t>F20190100</t>
  </si>
  <si>
    <t>静海区政务服务中心C区1、2层网络工程项目</t>
  </si>
  <si>
    <t xml:space="preserve"> JC21-1201-2019-000247</t>
  </si>
  <si>
    <t>19219104WI0099</t>
  </si>
  <si>
    <t>F20190101</t>
  </si>
  <si>
    <t>中企辉煌文化传播（北京）有限公司网络信息平台系统集成服务项目</t>
  </si>
  <si>
    <t>JC-1201-2019-000249</t>
  </si>
  <si>
    <t>19219112WS0109</t>
  </si>
  <si>
    <t>F20190102</t>
  </si>
  <si>
    <t>蓟州区河长制信息管理平台服务项目</t>
  </si>
  <si>
    <t>JC21-1201-2019-000262</t>
  </si>
  <si>
    <t>19219114WI0112</t>
  </si>
  <si>
    <t>F20190103</t>
  </si>
  <si>
    <t>天津市静海区王口镇中心卫生院视频监控服务项目</t>
  </si>
  <si>
    <t>JC12-1201-2019-000257</t>
  </si>
  <si>
    <t>19219111WI0105</t>
  </si>
  <si>
    <t>F20190104</t>
  </si>
  <si>
    <t>中国共产党天津市红桥区纪律检查委员会智能信息化集成服务项目</t>
  </si>
  <si>
    <t>JC21-1201-2019-000259</t>
  </si>
  <si>
    <t>19219116WI0110</t>
  </si>
  <si>
    <t>F20190105</t>
  </si>
  <si>
    <t>河北唐山芦台农场一键报警服务项目</t>
  </si>
  <si>
    <t>JC21-1201-2019-000286</t>
  </si>
  <si>
    <t>19219114WI0115</t>
  </si>
  <si>
    <t>F20190106</t>
  </si>
  <si>
    <t>天津市鑫正源机械制造有限公司系统集成服务项目</t>
  </si>
  <si>
    <t>JC-1201-2019-000266</t>
  </si>
  <si>
    <t>19219110WI0116</t>
  </si>
  <si>
    <t>F20190107</t>
  </si>
  <si>
    <t>天津市河西区智慧市政防汛车辆专用GPS设备安装与调试项目</t>
  </si>
  <si>
    <t>刘秧</t>
  </si>
  <si>
    <t xml:space="preserve">JC21-1201-2019-000285 </t>
  </si>
  <si>
    <t>19219117WI0120</t>
  </si>
  <si>
    <t>F20190108</t>
  </si>
  <si>
    <t>和畅广场4#楼网络及其他弱电信息化建设合同</t>
  </si>
  <si>
    <t>JC21-1201-2019-000227</t>
  </si>
  <si>
    <t>19219115WI0100</t>
  </si>
  <si>
    <t>F20190109</t>
  </si>
  <si>
    <t>天津市南开区水上公园街社区卫生服务中心视频监控项目</t>
  </si>
  <si>
    <t>JC21-1201-2019-000234</t>
  </si>
  <si>
    <t>19219115WI0085</t>
  </si>
  <si>
    <t>F20190110</t>
  </si>
  <si>
    <t>天津市第一中心医院急诊、儿科可视化报警采购项目</t>
  </si>
  <si>
    <t>JC21-1201-2019-000326</t>
  </si>
  <si>
    <t>19219114WI0136</t>
  </si>
  <si>
    <t>F20190111</t>
  </si>
  <si>
    <t>天津市华忠线材有限公司机房设备升级维护服务项目</t>
  </si>
  <si>
    <t>JC-1201-2019-000304</t>
  </si>
  <si>
    <t>19219114WS0118</t>
  </si>
  <si>
    <t>F20190112</t>
  </si>
  <si>
    <t>天津市静海区河道网格化管理平台项目</t>
  </si>
  <si>
    <t>JC-1201-2019-000315</t>
  </si>
  <si>
    <t>19219111WI0114</t>
  </si>
  <si>
    <t>F20190113</t>
  </si>
  <si>
    <t>天津市红桥区芥园街道劳动保障服务中心网络系统系统集成服务项目</t>
  </si>
  <si>
    <t>JC21-1201-2019-000269</t>
  </si>
  <si>
    <t>19219107WS0113</t>
  </si>
  <si>
    <t>F20190114</t>
  </si>
  <si>
    <t>中国人民解放军第272医院智慧医疗项目</t>
  </si>
  <si>
    <t>JC21-1201-2019-000222</t>
  </si>
  <si>
    <t>19219109WI0078</t>
  </si>
  <si>
    <t>F20190115</t>
  </si>
  <si>
    <t>天津市河东区人民政府天津铁厂街道办事处网络设备维保服务项目</t>
  </si>
  <si>
    <t xml:space="preserve">JC21-1201-2019-000290 </t>
  </si>
  <si>
    <t>19219114WI0126</t>
  </si>
  <si>
    <t>F20190116</t>
  </si>
  <si>
    <t>静海区综合集成项目</t>
  </si>
  <si>
    <t>JC21-1201-2019-000260</t>
  </si>
  <si>
    <t>19219109WI0122</t>
  </si>
  <si>
    <t>F20190117</t>
  </si>
  <si>
    <t>河东区凤芝德门诊部监控项目</t>
  </si>
  <si>
    <t>JC21-1201-2019-000293</t>
  </si>
  <si>
    <t>19219114WI0123</t>
  </si>
  <si>
    <t>F20190118</t>
  </si>
  <si>
    <t>天津市骏一装饰工程有限公司系统集成服务项目</t>
  </si>
  <si>
    <t>JC21-1201-2019-000288</t>
  </si>
  <si>
    <t>19219102WT0127</t>
  </si>
  <si>
    <t>F20190119</t>
  </si>
  <si>
    <t>天津市北辰区住建委建筑安全综合管理系统维护服务项目</t>
  </si>
  <si>
    <t>JC21-1201-2019-000287</t>
  </si>
  <si>
    <t>19219102WI0128</t>
  </si>
  <si>
    <t>F20190120</t>
  </si>
  <si>
    <t>天津市北辰住建委建筑安全管理平台扩容项目</t>
  </si>
  <si>
    <t xml:space="preserve">JC21-1201-2019-000328  </t>
  </si>
  <si>
    <t>19219110WT0131</t>
  </si>
  <si>
    <t>F20190121</t>
  </si>
  <si>
    <t>天津京海恒诚国际旅行社有限公司网络维护服务项目合同</t>
  </si>
  <si>
    <t>JC21-1201-2019-000324</t>
  </si>
  <si>
    <t>19219000WS037</t>
  </si>
  <si>
    <t>F20190122</t>
  </si>
  <si>
    <t>西青区河道网格化管理平台</t>
  </si>
  <si>
    <t>F20190123</t>
  </si>
  <si>
    <t>JC21-1201-2019-000350</t>
  </si>
  <si>
    <t>19219000II0039</t>
  </si>
  <si>
    <t>F20190124</t>
  </si>
  <si>
    <t>天津市公安局河北分局人脸识别应用系统采购项目</t>
  </si>
  <si>
    <t>JC21-1201-2019-000319</t>
  </si>
  <si>
    <t>19219113WS0119</t>
  </si>
  <si>
    <t>F20190125</t>
  </si>
  <si>
    <t>津南区河道网格化管理平台项目</t>
  </si>
  <si>
    <t>9％  6％</t>
  </si>
  <si>
    <t>JC21-1201-2019-000349</t>
  </si>
  <si>
    <t>19219115WO0138</t>
  </si>
  <si>
    <t>F20190126</t>
  </si>
  <si>
    <t>天津市南开区体育中心街网络系统集成服务合同</t>
  </si>
  <si>
    <t>JC21-1201-2019-000299</t>
  </si>
  <si>
    <t>19219119WI0145</t>
  </si>
  <si>
    <t>F20190127</t>
  </si>
  <si>
    <t>天津市西青区交通运输管理局网络电话布线系统建设项目</t>
  </si>
  <si>
    <t>JC21-1201-2019-000344</t>
  </si>
  <si>
    <t>19219114WI0135</t>
  </si>
  <si>
    <t>F20190128</t>
  </si>
  <si>
    <t>F20190129</t>
  </si>
  <si>
    <t>公安蓟州分局2018年社会治安综合管理服务平台三期项目</t>
  </si>
  <si>
    <t>JC21-1201-2019-000360</t>
  </si>
  <si>
    <t>19219114WI0133</t>
  </si>
  <si>
    <t>F20190130</t>
  </si>
  <si>
    <t>静海区审批局（二期）网络及信息化建设改造工程</t>
  </si>
  <si>
    <t>桂林手机初验报告图片</t>
  </si>
  <si>
    <t>JC21-1201-2019-000296</t>
  </si>
  <si>
    <t>19219107WI0140</t>
  </si>
  <si>
    <t>F20190131</t>
  </si>
  <si>
    <t>天津市五十五中学大屏幕建设项目</t>
  </si>
  <si>
    <t>2019/9/0</t>
  </si>
  <si>
    <t>JC21-1201-2019-000351</t>
  </si>
  <si>
    <t>19219115WI0143</t>
  </si>
  <si>
    <t>F20190132</t>
  </si>
  <si>
    <t>天津市南开区向阳路街网络系统集成服务合同</t>
  </si>
  <si>
    <t>JC21-1201-2019-000318</t>
  </si>
  <si>
    <t>19219104WI0142</t>
  </si>
  <si>
    <t>F20190133</t>
  </si>
  <si>
    <t xml:space="preserve">中国银联股份有限公司天津分公司技术服务合同 </t>
  </si>
  <si>
    <t>JC21-1201-2019-000348</t>
  </si>
  <si>
    <t>19219101WI0146</t>
  </si>
  <si>
    <t>F20190134</t>
  </si>
  <si>
    <t>宝坻区建设工程远程视频监控平台扩容项目</t>
  </si>
  <si>
    <t>JC21-1201-2019-000341</t>
  </si>
  <si>
    <t>19219109WI0134</t>
  </si>
  <si>
    <t>F20190135</t>
  </si>
  <si>
    <t>河东总工会网络系统系统集成服务项目</t>
  </si>
  <si>
    <t>王凯</t>
  </si>
  <si>
    <t>JC21-1201-2019-000354</t>
  </si>
  <si>
    <t>19219109WI0152</t>
  </si>
  <si>
    <t>F20190136</t>
  </si>
  <si>
    <t>天津市河东区应急管理局机房改造项目</t>
  </si>
  <si>
    <t xml:space="preserve">JC21-1201-2019-000356  </t>
  </si>
  <si>
    <t>19219109WI0153</t>
  </si>
  <si>
    <t>F20190137</t>
  </si>
  <si>
    <t>天津市河东区应急管理局大屏幕建设项目</t>
  </si>
  <si>
    <t>JC21-1201-2019-000371</t>
  </si>
  <si>
    <t>19219114WI0147</t>
  </si>
  <si>
    <t>F20190138</t>
  </si>
  <si>
    <t>天津市天汇燃气发展有限公司网络平台项目</t>
  </si>
  <si>
    <t xml:space="preserve">JC21-1201-2019-000381 </t>
  </si>
  <si>
    <t>19219115WO0139</t>
  </si>
  <si>
    <t>F20190139</t>
  </si>
  <si>
    <t>天津市南开区学府街网络系统集成服务项目</t>
  </si>
  <si>
    <t>JC21-1201-2019-000331</t>
  </si>
  <si>
    <t>19219119WI0144</t>
  </si>
  <si>
    <t>F20190140</t>
  </si>
  <si>
    <t>天津市西青区中北镇智慧平安社区建设服务项目</t>
  </si>
  <si>
    <t xml:space="preserve">JC21-1201-2019-000388  </t>
  </si>
  <si>
    <t>19219000PM0155</t>
  </si>
  <si>
    <t>F20190141</t>
  </si>
  <si>
    <t>杨柳青古镇创建国家5A旅游景区集成服务项目</t>
  </si>
  <si>
    <t>JC21-1201-2019-000317</t>
  </si>
  <si>
    <t>19219119WI0161</t>
  </si>
  <si>
    <t>F20190142</t>
  </si>
  <si>
    <t>天津市西青区辛口镇智慧平安社区建设服务项目</t>
  </si>
  <si>
    <t>JC21-1201-2019-000358</t>
  </si>
  <si>
    <t>19219119WI0159</t>
  </si>
  <si>
    <t>F20190143</t>
  </si>
  <si>
    <t>天津市西青区西营门智慧平安社区建设服务项目</t>
  </si>
  <si>
    <t>JC21-1201-2019-000330</t>
  </si>
  <si>
    <t>19219119WI0160</t>
  </si>
  <si>
    <t>F20190144</t>
  </si>
  <si>
    <t>天津市西青区王稳庄镇智慧平安社区建设服务项目</t>
  </si>
  <si>
    <t xml:space="preserve">JC21-1201-2019-000369  </t>
  </si>
  <si>
    <t>19219107WI0156</t>
  </si>
  <si>
    <t>F20190145</t>
  </si>
  <si>
    <t>天津市和平区第四幼儿园监控补点项目</t>
  </si>
  <si>
    <t xml:space="preserve">JC21-1201-2019-000215-1 </t>
  </si>
  <si>
    <t>19219119WT0079</t>
  </si>
  <si>
    <t>F20190146</t>
  </si>
  <si>
    <t>市总工会12351热线电话接听服务外包项目增项</t>
  </si>
  <si>
    <t>JC21-1201-2019-000343</t>
  </si>
  <si>
    <t xml:space="preserve">19219110WI0164  </t>
  </si>
  <si>
    <t>F20190147</t>
  </si>
  <si>
    <t>阿米玛玛农贸市场WIFI建设项目</t>
  </si>
  <si>
    <t>JC21-1201-2019-000355</t>
  </si>
  <si>
    <t>19219102WI0151</t>
  </si>
  <si>
    <t>F20190148</t>
  </si>
  <si>
    <t>天津市北辰区晨光电影放映站ICT项目</t>
  </si>
  <si>
    <t>JC21-1201-2019-000398</t>
  </si>
  <si>
    <t>19219104WI0157</t>
  </si>
  <si>
    <t>F20190150</t>
  </si>
  <si>
    <t>华夏未来网络系统系统集成服务项目</t>
  </si>
  <si>
    <t>JC21-1201-2019-000401</t>
  </si>
  <si>
    <t>19219114WO0166</t>
  </si>
  <si>
    <t>F20190151</t>
  </si>
  <si>
    <t>天津津静昆仑燃气集成服务项目</t>
  </si>
  <si>
    <t>JC21-1201-2019-000377</t>
  </si>
  <si>
    <t>19219107WI0167</t>
  </si>
  <si>
    <t>F20190152</t>
  </si>
  <si>
    <t>天津医科大学总医院招待所系统集成服务</t>
  </si>
  <si>
    <t xml:space="preserve">JC21-1201-2019-000261 </t>
  </si>
  <si>
    <t>19219107WI0124</t>
  </si>
  <si>
    <t>F20190153</t>
  </si>
  <si>
    <t>天津市和平区渣土车监控建设项目</t>
  </si>
  <si>
    <t>JC21-1201-2019-000312</t>
  </si>
  <si>
    <t>19219116WI0132</t>
  </si>
  <si>
    <t>F20190154</t>
  </si>
  <si>
    <t>天津市宁河区东棘坨镇服务中心系统集成服务项目</t>
  </si>
  <si>
    <t>JC21-1201-2019-000370</t>
  </si>
  <si>
    <t>19219110WI0149</t>
  </si>
  <si>
    <t>F20190155</t>
  </si>
  <si>
    <t>天津市市区不动产登记事务中心呼叫中心集成合同</t>
  </si>
  <si>
    <t>JC21-1201-2019-000368</t>
  </si>
  <si>
    <t>19219115WO0130</t>
  </si>
  <si>
    <t>F20190157</t>
  </si>
  <si>
    <t>上海岩谷有限公司储罐状况监控管理项目(2019年下期)</t>
  </si>
  <si>
    <t>2019.10-2019.12</t>
  </si>
  <si>
    <t>JC21-1201-2019-000442</t>
  </si>
  <si>
    <t>19219114WI0173</t>
  </si>
  <si>
    <t>F20190158</t>
  </si>
  <si>
    <t>天津市公安局静海分局2019年视频监控网建设项目</t>
  </si>
  <si>
    <t>JC21-1201-2019-000428</t>
  </si>
  <si>
    <t>19219104WI0172</t>
  </si>
  <si>
    <t>F20190159</t>
  </si>
  <si>
    <t>天津市交通（集团）有限公司网络改造项目</t>
  </si>
  <si>
    <t>JC21-1201-2019-000400</t>
  </si>
  <si>
    <t>19219109WI0170</t>
  </si>
  <si>
    <t>F20190160</t>
  </si>
  <si>
    <t>江苏蓝园视频监控项目</t>
  </si>
  <si>
    <t xml:space="preserve">JC21-1201-2018-000335-2 </t>
  </si>
  <si>
    <t>F20190161</t>
  </si>
  <si>
    <t xml:space="preserve">  关于《天津市河西区文化中心弱电维护合同》的补充协议  </t>
  </si>
  <si>
    <t>合同续签</t>
  </si>
  <si>
    <t xml:space="preserve">JC21-1201-2019-000417 </t>
  </si>
  <si>
    <t>19219107WI0169</t>
  </si>
  <si>
    <t>F20190162</t>
  </si>
  <si>
    <t>公安医院系统集成服务</t>
  </si>
  <si>
    <t>JC21-1201-2019-000415</t>
  </si>
  <si>
    <t>19219111WI0193</t>
  </si>
  <si>
    <t>F20190163</t>
  </si>
  <si>
    <t>93756部队视频会议服务项目</t>
  </si>
  <si>
    <t>JC21-1201-2019-000453</t>
  </si>
  <si>
    <t>19219110WI0196</t>
  </si>
  <si>
    <t>F20190164</t>
  </si>
  <si>
    <t>河西区消防物联网平台网络服务合同</t>
  </si>
  <si>
    <t>集成服务</t>
  </si>
  <si>
    <t>JC21-1201-2019-000435</t>
  </si>
  <si>
    <t>19219111WI0150</t>
  </si>
  <si>
    <t>F20190165</t>
  </si>
  <si>
    <t>红桥区政务外网党群服务中心分支点光纤组网项目</t>
  </si>
  <si>
    <t>JC21-1201-2019-000392</t>
  </si>
  <si>
    <t>19219115WI0192</t>
  </si>
  <si>
    <t>F20190166</t>
  </si>
  <si>
    <t>天津市公安局南开分局南开区巡逻（执勤十七中队）“智慧磐石”工程执勤安保信息系统建设项目</t>
  </si>
  <si>
    <t>JC21-1201-2019-000444</t>
  </si>
  <si>
    <t>19219104WI0168</t>
  </si>
  <si>
    <t>F20190167</t>
  </si>
  <si>
    <t>天津市农业科学院-政务网网络系统系统集成服务项目</t>
  </si>
  <si>
    <t>直至10月12没清单 无ERP号</t>
  </si>
  <si>
    <t>JC21-1201-2019-000449</t>
  </si>
  <si>
    <t>19219115WT0174</t>
  </si>
  <si>
    <t>F20190168</t>
  </si>
  <si>
    <t>南开大气网格化维护项目</t>
  </si>
  <si>
    <t>JC21-1201-2019-000420</t>
  </si>
  <si>
    <t>19219104WW0197</t>
  </si>
  <si>
    <t>F20190169</t>
  </si>
  <si>
    <t>天津港生活服务有限公司物业及工业设备管理平台集成服务项目</t>
  </si>
  <si>
    <t>物联网集成服务</t>
  </si>
  <si>
    <t>张辰</t>
  </si>
  <si>
    <t>JC21-1201-2019-000314</t>
  </si>
  <si>
    <t>19219114WI0121</t>
  </si>
  <si>
    <t>F20190170</t>
  </si>
  <si>
    <t>天津市静海区人民政府办公室（天津市静海区人民政府外事办公室、天津市静海区机关事务管理局）智能信息化服务项目</t>
  </si>
  <si>
    <t>JC21-1201-2019-000439</t>
  </si>
  <si>
    <t>19219109WI0163</t>
  </si>
  <si>
    <t>F20190171</t>
  </si>
  <si>
    <t>河东区向阳楼市场监管所语音及网络平台线路整理服务项目</t>
  </si>
  <si>
    <t>JC21-1201-2019-000352</t>
  </si>
  <si>
    <t>19219105WO0198</t>
  </si>
  <si>
    <t>F20190172</t>
  </si>
  <si>
    <t>东丽龙行网站升级服务项目</t>
  </si>
  <si>
    <t>JC21-1201-2019-000457</t>
  </si>
  <si>
    <t>19219114WI0195</t>
  </si>
  <si>
    <t>F20190173</t>
  </si>
  <si>
    <t>静海住建委系统集成服务项目</t>
  </si>
  <si>
    <t>JC21-1201-2019-000418</t>
  </si>
  <si>
    <t>19219109WI0165</t>
  </si>
  <si>
    <t>F20190149</t>
  </si>
  <si>
    <t>中航商务大厦升级改造工程弱电专业分包项目</t>
  </si>
  <si>
    <t>9月19曾下过委托</t>
  </si>
  <si>
    <t>2019/10/18曾经在9.23日已下采购</t>
  </si>
  <si>
    <t>JC21-1201-2019-000367</t>
  </si>
  <si>
    <t>19219104WI0182</t>
  </si>
  <si>
    <t>F20190174</t>
  </si>
  <si>
    <t>天津华祥公司车船税专网建设项目</t>
  </si>
  <si>
    <t>JC21-1201-2019-000387</t>
  </si>
  <si>
    <t>19219104WI0181</t>
  </si>
  <si>
    <t>F20190175</t>
  </si>
  <si>
    <t>JC21-1201-2019-000384</t>
  </si>
  <si>
    <t>19219104WI0180</t>
  </si>
  <si>
    <t>F20190176</t>
  </si>
  <si>
    <t>JC21-1201-2019-000386</t>
  </si>
  <si>
    <t>19219104WI0179</t>
  </si>
  <si>
    <t>F20190177</t>
  </si>
  <si>
    <t>JC21-1201-2019-000385</t>
  </si>
  <si>
    <t>19219104WI0178</t>
  </si>
  <si>
    <t>F20190178</t>
  </si>
  <si>
    <t>JC21-1201-2019-000383</t>
  </si>
  <si>
    <t>19219104WI0177</t>
  </si>
  <si>
    <t>F20190179</t>
  </si>
  <si>
    <t>JC21-1201-2019-000375</t>
  </si>
  <si>
    <t>19219104WI0176</t>
  </si>
  <si>
    <t>F20190180</t>
  </si>
  <si>
    <t>JC21-1201-2019-000374</t>
  </si>
  <si>
    <t>19219104WI0175</t>
  </si>
  <si>
    <t>F20190181</t>
  </si>
  <si>
    <t>JC21-1201-2019-000361</t>
  </si>
  <si>
    <t>19219104WI0183</t>
  </si>
  <si>
    <t>F20190182</t>
  </si>
  <si>
    <t>JC21-1201-2019-000409</t>
  </si>
  <si>
    <t>19219104WI0184</t>
  </si>
  <si>
    <t>F20190183</t>
  </si>
  <si>
    <t>JC21-1201-2019-000403</t>
  </si>
  <si>
    <t>19219104WI0191</t>
  </si>
  <si>
    <t>F20190184</t>
  </si>
  <si>
    <t>天津华祥公司车船税专网搬迁项目</t>
  </si>
  <si>
    <t>JC21-1201-2019-000404</t>
  </si>
  <si>
    <t>19219104WI0188</t>
  </si>
  <si>
    <t>F20190185</t>
  </si>
  <si>
    <t>JC21-1201-2019-000406</t>
  </si>
  <si>
    <t>19219104WI0190</t>
  </si>
  <si>
    <t>F20190186</t>
  </si>
  <si>
    <t>JC21-1201-2019-000407</t>
  </si>
  <si>
    <t>19219104WI0187</t>
  </si>
  <si>
    <t>F20190187</t>
  </si>
  <si>
    <t>JC21-1201-2019-000408</t>
  </si>
  <si>
    <t>19219104WI0189</t>
  </si>
  <si>
    <t>F20190188</t>
  </si>
  <si>
    <t>JC21-1201-2019-000405</t>
  </si>
  <si>
    <t>19219104WI0186</t>
  </si>
  <si>
    <t>F20190189</t>
  </si>
  <si>
    <t>JC21-1201-2019-000410</t>
  </si>
  <si>
    <t>19219104WI0185</t>
  </si>
  <si>
    <t>F20190190</t>
  </si>
  <si>
    <t>JC21-1201-2019-000465</t>
  </si>
  <si>
    <t>19219104WI0205</t>
  </si>
  <si>
    <t>F20190191</t>
  </si>
  <si>
    <t xml:space="preserve">天津市气象台智慧气象预报服务大屏监控系统建设项目 </t>
  </si>
  <si>
    <t>JC21-1201-2019-000211</t>
  </si>
  <si>
    <t>19219102WI0129</t>
  </si>
  <si>
    <t>F20190192</t>
  </si>
  <si>
    <t>天津市北辰区永康道（大张庄示范镇）M地块（一标段）智慧工地监控项目</t>
  </si>
  <si>
    <t>JC21-1201-2019-000448</t>
  </si>
  <si>
    <t>19219103WI0209</t>
  </si>
  <si>
    <t>F20190193</t>
  </si>
  <si>
    <t>中国人民解放军61527部队管道建设及光缆路由维护项目</t>
  </si>
  <si>
    <t>19219107WI0117</t>
  </si>
  <si>
    <t>F20190194</t>
  </si>
  <si>
    <t>和平区2019年互联网接入及运维服务项目</t>
  </si>
  <si>
    <t>2264400 6％ 36000  9％</t>
  </si>
  <si>
    <t>根据系统集成2019-285期会议纪要，已下项目CT部分，一次性集成及10各月ITO采购委托。待和平跟公司提交说明后提交9、10两个月ITO委托。请记录项目基本信息。</t>
  </si>
  <si>
    <t>JC21-1201-2019-000481</t>
  </si>
  <si>
    <t>19219109WI0171</t>
  </si>
  <si>
    <t>F20190195</t>
  </si>
  <si>
    <t>河东区电子政务外网延伸到社区建设项目</t>
  </si>
  <si>
    <t xml:space="preserve">JC21-1201-2019-000507 </t>
  </si>
  <si>
    <t>19219106WI0223</t>
  </si>
  <si>
    <t>F20190196</t>
  </si>
  <si>
    <t>天津市滨海新区教育体育局幼教联网监控整合及平台建设项目</t>
  </si>
  <si>
    <t>2019/11/7还在系统交涉中</t>
  </si>
  <si>
    <t>JC21-1201-2019-000232</t>
  </si>
  <si>
    <t>19219107WT0214</t>
  </si>
  <si>
    <t>F20190197</t>
  </si>
  <si>
    <t>天津市和平区教育信息化管理中心和平区教育系统网络综合运维服务项目</t>
  </si>
  <si>
    <t>JC21-1201-2019-000475</t>
  </si>
  <si>
    <t>19219111WI0221</t>
  </si>
  <si>
    <t>F20190198</t>
  </si>
  <si>
    <t>红桥区智慧磐石服务项目</t>
  </si>
  <si>
    <t>JC21-1201-2019-000508</t>
  </si>
  <si>
    <t>19219110WI0225</t>
  </si>
  <si>
    <t>F20190199</t>
  </si>
  <si>
    <t xml:space="preserve">天津市河西区陈塘庄街棉四一社区党群服务中心综合服务设施提升改造工程 </t>
  </si>
  <si>
    <t>JC21-1201-2019-000523</t>
  </si>
  <si>
    <t>19219110WI0227</t>
  </si>
  <si>
    <t>F20190200</t>
  </si>
  <si>
    <t xml:space="preserve">天津市北航通信网络工程有限公司空港经济区东十道、东二道等9条道路通信管道工程（二期）合同项目 </t>
  </si>
  <si>
    <t xml:space="preserve">杨楠 </t>
  </si>
  <si>
    <t xml:space="preserve">JC21-1201-2019-000476 </t>
  </si>
  <si>
    <t>19219110WI0224</t>
  </si>
  <si>
    <t>F20190201</t>
  </si>
  <si>
    <t xml:space="preserve">河西区教育局后管中心(原华夏橡塑制品公司)仓库院内监控及烟感系统施工调试工程 </t>
  </si>
  <si>
    <t>2019/11/13号仍有问题在流转中</t>
  </si>
  <si>
    <t xml:space="preserve">JC21-1201-2019-000502 </t>
  </si>
  <si>
    <t>19219119WI0228</t>
  </si>
  <si>
    <t>F20190202</t>
  </si>
  <si>
    <t xml:space="preserve">欧菲晶创光电(天津)有限公司PBX系统建设项目 </t>
  </si>
  <si>
    <t xml:space="preserve">JC21-1201-2019-000469 </t>
  </si>
  <si>
    <t>19219115WI0141</t>
  </si>
  <si>
    <t>F20190203</t>
  </si>
  <si>
    <t>天津市南开区万兴街双峰里社区、龙德里社区、群富里社区视频监控安装调测项目</t>
  </si>
  <si>
    <t xml:space="preserve">JC21-1201-2019-000462 </t>
  </si>
  <si>
    <t>19219115WI0216</t>
  </si>
  <si>
    <t>F20190204</t>
  </si>
  <si>
    <t>天津市南开区王顶堤街网络系统集成服务合同</t>
  </si>
  <si>
    <t>JC21-1201-2019-000514</t>
  </si>
  <si>
    <t>19219111WI0220</t>
  </si>
  <si>
    <t>F20190205</t>
  </si>
  <si>
    <t>天津宏仁堂厂区办公用房修缮7～12#弱电及1～12#室外通信工程</t>
  </si>
  <si>
    <t xml:space="preserve">JC21-1201-2019-000472
</t>
  </si>
  <si>
    <t>19219104WI0206</t>
  </si>
  <si>
    <t>F20190206</t>
  </si>
  <si>
    <t>JC21-1201-2019-000505</t>
  </si>
  <si>
    <t>19219109WT0231</t>
  </si>
  <si>
    <t>F20190208</t>
  </si>
  <si>
    <t>天津市公安局交通警察总队特勤支队无线AP系统维护项目</t>
  </si>
  <si>
    <t>JC21-1201-2019-000530</t>
  </si>
  <si>
    <t>19219111WI0219</t>
  </si>
  <si>
    <t>F20190209</t>
  </si>
  <si>
    <t xml:space="preserve">JC21-1201-2019-000452 </t>
  </si>
  <si>
    <t>19219103WI0203</t>
  </si>
  <si>
    <t>F20190210</t>
  </si>
  <si>
    <t>天津市滨海新区公安局胜利所、港南所信息化设备项目</t>
  </si>
  <si>
    <t>F20190211</t>
  </si>
  <si>
    <t>F20190212</t>
  </si>
  <si>
    <t>F20190213</t>
  </si>
  <si>
    <t>F20190214</t>
  </si>
  <si>
    <t>F20190215</t>
  </si>
  <si>
    <t>F20190216</t>
  </si>
  <si>
    <t>F20190217</t>
  </si>
  <si>
    <t>F20190218</t>
  </si>
  <si>
    <t>项目名称</t>
  </si>
  <si>
    <t>是否甲指</t>
  </si>
  <si>
    <t>客户经理</t>
  </si>
  <si>
    <t>税率</t>
  </si>
  <si>
    <t>预计利润率</t>
  </si>
  <si>
    <t>成本合计</t>
  </si>
  <si>
    <t>利润率</t>
  </si>
  <si>
    <t>下采购委托时间</t>
  </si>
  <si>
    <t>合同编号</t>
  </si>
  <si>
    <t>合同名称</t>
  </si>
  <si>
    <t>合同金额</t>
  </si>
  <si>
    <t>施工方</t>
  </si>
  <si>
    <t>签定时间</t>
  </si>
  <si>
    <t>付款条件</t>
  </si>
  <si>
    <t>质保期</t>
  </si>
  <si>
    <t>工程形象进度1</t>
  </si>
  <si>
    <t>确认成本时间</t>
  </si>
  <si>
    <t>所需依据</t>
  </si>
  <si>
    <t>工程形象进度2</t>
  </si>
  <si>
    <t>工程形象进度3</t>
  </si>
  <si>
    <t>付款申请金额</t>
  </si>
  <si>
    <t>付款申请时间</t>
  </si>
  <si>
    <t>剩余未付</t>
  </si>
  <si>
    <t>是否有验收报告</t>
  </si>
  <si>
    <t>验收资料情况</t>
  </si>
  <si>
    <r>
      <rPr>
        <b/>
        <sz val="10"/>
        <rFont val="宋体"/>
        <family val="3"/>
        <charset val="134"/>
        <scheme val="minor"/>
      </rPr>
      <t>验收时间</t>
    </r>
  </si>
  <si>
    <t>Z20170139</t>
  </si>
  <si>
    <t>19217017013970100</t>
  </si>
  <si>
    <t>天津市市容园林信息中心财务审计监控网服务项目</t>
  </si>
  <si>
    <t>否</t>
  </si>
  <si>
    <t>刘建新</t>
  </si>
  <si>
    <t>纸质委托2017.8.24下，其余不详</t>
  </si>
  <si>
    <t>475200（17％） 262800（6％）</t>
  </si>
  <si>
    <t>CU12-1201-2017-009802</t>
  </si>
  <si>
    <t>天津市市容园林信息中心财务审计监控网服务项目合同</t>
  </si>
  <si>
    <t>天津市深大立讯电子科技有限公司</t>
  </si>
  <si>
    <t>30％60％10％</t>
  </si>
  <si>
    <t>签约付30％</t>
  </si>
  <si>
    <t>2018.12</t>
  </si>
  <si>
    <t>验收</t>
  </si>
  <si>
    <t>2018.01  2018.02</t>
  </si>
  <si>
    <t>2018.2.8</t>
  </si>
  <si>
    <t>Z20170062</t>
  </si>
  <si>
    <t>19217IJC070062</t>
  </si>
  <si>
    <t>天津市国家税务局系统广域网项目</t>
  </si>
  <si>
    <t>2017.9.19</t>
  </si>
  <si>
    <t>53000（17％）  79000（6％）</t>
  </si>
  <si>
    <t>2017.9.已完成合同签订</t>
  </si>
  <si>
    <t>CU12-1201-2017-009619</t>
  </si>
  <si>
    <t>天津市国家税务局系统广域网电信线路租赁项目系统集成合同</t>
  </si>
  <si>
    <t>哈尔滨工业大学软件工程股份有限公司</t>
  </si>
  <si>
    <t>验收后一次性</t>
  </si>
  <si>
    <t>2018.1.4</t>
  </si>
  <si>
    <t>2018.1.10</t>
  </si>
  <si>
    <t>Z20160225</t>
  </si>
  <si>
    <t>19216FJK160225</t>
  </si>
  <si>
    <t>天津市建设工程质量安全监督管理总队电路租用</t>
  </si>
  <si>
    <t>2017.11.9</t>
  </si>
  <si>
    <t>6％</t>
  </si>
  <si>
    <t>CU12-1201-2017-013309</t>
  </si>
  <si>
    <t>天津市建设工程质量安全监督管理总队电路维护服务合同</t>
  </si>
  <si>
    <t>天津电信建设工程有限公司</t>
  </si>
  <si>
    <t>每年支付50990.07</t>
  </si>
  <si>
    <t>z20170088</t>
  </si>
  <si>
    <t>19217FHP070088</t>
  </si>
  <si>
    <t>天津车船税务专网建设项目合同</t>
  </si>
  <si>
    <t>z20170098</t>
  </si>
  <si>
    <t>19217FJK070098</t>
  </si>
  <si>
    <t>天津市青少年事务社工服务管理系统建设项目</t>
  </si>
  <si>
    <t>原有项目，无委托</t>
  </si>
  <si>
    <t>成本合同已签定完成，但还未给至我</t>
  </si>
  <si>
    <t>2018.3.21</t>
  </si>
  <si>
    <t>2018.4.11</t>
  </si>
  <si>
    <t>z20160085</t>
  </si>
  <si>
    <t>19216FXQ060085</t>
  </si>
  <si>
    <t>天津市西青经济开发总公司视频监控代理维护合同</t>
  </si>
  <si>
    <t>CU12-1201-2018-003349</t>
  </si>
  <si>
    <t>天津中联智云科技有限公司</t>
  </si>
  <si>
    <t>签订一次性</t>
  </si>
  <si>
    <t>维护期一年</t>
  </si>
  <si>
    <t>维护期</t>
  </si>
  <si>
    <t>维护，无验收</t>
  </si>
  <si>
    <t>天津市华祥交通设施有限公司监控及网络建设项目增项</t>
  </si>
  <si>
    <t>2018.5.23</t>
  </si>
  <si>
    <t>ICT天津嘉里中心一商场及地下室综合布线系统集成项目</t>
  </si>
  <si>
    <t>Z20180228</t>
  </si>
  <si>
    <t>CU12-1201-2018-010349</t>
  </si>
  <si>
    <t>19218AHX080228</t>
  </si>
  <si>
    <t>天津光电集团有限公司厂区弱电改造工程</t>
  </si>
  <si>
    <t>2018.9.11</t>
  </si>
  <si>
    <t>10％</t>
  </si>
  <si>
    <t xml:space="preserve">CU12-1201-2018-011209 </t>
  </si>
  <si>
    <t xml:space="preserve">ICT光电集团弱电项目施工合同    </t>
  </si>
  <si>
    <t xml:space="preserve">天津电信建设工程有限公司 </t>
  </si>
  <si>
    <t>签订60％，验收40％.</t>
  </si>
  <si>
    <t>2018.10.23</t>
  </si>
  <si>
    <t>Z20180072</t>
  </si>
  <si>
    <t>19218FNH080072</t>
  </si>
  <si>
    <t>宁河区医院移动护理系统项目</t>
  </si>
  <si>
    <t>2018.9.12</t>
  </si>
  <si>
    <t>823536（16％） 76464（6％）</t>
  </si>
  <si>
    <t>z20180218</t>
  </si>
  <si>
    <t>CU12-1201-2018-009077</t>
  </si>
  <si>
    <t>19218JK080218</t>
  </si>
  <si>
    <t>天津市司法局业务专网网络宽带升级项目</t>
  </si>
  <si>
    <t>z20180072</t>
  </si>
  <si>
    <t xml:space="preserve">CU12-1201-2019-005969 </t>
  </si>
  <si>
    <t>19P19010000001</t>
  </si>
  <si>
    <t>宁河区卫生和计划生育委员会移动护理系统</t>
  </si>
  <si>
    <t>823536  CT:76464</t>
  </si>
  <si>
    <t>z20180073</t>
  </si>
  <si>
    <t>CU12-1201-2019-006181</t>
  </si>
  <si>
    <t>19P19010000002</t>
  </si>
  <si>
    <t>天津市西青区张家窝镇人民政府</t>
  </si>
  <si>
    <t>李春炳</t>
  </si>
  <si>
    <t>天津市西青区张家窝镇人民政府增项</t>
  </si>
  <si>
    <t>开工：2019.8.29</t>
  </si>
  <si>
    <t>z20180074</t>
  </si>
  <si>
    <t>CU12-1201-2019-000029</t>
  </si>
  <si>
    <t>19P19010000004</t>
  </si>
  <si>
    <t>天津市东丽区人民政府新立街道办事处OA云应用定制软件开发及服务项目</t>
  </si>
  <si>
    <t>李维娜</t>
  </si>
  <si>
    <t>z20180075</t>
  </si>
  <si>
    <t>CU-1201-2019-007621</t>
  </si>
  <si>
    <t>19P19010000005</t>
  </si>
  <si>
    <t>天津市北辰区统计局机房改造及综合布线工程项目</t>
  </si>
  <si>
    <t xml:space="preserve"> 刘嘉</t>
  </si>
  <si>
    <t>z20180078</t>
  </si>
  <si>
    <t>CU12-1201-2019-008064</t>
  </si>
  <si>
    <t>19P19010000006</t>
  </si>
  <si>
    <t>天津市和平区人民政府劝业场街道办事处机房改造ICT项目</t>
  </si>
  <si>
    <t>z20180079</t>
  </si>
  <si>
    <t>CU12-1201-2019-006959</t>
  </si>
  <si>
    <t>天津食品集团云视频会议服务项目</t>
  </si>
  <si>
    <t>z20180080</t>
  </si>
  <si>
    <t xml:space="preserve">CU12-1201-2019-006609 </t>
  </si>
  <si>
    <t>天津市宝坻区机关事务服务中心网络覆盖工程合同</t>
  </si>
  <si>
    <t>合同未签完</t>
  </si>
  <si>
    <t>暂空</t>
  </si>
  <si>
    <t>z20180081</t>
  </si>
  <si>
    <t>CU12-1201-2019-002783</t>
  </si>
  <si>
    <t>华电智网（天津）科技有限公司+智慧工地视频监控系统集成服务项目</t>
  </si>
  <si>
    <t>综合集成</t>
  </si>
  <si>
    <t>z20180082</t>
  </si>
  <si>
    <t>CU12-1201-2019-007660</t>
  </si>
  <si>
    <t>天津市静海区杨成庄乡人民政府云视频会议服务项目</t>
  </si>
  <si>
    <t>z20180083</t>
  </si>
  <si>
    <t>CU12-1201-2019-008555</t>
  </si>
  <si>
    <t>天津市静海区中旺镇人民政府云视频会议服务项目</t>
  </si>
  <si>
    <t>z20180084</t>
  </si>
  <si>
    <t>CU12-1201-2019-008554</t>
  </si>
  <si>
    <t>天津市静海区沿庄镇人民政府云视频会议服务项目</t>
  </si>
  <si>
    <t>z20180085</t>
  </si>
  <si>
    <t>CU12-1201-2019-000462</t>
  </si>
  <si>
    <t>19219FTG190003</t>
  </si>
  <si>
    <t>天津市泰达医院一键报警系统购置项目</t>
  </si>
  <si>
    <t>另有一份图片版验收2019.6</t>
  </si>
  <si>
    <t>z20180086</t>
  </si>
  <si>
    <t xml:space="preserve">CU12-1201-2019-008423 </t>
  </si>
  <si>
    <t>石化润滑油ITO项目</t>
  </si>
  <si>
    <t>z20180087</t>
  </si>
  <si>
    <t xml:space="preserve">CU12-1201-2019-009101 </t>
  </si>
  <si>
    <t>天津市公安局宁河分局公安网升级改造项目</t>
  </si>
  <si>
    <t>415800(9%) 781200(6%)</t>
  </si>
  <si>
    <t xml:space="preserve"> 张东亮</t>
  </si>
  <si>
    <t>z20180088</t>
  </si>
  <si>
    <t xml:space="preserve">CU12-1201-2019-010298 </t>
  </si>
  <si>
    <t>天津市河东区融媒体中心信息化项目</t>
  </si>
  <si>
    <t>z20180089</t>
  </si>
  <si>
    <t>CU12-1201-2019-007509</t>
  </si>
  <si>
    <t>19P19010000003</t>
  </si>
  <si>
    <t>天津市宝坻区人民代表大会常务委员会办公室无线网络覆盖工程项目</t>
  </si>
  <si>
    <t>开工：2019/5/25</t>
  </si>
  <si>
    <t>完工：2019/6/25</t>
  </si>
  <si>
    <t>z20180090</t>
  </si>
  <si>
    <t>天津市静海区子牙镇系列项目云视频会议服务项目</t>
  </si>
  <si>
    <t>云应用</t>
  </si>
  <si>
    <t>开工：2019/9/4</t>
  </si>
  <si>
    <t>z20180091</t>
  </si>
  <si>
    <t>CU12-1201-2019-010786</t>
  </si>
  <si>
    <t>南开区体育中心街智能烟感物联网集成服务项目</t>
  </si>
  <si>
    <t>物联网</t>
  </si>
  <si>
    <t>z20180092</t>
  </si>
  <si>
    <t>CU12-1201-2019-010822</t>
  </si>
  <si>
    <t>天津市武清区创业总部基地B11办公室无线网络平台系统集成综合服务项目</t>
  </si>
  <si>
    <t>ICT</t>
  </si>
  <si>
    <t>2019/空</t>
  </si>
  <si>
    <t>z20180093</t>
  </si>
  <si>
    <t>cu12-1201-2019-011464</t>
  </si>
  <si>
    <t>静海王口镇云视讯项目</t>
  </si>
  <si>
    <t>16800 CT</t>
  </si>
  <si>
    <t>z20180094</t>
  </si>
  <si>
    <t>CU12-1201-2019-011650</t>
  </si>
  <si>
    <t>津南区信息中心移动OA办公系统方案集成项目</t>
  </si>
  <si>
    <t>直至10.12仍有问题</t>
  </si>
  <si>
    <t>z20180095</t>
  </si>
  <si>
    <t>CU12-1201-2019-011711</t>
  </si>
  <si>
    <t>天津市公安局网络安全保卫总队安防应用系统互联网专线接入项目</t>
  </si>
  <si>
    <t>z20180096</t>
  </si>
  <si>
    <t>CU12-1201-2019-012873</t>
  </si>
  <si>
    <t>西青区电子政务专网线路租赁项目</t>
  </si>
  <si>
    <t>z20180097</t>
  </si>
  <si>
    <t>CU12-1201-2019-012874</t>
  </si>
  <si>
    <t>西青区电子政务外网线路租赁项目</t>
  </si>
  <si>
    <t>z20180098</t>
  </si>
  <si>
    <t xml:space="preserve">CU12-1201-2019-003098 </t>
  </si>
  <si>
    <t>天津中宸睿信科技发展有限公司新一代警务物联网协议</t>
  </si>
  <si>
    <t>z20180099</t>
  </si>
  <si>
    <t>CU12-1201-2019-013546</t>
  </si>
  <si>
    <t>滨海电力5G巡检机器人ITO维护服务项目合同</t>
  </si>
  <si>
    <t>序号</t>
  </si>
  <si>
    <t>进展</t>
  </si>
  <si>
    <t>按月计收中(根据计收表)</t>
  </si>
  <si>
    <t>河东技防网</t>
  </si>
  <si>
    <t>天津市河东区政务外网建设项目合同</t>
  </si>
  <si>
    <t>重要产品追溯体系建设平台一期项目和重要产品（肉菜）追溯体系建设项目云平台采购及相关服务项目合同</t>
  </si>
  <si>
    <t>2019年度</t>
  </si>
  <si>
    <t>验收日期待落实</t>
  </si>
  <si>
    <t>专线建设进度慢，力争11月能验收</t>
  </si>
  <si>
    <t>预计11月验收</t>
  </si>
  <si>
    <t>中国联合</t>
  </si>
  <si>
    <t>和平技防网</t>
  </si>
  <si>
    <t>19218112WI0150</t>
  </si>
  <si>
    <t>蓟县交通局出租车车辆定位项目（2019续约）</t>
  </si>
  <si>
    <t>北辰区区域生态环境综合监管平台项目工程承包合同</t>
  </si>
  <si>
    <t xml:space="preserve">天津市信息化建设投资管理局ITO服务与维护项目 </t>
  </si>
  <si>
    <t>天津市和平区政务外网信息化服务项目合同</t>
  </si>
  <si>
    <t>天津市农村工作委员会放心猪肉工程质量安全监管可追溯系统设备采购项目</t>
  </si>
  <si>
    <t>天津市和平区河（湖）长制管理信息系统项目合同</t>
  </si>
  <si>
    <t>按年技收中</t>
  </si>
  <si>
    <t>进度确认已盖章完成97%</t>
  </si>
  <si>
    <t>正在施工，力争11月完成</t>
  </si>
  <si>
    <t>需催集团开票</t>
  </si>
  <si>
    <t>已下采购</t>
  </si>
  <si>
    <t>河北技防网</t>
  </si>
  <si>
    <t>19219118WT0003</t>
  </si>
  <si>
    <t>天津市武清区安全生产防控网项目维服务合同</t>
  </si>
  <si>
    <t>已有两个模块验收报告</t>
  </si>
  <si>
    <t>受前期总包施工进度的影响，进展缓慢，预计本月总包才能完工</t>
  </si>
  <si>
    <t>验收报告正在客户签属中</t>
  </si>
  <si>
    <t>维护项目</t>
  </si>
  <si>
    <t>前端设备已安装完成，中心差一解码器，和一台电脑，设备到货后能联调，本月暂无法验收，力争11月着手验收</t>
  </si>
  <si>
    <t>已完工，但甲方是房地产公司，拖着不验收</t>
  </si>
  <si>
    <t>正在验收中</t>
  </si>
  <si>
    <t>正在施工中，力争下月验收盖章</t>
  </si>
  <si>
    <t>按月计收中</t>
  </si>
  <si>
    <t>未提供会议纪要无法确定付款方式，无法下采购委托</t>
  </si>
  <si>
    <t>19219115WT0071</t>
  </si>
  <si>
    <t>大气污染防治网格化监控平台升级改造及运维项目政府采购合同</t>
  </si>
  <si>
    <t>后期甲方需求调整，预计12月份完成</t>
  </si>
  <si>
    <t>客户提出新需求（需把老平台数据倒至新平台），正在施工中，预计12月验收</t>
  </si>
  <si>
    <t>依据集团进度</t>
  </si>
  <si>
    <t>客户不给设备供电。本月出现问题：客户觉得杆臂过长正在解决中，预计12月验收</t>
  </si>
  <si>
    <t>基本功能已实现，正在微调个性化需求</t>
  </si>
  <si>
    <t>已下采购，正在施工中，无法验收</t>
  </si>
  <si>
    <t>按月计收中（预提）</t>
  </si>
  <si>
    <t>天津市北辰区卫生和计划生育委员会医保监控设备采购项目</t>
  </si>
  <si>
    <t>采购合同无验收</t>
  </si>
  <si>
    <t>甲方更换领导，未调整完，尚未启动验收流程</t>
  </si>
  <si>
    <t>正在施工中，无法验收</t>
  </si>
  <si>
    <t>本月无法验收，分公司需要做电话割接，待割接完成后再做验收</t>
  </si>
  <si>
    <t>项目未开工，成本合同签订后入场</t>
  </si>
  <si>
    <t>192150HDWF0950</t>
  </si>
  <si>
    <t>河东区执法监督网络平台租用服务合同</t>
  </si>
  <si>
    <t>西青技防网</t>
  </si>
  <si>
    <t>目前用户内部组织调整，需求有变更，等待甲方最终确定。现属于咱们施工部分已完成，但甲方要求总包一起验收，预计明年2月完工验收。</t>
  </si>
  <si>
    <t>正在跟集团落实回款情况</t>
  </si>
  <si>
    <t>19219113WT0055</t>
  </si>
  <si>
    <t xml:space="preserve">天津市津南区教育局中小学幼儿园教育网网络设备维护合同-2019 </t>
  </si>
  <si>
    <t>正在施工中，能提供10％的工程量单</t>
  </si>
  <si>
    <t>汉沽技防网</t>
  </si>
  <si>
    <t>天津市滨海新区教育体育委员会-教育专网及校园网租赁项目</t>
  </si>
  <si>
    <t>19218105WW0134</t>
  </si>
  <si>
    <t>天津市东丽区人民政府万新街道办事处智慧消防报警服务系统集成合同</t>
  </si>
  <si>
    <t>施工已完成，等保测评正在进行中，等保测评后才能验收</t>
  </si>
  <si>
    <t>目前有13个学校已施工完成，有校方签字确认单。</t>
  </si>
  <si>
    <t>已有阶段报告（80％已确认）暂不能终验</t>
  </si>
  <si>
    <t>力争本月完成验收</t>
  </si>
  <si>
    <t>有问题，无法验收</t>
  </si>
  <si>
    <t>本月暂无新确认单</t>
  </si>
  <si>
    <t>无交接</t>
  </si>
  <si>
    <t>f20160212</t>
  </si>
  <si>
    <t>f20170078</t>
  </si>
  <si>
    <t>f20170087</t>
  </si>
  <si>
    <t>f20160226</t>
  </si>
  <si>
    <t>天津市公安局图像侦查和技防监管总队（第十一处）2016年河东区视频监控系统建设一期工程项目</t>
  </si>
  <si>
    <t>f20160187</t>
  </si>
  <si>
    <t>天津市公安局西青分局西青区高清视频监控网建设项目（第一包）</t>
  </si>
  <si>
    <t>f20160230</t>
  </si>
  <si>
    <t>f20170020</t>
  </si>
  <si>
    <t>f20170063</t>
  </si>
  <si>
    <t>老项目无建设委托，设备采购部分由客户经理直接下达采购部</t>
  </si>
  <si>
    <t>f20170010</t>
  </si>
  <si>
    <t>天津市津南区教育局中小学幼儿园监控工程(三期）采购项目合同</t>
  </si>
  <si>
    <t>天津市津南区双桥安置区“聚和园、友和园、福和园安防系统集中维护工程”</t>
  </si>
  <si>
    <t>f20170109</t>
  </si>
  <si>
    <t>3A没录</t>
  </si>
  <si>
    <t>f20170117</t>
  </si>
  <si>
    <t>f20170008</t>
  </si>
  <si>
    <t>f20170121</t>
  </si>
  <si>
    <t>f20170132</t>
  </si>
  <si>
    <t>f20170153</t>
  </si>
  <si>
    <t>f20170009</t>
  </si>
  <si>
    <t>f20170173</t>
  </si>
  <si>
    <t>2018/3/1/5/31</t>
  </si>
  <si>
    <t>f20170174</t>
  </si>
  <si>
    <t>f20170169</t>
  </si>
  <si>
    <t>原有</t>
  </si>
  <si>
    <t>f201800055-1</t>
  </si>
  <si>
    <t>未填</t>
  </si>
  <si>
    <t>验收报告在王桂林处</t>
  </si>
  <si>
    <t>2017.9后五年</t>
  </si>
  <si>
    <t>27号下委托，承诺2日给项目号</t>
  </si>
  <si>
    <t>合格</t>
  </si>
  <si>
    <t>2018/11/31</t>
  </si>
  <si>
    <t>2018.1后五年</t>
  </si>
  <si>
    <t>根据计收时间报</t>
  </si>
  <si>
    <t>天津市津南区八里台第二小学电子围栏维修改造项目</t>
  </si>
  <si>
    <t>天津市八里台第一中学电子围栏维修改造项目</t>
  </si>
  <si>
    <t xml:space="preserve">天津市八里台第二中学电子围栏维修改造项目 </t>
  </si>
  <si>
    <t>天津市津南区八里台第三小学电子围栏维修改造项目</t>
  </si>
  <si>
    <t>天津市津南区咸水沽第七小学电子围栏维修改造项目</t>
  </si>
  <si>
    <t>天津市津南区高庄子联合小学电子围栏维修改造项目</t>
  </si>
  <si>
    <t>天津市津南区培智学校电子围栏维修改造项目</t>
  </si>
  <si>
    <t>天津市葛沽第三中学电子围栏维修改造项目</t>
  </si>
  <si>
    <t>天津市北闸口中学电子围栏维修改造项目合同</t>
  </si>
  <si>
    <t>天津市津南区三台联合小学电子围栏维修改造项目</t>
  </si>
  <si>
    <t>天津市津南区八里台第四小学电子围栏维修改造项目</t>
  </si>
  <si>
    <t>天津市双桥中学电子围栏维修改造项目</t>
  </si>
  <si>
    <t>天津市津南区第八幼儿园电子围栏维修改造项目</t>
  </si>
  <si>
    <t>天津市津南区教育局中小学幼儿园教育网络设备维护合同</t>
  </si>
  <si>
    <t>天津市津南区学生劳动教育基地电子围栏维修改造项目</t>
  </si>
  <si>
    <t>天津市小站实验中学电子围栏维修改造项目</t>
  </si>
  <si>
    <t>天津市小站第一中学电子围栏维修改造项目</t>
  </si>
  <si>
    <t>天津市双港中学电子围栏维修改造项目</t>
  </si>
  <si>
    <t>天津市津南区北闸口第一小学电子围栏维修改造项目</t>
  </si>
  <si>
    <t>天津市津南区少年宫电子围栏维修改造项目</t>
  </si>
  <si>
    <t>天津市咸水沽第五中学电子围栏维修改造项目合同</t>
  </si>
  <si>
    <t>天津市咸水沽第一中学电子围栏维修改造项目</t>
  </si>
  <si>
    <t>天津市南洋工业学校电子围栏维修改造项目</t>
  </si>
  <si>
    <t>天津市津南区咸水沽第三小学电子围栏维修改造项目合同</t>
  </si>
  <si>
    <t>天津市津南区海天小学电子围栏维修改造项目</t>
  </si>
  <si>
    <t>天津市津南区第四幼儿园电子围栏维修改造项目</t>
  </si>
  <si>
    <t>天津市津南区东大站联合小学电子围栏维修改造项目</t>
  </si>
  <si>
    <t>天津市津南区小站实验小学电子围栏维修改造项目</t>
  </si>
  <si>
    <t>2018.1.1－12.31</t>
  </si>
  <si>
    <t>天津市永兴和谐物业管理有限公司监控和楼宇对讲改造增项工程</t>
  </si>
  <si>
    <t>2017</t>
  </si>
  <si>
    <t>2017.4－6</t>
  </si>
  <si>
    <t>20171年</t>
  </si>
  <si>
    <t>2018.5后五年</t>
  </si>
  <si>
    <t>根据计收时间</t>
  </si>
  <si>
    <t>2018.1－12</t>
  </si>
  <si>
    <t>f20180059</t>
  </si>
  <si>
    <t>2018.3.1－2019.2.28</t>
  </si>
  <si>
    <t>已验收2018/8/10</t>
  </si>
  <si>
    <t>f20180133</t>
  </si>
  <si>
    <t>2018.9.26</t>
  </si>
  <si>
    <t>2018.7.31</t>
  </si>
  <si>
    <t>f20160095-1</t>
  </si>
  <si>
    <t>已验收(此为初验报告）</t>
  </si>
  <si>
    <t>f20160238</t>
  </si>
  <si>
    <t>2018.9.14</t>
  </si>
  <si>
    <t>2018.8.25</t>
  </si>
  <si>
    <t>f20180214</t>
  </si>
  <si>
    <t>到10/16工联单正在交涉中</t>
  </si>
  <si>
    <t>2018.6－8</t>
  </si>
  <si>
    <t>新接委托</t>
  </si>
  <si>
    <t>2018.1.1－2020.12.31</t>
  </si>
  <si>
    <t>2020.12.31</t>
  </si>
  <si>
    <t>2018.10.20</t>
  </si>
  <si>
    <t>带宽升级项目</t>
  </si>
  <si>
    <t>暂未开始进入维保期</t>
  </si>
  <si>
    <t>A</t>
  </si>
  <si>
    <t>B</t>
  </si>
  <si>
    <t>C</t>
  </si>
  <si>
    <t>D</t>
  </si>
  <si>
    <t>E</t>
  </si>
  <si>
    <t>F</t>
  </si>
  <si>
    <t>G</t>
  </si>
  <si>
    <t>H</t>
  </si>
  <si>
    <t>I</t>
  </si>
  <si>
    <t>J</t>
  </si>
  <si>
    <t>K</t>
  </si>
  <si>
    <t>L</t>
  </si>
  <si>
    <t>M</t>
  </si>
  <si>
    <t>N</t>
  </si>
  <si>
    <t>O</t>
  </si>
  <si>
    <t>P</t>
  </si>
  <si>
    <t>Q</t>
  </si>
  <si>
    <t>R</t>
  </si>
  <si>
    <t>S</t>
  </si>
  <si>
    <t>T</t>
  </si>
  <si>
    <t>U</t>
  </si>
  <si>
    <t>V</t>
  </si>
  <si>
    <t>X</t>
  </si>
  <si>
    <t>Y</t>
  </si>
  <si>
    <t>Z</t>
  </si>
  <si>
    <t>AA</t>
  </si>
  <si>
    <t>AB</t>
  </si>
  <si>
    <t>分公司2018共收</t>
  </si>
  <si>
    <t>还在工联单，未齐未计</t>
  </si>
  <si>
    <t>共计</t>
  </si>
  <si>
    <t>AC</t>
  </si>
  <si>
    <t>其中</t>
  </si>
  <si>
    <t>AD</t>
  </si>
  <si>
    <t>AE</t>
  </si>
  <si>
    <t>中心2018共收</t>
  </si>
  <si>
    <t>AF</t>
  </si>
  <si>
    <t xml:space="preserve">其中 </t>
  </si>
  <si>
    <t>AG</t>
  </si>
  <si>
    <t>AH</t>
  </si>
  <si>
    <t>AI</t>
  </si>
  <si>
    <t>AJ</t>
  </si>
  <si>
    <t>AK</t>
  </si>
  <si>
    <t>AL</t>
  </si>
  <si>
    <t>AM</t>
  </si>
  <si>
    <t>AN</t>
  </si>
  <si>
    <t>AO</t>
  </si>
  <si>
    <t>AP</t>
  </si>
  <si>
    <t>AQ</t>
  </si>
  <si>
    <t>AR</t>
  </si>
  <si>
    <t>AS</t>
  </si>
  <si>
    <t>AT</t>
  </si>
  <si>
    <t>AU</t>
  </si>
  <si>
    <t>AV</t>
  </si>
  <si>
    <t>AW</t>
  </si>
  <si>
    <t>AX</t>
  </si>
  <si>
    <t>AY</t>
  </si>
  <si>
    <t>AZ</t>
  </si>
  <si>
    <t xml:space="preserve">CU12-1201-2017-012925-1  </t>
  </si>
  <si>
    <t>f20180279</t>
  </si>
  <si>
    <t>f20180280</t>
  </si>
  <si>
    <t>f20180280－1</t>
  </si>
  <si>
    <t>f20180290</t>
  </si>
  <si>
    <t>f20180291</t>
  </si>
  <si>
    <t>f20180294</t>
  </si>
  <si>
    <t>f20180289</t>
  </si>
  <si>
    <t>f20190007</t>
  </si>
  <si>
    <t>f20190008</t>
  </si>
  <si>
    <t>f20190001</t>
  </si>
  <si>
    <t>f20190017</t>
  </si>
  <si>
    <t>f20190013</t>
  </si>
  <si>
    <t>f20190025</t>
  </si>
  <si>
    <t>19P19010000001</t>
    <phoneticPr fontId="5" type="noConversion"/>
  </si>
  <si>
    <t>F20160007</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</si>
</sst>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0_);[Red]\(0.00\)"/>
    <numFmt numFmtId="178" formatCode="yyyy/m/d;@"/>
    <numFmt numFmtId="179" formatCode="#,##0.00_ "/>
    <numFmt numFmtId="180" formatCode="\¥#,##0;\¥\-#,##0"/>
  </numFmts>
  <fonts count="42">
    <font>
      <sz val="11"/>
      <color theme="1"/>
      <name val="宋体"/>
      <charset val="134"/>
      <scheme val="minor"/>
    </font>
    <font>
      <sz val="9"/>
      <color theme="1"/>
      <name val="宋体"/>
      <family val="3"/>
      <charset val="134"/>
      <scheme val="minor"/>
    </font>
    <font>
      <b/>
      <sz val="9"/>
      <name val="宋体"/>
      <family val="3"/>
      <charset val="134"/>
    </font>
    <font>
      <sz val="9"/>
      <name val="宋体"/>
      <family val="3"/>
      <charset val="134"/>
    </font>
    <font>
      <sz val="9"/>
      <name val="Calibri"/>
      <family val="2"/>
    </font>
    <font>
      <sz val="9"/>
      <name val="宋体"/>
      <family val="3"/>
      <charset val="134"/>
      <scheme val="minor"/>
    </font>
    <font>
      <sz val="9"/>
      <color theme="1"/>
      <name val="Calibri"/>
      <family val="2"/>
    </font>
    <font>
      <sz val="10"/>
      <name val="Calibri"/>
      <family val="2"/>
    </font>
    <font>
      <sz val="10"/>
      <color theme="1"/>
      <name val="Calibri"/>
      <family val="2"/>
    </font>
    <font>
      <sz val="9"/>
      <color theme="1"/>
      <name val="宋体"/>
      <family val="3"/>
      <charset val="134"/>
    </font>
    <font>
      <sz val="9"/>
      <color indexed="8"/>
      <name val="宋体"/>
      <family val="3"/>
      <charset val="134"/>
    </font>
    <font>
      <sz val="10"/>
      <color rgb="FF000000"/>
      <name val="Calibri"/>
      <family val="2"/>
    </font>
    <font>
      <sz val="9"/>
      <name val="宋体"/>
      <family val="3"/>
      <charset val="134"/>
      <scheme val="major"/>
    </font>
    <font>
      <b/>
      <sz val="9"/>
      <color theme="1"/>
      <name val="宋体"/>
      <family val="3"/>
      <charset val="134"/>
      <scheme val="minor"/>
    </font>
    <font>
      <b/>
      <sz val="10"/>
      <name val="宋体"/>
      <family val="3"/>
      <charset val="134"/>
    </font>
    <font>
      <sz val="10"/>
      <name val="宋体"/>
      <family val="3"/>
      <charset val="134"/>
    </font>
    <font>
      <b/>
      <sz val="9"/>
      <name val="Calibri"/>
      <family val="2"/>
    </font>
    <font>
      <sz val="10"/>
      <color theme="1"/>
      <name val="宋体"/>
      <family val="3"/>
      <charset val="134"/>
      <scheme val="minor"/>
    </font>
    <font>
      <sz val="10"/>
      <name val="宋体"/>
      <family val="3"/>
      <charset val="134"/>
      <scheme val="minor"/>
    </font>
    <font>
      <sz val="9"/>
      <color rgb="FFFF0000"/>
      <name val="宋体"/>
      <family val="3"/>
      <charset val="134"/>
      <scheme val="minor"/>
    </font>
    <font>
      <sz val="11"/>
      <color indexed="8"/>
      <name val="宋体"/>
      <family val="3"/>
      <charset val="134"/>
    </font>
    <font>
      <sz val="9"/>
      <color theme="1"/>
      <name val="宋体"/>
      <family val="3"/>
      <charset val="134"/>
      <scheme val="major"/>
    </font>
    <font>
      <b/>
      <sz val="10"/>
      <name val="宋体"/>
      <family val="3"/>
      <charset val="134"/>
      <scheme val="minor"/>
    </font>
    <font>
      <sz val="10"/>
      <color indexed="8"/>
      <name val="宋体"/>
      <family val="3"/>
      <charset val="134"/>
      <scheme val="minor"/>
    </font>
    <font>
      <sz val="10"/>
      <color indexed="8"/>
      <name val="宋体"/>
      <family val="3"/>
      <charset val="134"/>
    </font>
    <font>
      <b/>
      <sz val="20"/>
      <color theme="1"/>
      <name val="宋体"/>
      <family val="3"/>
      <charset val="134"/>
      <scheme val="minor"/>
    </font>
    <font>
      <sz val="9"/>
      <name val="宋体, Arial"/>
      <charset val="134"/>
    </font>
    <font>
      <b/>
      <sz val="18"/>
      <color theme="1"/>
      <name val="宋体"/>
      <family val="3"/>
      <charset val="134"/>
      <scheme val="minor"/>
    </font>
    <font>
      <b/>
      <sz val="16"/>
      <color theme="1"/>
      <name val="宋体"/>
      <family val="3"/>
      <charset val="134"/>
      <scheme val="minor"/>
    </font>
    <font>
      <b/>
      <sz val="14"/>
      <color theme="1"/>
      <name val="宋体"/>
      <family val="3"/>
      <charset val="134"/>
      <scheme val="minor"/>
    </font>
    <font>
      <b/>
      <sz val="9"/>
      <name val="宋体"/>
      <family val="3"/>
      <charset val="134"/>
      <scheme val="minor"/>
    </font>
    <font>
      <b/>
      <sz val="14"/>
      <name val="宋体"/>
      <family val="3"/>
      <charset val="134"/>
      <scheme val="minor"/>
    </font>
    <font>
      <sz val="9"/>
      <color rgb="FFFF0000"/>
      <name val="宋体"/>
      <family val="3"/>
      <charset val="134"/>
    </font>
    <font>
      <sz val="9"/>
      <color rgb="FFFF0000"/>
      <name val="宋体"/>
      <family val="3"/>
      <charset val="134"/>
      <scheme val="major"/>
    </font>
    <font>
      <b/>
      <sz val="11"/>
      <color theme="1"/>
      <name val="宋体"/>
      <family val="3"/>
      <charset val="134"/>
      <scheme val="minor"/>
    </font>
    <font>
      <sz val="11"/>
      <color rgb="FF333333"/>
      <name val="Microsoft YaHei"/>
      <charset val="134"/>
    </font>
    <font>
      <b/>
      <sz val="12"/>
      <color theme="1"/>
      <name val="宋体"/>
      <family val="3"/>
      <charset val="134"/>
      <scheme val="minor"/>
    </font>
    <font>
      <sz val="9"/>
      <name val="Arial"/>
      <family val="2"/>
    </font>
    <font>
      <sz val="10"/>
      <name val="Arial"/>
      <family val="2"/>
    </font>
    <font>
      <sz val="9"/>
      <name val="Tahoma"/>
      <family val="2"/>
    </font>
    <font>
      <b/>
      <sz val="9"/>
      <name val="Tahoma"/>
      <family val="2"/>
    </font>
    <font>
      <sz val="11"/>
      <color theme="1"/>
      <name val="宋体"/>
      <family val="3"/>
      <charset val="134"/>
      <scheme val="minor"/>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medium">
        <color auto="1"/>
      </right>
      <top style="thin">
        <color auto="1"/>
      </top>
      <bottom style="thin">
        <color auto="1"/>
      </bottom>
      <diagonal/>
    </border>
  </borders>
  <cellStyleXfs count="4">
    <xf numFmtId="0" fontId="0" fillId="0" borderId="0">
      <alignment vertical="center"/>
    </xf>
    <xf numFmtId="9" fontId="41" fillId="0" borderId="0" applyFont="0" applyFill="0" applyBorder="0" applyAlignment="0" applyProtection="0">
      <alignment vertical="center"/>
    </xf>
    <xf numFmtId="0" fontId="41" fillId="0" borderId="0"/>
    <xf numFmtId="0" fontId="38" fillId="0" borderId="0"/>
  </cellStyleXfs>
  <cellXfs count="450">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1" fillId="0" borderId="2" xfId="0" applyFont="1" applyBorder="1" applyAlignment="1">
      <alignment vertical="center" wrapText="1"/>
    </xf>
    <xf numFmtId="49" fontId="1" fillId="0" borderId="2" xfId="0" applyNumberFormat="1"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0" borderId="2" xfId="0" applyBorder="1">
      <alignment vertical="center"/>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2" borderId="2" xfId="0" applyFill="1" applyBorder="1">
      <alignment vertical="center"/>
    </xf>
    <xf numFmtId="0" fontId="5" fillId="2" borderId="2" xfId="0" applyFont="1" applyFill="1" applyBorder="1" applyAlignment="1">
      <alignment horizontal="center" vertical="center" wrapText="1"/>
    </xf>
    <xf numFmtId="177" fontId="6" fillId="0" borderId="1" xfId="0" applyNumberFormat="1" applyFont="1" applyFill="1" applyBorder="1" applyAlignment="1">
      <alignment horizontal="center" vertical="center" wrapText="1"/>
    </xf>
    <xf numFmtId="0" fontId="0" fillId="2" borderId="0" xfId="0" applyFill="1">
      <alignment vertical="center"/>
    </xf>
    <xf numFmtId="49" fontId="7"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3"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176" fontId="10"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vertical="center" wrapText="1"/>
    </xf>
    <xf numFmtId="0" fontId="11" fillId="0" borderId="2" xfId="0" applyFont="1" applyFill="1" applyBorder="1" applyAlignment="1">
      <alignment horizontal="center" vertical="center"/>
    </xf>
    <xf numFmtId="0" fontId="1" fillId="0" borderId="0" xfId="0" applyFont="1" applyFill="1" applyAlignment="1">
      <alignment vertical="center" wrapText="1"/>
    </xf>
    <xf numFmtId="177" fontId="3" fillId="0" borderId="2"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49" fontId="5" fillId="0" borderId="2" xfId="0" applyNumberFormat="1" applyFont="1" applyFill="1" applyBorder="1" applyAlignment="1">
      <alignment horizontal="center" vertical="center" wrapText="1"/>
    </xf>
    <xf numFmtId="0" fontId="1" fillId="3" borderId="2"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vertical="center" wrapText="1"/>
    </xf>
    <xf numFmtId="0" fontId="12" fillId="0"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2" fillId="2" borderId="2" xfId="0" applyFont="1" applyFill="1" applyBorder="1" applyAlignment="1">
      <alignment horizontal="center" vertical="center" wrapText="1"/>
    </xf>
    <xf numFmtId="49" fontId="3" fillId="0" borderId="2" xfId="0" applyNumberFormat="1" applyFont="1" applyFill="1" applyBorder="1" applyAlignment="1">
      <alignment horizontal="center" vertical="center"/>
    </xf>
    <xf numFmtId="0" fontId="3" fillId="4" borderId="1" xfId="0" applyFont="1" applyFill="1" applyBorder="1" applyAlignment="1">
      <alignment vertical="center" wrapText="1"/>
    </xf>
    <xf numFmtId="0" fontId="1" fillId="4" borderId="2" xfId="0" applyFont="1" applyFill="1" applyBorder="1" applyAlignment="1">
      <alignment vertical="center" wrapText="1"/>
    </xf>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13" fillId="0" borderId="2" xfId="0" applyFont="1" applyBorder="1" applyAlignment="1">
      <alignment horizontal="center" vertical="center" wrapText="1"/>
    </xf>
    <xf numFmtId="49" fontId="13" fillId="0" borderId="2" xfId="0" applyNumberFormat="1" applyFont="1" applyBorder="1" applyAlignment="1">
      <alignment horizontal="center" vertical="center" wrapText="1"/>
    </xf>
    <xf numFmtId="0" fontId="1" fillId="0" borderId="2" xfId="0" applyFont="1" applyBorder="1">
      <alignment vertical="center"/>
    </xf>
    <xf numFmtId="0" fontId="0" fillId="0" borderId="2" xfId="0" applyFill="1" applyBorder="1">
      <alignment vertical="center"/>
    </xf>
    <xf numFmtId="49" fontId="1" fillId="0" borderId="2" xfId="0" applyNumberFormat="1" applyFont="1" applyFill="1" applyBorder="1" applyAlignment="1">
      <alignment horizontal="center" vertical="center" wrapText="1"/>
    </xf>
    <xf numFmtId="0" fontId="1" fillId="0" borderId="2" xfId="0" applyFont="1" applyFill="1" applyBorder="1">
      <alignment vertical="center"/>
    </xf>
    <xf numFmtId="0" fontId="0" fillId="0" borderId="0" xfId="0" applyFill="1">
      <alignment vertical="center"/>
    </xf>
    <xf numFmtId="9" fontId="13" fillId="0" borderId="2" xfId="0" applyNumberFormat="1" applyFont="1" applyBorder="1" applyAlignment="1">
      <alignment horizontal="center" vertical="center" wrapText="1"/>
    </xf>
    <xf numFmtId="14" fontId="13" fillId="0" borderId="2" xfId="0" applyNumberFormat="1" applyFont="1" applyBorder="1" applyAlignment="1">
      <alignment horizontal="center" vertical="center" wrapText="1"/>
    </xf>
    <xf numFmtId="14" fontId="14" fillId="0" borderId="2" xfId="3" applyNumberFormat="1" applyFont="1" applyFill="1" applyBorder="1" applyAlignment="1">
      <alignment horizontal="center" vertical="center" wrapText="1"/>
    </xf>
    <xf numFmtId="9" fontId="6" fillId="0" borderId="2" xfId="1" applyFont="1" applyFill="1" applyBorder="1" applyAlignment="1">
      <alignment horizontal="center" vertical="center" wrapText="1"/>
    </xf>
    <xf numFmtId="14" fontId="1" fillId="0" borderId="2" xfId="0" applyNumberFormat="1" applyFont="1" applyBorder="1" applyAlignment="1">
      <alignment vertical="center" wrapText="1"/>
    </xf>
    <xf numFmtId="14" fontId="1" fillId="0" borderId="2" xfId="0" applyNumberFormat="1" applyFont="1" applyFill="1" applyBorder="1" applyAlignment="1">
      <alignment vertical="center" wrapText="1"/>
    </xf>
    <xf numFmtId="0" fontId="1" fillId="0" borderId="2" xfId="0" applyFont="1" applyFill="1" applyBorder="1" applyAlignment="1">
      <alignment horizontal="center" vertical="center"/>
    </xf>
    <xf numFmtId="0" fontId="1" fillId="5" borderId="0" xfId="0" applyFont="1" applyFill="1" applyAlignment="1">
      <alignment vertical="center" wrapText="1"/>
    </xf>
    <xf numFmtId="14" fontId="1" fillId="0" borderId="0" xfId="0" applyNumberFormat="1" applyFont="1" applyAlignment="1">
      <alignment vertical="center" wrapText="1"/>
    </xf>
    <xf numFmtId="178" fontId="1" fillId="0" borderId="0" xfId="0" applyNumberFormat="1" applyFont="1" applyAlignment="1">
      <alignment vertical="center" wrapText="1"/>
    </xf>
    <xf numFmtId="0" fontId="1" fillId="6" borderId="0" xfId="0" applyFont="1" applyFill="1" applyAlignment="1">
      <alignment vertical="center" wrapText="1"/>
    </xf>
    <xf numFmtId="0" fontId="1" fillId="6" borderId="0" xfId="0" applyFont="1" applyFill="1" applyAlignment="1">
      <alignment horizontal="center" vertical="center" wrapText="1"/>
    </xf>
    <xf numFmtId="49" fontId="1" fillId="0" borderId="2" xfId="0" applyNumberFormat="1" applyFont="1" applyBorder="1" applyAlignment="1">
      <alignment vertical="center" wrapText="1"/>
    </xf>
    <xf numFmtId="178" fontId="13" fillId="0" borderId="2" xfId="0" applyNumberFormat="1" applyFont="1" applyBorder="1" applyAlignment="1">
      <alignment horizontal="center" vertical="center" wrapText="1"/>
    </xf>
    <xf numFmtId="0" fontId="13" fillId="6" borderId="2" xfId="0" applyFont="1" applyFill="1" applyBorder="1" applyAlignment="1">
      <alignment horizontal="center" vertical="center" wrapText="1"/>
    </xf>
    <xf numFmtId="9" fontId="1" fillId="0" borderId="2" xfId="0" applyNumberFormat="1" applyFont="1" applyBorder="1" applyAlignment="1">
      <alignment vertical="center" wrapText="1"/>
    </xf>
    <xf numFmtId="178" fontId="1" fillId="0" borderId="2" xfId="0" applyNumberFormat="1" applyFont="1" applyBorder="1" applyAlignment="1">
      <alignment vertical="center" wrapText="1"/>
    </xf>
    <xf numFmtId="14" fontId="15" fillId="0" borderId="2" xfId="3" applyNumberFormat="1" applyFont="1" applyFill="1" applyBorder="1" applyAlignment="1">
      <alignment horizontal="center" vertical="center" wrapText="1"/>
    </xf>
    <xf numFmtId="0" fontId="1" fillId="6" borderId="2" xfId="0" applyFont="1" applyFill="1" applyBorder="1" applyAlignment="1">
      <alignment vertical="center" wrapText="1"/>
    </xf>
    <xf numFmtId="14" fontId="3" fillId="0" borderId="2" xfId="0"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1" fillId="6" borderId="2" xfId="0" applyFont="1" applyFill="1" applyBorder="1" applyAlignment="1">
      <alignment horizontal="center" vertical="center" wrapText="1"/>
    </xf>
    <xf numFmtId="178" fontId="3" fillId="6" borderId="2" xfId="0" applyNumberFormat="1" applyFont="1" applyFill="1" applyBorder="1" applyAlignment="1">
      <alignment horizontal="center" vertical="center" wrapText="1"/>
    </xf>
    <xf numFmtId="178" fontId="1" fillId="6" borderId="2" xfId="0" applyNumberFormat="1" applyFont="1" applyFill="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4" fontId="5" fillId="0"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1" fillId="0" borderId="3" xfId="0" applyFont="1" applyBorder="1" applyAlignment="1">
      <alignment vertical="center" wrapText="1"/>
    </xf>
    <xf numFmtId="14" fontId="3" fillId="2" borderId="2" xfId="0" applyNumberFormat="1" applyFont="1" applyFill="1" applyBorder="1" applyAlignment="1">
      <alignment horizontal="center" vertical="center" wrapText="1"/>
    </xf>
    <xf numFmtId="0" fontId="1" fillId="5" borderId="2" xfId="0" applyFont="1" applyFill="1" applyBorder="1" applyAlignment="1">
      <alignment vertical="center" wrapText="1"/>
    </xf>
    <xf numFmtId="14" fontId="3" fillId="0" borderId="1" xfId="0" applyNumberFormat="1" applyFont="1" applyFill="1" applyBorder="1" applyAlignment="1">
      <alignment horizontal="center" vertical="center" wrapText="1"/>
    </xf>
    <xf numFmtId="9" fontId="1" fillId="5" borderId="2" xfId="0" applyNumberFormat="1" applyFont="1" applyFill="1" applyBorder="1" applyAlignment="1">
      <alignment vertical="center" wrapText="1"/>
    </xf>
    <xf numFmtId="14" fontId="1" fillId="5" borderId="2" xfId="0" applyNumberFormat="1" applyFont="1" applyFill="1" applyBorder="1" applyAlignment="1">
      <alignment vertical="center" wrapText="1"/>
    </xf>
    <xf numFmtId="178" fontId="1" fillId="5" borderId="2" xfId="0" applyNumberFormat="1" applyFont="1" applyFill="1" applyBorder="1" applyAlignment="1">
      <alignment vertical="center" wrapText="1"/>
    </xf>
    <xf numFmtId="14" fontId="3" fillId="5" borderId="2" xfId="0" applyNumberFormat="1" applyFont="1" applyFill="1" applyBorder="1" applyAlignment="1">
      <alignment horizontal="center" vertical="center" wrapText="1"/>
    </xf>
    <xf numFmtId="178" fontId="1" fillId="6" borderId="2" xfId="0" applyNumberFormat="1" applyFont="1" applyFill="1" applyBorder="1" applyAlignment="1">
      <alignment vertical="center" wrapText="1"/>
    </xf>
    <xf numFmtId="178" fontId="5" fillId="6" borderId="2"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0" xfId="0" applyFont="1" applyBorder="1" applyAlignment="1">
      <alignment horizontal="center" vertical="center" wrapText="1"/>
    </xf>
    <xf numFmtId="176" fontId="16"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176" fontId="2" fillId="0" borderId="2" xfId="0" applyNumberFormat="1" applyFont="1" applyFill="1" applyBorder="1" applyAlignment="1">
      <alignment horizontal="center" vertical="center" wrapText="1"/>
    </xf>
    <xf numFmtId="0" fontId="0" fillId="7" borderId="2" xfId="0" applyFill="1" applyBorder="1" applyAlignment="1">
      <alignment horizontal="center" vertical="center"/>
    </xf>
    <xf numFmtId="0" fontId="3" fillId="7" borderId="2" xfId="0" applyFont="1" applyFill="1" applyBorder="1" applyAlignment="1">
      <alignment horizontal="center" vertical="center" wrapText="1"/>
    </xf>
    <xf numFmtId="0" fontId="3" fillId="7"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0" fillId="0" borderId="2" xfId="0" applyFill="1" applyBorder="1" applyAlignment="1">
      <alignment horizontal="center" vertical="center"/>
    </xf>
    <xf numFmtId="177" fontId="1" fillId="0" borderId="2" xfId="0" applyNumberFormat="1" applyFont="1" applyFill="1" applyBorder="1" applyAlignment="1">
      <alignment horizontal="center" vertical="center" wrapText="1"/>
    </xf>
    <xf numFmtId="0" fontId="17" fillId="0" borderId="2" xfId="0" applyFont="1" applyBorder="1" applyAlignment="1">
      <alignment horizontal="center" vertical="center"/>
    </xf>
    <xf numFmtId="0" fontId="18" fillId="0" borderId="2" xfId="0" applyFont="1" applyFill="1" applyBorder="1" applyAlignment="1">
      <alignment horizontal="center" vertical="center" wrapText="1"/>
    </xf>
    <xf numFmtId="177" fontId="3" fillId="7" borderId="2" xfId="0" applyNumberFormat="1" applyFont="1" applyFill="1" applyBorder="1" applyAlignment="1">
      <alignment horizontal="center" vertical="center" wrapText="1"/>
    </xf>
    <xf numFmtId="0" fontId="17" fillId="7" borderId="2" xfId="0" applyFont="1" applyFill="1" applyBorder="1" applyAlignment="1">
      <alignment horizontal="center" vertical="center"/>
    </xf>
    <xf numFmtId="0" fontId="18" fillId="7" borderId="2" xfId="0" applyFont="1" applyFill="1" applyBorder="1" applyAlignment="1">
      <alignment horizontal="center" vertical="center" wrapText="1"/>
    </xf>
    <xf numFmtId="0" fontId="17" fillId="7" borderId="2" xfId="0" applyFont="1" applyFill="1" applyBorder="1">
      <alignment vertical="center"/>
    </xf>
    <xf numFmtId="0" fontId="19" fillId="0" borderId="2" xfId="0" applyFont="1" applyFill="1" applyBorder="1" applyAlignment="1">
      <alignment horizontal="center" vertical="center" wrapText="1"/>
    </xf>
    <xf numFmtId="177" fontId="1" fillId="7" borderId="2" xfId="0" applyNumberFormat="1" applyFont="1" applyFill="1" applyBorder="1" applyAlignment="1">
      <alignment horizontal="center" vertical="center" wrapText="1"/>
    </xf>
    <xf numFmtId="0" fontId="17" fillId="7" borderId="2" xfId="0" applyFont="1" applyFill="1" applyBorder="1" applyAlignment="1">
      <alignment vertical="center" wrapText="1"/>
    </xf>
    <xf numFmtId="0" fontId="10"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176" fontId="10" fillId="7" borderId="2" xfId="0" applyNumberFormat="1" applyFont="1" applyFill="1" applyBorder="1" applyAlignment="1">
      <alignment horizontal="center" vertical="center" wrapText="1"/>
    </xf>
    <xf numFmtId="0" fontId="20" fillId="0" borderId="2" xfId="0" applyFont="1" applyFill="1" applyBorder="1" applyAlignment="1">
      <alignment horizontal="center" vertical="center" wrapText="1"/>
    </xf>
    <xf numFmtId="0" fontId="17" fillId="0" borderId="2" xfId="0" applyFont="1" applyBorder="1" applyAlignment="1">
      <alignment vertical="center" wrapText="1"/>
    </xf>
    <xf numFmtId="0" fontId="17" fillId="0" borderId="2" xfId="0" applyFont="1" applyBorder="1">
      <alignment vertical="center"/>
    </xf>
    <xf numFmtId="0" fontId="17" fillId="7" borderId="2" xfId="0" applyFont="1" applyFill="1" applyBorder="1" applyAlignment="1">
      <alignment horizontal="center" vertical="center" wrapText="1"/>
    </xf>
    <xf numFmtId="49" fontId="7" fillId="7" borderId="2" xfId="0" applyNumberFormat="1" applyFont="1" applyFill="1" applyBorder="1" applyAlignment="1">
      <alignment horizontal="center" vertical="center" wrapText="1"/>
    </xf>
    <xf numFmtId="0" fontId="12"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17" fillId="0" borderId="2" xfId="0" applyFont="1" applyBorder="1" applyAlignment="1">
      <alignment horizontal="center" vertical="center" wrapText="1"/>
    </xf>
    <xf numFmtId="177" fontId="17" fillId="0" borderId="2" xfId="0" applyNumberFormat="1" applyFont="1" applyBorder="1" applyAlignment="1">
      <alignment vertical="center" wrapText="1"/>
    </xf>
    <xf numFmtId="0" fontId="17" fillId="0" borderId="0" xfId="0" applyFont="1" applyAlignment="1">
      <alignment vertical="center" wrapText="1"/>
    </xf>
    <xf numFmtId="0" fontId="17" fillId="2" borderId="0" xfId="0" applyFont="1" applyFill="1">
      <alignment vertical="center"/>
    </xf>
    <xf numFmtId="0" fontId="17" fillId="0" borderId="0" xfId="0" applyFont="1" applyFill="1">
      <alignment vertical="center"/>
    </xf>
    <xf numFmtId="0" fontId="17" fillId="0" borderId="0" xfId="0" applyFont="1">
      <alignment vertical="center"/>
    </xf>
    <xf numFmtId="14" fontId="17" fillId="0" borderId="0" xfId="0" applyNumberFormat="1" applyFont="1">
      <alignment vertical="center"/>
    </xf>
    <xf numFmtId="10" fontId="17" fillId="0" borderId="0" xfId="0" applyNumberFormat="1" applyFont="1">
      <alignment vertical="center"/>
    </xf>
    <xf numFmtId="14" fontId="17" fillId="0" borderId="2" xfId="0" applyNumberFormat="1" applyFont="1" applyFill="1" applyBorder="1" applyAlignment="1">
      <alignment vertical="center" wrapText="1"/>
    </xf>
    <xf numFmtId="49" fontId="17" fillId="0" borderId="0" xfId="0" applyNumberFormat="1" applyFont="1">
      <alignment vertical="center"/>
    </xf>
    <xf numFmtId="177" fontId="17" fillId="0" borderId="0" xfId="0" applyNumberFormat="1" applyFont="1">
      <alignment vertical="center"/>
    </xf>
    <xf numFmtId="0" fontId="22" fillId="0" borderId="2" xfId="0" applyFont="1" applyFill="1" applyBorder="1" applyAlignment="1">
      <alignment horizontal="center" vertical="center" wrapText="1"/>
    </xf>
    <xf numFmtId="0" fontId="22" fillId="0" borderId="1" xfId="0" applyFont="1" applyFill="1" applyBorder="1" applyAlignment="1">
      <alignment vertical="center" wrapText="1"/>
    </xf>
    <xf numFmtId="176" fontId="22" fillId="0" borderId="2" xfId="0" applyNumberFormat="1" applyFont="1" applyFill="1" applyBorder="1" applyAlignment="1">
      <alignment horizontal="center" vertical="center" wrapText="1"/>
    </xf>
    <xf numFmtId="49" fontId="22" fillId="0" borderId="2" xfId="0" applyNumberFormat="1" applyFont="1" applyFill="1" applyBorder="1" applyAlignment="1">
      <alignment horizontal="center" vertical="center" wrapText="1"/>
    </xf>
    <xf numFmtId="49" fontId="17" fillId="0" borderId="2" xfId="0" applyNumberFormat="1" applyFont="1" applyBorder="1" applyAlignment="1">
      <alignment horizontal="center" vertical="center" wrapText="1"/>
    </xf>
    <xf numFmtId="0" fontId="17" fillId="2" borderId="2" xfId="0" applyFont="1" applyFill="1" applyBorder="1">
      <alignment vertical="center"/>
    </xf>
    <xf numFmtId="0" fontId="18" fillId="2" borderId="2" xfId="0" applyFont="1" applyFill="1" applyBorder="1" applyAlignment="1">
      <alignment horizontal="center" vertical="center" wrapText="1"/>
    </xf>
    <xf numFmtId="0" fontId="17" fillId="2" borderId="2" xfId="0" applyFont="1" applyFill="1" applyBorder="1" applyAlignment="1">
      <alignment vertical="center" wrapText="1"/>
    </xf>
    <xf numFmtId="49" fontId="17" fillId="2" borderId="2" xfId="0" applyNumberFormat="1" applyFont="1" applyFill="1" applyBorder="1" applyAlignment="1">
      <alignment horizontal="center" vertical="center" wrapText="1"/>
    </xf>
    <xf numFmtId="0" fontId="23" fillId="8" borderId="7" xfId="0" applyFont="1" applyFill="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17" fillId="0" borderId="2" xfId="0" applyFont="1" applyFill="1" applyBorder="1">
      <alignment vertical="center"/>
    </xf>
    <xf numFmtId="0" fontId="17" fillId="0" borderId="2" xfId="0" applyFont="1" applyFill="1" applyBorder="1" applyAlignment="1">
      <alignment vertical="center" wrapText="1"/>
    </xf>
    <xf numFmtId="0" fontId="24" fillId="9" borderId="2" xfId="0" applyFont="1" applyFill="1" applyBorder="1" applyAlignment="1">
      <alignment horizontal="left" vertical="center" wrapText="1"/>
    </xf>
    <xf numFmtId="14" fontId="22" fillId="0" borderId="2" xfId="0" applyNumberFormat="1" applyFont="1" applyFill="1" applyBorder="1" applyAlignment="1">
      <alignment horizontal="center" vertical="center" wrapText="1"/>
    </xf>
    <xf numFmtId="177" fontId="22" fillId="0" borderId="2" xfId="0" applyNumberFormat="1" applyFont="1" applyFill="1" applyBorder="1" applyAlignment="1">
      <alignment horizontal="center" vertical="center" wrapText="1"/>
    </xf>
    <xf numFmtId="9" fontId="22" fillId="0" borderId="2" xfId="1" applyFont="1" applyFill="1" applyBorder="1" applyAlignment="1">
      <alignment horizontal="center" vertical="center" wrapText="1"/>
    </xf>
    <xf numFmtId="14" fontId="17" fillId="0" borderId="2" xfId="0" applyNumberFormat="1" applyFont="1" applyBorder="1" applyAlignment="1">
      <alignment vertical="center" wrapText="1"/>
    </xf>
    <xf numFmtId="49" fontId="17" fillId="0" borderId="2" xfId="0" applyNumberFormat="1" applyFont="1" applyBorder="1" applyAlignment="1">
      <alignment vertical="center" wrapText="1"/>
    </xf>
    <xf numFmtId="9" fontId="17" fillId="0" borderId="2" xfId="1" applyFont="1" applyFill="1" applyBorder="1" applyAlignment="1">
      <alignment horizontal="center" vertical="center" wrapText="1"/>
    </xf>
    <xf numFmtId="14" fontId="17" fillId="2" borderId="2" xfId="0" applyNumberFormat="1" applyFont="1" applyFill="1" applyBorder="1" applyAlignment="1">
      <alignment vertical="center" wrapText="1"/>
    </xf>
    <xf numFmtId="49" fontId="17" fillId="2" borderId="2" xfId="0" applyNumberFormat="1" applyFont="1" applyFill="1" applyBorder="1" applyAlignment="1">
      <alignment vertical="center" wrapText="1"/>
    </xf>
    <xf numFmtId="9" fontId="17" fillId="2" borderId="2" xfId="1" applyFont="1" applyFill="1" applyBorder="1" applyAlignment="1">
      <alignment horizontal="center" vertical="center" wrapText="1"/>
    </xf>
    <xf numFmtId="9" fontId="17" fillId="0" borderId="2" xfId="0" applyNumberFormat="1" applyFont="1" applyBorder="1">
      <alignment vertical="center"/>
    </xf>
    <xf numFmtId="14" fontId="17" fillId="0" borderId="2" xfId="0" applyNumberFormat="1" applyFont="1" applyBorder="1">
      <alignment vertical="center"/>
    </xf>
    <xf numFmtId="9" fontId="17" fillId="8" borderId="2" xfId="0" applyNumberFormat="1" applyFont="1" applyFill="1" applyBorder="1" applyAlignment="1">
      <alignment horizontal="center" vertical="center" wrapText="1"/>
    </xf>
    <xf numFmtId="9" fontId="17" fillId="8" borderId="8" xfId="0" applyNumberFormat="1" applyFont="1" applyFill="1" applyBorder="1" applyAlignment="1">
      <alignment horizontal="center" vertical="center" wrapText="1"/>
    </xf>
    <xf numFmtId="9" fontId="17" fillId="8" borderId="7" xfId="0" applyNumberFormat="1" applyFont="1" applyFill="1" applyBorder="1" applyAlignment="1">
      <alignment horizontal="center" vertical="center" wrapText="1"/>
    </xf>
    <xf numFmtId="14" fontId="17" fillId="0" borderId="1" xfId="0" applyNumberFormat="1" applyFont="1" applyBorder="1">
      <alignment vertical="center"/>
    </xf>
    <xf numFmtId="9" fontId="17" fillId="0" borderId="1" xfId="0" applyNumberFormat="1" applyFont="1" applyBorder="1">
      <alignment vertical="center"/>
    </xf>
    <xf numFmtId="10" fontId="22" fillId="0" borderId="2" xfId="0" applyNumberFormat="1" applyFont="1" applyFill="1" applyBorder="1" applyAlignment="1">
      <alignment horizontal="center" vertical="center" wrapText="1"/>
    </xf>
    <xf numFmtId="10" fontId="17" fillId="0" borderId="2" xfId="0" applyNumberFormat="1" applyFont="1" applyBorder="1" applyAlignment="1">
      <alignment vertical="center" wrapText="1"/>
    </xf>
    <xf numFmtId="10" fontId="17" fillId="2" borderId="2" xfId="0" applyNumberFormat="1" applyFont="1" applyFill="1" applyBorder="1" applyAlignment="1">
      <alignment vertical="center" wrapText="1"/>
    </xf>
    <xf numFmtId="10" fontId="17" fillId="0" borderId="2" xfId="0" applyNumberFormat="1" applyFont="1" applyBorder="1">
      <alignment vertical="center"/>
    </xf>
    <xf numFmtId="0" fontId="17" fillId="0" borderId="9" xfId="0" applyFont="1" applyBorder="1">
      <alignment vertical="center"/>
    </xf>
    <xf numFmtId="10" fontId="17" fillId="0" borderId="1" xfId="0" applyNumberFormat="1" applyFont="1" applyBorder="1">
      <alignment vertical="center"/>
    </xf>
    <xf numFmtId="10" fontId="17" fillId="0" borderId="2" xfId="0" applyNumberFormat="1" applyFont="1" applyFill="1" applyBorder="1">
      <alignment vertical="center"/>
    </xf>
    <xf numFmtId="9" fontId="17" fillId="0" borderId="2" xfId="0" applyNumberFormat="1" applyFont="1" applyBorder="1" applyAlignment="1">
      <alignment vertical="center" wrapText="1"/>
    </xf>
    <xf numFmtId="9" fontId="17" fillId="2" borderId="2" xfId="0" applyNumberFormat="1" applyFont="1" applyFill="1" applyBorder="1" applyAlignment="1">
      <alignment vertical="center" wrapText="1"/>
    </xf>
    <xf numFmtId="4" fontId="17" fillId="0" borderId="2" xfId="0" applyNumberFormat="1" applyFont="1" applyBorder="1" applyAlignment="1">
      <alignment vertical="center" wrapText="1"/>
    </xf>
    <xf numFmtId="0" fontId="17" fillId="0" borderId="3" xfId="0" applyFont="1" applyBorder="1">
      <alignment vertical="center"/>
    </xf>
    <xf numFmtId="0" fontId="17" fillId="0" borderId="9" xfId="0" applyFont="1" applyFill="1" applyBorder="1">
      <alignment vertical="center"/>
    </xf>
    <xf numFmtId="40" fontId="22" fillId="0" borderId="2" xfId="0" applyNumberFormat="1" applyFont="1" applyFill="1" applyBorder="1" applyAlignment="1">
      <alignment horizontal="center" vertical="center" wrapText="1"/>
    </xf>
    <xf numFmtId="9" fontId="22" fillId="0" borderId="2" xfId="0" applyNumberFormat="1" applyFont="1" applyFill="1" applyBorder="1" applyAlignment="1">
      <alignment horizontal="center" vertical="center" wrapText="1"/>
    </xf>
    <xf numFmtId="9" fontId="22" fillId="10" borderId="2" xfId="0" applyNumberFormat="1"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0" fontId="17" fillId="0" borderId="5" xfId="0" applyFont="1" applyBorder="1">
      <alignment vertical="center"/>
    </xf>
    <xf numFmtId="49" fontId="17" fillId="0" borderId="2" xfId="0" applyNumberFormat="1" applyFont="1" applyBorder="1">
      <alignment vertical="center"/>
    </xf>
    <xf numFmtId="0" fontId="17" fillId="2" borderId="5" xfId="0" applyFont="1" applyFill="1" applyBorder="1">
      <alignment vertical="center"/>
    </xf>
    <xf numFmtId="49" fontId="17" fillId="2" borderId="2" xfId="0" applyNumberFormat="1" applyFont="1" applyFill="1" applyBorder="1">
      <alignment vertical="center"/>
    </xf>
    <xf numFmtId="49" fontId="17" fillId="0" borderId="1" xfId="0" applyNumberFormat="1" applyFont="1" applyBorder="1">
      <alignment vertical="center"/>
    </xf>
    <xf numFmtId="49" fontId="17" fillId="0" borderId="2" xfId="0" applyNumberFormat="1" applyFont="1" applyFill="1" applyBorder="1">
      <alignment vertical="center"/>
    </xf>
    <xf numFmtId="177" fontId="22" fillId="0" borderId="5" xfId="0" applyNumberFormat="1" applyFont="1" applyFill="1" applyBorder="1" applyAlignment="1">
      <alignment horizontal="center" vertical="center" wrapText="1"/>
    </xf>
    <xf numFmtId="9" fontId="18" fillId="0" borderId="2" xfId="0" applyNumberFormat="1" applyFont="1" applyFill="1" applyBorder="1" applyAlignment="1">
      <alignment horizontal="center" vertical="center" wrapText="1"/>
    </xf>
    <xf numFmtId="177" fontId="18" fillId="0" borderId="5" xfId="0" applyNumberFormat="1" applyFont="1" applyFill="1" applyBorder="1" applyAlignment="1">
      <alignment horizontal="center" vertical="center" wrapText="1"/>
    </xf>
    <xf numFmtId="177" fontId="17" fillId="0" borderId="2" xfId="0" applyNumberFormat="1" applyFont="1" applyBorder="1">
      <alignment vertical="center"/>
    </xf>
    <xf numFmtId="177" fontId="17" fillId="2" borderId="2" xfId="0" applyNumberFormat="1" applyFont="1" applyFill="1" applyBorder="1">
      <alignment vertical="center"/>
    </xf>
    <xf numFmtId="177" fontId="18" fillId="2" borderId="5" xfId="0" applyNumberFormat="1" applyFont="1" applyFill="1" applyBorder="1" applyAlignment="1">
      <alignment horizontal="center" vertical="center" wrapText="1"/>
    </xf>
    <xf numFmtId="177" fontId="17" fillId="0" borderId="1" xfId="0" applyNumberFormat="1" applyFont="1" applyBorder="1">
      <alignment vertical="center"/>
    </xf>
    <xf numFmtId="0" fontId="17" fillId="0" borderId="5" xfId="0" applyFont="1" applyFill="1" applyBorder="1">
      <alignment vertical="center"/>
    </xf>
    <xf numFmtId="177" fontId="17" fillId="0" borderId="2" xfId="0" applyNumberFormat="1" applyFont="1" applyFill="1" applyBorder="1">
      <alignment vertical="center"/>
    </xf>
    <xf numFmtId="0" fontId="17" fillId="0" borderId="0" xfId="0" applyFont="1" applyBorder="1" applyAlignment="1">
      <alignment vertical="center" wrapText="1"/>
    </xf>
    <xf numFmtId="0" fontId="17" fillId="0" borderId="10" xfId="0" applyFont="1" applyBorder="1">
      <alignment vertical="center"/>
    </xf>
    <xf numFmtId="0" fontId="5" fillId="0" borderId="0" xfId="0" applyFont="1" applyAlignment="1">
      <alignment vertical="center" wrapText="1"/>
    </xf>
    <xf numFmtId="49" fontId="1" fillId="0" borderId="0" xfId="0" applyNumberFormat="1" applyFont="1" applyAlignment="1">
      <alignment horizontal="center" vertical="center" wrapText="1"/>
    </xf>
    <xf numFmtId="14" fontId="1" fillId="0" borderId="0" xfId="0" applyNumberFormat="1" applyFont="1" applyAlignment="1">
      <alignment horizontal="center" vertical="center" wrapText="1"/>
    </xf>
    <xf numFmtId="177" fontId="1" fillId="0" borderId="0" xfId="0" applyNumberFormat="1" applyFont="1" applyAlignment="1">
      <alignment vertical="center" wrapText="1"/>
    </xf>
    <xf numFmtId="10" fontId="1" fillId="0" borderId="0" xfId="0" applyNumberFormat="1" applyFont="1" applyAlignment="1">
      <alignment vertical="center" wrapText="1"/>
    </xf>
    <xf numFmtId="49" fontId="1" fillId="0" borderId="0" xfId="0" applyNumberFormat="1" applyFont="1" applyAlignment="1">
      <alignment vertical="center" wrapText="1"/>
    </xf>
    <xf numFmtId="0" fontId="1" fillId="0" borderId="0" xfId="0" applyFont="1" applyBorder="1" applyAlignment="1">
      <alignment vertical="center" wrapText="1"/>
    </xf>
    <xf numFmtId="0" fontId="5" fillId="0" borderId="0" xfId="0" applyFont="1" applyFill="1" applyBorder="1" applyAlignment="1">
      <alignment vertical="center" wrapText="1"/>
    </xf>
    <xf numFmtId="178" fontId="1" fillId="0" borderId="0" xfId="0" applyNumberFormat="1" applyFont="1" applyFill="1" applyAlignment="1">
      <alignment vertical="center" wrapText="1"/>
    </xf>
    <xf numFmtId="178" fontId="5" fillId="0" borderId="0" xfId="0" applyNumberFormat="1" applyFont="1" applyFill="1" applyBorder="1" applyAlignment="1">
      <alignment horizontal="center" vertical="center" wrapText="1"/>
    </xf>
    <xf numFmtId="10" fontId="1" fillId="0" borderId="0" xfId="0" applyNumberFormat="1" applyFont="1" applyBorder="1" applyAlignment="1">
      <alignment vertical="center" wrapText="1"/>
    </xf>
    <xf numFmtId="0" fontId="1" fillId="10" borderId="0" xfId="0" applyFont="1" applyFill="1" applyAlignment="1">
      <alignment vertical="center" wrapText="1"/>
    </xf>
    <xf numFmtId="0" fontId="1" fillId="10" borderId="0" xfId="0" applyFont="1" applyFill="1" applyAlignment="1">
      <alignment horizontal="center" vertical="center" wrapText="1"/>
    </xf>
    <xf numFmtId="0" fontId="25" fillId="10" borderId="0" xfId="0" applyFont="1" applyFill="1" applyAlignment="1">
      <alignment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Fill="1" applyBorder="1" applyAlignment="1">
      <alignment vertical="center" wrapText="1"/>
    </xf>
    <xf numFmtId="0" fontId="3" fillId="0" borderId="2" xfId="0" applyFont="1" applyFill="1" applyBorder="1" applyAlignment="1">
      <alignment vertical="center" wrapText="1"/>
    </xf>
    <xf numFmtId="0" fontId="3" fillId="0" borderId="2" xfId="0" applyFont="1" applyFill="1" applyBorder="1" applyAlignment="1">
      <alignment horizontal="left" vertical="center" wrapText="1"/>
    </xf>
    <xf numFmtId="0" fontId="17" fillId="0" borderId="7" xfId="0" applyFont="1" applyBorder="1" applyAlignment="1">
      <alignment horizontal="center" vertical="center" wrapText="1"/>
    </xf>
    <xf numFmtId="0" fontId="3" fillId="0" borderId="1" xfId="0" applyFont="1" applyFill="1" applyBorder="1" applyAlignment="1">
      <alignment horizontal="center" vertical="center"/>
    </xf>
    <xf numFmtId="0" fontId="26" fillId="0" borderId="2" xfId="0" applyFont="1" applyBorder="1" applyAlignment="1">
      <alignment horizontal="center" vertical="center" wrapText="1"/>
    </xf>
    <xf numFmtId="0" fontId="3" fillId="0" borderId="1" xfId="0" applyFont="1" applyFill="1" applyBorder="1" applyAlignment="1">
      <alignment horizontal="left" vertical="center" wrapText="1"/>
    </xf>
    <xf numFmtId="0" fontId="4" fillId="0" borderId="4" xfId="0" applyFont="1" applyFill="1" applyBorder="1" applyAlignment="1">
      <alignment horizontal="center" vertical="center"/>
    </xf>
    <xf numFmtId="49" fontId="1" fillId="10" borderId="0" xfId="0" applyNumberFormat="1" applyFont="1" applyFill="1" applyAlignment="1">
      <alignment horizontal="center" vertical="center" wrapText="1"/>
    </xf>
    <xf numFmtId="14" fontId="1" fillId="10" borderId="0" xfId="0" applyNumberFormat="1" applyFont="1" applyFill="1" applyAlignment="1">
      <alignment horizontal="center" vertical="center" wrapText="1"/>
    </xf>
    <xf numFmtId="0" fontId="1" fillId="12" borderId="0" xfId="0" applyFont="1" applyFill="1" applyAlignment="1">
      <alignment vertical="center" wrapText="1"/>
    </xf>
    <xf numFmtId="177" fontId="1" fillId="12" borderId="0" xfId="0" applyNumberFormat="1" applyFont="1" applyFill="1" applyAlignment="1">
      <alignment vertical="center" wrapText="1"/>
    </xf>
    <xf numFmtId="49" fontId="1" fillId="12" borderId="0" xfId="0" applyNumberFormat="1" applyFont="1" applyFill="1" applyAlignment="1">
      <alignment horizontal="center" vertical="center" wrapText="1"/>
    </xf>
    <xf numFmtId="49" fontId="16" fillId="0" borderId="2"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14" fontId="2" fillId="0" borderId="2" xfId="0" applyNumberFormat="1" applyFont="1" applyFill="1" applyBorder="1" applyAlignment="1">
      <alignment horizontal="center" vertical="center" wrapText="1"/>
    </xf>
    <xf numFmtId="177" fontId="2" fillId="4" borderId="2" xfId="0" applyNumberFormat="1"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14" fontId="1" fillId="0" borderId="1" xfId="0" applyNumberFormat="1" applyFont="1" applyBorder="1" applyAlignment="1">
      <alignment horizontal="center" vertical="center" wrapText="1"/>
    </xf>
    <xf numFmtId="177" fontId="1" fillId="0" borderId="2" xfId="0" applyNumberFormat="1" applyFont="1" applyBorder="1" applyAlignment="1">
      <alignment vertical="center" wrapText="1"/>
    </xf>
    <xf numFmtId="49" fontId="6" fillId="0" borderId="2" xfId="1"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wrapText="1"/>
    </xf>
    <xf numFmtId="177" fontId="1" fillId="0" borderId="2" xfId="0" applyNumberFormat="1" applyFont="1" applyFill="1" applyBorder="1" applyAlignment="1">
      <alignment vertical="center" wrapText="1"/>
    </xf>
    <xf numFmtId="49" fontId="4" fillId="0" borderId="2" xfId="0" applyNumberFormat="1" applyFont="1" applyFill="1" applyBorder="1" applyAlignment="1">
      <alignment horizontal="center" vertical="center" wrapText="1"/>
    </xf>
    <xf numFmtId="49" fontId="1" fillId="0" borderId="2"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77" fontId="6" fillId="0" borderId="2" xfId="0" applyNumberFormat="1" applyFont="1" applyFill="1" applyBorder="1" applyAlignment="1">
      <alignment horizontal="center" vertical="center" wrapText="1"/>
    </xf>
    <xf numFmtId="0" fontId="6" fillId="0" borderId="2" xfId="0" applyNumberFormat="1" applyFont="1" applyFill="1" applyBorder="1" applyAlignment="1">
      <alignment horizontal="center" vertical="center" wrapText="1"/>
    </xf>
    <xf numFmtId="0" fontId="1" fillId="0" borderId="11" xfId="0" applyFont="1" applyFill="1" applyBorder="1" applyAlignment="1">
      <alignment vertical="center" wrapText="1"/>
    </xf>
    <xf numFmtId="49" fontId="27" fillId="12" borderId="0" xfId="0" applyNumberFormat="1" applyFont="1" applyFill="1" applyAlignment="1">
      <alignment horizontal="center" vertical="center"/>
    </xf>
    <xf numFmtId="177" fontId="2" fillId="13" borderId="2" xfId="0" applyNumberFormat="1" applyFont="1" applyFill="1" applyBorder="1" applyAlignment="1">
      <alignment horizontal="center" vertical="center" wrapText="1"/>
    </xf>
    <xf numFmtId="49" fontId="2" fillId="13"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9" fontId="9" fillId="0" borderId="2" xfId="1" applyFont="1" applyFill="1" applyBorder="1" applyAlignment="1">
      <alignment horizontal="center" vertical="center" wrapText="1"/>
    </xf>
    <xf numFmtId="10" fontId="1" fillId="12" borderId="0" xfId="0" applyNumberFormat="1" applyFont="1" applyFill="1" applyAlignment="1">
      <alignment vertical="center" wrapText="1"/>
    </xf>
    <xf numFmtId="0" fontId="28" fillId="5" borderId="0" xfId="0" applyFont="1" applyFill="1" applyAlignment="1">
      <alignment vertical="center"/>
    </xf>
    <xf numFmtId="10" fontId="16" fillId="13" borderId="2" xfId="1" applyNumberFormat="1" applyFont="1" applyFill="1" applyBorder="1" applyAlignment="1">
      <alignment horizontal="center" vertical="center" wrapText="1"/>
    </xf>
    <xf numFmtId="10" fontId="2" fillId="0" borderId="2" xfId="0" applyNumberFormat="1" applyFont="1" applyFill="1" applyBorder="1" applyAlignment="1">
      <alignment horizontal="center" vertical="center" wrapText="1"/>
    </xf>
    <xf numFmtId="177" fontId="2" fillId="0" borderId="2" xfId="0" applyNumberFormat="1" applyFont="1" applyFill="1" applyBorder="1" applyAlignment="1">
      <alignment horizontal="center" vertical="center" wrapText="1"/>
    </xf>
    <xf numFmtId="10" fontId="1" fillId="0" borderId="2" xfId="0" applyNumberFormat="1" applyFont="1" applyBorder="1" applyAlignment="1">
      <alignment vertical="center" wrapText="1"/>
    </xf>
    <xf numFmtId="10" fontId="6" fillId="0" borderId="2" xfId="1" applyNumberFormat="1" applyFont="1" applyFill="1" applyBorder="1" applyAlignment="1">
      <alignment horizontal="center" vertical="center" wrapText="1"/>
    </xf>
    <xf numFmtId="10" fontId="1" fillId="0" borderId="2" xfId="0" applyNumberFormat="1" applyFont="1" applyFill="1" applyBorder="1" applyAlignment="1">
      <alignment vertical="center" wrapText="1"/>
    </xf>
    <xf numFmtId="10" fontId="9" fillId="0" borderId="2" xfId="1" applyNumberFormat="1" applyFont="1" applyFill="1" applyBorder="1" applyAlignment="1">
      <alignment horizontal="center" vertical="center" wrapText="1"/>
    </xf>
    <xf numFmtId="177" fontId="1" fillId="5" borderId="0" xfId="0" applyNumberFormat="1" applyFont="1" applyFill="1" applyAlignment="1">
      <alignment vertical="center" wrapText="1"/>
    </xf>
    <xf numFmtId="177" fontId="9" fillId="0" borderId="2" xfId="0" applyNumberFormat="1" applyFont="1" applyFill="1" applyBorder="1" applyAlignment="1">
      <alignment horizontal="center" vertical="center" wrapText="1"/>
    </xf>
    <xf numFmtId="177" fontId="3" fillId="0" borderId="2" xfId="0" applyNumberFormat="1" applyFont="1" applyFill="1" applyBorder="1" applyAlignment="1">
      <alignment horizontal="right" vertical="center"/>
    </xf>
    <xf numFmtId="0" fontId="1" fillId="11" borderId="0" xfId="0" applyFont="1" applyFill="1" applyBorder="1" applyAlignment="1">
      <alignment vertical="center" wrapText="1"/>
    </xf>
    <xf numFmtId="49" fontId="29" fillId="11" borderId="0" xfId="0" applyNumberFormat="1" applyFont="1" applyFill="1" applyAlignment="1">
      <alignment vertical="center"/>
    </xf>
    <xf numFmtId="49" fontId="1" fillId="11" borderId="0" xfId="0" applyNumberFormat="1" applyFont="1" applyFill="1" applyAlignment="1">
      <alignment vertical="center" wrapText="1"/>
    </xf>
    <xf numFmtId="0" fontId="5" fillId="11" borderId="0" xfId="0" applyFont="1" applyFill="1" applyBorder="1" applyAlignment="1">
      <alignment vertical="center" wrapText="1"/>
    </xf>
    <xf numFmtId="0" fontId="13" fillId="0" borderId="2" xfId="0" applyFont="1" applyBorder="1" applyAlignment="1">
      <alignment vertical="center" wrapText="1"/>
    </xf>
    <xf numFmtId="178" fontId="2" fillId="0" borderId="2" xfId="0" applyNumberFormat="1" applyFont="1" applyFill="1" applyBorder="1" applyAlignment="1">
      <alignment horizontal="center" vertical="center" wrapText="1"/>
    </xf>
    <xf numFmtId="0" fontId="30" fillId="0" borderId="2" xfId="0" applyFont="1" applyFill="1" applyBorder="1" applyAlignment="1">
      <alignment horizontal="center" vertical="center" wrapText="1"/>
    </xf>
    <xf numFmtId="49" fontId="1" fillId="0" borderId="1" xfId="0" applyNumberFormat="1" applyFont="1" applyBorder="1" applyAlignment="1">
      <alignment vertical="center" wrapText="1"/>
    </xf>
    <xf numFmtId="178" fontId="1" fillId="0" borderId="1" xfId="0" applyNumberFormat="1" applyFont="1" applyBorder="1" applyAlignment="1">
      <alignment vertical="center" wrapText="1"/>
    </xf>
    <xf numFmtId="49" fontId="1" fillId="0" borderId="1" xfId="0" applyNumberFormat="1" applyFont="1" applyFill="1" applyBorder="1" applyAlignment="1">
      <alignment vertical="center" wrapText="1"/>
    </xf>
    <xf numFmtId="178" fontId="1" fillId="0" borderId="1" xfId="0" applyNumberFormat="1" applyFont="1" applyFill="1" applyBorder="1" applyAlignment="1">
      <alignment vertical="center" wrapText="1"/>
    </xf>
    <xf numFmtId="178" fontId="3" fillId="0" borderId="1" xfId="0" applyNumberFormat="1" applyFont="1" applyFill="1" applyBorder="1" applyAlignment="1">
      <alignment horizontal="center" vertical="center" wrapText="1"/>
    </xf>
    <xf numFmtId="49" fontId="1" fillId="14" borderId="0" xfId="0" applyNumberFormat="1" applyFont="1" applyFill="1" applyAlignment="1">
      <alignment vertical="center" wrapText="1"/>
    </xf>
    <xf numFmtId="0" fontId="1" fillId="15" borderId="0" xfId="0" applyFont="1" applyFill="1" applyAlignment="1">
      <alignment vertical="center" wrapText="1"/>
    </xf>
    <xf numFmtId="49" fontId="29" fillId="15" borderId="0" xfId="0" applyNumberFormat="1" applyFont="1" applyFill="1" applyAlignment="1">
      <alignment vertical="center"/>
    </xf>
    <xf numFmtId="178" fontId="1" fillId="15" borderId="0" xfId="0" applyNumberFormat="1" applyFont="1" applyFill="1" applyAlignment="1">
      <alignment vertical="center" wrapText="1"/>
    </xf>
    <xf numFmtId="0" fontId="1" fillId="4" borderId="0" xfId="0" applyFont="1" applyFill="1" applyBorder="1" applyAlignment="1">
      <alignment horizontal="center" vertical="center" wrapText="1"/>
    </xf>
    <xf numFmtId="178" fontId="31" fillId="4" borderId="0" xfId="0" applyNumberFormat="1" applyFont="1" applyFill="1" applyBorder="1" applyAlignment="1">
      <alignment horizontal="center" vertical="center"/>
    </xf>
    <xf numFmtId="9" fontId="2" fillId="0" borderId="2" xfId="0" applyNumberFormat="1" applyFont="1" applyFill="1" applyBorder="1" applyAlignment="1">
      <alignment horizontal="center" vertical="center" wrapText="1"/>
    </xf>
    <xf numFmtId="178" fontId="16" fillId="0" borderId="2" xfId="0" applyNumberFormat="1" applyFont="1" applyFill="1" applyBorder="1" applyAlignment="1">
      <alignment horizontal="center" vertical="center" wrapText="1"/>
    </xf>
    <xf numFmtId="178" fontId="30" fillId="0" borderId="2" xfId="0" applyNumberFormat="1" applyFont="1" applyFill="1" applyBorder="1" applyAlignment="1">
      <alignment horizontal="center" vertical="center" wrapText="1"/>
    </xf>
    <xf numFmtId="9" fontId="3" fillId="0" borderId="2" xfId="0" applyNumberFormat="1" applyFont="1" applyFill="1" applyBorder="1" applyAlignment="1">
      <alignment horizontal="center" vertical="center" wrapText="1"/>
    </xf>
    <xf numFmtId="178" fontId="3" fillId="0" borderId="2" xfId="0" applyNumberFormat="1" applyFont="1" applyFill="1" applyBorder="1" applyAlignment="1">
      <alignment horizontal="center" vertical="center" wrapText="1"/>
    </xf>
    <xf numFmtId="178" fontId="5" fillId="0" borderId="2" xfId="0" applyNumberFormat="1" applyFont="1" applyFill="1" applyBorder="1" applyAlignment="1">
      <alignment horizontal="center" vertical="center" wrapText="1"/>
    </xf>
    <xf numFmtId="14" fontId="1" fillId="0" borderId="2" xfId="0" applyNumberFormat="1" applyFont="1" applyBorder="1" applyAlignment="1">
      <alignment horizontal="center" vertical="center" wrapText="1"/>
    </xf>
    <xf numFmtId="9" fontId="3" fillId="10" borderId="2" xfId="0" applyNumberFormat="1"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14" fontId="1" fillId="0" borderId="2" xfId="0" applyNumberFormat="1" applyFont="1" applyFill="1" applyBorder="1" applyAlignment="1">
      <alignment horizontal="center" vertical="center" wrapText="1"/>
    </xf>
    <xf numFmtId="178" fontId="15" fillId="0" borderId="2" xfId="3" applyNumberFormat="1" applyFont="1" applyFill="1" applyBorder="1" applyAlignment="1">
      <alignment horizontal="center" vertical="center" wrapText="1"/>
    </xf>
    <xf numFmtId="0" fontId="1" fillId="0" borderId="0" xfId="0" applyFont="1" applyFill="1" applyBorder="1" applyAlignment="1">
      <alignment vertical="center" wrapText="1"/>
    </xf>
    <xf numFmtId="10" fontId="1" fillId="0" borderId="0" xfId="0" applyNumberFormat="1" applyFont="1" applyFill="1" applyBorder="1" applyAlignment="1">
      <alignment vertical="center" wrapText="1"/>
    </xf>
    <xf numFmtId="0" fontId="1" fillId="10" borderId="2" xfId="0" applyFont="1" applyFill="1" applyBorder="1" applyAlignment="1">
      <alignment vertical="center" wrapText="1"/>
    </xf>
    <xf numFmtId="0" fontId="9" fillId="0" borderId="2"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11" xfId="0"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178" fontId="1" fillId="0" borderId="2" xfId="0" applyNumberFormat="1" applyFont="1" applyFill="1" applyBorder="1" applyAlignment="1">
      <alignment vertical="center" wrapText="1"/>
    </xf>
    <xf numFmtId="178" fontId="4" fillId="0" borderId="2" xfId="0" applyNumberFormat="1" applyFont="1" applyFill="1" applyBorder="1" applyAlignment="1">
      <alignment horizontal="center" vertical="center" wrapText="1"/>
    </xf>
    <xf numFmtId="0" fontId="32" fillId="0" borderId="2" xfId="0" applyFont="1" applyFill="1" applyBorder="1" applyAlignment="1">
      <alignment horizontal="center" vertical="center" wrapText="1"/>
    </xf>
    <xf numFmtId="0" fontId="19" fillId="0" borderId="2" xfId="0" applyFont="1" applyBorder="1" applyAlignment="1">
      <alignment horizontal="center" vertical="center" wrapText="1"/>
    </xf>
    <xf numFmtId="0" fontId="1" fillId="0" borderId="3" xfId="0" applyFont="1" applyFill="1" applyBorder="1" applyAlignment="1">
      <alignment vertical="center" wrapText="1"/>
    </xf>
    <xf numFmtId="49" fontId="5" fillId="0" borderId="1" xfId="0" applyNumberFormat="1" applyFont="1" applyFill="1" applyBorder="1" applyAlignment="1">
      <alignment horizontal="center" vertical="center" wrapText="1"/>
    </xf>
    <xf numFmtId="14" fontId="4" fillId="0" borderId="2" xfId="0" applyNumberFormat="1" applyFont="1" applyFill="1" applyBorder="1" applyAlignment="1">
      <alignment horizontal="center" vertical="center" wrapText="1"/>
    </xf>
    <xf numFmtId="49" fontId="9" fillId="0" borderId="2" xfId="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6" fillId="0" borderId="1" xfId="1"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10" fontId="1" fillId="0" borderId="2" xfId="1"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178" fontId="5" fillId="0" borderId="5" xfId="0" applyNumberFormat="1" applyFont="1" applyFill="1" applyBorder="1" applyAlignment="1">
      <alignment horizontal="center" vertical="center" wrapText="1"/>
    </xf>
    <xf numFmtId="0" fontId="26" fillId="0" borderId="2"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NumberFormat="1" applyFont="1" applyBorder="1" applyAlignment="1">
      <alignment vertical="center" wrapText="1"/>
    </xf>
    <xf numFmtId="49" fontId="1" fillId="0" borderId="2" xfId="1" applyNumberFormat="1" applyFont="1" applyFill="1" applyBorder="1" applyAlignment="1">
      <alignment horizontal="center" vertical="center" wrapText="1"/>
    </xf>
    <xf numFmtId="14" fontId="1" fillId="0" borderId="3" xfId="0" applyNumberFormat="1" applyFont="1" applyFill="1" applyBorder="1" applyAlignment="1">
      <alignment horizontal="center" vertical="center" wrapText="1"/>
    </xf>
    <xf numFmtId="14" fontId="1" fillId="0" borderId="10" xfId="0" applyNumberFormat="1" applyFont="1" applyFill="1" applyBorder="1" applyAlignment="1">
      <alignment vertical="center" wrapText="1"/>
    </xf>
    <xf numFmtId="17" fontId="1" fillId="0" borderId="2" xfId="0" applyNumberFormat="1" applyFont="1" applyFill="1" applyBorder="1" applyAlignment="1">
      <alignment horizontal="center" vertical="center" wrapText="1"/>
    </xf>
    <xf numFmtId="0" fontId="5" fillId="0" borderId="0" xfId="0" applyFont="1" applyBorder="1" applyAlignment="1">
      <alignment vertical="center" wrapText="1"/>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wrapText="1"/>
    </xf>
    <xf numFmtId="49" fontId="3" fillId="0" borderId="2" xfId="0" applyNumberFormat="1" applyFont="1" applyFill="1" applyBorder="1" applyAlignment="1">
      <alignment horizontal="left" vertical="center" wrapText="1"/>
    </xf>
    <xf numFmtId="0" fontId="4" fillId="0" borderId="10" xfId="0" applyFont="1" applyFill="1" applyBorder="1" applyAlignment="1">
      <alignment horizontal="center" vertical="center" wrapText="1"/>
    </xf>
    <xf numFmtId="0" fontId="19" fillId="0" borderId="2" xfId="0" applyFont="1" applyFill="1" applyBorder="1" applyAlignment="1">
      <alignment vertical="center" wrapText="1"/>
    </xf>
    <xf numFmtId="178" fontId="1" fillId="0" borderId="2" xfId="0" applyNumberFormat="1" applyFont="1" applyFill="1" applyBorder="1" applyAlignment="1">
      <alignment horizontal="center" vertical="center" wrapText="1"/>
    </xf>
    <xf numFmtId="4" fontId="5" fillId="0" borderId="2" xfId="0" applyNumberFormat="1" applyFont="1" applyFill="1" applyBorder="1" applyAlignment="1">
      <alignment horizontal="center" vertical="center" wrapText="1"/>
    </xf>
    <xf numFmtId="4" fontId="4" fillId="0" borderId="10" xfId="0" applyNumberFormat="1" applyFont="1" applyFill="1" applyBorder="1" applyAlignment="1">
      <alignment horizontal="center" vertical="center" wrapText="1"/>
    </xf>
    <xf numFmtId="0" fontId="1" fillId="0" borderId="2" xfId="0" applyNumberFormat="1" applyFont="1" applyFill="1" applyBorder="1" applyAlignment="1">
      <alignment vertical="center" wrapText="1"/>
    </xf>
    <xf numFmtId="57" fontId="1" fillId="0" borderId="2" xfId="0" applyNumberFormat="1" applyFont="1" applyFill="1" applyBorder="1" applyAlignment="1">
      <alignment vertical="center" wrapText="1"/>
    </xf>
    <xf numFmtId="14" fontId="1" fillId="0" borderId="9" xfId="0" applyNumberFormat="1" applyFont="1" applyFill="1" applyBorder="1" applyAlignment="1">
      <alignment vertical="center" wrapText="1"/>
    </xf>
    <xf numFmtId="178" fontId="5" fillId="0" borderId="2" xfId="0" applyNumberFormat="1" applyFont="1" applyFill="1" applyBorder="1" applyAlignment="1">
      <alignment vertical="center" wrapText="1"/>
    </xf>
    <xf numFmtId="178" fontId="1" fillId="0" borderId="5" xfId="0" applyNumberFormat="1" applyFont="1" applyFill="1" applyBorder="1" applyAlignment="1">
      <alignment vertical="center" wrapText="1"/>
    </xf>
    <xf numFmtId="178" fontId="3" fillId="0" borderId="5" xfId="0" applyNumberFormat="1"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5" fillId="0" borderId="1" xfId="0" applyFont="1" applyFill="1" applyBorder="1" applyAlignment="1">
      <alignment horizontal="center" vertical="center" wrapText="1"/>
    </xf>
    <xf numFmtId="0" fontId="1" fillId="0" borderId="7" xfId="0" applyFont="1" applyFill="1" applyBorder="1" applyAlignment="1">
      <alignment vertical="center" wrapText="1"/>
    </xf>
    <xf numFmtId="0" fontId="33" fillId="0" borderId="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0" fillId="0" borderId="7" xfId="0" applyFont="1" applyFill="1" applyBorder="1" applyAlignment="1">
      <alignment vertical="center" wrapText="1"/>
    </xf>
    <xf numFmtId="0" fontId="1" fillId="0" borderId="5" xfId="0" applyFont="1" applyFill="1" applyBorder="1" applyAlignment="1">
      <alignment vertical="center" wrapText="1"/>
    </xf>
    <xf numFmtId="176" fontId="3" fillId="0" borderId="2"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4" fontId="1" fillId="0" borderId="2" xfId="0" applyNumberFormat="1" applyFont="1" applyFill="1" applyBorder="1" applyAlignment="1">
      <alignment vertical="center" wrapText="1"/>
    </xf>
    <xf numFmtId="177" fontId="5" fillId="0" borderId="2" xfId="0" applyNumberFormat="1" applyFont="1" applyFill="1" applyBorder="1" applyAlignment="1">
      <alignment vertical="center" wrapText="1"/>
    </xf>
    <xf numFmtId="177" fontId="1" fillId="0" borderId="1" xfId="0" applyNumberFormat="1" applyFont="1" applyFill="1" applyBorder="1" applyAlignment="1">
      <alignment vertical="center" wrapText="1"/>
    </xf>
    <xf numFmtId="179" fontId="5" fillId="0"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49" fontId="5" fillId="0" borderId="2" xfId="0" applyNumberFormat="1" applyFont="1" applyFill="1" applyBorder="1" applyAlignment="1">
      <alignment vertical="center" wrapText="1"/>
    </xf>
    <xf numFmtId="10" fontId="4" fillId="0" borderId="2" xfId="1" applyNumberFormat="1" applyFont="1" applyFill="1" applyBorder="1" applyAlignment="1">
      <alignment horizontal="center" vertical="center" wrapText="1"/>
    </xf>
    <xf numFmtId="10" fontId="1" fillId="0" borderId="1" xfId="0" applyNumberFormat="1" applyFont="1" applyFill="1" applyBorder="1" applyAlignment="1">
      <alignment vertical="center" wrapText="1"/>
    </xf>
    <xf numFmtId="10" fontId="5" fillId="0" borderId="2" xfId="0" applyNumberFormat="1" applyFont="1" applyFill="1" applyBorder="1" applyAlignment="1">
      <alignment vertical="center" wrapText="1"/>
    </xf>
    <xf numFmtId="9" fontId="1" fillId="0" borderId="2" xfId="0" applyNumberFormat="1" applyFont="1" applyFill="1" applyBorder="1" applyAlignment="1">
      <alignment vertical="center" wrapText="1"/>
    </xf>
    <xf numFmtId="180" fontId="34" fillId="0" borderId="12" xfId="2" applyNumberFormat="1" applyFont="1" applyFill="1" applyBorder="1" applyAlignment="1">
      <alignment vertical="center" wrapText="1"/>
    </xf>
    <xf numFmtId="180" fontId="34" fillId="0" borderId="6" xfId="2" applyNumberFormat="1" applyFont="1" applyFill="1" applyBorder="1" applyAlignment="1">
      <alignment vertical="center" wrapText="1"/>
    </xf>
    <xf numFmtId="0" fontId="35" fillId="0" borderId="0" xfId="0" applyFont="1" applyAlignment="1">
      <alignment horizontal="center" vertical="center" wrapText="1"/>
    </xf>
    <xf numFmtId="0" fontId="17" fillId="0" borderId="2"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2" xfId="2" applyFont="1" applyFill="1" applyBorder="1" applyAlignment="1">
      <alignment horizontal="center" vertical="center" wrapText="1"/>
    </xf>
    <xf numFmtId="0" fontId="13" fillId="0" borderId="2" xfId="0" applyFont="1" applyFill="1" applyBorder="1" applyAlignment="1">
      <alignment vertical="center" wrapText="1"/>
    </xf>
    <xf numFmtId="14" fontId="1" fillId="0" borderId="3" xfId="0" applyNumberFormat="1" applyFont="1" applyFill="1" applyBorder="1" applyAlignment="1">
      <alignment vertical="center" wrapText="1"/>
    </xf>
    <xf numFmtId="17" fontId="1" fillId="0" borderId="2" xfId="0" applyNumberFormat="1" applyFont="1" applyFill="1" applyBorder="1" applyAlignment="1">
      <alignment vertical="center" wrapText="1"/>
    </xf>
    <xf numFmtId="0" fontId="1" fillId="3" borderId="0" xfId="0" applyFont="1" applyFill="1" applyAlignment="1">
      <alignment vertical="center" wrapText="1"/>
    </xf>
    <xf numFmtId="0" fontId="1" fillId="2" borderId="0" xfId="0" applyFont="1" applyFill="1" applyAlignment="1">
      <alignment vertical="center" wrapText="1"/>
    </xf>
    <xf numFmtId="0" fontId="1" fillId="4" borderId="0" xfId="0" applyFont="1" applyFill="1" applyAlignment="1">
      <alignment vertical="center" wrapText="1"/>
    </xf>
    <xf numFmtId="0" fontId="1" fillId="16" borderId="0" xfId="0" applyFont="1" applyFill="1" applyAlignment="1">
      <alignment vertical="center" wrapText="1"/>
    </xf>
    <xf numFmtId="49"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3" fillId="0" borderId="6" xfId="0" applyFont="1" applyFill="1" applyBorder="1" applyAlignment="1">
      <alignment vertical="center" wrapText="1"/>
    </xf>
    <xf numFmtId="14" fontId="1" fillId="0" borderId="10" xfId="0" applyNumberFormat="1" applyFont="1" applyFill="1" applyBorder="1" applyAlignment="1">
      <alignment horizontal="center" vertical="center" wrapText="1"/>
    </xf>
    <xf numFmtId="49" fontId="29" fillId="14" borderId="0" xfId="0" applyNumberFormat="1" applyFont="1" applyFill="1" applyAlignment="1">
      <alignment vertical="center"/>
    </xf>
    <xf numFmtId="178" fontId="4" fillId="0" borderId="1" xfId="0" applyNumberFormat="1" applyFont="1" applyFill="1" applyBorder="1" applyAlignment="1">
      <alignment horizontal="center" vertical="center" wrapText="1"/>
    </xf>
    <xf numFmtId="0" fontId="36" fillId="15" borderId="0" xfId="0" applyFont="1" applyFill="1" applyBorder="1" applyAlignment="1">
      <alignment vertical="center"/>
    </xf>
    <xf numFmtId="0" fontId="1" fillId="15" borderId="0" xfId="0" applyFont="1" applyFill="1" applyBorder="1" applyAlignment="1">
      <alignment vertical="center" wrapText="1"/>
    </xf>
    <xf numFmtId="0" fontId="36" fillId="15" borderId="0" xfId="0" applyFont="1" applyFill="1" applyBorder="1" applyAlignment="1">
      <alignment horizontal="center" vertical="center" wrapText="1"/>
    </xf>
    <xf numFmtId="0" fontId="1" fillId="3" borderId="5" xfId="0" applyFont="1" applyFill="1" applyBorder="1" applyAlignment="1">
      <alignment vertical="center" wrapText="1"/>
    </xf>
    <xf numFmtId="0" fontId="1" fillId="3" borderId="6" xfId="0" applyFont="1" applyFill="1" applyBorder="1" applyAlignment="1">
      <alignment vertical="center" wrapText="1"/>
    </xf>
    <xf numFmtId="0" fontId="1" fillId="3" borderId="3" xfId="0" applyFont="1" applyFill="1" applyBorder="1" applyAlignment="1">
      <alignment vertical="center" wrapText="1"/>
    </xf>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1" fillId="2" borderId="3" xfId="0" applyFont="1" applyFill="1" applyBorder="1" applyAlignment="1">
      <alignment vertical="center" wrapText="1"/>
    </xf>
    <xf numFmtId="14" fontId="1" fillId="3" borderId="2" xfId="0" applyNumberFormat="1" applyFont="1" applyFill="1" applyBorder="1" applyAlignment="1">
      <alignment horizontal="center" vertical="center" wrapText="1"/>
    </xf>
    <xf numFmtId="177" fontId="1" fillId="3" borderId="2" xfId="0" applyNumberFormat="1" applyFont="1" applyFill="1" applyBorder="1" applyAlignment="1">
      <alignment vertical="center" wrapText="1"/>
    </xf>
    <xf numFmtId="49" fontId="1" fillId="3" borderId="2" xfId="0" applyNumberFormat="1"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177" fontId="1" fillId="2" borderId="2" xfId="0" applyNumberFormat="1" applyFont="1" applyFill="1" applyBorder="1" applyAlignment="1">
      <alignment vertical="center" wrapText="1"/>
    </xf>
    <xf numFmtId="49" fontId="1" fillId="2" borderId="2" xfId="0" applyNumberFormat="1" applyFont="1" applyFill="1" applyBorder="1" applyAlignment="1">
      <alignment horizontal="center" vertical="center" wrapText="1"/>
    </xf>
    <xf numFmtId="49" fontId="1" fillId="0" borderId="3" xfId="0" applyNumberFormat="1" applyFont="1" applyBorder="1" applyAlignment="1">
      <alignment vertical="center" wrapText="1"/>
    </xf>
    <xf numFmtId="10" fontId="1" fillId="3" borderId="2" xfId="0" applyNumberFormat="1" applyFont="1" applyFill="1" applyBorder="1" applyAlignment="1">
      <alignment vertical="center" wrapText="1"/>
    </xf>
    <xf numFmtId="10" fontId="1" fillId="2" borderId="2" xfId="0" applyNumberFormat="1" applyFont="1" applyFill="1" applyBorder="1" applyAlignment="1">
      <alignment vertical="center" wrapText="1"/>
    </xf>
    <xf numFmtId="0" fontId="1" fillId="3" borderId="2" xfId="0" applyFont="1" applyFill="1" applyBorder="1" applyAlignment="1">
      <alignment horizontal="center" vertical="center" wrapText="1"/>
    </xf>
    <xf numFmtId="49" fontId="1" fillId="3" borderId="2" xfId="0" applyNumberFormat="1" applyFont="1" applyFill="1" applyBorder="1" applyAlignment="1">
      <alignment vertical="center" wrapText="1"/>
    </xf>
    <xf numFmtId="49" fontId="1" fillId="2" borderId="2" xfId="0" applyNumberFormat="1" applyFont="1" applyFill="1" applyBorder="1" applyAlignment="1">
      <alignment vertical="center" wrapText="1"/>
    </xf>
    <xf numFmtId="17" fontId="1" fillId="0" borderId="2" xfId="0" applyNumberFormat="1" applyFont="1" applyBorder="1" applyAlignment="1">
      <alignment horizontal="center" vertical="center" wrapText="1"/>
    </xf>
    <xf numFmtId="9" fontId="3" fillId="3" borderId="2" xfId="0" applyNumberFormat="1" applyFont="1" applyFill="1" applyBorder="1" applyAlignment="1">
      <alignment horizontal="center" vertical="center" wrapText="1"/>
    </xf>
    <xf numFmtId="178" fontId="3" fillId="3" borderId="2" xfId="0" applyNumberFormat="1" applyFont="1" applyFill="1" applyBorder="1" applyAlignment="1">
      <alignment horizontal="center" vertical="center" wrapText="1"/>
    </xf>
    <xf numFmtId="9" fontId="3" fillId="2" borderId="2" xfId="0" applyNumberFormat="1" applyFont="1" applyFill="1" applyBorder="1" applyAlignment="1">
      <alignment horizontal="center" vertical="center" wrapText="1"/>
    </xf>
    <xf numFmtId="178" fontId="3" fillId="2" borderId="2" xfId="0" applyNumberFormat="1" applyFont="1" applyFill="1" applyBorder="1" applyAlignment="1">
      <alignment horizontal="center" vertical="center" wrapText="1"/>
    </xf>
    <xf numFmtId="0" fontId="1" fillId="3" borderId="0" xfId="0" applyFont="1" applyFill="1" applyBorder="1" applyAlignment="1">
      <alignment vertical="center" wrapText="1"/>
    </xf>
    <xf numFmtId="0" fontId="1" fillId="2" borderId="0" xfId="0" applyFont="1" applyFill="1" applyBorder="1" applyAlignment="1">
      <alignment vertical="center" wrapText="1"/>
    </xf>
    <xf numFmtId="0" fontId="37" fillId="0" borderId="7" xfId="0" applyFont="1" applyBorder="1" applyAlignment="1">
      <alignment horizontal="center" vertical="center" wrapText="1"/>
    </xf>
    <xf numFmtId="14" fontId="1" fillId="2" borderId="2" xfId="0" applyNumberFormat="1" applyFont="1" applyFill="1" applyBorder="1" applyAlignment="1">
      <alignment horizontal="center" vertical="center" wrapText="1"/>
    </xf>
    <xf numFmtId="10" fontId="6" fillId="2" borderId="2" xfId="1" applyNumberFormat="1" applyFont="1" applyFill="1" applyBorder="1" applyAlignment="1">
      <alignment horizontal="center" vertical="center" wrapText="1"/>
    </xf>
    <xf numFmtId="10" fontId="1" fillId="0" borderId="1" xfId="0" applyNumberFormat="1" applyFont="1" applyBorder="1" applyAlignment="1">
      <alignment vertical="center" wrapText="1"/>
    </xf>
    <xf numFmtId="57" fontId="1" fillId="0" borderId="2" xfId="0" applyNumberFormat="1" applyFont="1" applyBorder="1" applyAlignment="1">
      <alignment vertical="center" wrapText="1"/>
    </xf>
    <xf numFmtId="0" fontId="3"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5" fillId="0" borderId="2" xfId="0" applyNumberFormat="1" applyFont="1" applyBorder="1" applyAlignment="1">
      <alignment horizontal="center" vertical="center" wrapText="1"/>
    </xf>
    <xf numFmtId="14" fontId="3" fillId="4" borderId="2" xfId="0" applyNumberFormat="1" applyFont="1" applyFill="1" applyBorder="1" applyAlignment="1">
      <alignment horizontal="center" vertical="center" wrapText="1"/>
    </xf>
    <xf numFmtId="176" fontId="3" fillId="4" borderId="2" xfId="0" applyNumberFormat="1" applyFont="1" applyFill="1" applyBorder="1" applyAlignment="1">
      <alignment horizontal="center" vertical="center" wrapText="1"/>
    </xf>
    <xf numFmtId="177" fontId="1" fillId="4" borderId="2" xfId="0" applyNumberFormat="1" applyFont="1" applyFill="1" applyBorder="1" applyAlignment="1">
      <alignment vertical="center" wrapText="1"/>
    </xf>
    <xf numFmtId="0" fontId="3" fillId="4" borderId="2" xfId="0" applyNumberFormat="1" applyFont="1" applyFill="1" applyBorder="1" applyAlignment="1">
      <alignment horizontal="center" vertical="center" wrapText="1"/>
    </xf>
    <xf numFmtId="178" fontId="1" fillId="0" borderId="2"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4" fontId="5" fillId="0" borderId="2" xfId="0" applyNumberFormat="1" applyFont="1" applyBorder="1" applyAlignment="1">
      <alignment horizontal="center" vertical="center" wrapText="1"/>
    </xf>
    <xf numFmtId="177" fontId="5" fillId="0" borderId="2" xfId="0" applyNumberFormat="1" applyFont="1" applyBorder="1" applyAlignment="1">
      <alignment vertical="center" wrapText="1"/>
    </xf>
    <xf numFmtId="49" fontId="5" fillId="0" borderId="2" xfId="0" applyNumberFormat="1" applyFont="1" applyBorder="1" applyAlignment="1">
      <alignment vertical="center" wrapText="1"/>
    </xf>
    <xf numFmtId="177" fontId="3" fillId="4" borderId="2" xfId="0" applyNumberFormat="1" applyFont="1" applyFill="1" applyBorder="1" applyAlignment="1">
      <alignment horizontal="center" vertical="center" wrapText="1"/>
    </xf>
    <xf numFmtId="10" fontId="4" fillId="4" borderId="2" xfId="1" applyNumberFormat="1" applyFont="1" applyFill="1" applyBorder="1" applyAlignment="1">
      <alignment horizontal="center" vertical="center" wrapText="1"/>
    </xf>
    <xf numFmtId="10" fontId="1" fillId="4" borderId="2" xfId="0" applyNumberFormat="1" applyFont="1" applyFill="1" applyBorder="1" applyAlignment="1">
      <alignment vertical="center" wrapText="1"/>
    </xf>
    <xf numFmtId="10" fontId="5" fillId="0" borderId="2" xfId="0" applyNumberFormat="1" applyFont="1" applyBorder="1" applyAlignment="1">
      <alignment vertical="center" wrapText="1"/>
    </xf>
    <xf numFmtId="9" fontId="3" fillId="4" borderId="2" xfId="0" applyNumberFormat="1" applyFont="1" applyFill="1" applyBorder="1" applyAlignment="1">
      <alignment horizontal="center" vertical="center" wrapText="1"/>
    </xf>
    <xf numFmtId="178" fontId="3" fillId="4" borderId="2" xfId="0" applyNumberFormat="1" applyFont="1" applyFill="1" applyBorder="1" applyAlignment="1">
      <alignment horizontal="center" vertical="center" wrapText="1"/>
    </xf>
    <xf numFmtId="178" fontId="1" fillId="0" borderId="5" xfId="0" applyNumberFormat="1" applyFont="1" applyBorder="1" applyAlignment="1">
      <alignment vertical="center" wrapText="1"/>
    </xf>
    <xf numFmtId="0" fontId="1" fillId="4" borderId="0" xfId="0" applyFont="1" applyFill="1" applyBorder="1" applyAlignment="1">
      <alignment vertical="center" wrapText="1"/>
    </xf>
    <xf numFmtId="178" fontId="5" fillId="0" borderId="2" xfId="0" applyNumberFormat="1" applyFont="1" applyBorder="1" applyAlignment="1">
      <alignment vertical="center" wrapText="1"/>
    </xf>
    <xf numFmtId="0" fontId="1" fillId="16" borderId="2" xfId="0" applyFont="1" applyFill="1" applyBorder="1" applyAlignment="1">
      <alignment vertical="center" wrapText="1"/>
    </xf>
    <xf numFmtId="0" fontId="1" fillId="16" borderId="2" xfId="0" applyFont="1" applyFill="1" applyBorder="1" applyAlignment="1">
      <alignment horizontal="center" vertical="center" wrapText="1"/>
    </xf>
    <xf numFmtId="0" fontId="1" fillId="16" borderId="0" xfId="0" applyFont="1" applyFill="1" applyBorder="1" applyAlignment="1">
      <alignment vertical="center" wrapText="1"/>
    </xf>
    <xf numFmtId="0" fontId="1" fillId="0" borderId="0"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cellXfs>
  <cellStyles count="4">
    <cellStyle name="百分比" xfId="1" builtinId="5"/>
    <cellStyle name="常规" xfId="0" builtinId="0"/>
    <cellStyle name="常规 2" xfId="2" xr:uid="{00000000-0005-0000-0000-000031000000}"/>
    <cellStyle name="常规 3" xfId="3" xr:uid="{00000000-0005-0000-0000-000032000000}"/>
  </cellStyles>
  <dxfs count="7">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ont>
        <color rgb="FF9C0006"/>
      </font>
      <fill>
        <patternFill patternType="solid">
          <bgColor rgb="FFFFC7CE"/>
        </patternFill>
      </fill>
    </dxf>
    <dxf>
      <fill>
        <patternFill patternType="solid">
          <bgColor theme="7" tint="0.39991454817346722"/>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7319;&#36141;&#31614;&#22823;&#39069;&#21512;&#21516;&#21488;&#24080;-&#20998;&#20844;&#21496;&#20013;&#24515;%202019.10&#26681;&#25454;&#31995;&#32479;&#34917;&#20805;2013&#33267;&#20170;&#24050;&#2018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同台账（汇总）"/>
      <sheetName val="中心"/>
      <sheetName val="Sheet1"/>
      <sheetName val="Sheet2"/>
    </sheetNames>
    <sheetDataSet>
      <sheetData sheetId="0" refreshError="1"/>
      <sheetData sheetId="1" refreshError="1"/>
      <sheetData sheetId="2" refreshError="1"/>
      <sheetData sheetId="3" refreshError="1">
        <row r="1">
          <cell r="B1" t="str">
            <v>项目编号（ERP编号）</v>
          </cell>
          <cell r="C1" t="str">
            <v>项目名称</v>
          </cell>
          <cell r="D1" t="str">
            <v>系统编号（成本合同号）</v>
          </cell>
          <cell r="E1" t="str">
            <v>成 本 合 同 名 称</v>
          </cell>
          <cell r="F1" t="str">
            <v>合 同 金 额</v>
          </cell>
          <cell r="G1" t="str">
            <v>厂家名称</v>
          </cell>
          <cell r="H1" t="str">
            <v>付款方式</v>
          </cell>
          <cell r="I1" t="str">
            <v>第一次          本次金额</v>
          </cell>
          <cell r="J1" t="str">
            <v>第一次     完成时间</v>
          </cell>
          <cell r="K1" t="str">
            <v>第二次         本次金额</v>
          </cell>
          <cell r="L1" t="str">
            <v>第二次     完成时间</v>
          </cell>
          <cell r="M1" t="str">
            <v>第三次      付款金额</v>
          </cell>
          <cell r="N1" t="str">
            <v>第三次     完成时间</v>
          </cell>
          <cell r="O1" t="str">
            <v>第四次     付款金额</v>
          </cell>
          <cell r="P1" t="str">
            <v>第四次   完成时间</v>
          </cell>
          <cell r="Q1" t="str">
            <v>2013年12月至2019年9月付款</v>
          </cell>
          <cell r="R1">
            <v>2019.1</v>
          </cell>
          <cell r="S1" t="str">
            <v>累计付款</v>
          </cell>
          <cell r="T1" t="str">
            <v>剩余金额</v>
          </cell>
          <cell r="U1" t="str">
            <v>付款比例</v>
          </cell>
          <cell r="V1" t="str">
            <v>收款金额(根据财务提供的表格自2015年开始的收款金额）</v>
          </cell>
          <cell r="W1" t="str">
            <v>回款比例</v>
          </cell>
          <cell r="X1" t="str">
            <v>客户经理</v>
          </cell>
        </row>
        <row r="2">
          <cell r="B2" t="str">
            <v>192181JKWD0097</v>
          </cell>
          <cell r="C2" t="str">
            <v>天津市河长制信息管理平台建设项目</v>
          </cell>
          <cell r="D2" t="str">
            <v>JC21-1201-2018-000347</v>
          </cell>
          <cell r="E2" t="str">
            <v>ICT河长制项目设备买卖合同</v>
          </cell>
          <cell r="F2">
            <v>55350</v>
          </cell>
          <cell r="G2" t="str">
            <v>天津信择科技发展有限公司</v>
          </cell>
          <cell r="Q2">
            <v>16500</v>
          </cell>
          <cell r="S2">
            <v>16500</v>
          </cell>
          <cell r="T2">
            <v>38850</v>
          </cell>
          <cell r="U2">
            <v>0.29810298102980998</v>
          </cell>
          <cell r="V2">
            <v>1698450</v>
          </cell>
          <cell r="W2">
            <v>1</v>
          </cell>
          <cell r="X2" t="str">
            <v>王帅</v>
          </cell>
        </row>
        <row r="3">
          <cell r="B3" t="str">
            <v>192181JKWD0097</v>
          </cell>
          <cell r="C3" t="str">
            <v>天津市河长制信息管理平台建设项目</v>
          </cell>
          <cell r="D3" t="str">
            <v>JC21-1201-2018-000360</v>
          </cell>
          <cell r="E3" t="str">
            <v>ICT河长制信息管理平台建设项目合同</v>
          </cell>
          <cell r="F3">
            <v>2820000</v>
          </cell>
          <cell r="G3" t="str">
            <v>天津同阳科技发展有限公司</v>
          </cell>
          <cell r="Q3">
            <v>432000</v>
          </cell>
          <cell r="S3">
            <v>432000</v>
          </cell>
          <cell r="T3">
            <v>2388000</v>
          </cell>
          <cell r="U3">
            <v>0.15319148936170199</v>
          </cell>
          <cell r="V3">
            <v>1698450</v>
          </cell>
          <cell r="W3">
            <v>1</v>
          </cell>
          <cell r="X3" t="str">
            <v>王帅</v>
          </cell>
        </row>
        <row r="4">
          <cell r="B4" t="str">
            <v>192181JKWD0097</v>
          </cell>
          <cell r="C4" t="str">
            <v>天津市河长制信息管理平台建设项目</v>
          </cell>
          <cell r="D4" t="str">
            <v>JC21-1201-2018-000370</v>
          </cell>
          <cell r="E4" t="str">
            <v>ICT河长制项目移动业务入网协议</v>
          </cell>
          <cell r="F4">
            <v>52038</v>
          </cell>
          <cell r="G4" t="str">
            <v>中国联合网络通信有限公司天津市分公司</v>
          </cell>
          <cell r="Q4">
            <v>15611.4</v>
          </cell>
          <cell r="S4">
            <v>15611.4</v>
          </cell>
          <cell r="T4">
            <v>36426.6</v>
          </cell>
          <cell r="U4">
            <v>0.3</v>
          </cell>
          <cell r="V4">
            <v>1698450</v>
          </cell>
          <cell r="W4">
            <v>1</v>
          </cell>
          <cell r="X4" t="str">
            <v>王帅</v>
          </cell>
        </row>
        <row r="5">
          <cell r="B5" t="str">
            <v>19219110WS0013</v>
          </cell>
          <cell r="C5" t="str">
            <v>天津市河西区智慧市政综合平台软件购置项目</v>
          </cell>
          <cell r="D5" t="str">
            <v>JC21-1201-2019-000069</v>
          </cell>
          <cell r="E5" t="str">
            <v>ICT河西智慧市政平台河长制软件开发服务合同</v>
          </cell>
          <cell r="F5">
            <v>464000</v>
          </cell>
          <cell r="G5" t="str">
            <v>浙江元亨通信技术股份有限公司</v>
          </cell>
          <cell r="Q5">
            <v>139200</v>
          </cell>
          <cell r="S5">
            <v>139200</v>
          </cell>
          <cell r="T5">
            <v>324800</v>
          </cell>
          <cell r="U5">
            <v>0.3</v>
          </cell>
          <cell r="V5">
            <v>716858.4</v>
          </cell>
          <cell r="W5">
            <v>0.3</v>
          </cell>
          <cell r="X5" t="str">
            <v>王帅</v>
          </cell>
        </row>
        <row r="6">
          <cell r="B6" t="str">
            <v>19219110WS0013</v>
          </cell>
          <cell r="C6" t="str">
            <v>天津市河西区智慧市政综合平台软件购置项目</v>
          </cell>
          <cell r="D6" t="str">
            <v>JC21-1201-2019-000066</v>
          </cell>
          <cell r="E6" t="str">
            <v>ICT河西智慧市政OA软件服务合同</v>
          </cell>
          <cell r="F6">
            <v>255000</v>
          </cell>
          <cell r="G6" t="str">
            <v>天津市拓甫网络科技开发有限公司</v>
          </cell>
          <cell r="S6">
            <v>0</v>
          </cell>
          <cell r="T6">
            <v>255000</v>
          </cell>
          <cell r="U6">
            <v>0</v>
          </cell>
          <cell r="V6">
            <v>716858.4</v>
          </cell>
          <cell r="W6">
            <v>0.3</v>
          </cell>
          <cell r="X6" t="str">
            <v>王帅</v>
          </cell>
        </row>
        <row r="7">
          <cell r="B7" t="str">
            <v>19219110WS0013</v>
          </cell>
          <cell r="C7" t="str">
            <v>天津市河西区智慧市政综合平台软件购置项目</v>
          </cell>
          <cell r="D7" t="str">
            <v>JC21-1201-2019-000071</v>
          </cell>
          <cell r="E7" t="str">
            <v>ICT河西智慧市政平台开发服务合同</v>
          </cell>
          <cell r="F7">
            <v>1300000</v>
          </cell>
          <cell r="G7" t="str">
            <v>泰华智慧产业集团股份有限公司</v>
          </cell>
          <cell r="S7">
            <v>0</v>
          </cell>
          <cell r="T7">
            <v>1300000</v>
          </cell>
          <cell r="U7">
            <v>0</v>
          </cell>
          <cell r="V7">
            <v>716858.4</v>
          </cell>
          <cell r="W7">
            <v>0.3</v>
          </cell>
          <cell r="X7" t="str">
            <v>王帅</v>
          </cell>
        </row>
        <row r="8">
          <cell r="B8" t="str">
            <v>19219110WS0013</v>
          </cell>
          <cell r="C8" t="str">
            <v>天津市河西区智慧市政综合平台软件购置项目</v>
          </cell>
          <cell r="D8" t="str">
            <v>JC21-1201-2019-000088</v>
          </cell>
          <cell r="E8" t="str">
            <v>中国联合网络通信有限公司河西智慧市政项目沃云产品服务销售合同</v>
          </cell>
          <cell r="F8">
            <v>100397.72</v>
          </cell>
          <cell r="G8" t="str">
            <v>中国联合网络通信有限公司天津市分公司</v>
          </cell>
          <cell r="Q8">
            <v>100397.72</v>
          </cell>
          <cell r="S8">
            <v>100397.72</v>
          </cell>
          <cell r="T8">
            <v>0</v>
          </cell>
          <cell r="U8">
            <v>1</v>
          </cell>
          <cell r="V8">
            <v>716858.4</v>
          </cell>
          <cell r="W8">
            <v>0.3</v>
          </cell>
          <cell r="X8" t="str">
            <v>王帅</v>
          </cell>
        </row>
        <row r="9">
          <cell r="B9" t="str">
            <v>19219101WI0060</v>
          </cell>
          <cell r="C9" t="str">
            <v>天津冠城物业管理有限公司弱电改造项目</v>
          </cell>
          <cell r="D9" t="str">
            <v>JC21-1201-2019-000207</v>
          </cell>
          <cell r="E9" t="str">
            <v>ICT冠城物业项目合同</v>
          </cell>
          <cell r="F9">
            <v>28712.240000000002</v>
          </cell>
          <cell r="G9" t="str">
            <v>天津新信科技股份有限公司</v>
          </cell>
          <cell r="Q9">
            <v>28712.240000000002</v>
          </cell>
          <cell r="S9">
            <v>28712.240000000002</v>
          </cell>
          <cell r="T9">
            <v>0</v>
          </cell>
          <cell r="U9">
            <v>1</v>
          </cell>
          <cell r="V9">
            <v>33823.480000000003</v>
          </cell>
          <cell r="W9">
            <v>1</v>
          </cell>
          <cell r="X9" t="str">
            <v>李天慈</v>
          </cell>
        </row>
        <row r="10">
          <cell r="B10" t="str">
            <v>19219104WI0023</v>
          </cell>
          <cell r="C10" t="str">
            <v>中心城区老旧排水管网及泵站改造一期工程泵站自动化及防汛信息系统升级改造工程泵站自控数据传输光纤安装</v>
          </cell>
          <cell r="D10" t="str">
            <v>JC21-1201-2019-000127</v>
          </cell>
          <cell r="E10" t="str">
            <v>ICT排水管管理处项目合同</v>
          </cell>
          <cell r="F10">
            <v>177539.20000000001</v>
          </cell>
          <cell r="G10" t="str">
            <v>天津新信科技股份有限公司</v>
          </cell>
          <cell r="S10">
            <v>0</v>
          </cell>
          <cell r="T10">
            <v>177539.20000000001</v>
          </cell>
          <cell r="U10">
            <v>0</v>
          </cell>
          <cell r="V10">
            <v>0</v>
          </cell>
          <cell r="W10">
            <v>0</v>
          </cell>
          <cell r="X10" t="str">
            <v>包兰天</v>
          </cell>
        </row>
        <row r="11">
          <cell r="B11" t="str">
            <v>19219104WI0023</v>
          </cell>
          <cell r="C11" t="str">
            <v>中心城区老旧排水管网及泵站改造一期工程泵站自动化及防汛信息系统升级改造工程泵站自控数据传输光纤安装</v>
          </cell>
          <cell r="D11" t="str">
            <v>JC21-1201-2019-000131</v>
          </cell>
          <cell r="E11" t="str">
            <v>联通系统集成有限公司天津市分公司排水管处理MSTP电路租用合同</v>
          </cell>
          <cell r="F11">
            <v>684000</v>
          </cell>
          <cell r="G11" t="str">
            <v>中国联合网络通信有限公司天津市分公司</v>
          </cell>
          <cell r="S11">
            <v>0</v>
          </cell>
          <cell r="T11">
            <v>684000</v>
          </cell>
          <cell r="U11">
            <v>0</v>
          </cell>
          <cell r="V11">
            <v>0</v>
          </cell>
          <cell r="W11">
            <v>0</v>
          </cell>
          <cell r="X11" t="str">
            <v>包兰天</v>
          </cell>
        </row>
        <row r="12">
          <cell r="B12" t="str">
            <v>19219107WS0041</v>
          </cell>
          <cell r="C12" t="str">
            <v>天津市和平区人民政府劝业场街道办事处智慧医疗项目</v>
          </cell>
          <cell r="D12" t="str">
            <v>JC21-1201-2019-000145</v>
          </cell>
          <cell r="E12" t="str">
            <v>和平区人民政府劝业场街道办事处智慧医疗项目服务合同</v>
          </cell>
          <cell r="F12">
            <v>14669.98</v>
          </cell>
          <cell r="G12" t="str">
            <v>青铜信息技术（天津）有限公司</v>
          </cell>
          <cell r="Q12">
            <v>14669.98</v>
          </cell>
          <cell r="S12">
            <v>14669.98</v>
          </cell>
          <cell r="T12">
            <v>0</v>
          </cell>
          <cell r="U12">
            <v>1</v>
          </cell>
          <cell r="V12">
            <v>17280</v>
          </cell>
          <cell r="W12">
            <v>1</v>
          </cell>
          <cell r="X12" t="str">
            <v>章双佐</v>
          </cell>
        </row>
        <row r="13">
          <cell r="B13" t="str">
            <v>19219101WI0026</v>
          </cell>
          <cell r="C13" t="str">
            <v>天津市宝坻区城市管理委员会</v>
          </cell>
          <cell r="D13" t="str">
            <v>JC21-1201-2019-000134</v>
          </cell>
          <cell r="E13" t="str">
            <v>ICT天津市宝坻区城市管理委员会网络改造采购合同</v>
          </cell>
          <cell r="F13">
            <v>470682.8</v>
          </cell>
          <cell r="G13" t="str">
            <v>天津新信科技股份有限公司</v>
          </cell>
          <cell r="Q13">
            <v>456562.31</v>
          </cell>
          <cell r="S13">
            <v>456562.31</v>
          </cell>
          <cell r="T13">
            <v>14120.49</v>
          </cell>
          <cell r="U13">
            <v>0.96999998725256198</v>
          </cell>
          <cell r="V13">
            <v>545532.85</v>
          </cell>
          <cell r="W13">
            <v>0.97</v>
          </cell>
          <cell r="X13" t="str">
            <v>杨楠</v>
          </cell>
        </row>
        <row r="14">
          <cell r="B14" t="str">
            <v>19219110WI0074</v>
          </cell>
          <cell r="C14" t="str">
            <v>1114项目</v>
          </cell>
          <cell r="D14" t="str">
            <v>JC21-1201-2019-000199</v>
          </cell>
          <cell r="E14" t="str">
            <v>ICT正大方圆1114项目工程弱电部分综合布线与视频监控项目施工</v>
          </cell>
          <cell r="F14">
            <v>2080060.4</v>
          </cell>
          <cell r="G14" t="str">
            <v>天津智导科技有限公司</v>
          </cell>
          <cell r="Q14">
            <v>2080060.4</v>
          </cell>
          <cell r="S14">
            <v>2080060.4</v>
          </cell>
          <cell r="T14">
            <v>0</v>
          </cell>
          <cell r="U14">
            <v>1</v>
          </cell>
          <cell r="V14">
            <v>2275777.5</v>
          </cell>
          <cell r="W14">
            <v>1</v>
          </cell>
          <cell r="X14" t="str">
            <v>杨楠</v>
          </cell>
        </row>
        <row r="15">
          <cell r="B15" t="str">
            <v>19219110WI0069</v>
          </cell>
          <cell r="C15" t="str">
            <v>天津何庄子农产品批发市场弱电改造项目</v>
          </cell>
          <cell r="D15" t="str">
            <v>JC21-1201-2019-000203</v>
          </cell>
          <cell r="E15" t="str">
            <v>ICT天津何庄子农产品批发市场弱电改造项目</v>
          </cell>
          <cell r="F15">
            <v>811989.49</v>
          </cell>
          <cell r="G15" t="str">
            <v>天津孚睿无线科技有限公司</v>
          </cell>
          <cell r="Q15">
            <v>161249.9</v>
          </cell>
          <cell r="S15">
            <v>161249.9</v>
          </cell>
          <cell r="T15">
            <v>650739.59</v>
          </cell>
          <cell r="U15">
            <v>0.19858619106018199</v>
          </cell>
          <cell r="V15">
            <v>193038</v>
          </cell>
          <cell r="W15">
            <v>0.200000232078927</v>
          </cell>
          <cell r="X15" t="str">
            <v>李天慈</v>
          </cell>
        </row>
        <row r="16">
          <cell r="B16" t="str">
            <v>19219107WS0063</v>
          </cell>
          <cell r="C16" t="str">
            <v>天津和平区河（湖）长制管理信息系统项目</v>
          </cell>
          <cell r="D16" t="str">
            <v>JC21-1201-2019-000197</v>
          </cell>
          <cell r="E16" t="str">
            <v>ICT天津和平区河（湖）长制管理信息系统项目</v>
          </cell>
          <cell r="F16">
            <v>593000</v>
          </cell>
          <cell r="G16" t="str">
            <v>浙江元亨通信技术股份有限公司</v>
          </cell>
          <cell r="Q16">
            <v>563350</v>
          </cell>
          <cell r="S16">
            <v>563350</v>
          </cell>
          <cell r="T16">
            <v>29650</v>
          </cell>
          <cell r="U16">
            <v>0.95</v>
          </cell>
          <cell r="V16">
            <v>901455</v>
          </cell>
          <cell r="W16">
            <v>0.95</v>
          </cell>
          <cell r="X16" t="str">
            <v>付欣</v>
          </cell>
        </row>
        <row r="17">
          <cell r="B17" t="str">
            <v>19219107WS0063</v>
          </cell>
          <cell r="C17" t="str">
            <v>天津和平区河（湖）长制管理信息系统项目</v>
          </cell>
          <cell r="D17" t="str">
            <v>JC21-1201-2019-000242</v>
          </cell>
          <cell r="E17" t="str">
            <v>ICT天津和平区河（湖）长制管理信息系统移动业务合同</v>
          </cell>
          <cell r="F17">
            <v>68400</v>
          </cell>
          <cell r="G17" t="str">
            <v>中国联合网络通信有限公司天津市分公司</v>
          </cell>
          <cell r="Q17">
            <v>64980</v>
          </cell>
          <cell r="R17">
            <v>0</v>
          </cell>
          <cell r="S17">
            <v>64980</v>
          </cell>
          <cell r="T17">
            <v>3420</v>
          </cell>
          <cell r="U17">
            <v>0.95</v>
          </cell>
          <cell r="V17">
            <v>901455</v>
          </cell>
          <cell r="W17">
            <v>0.95</v>
          </cell>
          <cell r="X17" t="str">
            <v>付欣</v>
          </cell>
        </row>
        <row r="18">
          <cell r="B18" t="str">
            <v>19219107WS0063</v>
          </cell>
          <cell r="C18" t="str">
            <v>天津和平区河（湖）长制管理信息系统项目</v>
          </cell>
          <cell r="D18" t="str">
            <v>JC21-1201-2019-000208</v>
          </cell>
          <cell r="E18" t="str">
            <v>ICT天津和平区河（湖）长制管理信息系统项目沃云产品服务合同</v>
          </cell>
          <cell r="F18">
            <v>180000</v>
          </cell>
          <cell r="G18" t="str">
            <v>中国联合网络通信有限公司天津市分公司</v>
          </cell>
          <cell r="Q18">
            <v>171000</v>
          </cell>
          <cell r="R18">
            <v>0</v>
          </cell>
          <cell r="S18">
            <v>171000</v>
          </cell>
          <cell r="T18">
            <v>9000</v>
          </cell>
          <cell r="U18">
            <v>0.95</v>
          </cell>
          <cell r="V18">
            <v>901455</v>
          </cell>
          <cell r="W18">
            <v>0.95</v>
          </cell>
          <cell r="X18" t="str">
            <v>付欣</v>
          </cell>
        </row>
        <row r="19">
          <cell r="B19" t="str">
            <v>19219112WI0072</v>
          </cell>
          <cell r="C19" t="str">
            <v>天津市2019年度山洪灾害防治非工程措施补充完善项目</v>
          </cell>
          <cell r="D19" t="str">
            <v>JC21-1201-2019-000220</v>
          </cell>
          <cell r="E19" t="str">
            <v>ICT天津市2019年度山洪灾害防治非工程措施补充完善合同</v>
          </cell>
          <cell r="F19">
            <v>2786944.27</v>
          </cell>
          <cell r="G19" t="str">
            <v>天津市拓甫网络科技开发有限公司</v>
          </cell>
          <cell r="S19">
            <v>0</v>
          </cell>
          <cell r="T19">
            <v>2786944.27</v>
          </cell>
          <cell r="U19">
            <v>0</v>
          </cell>
          <cell r="V19">
            <v>0</v>
          </cell>
          <cell r="W19">
            <v>0</v>
          </cell>
          <cell r="X19" t="str">
            <v>章双佐</v>
          </cell>
        </row>
        <row r="20">
          <cell r="B20" t="str">
            <v>19219112WI0072</v>
          </cell>
          <cell r="C20" t="str">
            <v>天津市2019年度山洪灾害防治非工程措施补充完善项目</v>
          </cell>
          <cell r="D20" t="str">
            <v>JC21-1201-2019-000231</v>
          </cell>
          <cell r="E20" t="str">
            <v>ICT天津市2019年度山洪灾害防治非工程措施完善项目MPLS-VPN电路租用合同</v>
          </cell>
          <cell r="F20">
            <v>144000</v>
          </cell>
          <cell r="G20" t="str">
            <v>中国联合网络通信有限公司天津市分公司</v>
          </cell>
          <cell r="S20">
            <v>0</v>
          </cell>
          <cell r="T20">
            <v>144000</v>
          </cell>
          <cell r="U20">
            <v>0</v>
          </cell>
          <cell r="V20">
            <v>0</v>
          </cell>
          <cell r="W20">
            <v>0</v>
          </cell>
          <cell r="X20" t="str">
            <v>章双佐</v>
          </cell>
        </row>
        <row r="21">
          <cell r="B21" t="str">
            <v>19219111WT0081</v>
          </cell>
          <cell r="C21" t="str">
            <v>中铁隧道设计院UPS项目</v>
          </cell>
          <cell r="D21" t="str">
            <v>JC21-1201-2019-000243</v>
          </cell>
          <cell r="E21" t="str">
            <v>ICT中铁六堪院隧道分公司UPS升级服务</v>
          </cell>
          <cell r="F21">
            <v>34901</v>
          </cell>
          <cell r="G21" t="str">
            <v>天津市拓甫网络科技开发有限公司</v>
          </cell>
          <cell r="Q21">
            <v>34901</v>
          </cell>
          <cell r="S21">
            <v>34901</v>
          </cell>
          <cell r="T21">
            <v>0</v>
          </cell>
          <cell r="U21">
            <v>1</v>
          </cell>
          <cell r="V21">
            <v>41060</v>
          </cell>
          <cell r="W21">
            <v>1</v>
          </cell>
          <cell r="X21" t="str">
            <v>杨楠</v>
          </cell>
        </row>
        <row r="22">
          <cell r="B22" t="str">
            <v>19219104WS0106</v>
          </cell>
          <cell r="C22" t="str">
            <v>天津地铁无线智能平台项目</v>
          </cell>
          <cell r="D22" t="str">
            <v>JC21-1201-2019-000265</v>
          </cell>
          <cell r="E22" t="str">
            <v>ICT天津地铁无线智能平台项目</v>
          </cell>
          <cell r="F22">
            <v>81957.08</v>
          </cell>
          <cell r="G22" t="str">
            <v>宜科（天津）电子有限公司</v>
          </cell>
          <cell r="S22">
            <v>0</v>
          </cell>
          <cell r="T22">
            <v>81957.08</v>
          </cell>
          <cell r="U22">
            <v>0</v>
          </cell>
          <cell r="V22">
            <v>0</v>
          </cell>
          <cell r="W22">
            <v>0</v>
          </cell>
          <cell r="X22" t="str">
            <v>李天慈</v>
          </cell>
        </row>
        <row r="23">
          <cell r="B23" t="str">
            <v>19219114WI0108</v>
          </cell>
          <cell r="C23" t="str">
            <v>天津市静海区中医医院信息系统集成服务项目</v>
          </cell>
          <cell r="D23" t="str">
            <v>JC21-1201-2019-000275</v>
          </cell>
          <cell r="E23" t="str">
            <v>ICT静海中医医院-天津市静海区中医医院信息系统集成服务</v>
          </cell>
          <cell r="F23">
            <v>20400</v>
          </cell>
          <cell r="G23" t="str">
            <v>天津市深大立讯电子科技有限公司</v>
          </cell>
          <cell r="S23">
            <v>0</v>
          </cell>
          <cell r="T23">
            <v>20400</v>
          </cell>
          <cell r="U23">
            <v>0</v>
          </cell>
          <cell r="V23">
            <v>24000</v>
          </cell>
          <cell r="W23">
            <v>1</v>
          </cell>
          <cell r="X23" t="str">
            <v>章双佐</v>
          </cell>
        </row>
        <row r="24">
          <cell r="B24" t="str">
            <v>19219112WS0109</v>
          </cell>
          <cell r="C24" t="str">
            <v>蓟州区河长制信息管理平台服务项目</v>
          </cell>
          <cell r="D24" t="str">
            <v>JC21-1201-2019-000302</v>
          </cell>
          <cell r="E24" t="str">
            <v>ICT蓟州区河长制信息管理平台服务项目</v>
          </cell>
          <cell r="F24">
            <v>671559.99</v>
          </cell>
          <cell r="G24" t="str">
            <v>浙江元亨通信技术股份有限公司</v>
          </cell>
          <cell r="Q24">
            <v>201467.99</v>
          </cell>
          <cell r="S24">
            <v>201467.99</v>
          </cell>
          <cell r="T24">
            <v>470092</v>
          </cell>
          <cell r="U24">
            <v>0.29999998957650797</v>
          </cell>
          <cell r="V24">
            <v>408917.3</v>
          </cell>
          <cell r="W24">
            <v>0.29999999706542102</v>
          </cell>
          <cell r="X24" t="str">
            <v>付欣</v>
          </cell>
        </row>
        <row r="25">
          <cell r="B25" t="str">
            <v>19219112WS0109</v>
          </cell>
          <cell r="C25" t="str">
            <v>蓟州区河长制信息管理平台服务项目</v>
          </cell>
          <cell r="D25" t="str">
            <v>JC21-1201-2019-000307</v>
          </cell>
          <cell r="E25" t="str">
            <v>ICT蓟州区河长制信息管理平台服务项目互网链路合同</v>
          </cell>
          <cell r="F25" t="str">
            <v>52200</v>
          </cell>
          <cell r="G25" t="str">
            <v>中国联合网络通信有限公司天津市分公司</v>
          </cell>
          <cell r="S25">
            <v>0</v>
          </cell>
          <cell r="T25">
            <v>52200</v>
          </cell>
          <cell r="U25">
            <v>0</v>
          </cell>
          <cell r="V25">
            <v>408917.3</v>
          </cell>
          <cell r="W25">
            <v>0.29999999706542102</v>
          </cell>
          <cell r="X25" t="str">
            <v>付欣</v>
          </cell>
        </row>
        <row r="26">
          <cell r="B26" t="str">
            <v>19219112WS0109</v>
          </cell>
          <cell r="C26" t="str">
            <v>蓟州区河长制信息管理平台服务项目</v>
          </cell>
          <cell r="D26" t="str">
            <v>JC21-1201-2019-000305</v>
          </cell>
          <cell r="E26" t="str">
            <v>ICT蓟州区河长制信息管理平台服务项目MSTP电路租用合同</v>
          </cell>
          <cell r="F26" t="str">
            <v>180000</v>
          </cell>
          <cell r="G26" t="str">
            <v>中国联合网络通信有限公司天津市分公司</v>
          </cell>
          <cell r="S26">
            <v>0</v>
          </cell>
          <cell r="T26">
            <v>180000</v>
          </cell>
          <cell r="U26">
            <v>0</v>
          </cell>
          <cell r="V26">
            <v>408917.3</v>
          </cell>
          <cell r="W26">
            <v>0.29999999706542102</v>
          </cell>
          <cell r="X26" t="str">
            <v>付欣</v>
          </cell>
        </row>
        <row r="27">
          <cell r="B27" t="str">
            <v>19219115WI0077</v>
          </cell>
          <cell r="C27" t="str">
            <v>南开交警支队wtfi项目</v>
          </cell>
          <cell r="D27" t="str">
            <v>JC21-1201-2019-000297</v>
          </cell>
          <cell r="E27" t="str">
            <v>ICT天津市公安交通管理局南开交警支队wtfi项目</v>
          </cell>
          <cell r="F27">
            <v>71080</v>
          </cell>
          <cell r="G27" t="str">
            <v>天津市华谊网络通信技术有限公司</v>
          </cell>
          <cell r="R27">
            <v>63972</v>
          </cell>
          <cell r="S27">
            <v>63972</v>
          </cell>
          <cell r="T27">
            <v>7108</v>
          </cell>
          <cell r="U27">
            <v>0.9</v>
          </cell>
          <cell r="V27">
            <v>80000</v>
          </cell>
          <cell r="W27">
            <v>1</v>
          </cell>
          <cell r="X27" t="str">
            <v>杨楠</v>
          </cell>
        </row>
        <row r="28">
          <cell r="B28" t="str">
            <v>19219114WI0123</v>
          </cell>
          <cell r="C28" t="str">
            <v>天津市骏一装饰工程有限公司系统集成服务项目</v>
          </cell>
          <cell r="D28" t="str">
            <v>JC21-1201-2019-000336</v>
          </cell>
          <cell r="E28" t="str">
            <v>天津市骏一装饰工程有限公司系统集成服务施工合同</v>
          </cell>
          <cell r="F28">
            <v>8199.99</v>
          </cell>
          <cell r="G28" t="str">
            <v>天津市新信科技有限公司</v>
          </cell>
          <cell r="Q28">
            <v>8199.99</v>
          </cell>
          <cell r="S28">
            <v>8199.99</v>
          </cell>
          <cell r="T28">
            <v>0</v>
          </cell>
          <cell r="U28">
            <v>1</v>
          </cell>
          <cell r="V28">
            <v>10000</v>
          </cell>
          <cell r="W28">
            <v>1</v>
          </cell>
          <cell r="X28" t="str">
            <v>刘秧</v>
          </cell>
        </row>
        <row r="29">
          <cell r="B29" t="str">
            <v>19219107WS0113</v>
          </cell>
          <cell r="C29" t="str">
            <v>中国人民解放军第272医院智慧医疗项目</v>
          </cell>
          <cell r="D29" t="str">
            <v>JC21-1201-2019-000333</v>
          </cell>
          <cell r="E29" t="str">
            <v>ICT中国人民解放军第272医院智慧医疗项目合同</v>
          </cell>
          <cell r="F29">
            <v>3197.07</v>
          </cell>
          <cell r="G29" t="str">
            <v>青铜信息技术（天津）有限公司</v>
          </cell>
          <cell r="S29">
            <v>0</v>
          </cell>
          <cell r="T29">
            <v>3197.07</v>
          </cell>
          <cell r="U29">
            <v>0</v>
          </cell>
          <cell r="V29">
            <v>3762</v>
          </cell>
          <cell r="W29">
            <v>1</v>
          </cell>
          <cell r="X29" t="str">
            <v>章双佐</v>
          </cell>
        </row>
        <row r="30">
          <cell r="B30" t="str">
            <v>19219103WI0084</v>
          </cell>
          <cell r="C30" t="str">
            <v>大港先达工厂区弱电项目</v>
          </cell>
          <cell r="D30" t="str">
            <v>JC21-1201-2019-000332</v>
          </cell>
          <cell r="E30" t="str">
            <v>ICT先达海水淡化厂弱电项目</v>
          </cell>
          <cell r="F30">
            <v>73474</v>
          </cell>
          <cell r="G30" t="str">
            <v>天津市拓甫网络科技开发有限公司</v>
          </cell>
          <cell r="S30">
            <v>0</v>
          </cell>
          <cell r="T30">
            <v>73474</v>
          </cell>
          <cell r="U30">
            <v>0</v>
          </cell>
          <cell r="V30">
            <v>23100</v>
          </cell>
          <cell r="W30">
            <v>0.3</v>
          </cell>
          <cell r="X30" t="str">
            <v>杨楠</v>
          </cell>
        </row>
        <row r="31">
          <cell r="B31" t="str">
            <v>19219115WI0100</v>
          </cell>
          <cell r="C31" t="str">
            <v>天津市南开区水上公园街区卫生服务中心视频监控项目</v>
          </cell>
          <cell r="D31" t="str">
            <v>JC21-1201-2019-000338</v>
          </cell>
          <cell r="E31" t="str">
            <v>ICT水上公园街区卫生服务中心视频监控项目</v>
          </cell>
          <cell r="F31">
            <v>99552.05</v>
          </cell>
          <cell r="G31" t="str">
            <v>天津市深大立讯电子科技有限公司</v>
          </cell>
          <cell r="R31">
            <v>99552.05</v>
          </cell>
          <cell r="S31">
            <v>99552.05</v>
          </cell>
          <cell r="T31">
            <v>0</v>
          </cell>
          <cell r="U31">
            <v>1</v>
          </cell>
          <cell r="V31">
            <v>117479</v>
          </cell>
          <cell r="W31">
            <v>1</v>
          </cell>
          <cell r="X31" t="str">
            <v>刘秧</v>
          </cell>
        </row>
        <row r="32">
          <cell r="B32" t="str">
            <v>19219114WI0136</v>
          </cell>
          <cell r="C32" t="str">
            <v>天津市华忠线材有限公司机房设备升级维护服务项目</v>
          </cell>
          <cell r="D32" t="str">
            <v>JC21-1201-2019-000345</v>
          </cell>
          <cell r="E32" t="str">
            <v>ICT天津市华忠线材有限公司机房设备升级维护服务项目</v>
          </cell>
          <cell r="F32">
            <v>35699.74</v>
          </cell>
          <cell r="G32" t="str">
            <v>天津市新信科技有限公司</v>
          </cell>
          <cell r="Q32">
            <v>35699.74</v>
          </cell>
          <cell r="S32">
            <v>35699.74</v>
          </cell>
          <cell r="T32">
            <v>0</v>
          </cell>
          <cell r="U32">
            <v>1</v>
          </cell>
          <cell r="V32">
            <v>42000</v>
          </cell>
          <cell r="W32">
            <v>1</v>
          </cell>
          <cell r="X32" t="str">
            <v>章双佐</v>
          </cell>
        </row>
        <row r="33">
          <cell r="B33" t="str">
            <v>19219114WI0115</v>
          </cell>
          <cell r="C33" t="str">
            <v>天津市鑫正源机械制造有限公司系统集成服务项目</v>
          </cell>
          <cell r="D33" t="str">
            <v>JC21-1201-2019-000335</v>
          </cell>
          <cell r="E33" t="str">
            <v>ICT天津市鑫正源机械制造有限公司系统集成服务项目</v>
          </cell>
          <cell r="F33">
            <v>33999.5</v>
          </cell>
          <cell r="G33" t="str">
            <v>天津市新信科技有限公司</v>
          </cell>
          <cell r="Q33">
            <v>33999.5</v>
          </cell>
          <cell r="S33">
            <v>33999.5</v>
          </cell>
          <cell r="T33">
            <v>0</v>
          </cell>
          <cell r="U33">
            <v>1</v>
          </cell>
          <cell r="V33">
            <v>40000</v>
          </cell>
          <cell r="W33">
            <v>1</v>
          </cell>
          <cell r="X33" t="str">
            <v>章双佐</v>
          </cell>
        </row>
        <row r="34">
          <cell r="B34" t="str">
            <v>19219117WI0014</v>
          </cell>
          <cell r="C34" t="str">
            <v>天津市第五医院一键报警设备购置项目</v>
          </cell>
          <cell r="D34" t="str">
            <v>JC21-1201-2019-000340</v>
          </cell>
          <cell r="E34" t="str">
            <v>ICT天津市第五医院一键报警设备购置项目</v>
          </cell>
          <cell r="F34">
            <v>162868</v>
          </cell>
          <cell r="G34" t="str">
            <v>天津智导科技有限公司</v>
          </cell>
          <cell r="S34">
            <v>0</v>
          </cell>
          <cell r="T34">
            <v>162868</v>
          </cell>
          <cell r="U34">
            <v>0</v>
          </cell>
          <cell r="V34">
            <v>185172.03</v>
          </cell>
          <cell r="W34">
            <v>0.97134431908549801</v>
          </cell>
          <cell r="X34" t="str">
            <v>章双佐</v>
          </cell>
        </row>
        <row r="35">
          <cell r="B35" t="str">
            <v>19219109WI0122</v>
          </cell>
          <cell r="C35" t="str">
            <v>河东区凤芝德中医门诊部监控项目</v>
          </cell>
          <cell r="D35" t="str">
            <v>JC21-1201-2019-000334</v>
          </cell>
          <cell r="E35" t="str">
            <v>ICT河东区凤芝德中医门诊部监控项目</v>
          </cell>
          <cell r="F35">
            <v>4631.51</v>
          </cell>
          <cell r="G35" t="str">
            <v>华星天津工程技术有限公司</v>
          </cell>
          <cell r="R35">
            <v>4168.3599999999997</v>
          </cell>
          <cell r="S35">
            <v>4168.3599999999997</v>
          </cell>
          <cell r="T35">
            <v>463.150000000001</v>
          </cell>
          <cell r="U35">
            <v>0.90000021591230495</v>
          </cell>
          <cell r="V35">
            <v>5430</v>
          </cell>
          <cell r="W35">
            <v>1</v>
          </cell>
          <cell r="X35" t="str">
            <v>刘秧</v>
          </cell>
        </row>
        <row r="36">
          <cell r="B36" t="str">
            <v>19219115WI0085</v>
          </cell>
          <cell r="C36" t="str">
            <v>天津市第一中心医院急诊、儿科可视化报警采购项目</v>
          </cell>
          <cell r="D36" t="str">
            <v>JC21-1201-2019-000337</v>
          </cell>
          <cell r="E36" t="str">
            <v>ICT天津市第一中心医院急诊、儿科可视化报警采购项目</v>
          </cell>
          <cell r="F36">
            <v>85571.67</v>
          </cell>
          <cell r="G36" t="str">
            <v>天津智导科技有限公司</v>
          </cell>
          <cell r="S36">
            <v>0</v>
          </cell>
          <cell r="T36">
            <v>85571.67</v>
          </cell>
          <cell r="U36">
            <v>0</v>
          </cell>
          <cell r="V36">
            <v>0</v>
          </cell>
          <cell r="W36">
            <v>0</v>
          </cell>
          <cell r="X36" t="str">
            <v>刘秧</v>
          </cell>
        </row>
        <row r="37">
          <cell r="B37" t="str">
            <v>19219113WS0119</v>
          </cell>
          <cell r="C37" t="str">
            <v>津南区河道网格化guanlpingt项目</v>
          </cell>
          <cell r="D37" t="str">
            <v>JC21-1201-2019-000396</v>
          </cell>
          <cell r="E37" t="str">
            <v>ICT津南区河道网格化管理平台项目沃云产品服务销售合同</v>
          </cell>
          <cell r="F37">
            <v>216900</v>
          </cell>
          <cell r="G37" t="str">
            <v>中国联合网络通信有限公司天津市分公司</v>
          </cell>
          <cell r="S37">
            <v>0</v>
          </cell>
          <cell r="T37">
            <v>216900</v>
          </cell>
          <cell r="U37">
            <v>0</v>
          </cell>
          <cell r="V37">
            <v>0</v>
          </cell>
          <cell r="W37">
            <v>0</v>
          </cell>
          <cell r="X37" t="str">
            <v>付欣</v>
          </cell>
        </row>
        <row r="38">
          <cell r="B38" t="str">
            <v>19219113WS0119</v>
          </cell>
          <cell r="C38" t="str">
            <v>津南区河道网格化管理平台项目</v>
          </cell>
          <cell r="D38" t="str">
            <v>JC21-1201-2019-000395</v>
          </cell>
          <cell r="E38" t="str">
            <v>ICT津南区河道网格化管理平台项目MSTP电路租用合同</v>
          </cell>
          <cell r="F38">
            <v>156240</v>
          </cell>
          <cell r="G38" t="str">
            <v>中国联合网络通信有限公司天津市分公司</v>
          </cell>
          <cell r="S38">
            <v>0</v>
          </cell>
          <cell r="T38">
            <v>156240</v>
          </cell>
          <cell r="U38">
            <v>0</v>
          </cell>
          <cell r="V38">
            <v>0</v>
          </cell>
          <cell r="W38">
            <v>0</v>
          </cell>
          <cell r="X38" t="str">
            <v>付欣</v>
          </cell>
        </row>
        <row r="39">
          <cell r="B39" t="str">
            <v>19219113WS0119</v>
          </cell>
          <cell r="C39" t="str">
            <v>津南区河道网格化管理平台项目</v>
          </cell>
          <cell r="D39" t="str">
            <v>JC21-1201-2019-000399</v>
          </cell>
          <cell r="E39" t="str">
            <v>ICT津南区河道网格化管理平台项目宽带专线业务新装协议合同</v>
          </cell>
          <cell r="F39">
            <v>54000</v>
          </cell>
          <cell r="G39" t="str">
            <v>中国联合网络通信有限公司天津市分公司</v>
          </cell>
          <cell r="S39">
            <v>0</v>
          </cell>
          <cell r="T39">
            <v>54000</v>
          </cell>
          <cell r="U39">
            <v>0</v>
          </cell>
          <cell r="V39">
            <v>0</v>
          </cell>
          <cell r="W39">
            <v>0</v>
          </cell>
          <cell r="X39" t="str">
            <v>付欣</v>
          </cell>
        </row>
        <row r="40">
          <cell r="B40" t="str">
            <v>19219115WT0174</v>
          </cell>
          <cell r="C40" t="str">
            <v>ICT南开区生态环境局大气污染防治网格化监控平台升级改造及运维项目</v>
          </cell>
          <cell r="D40" t="str">
            <v>JC21-1201-2019-000480</v>
          </cell>
          <cell r="E40" t="str">
            <v>ICT南开区生态环境局大气污染防治网格化监控平台升级改造及运维项目通信服务协议</v>
          </cell>
          <cell r="F40">
            <v>200149.7</v>
          </cell>
          <cell r="G40" t="str">
            <v>中国联合网络通信有限公司天津市分公司</v>
          </cell>
          <cell r="H40" t="str">
            <v>签订50％，回款50％</v>
          </cell>
          <cell r="R40">
            <v>107808</v>
          </cell>
          <cell r="S40">
            <v>107808</v>
          </cell>
          <cell r="T40">
            <v>92341.7</v>
          </cell>
          <cell r="U40">
            <v>0.53863683033249599</v>
          </cell>
          <cell r="V40">
            <v>600000</v>
          </cell>
          <cell r="W40">
            <v>0.60951823678564498</v>
          </cell>
          <cell r="X40" t="str">
            <v>杨楠</v>
          </cell>
        </row>
        <row r="41">
          <cell r="B41" t="str">
            <v>19219112WI0071</v>
          </cell>
          <cell r="C41" t="str">
            <v>天津市第一中心医院话务台总机系统升级维护服务项目</v>
          </cell>
          <cell r="S41">
            <v>0</v>
          </cell>
          <cell r="T41">
            <v>0</v>
          </cell>
          <cell r="U41" t="e">
            <v>#DIV/0!</v>
          </cell>
          <cell r="V41">
            <v>0</v>
          </cell>
          <cell r="W41">
            <v>0</v>
          </cell>
          <cell r="X41" t="str">
            <v>章双佐</v>
          </cell>
        </row>
        <row r="42">
          <cell r="B42" t="str">
            <v>1921818BCWI0010</v>
          </cell>
          <cell r="C42" t="str">
            <v>华涛汽车增项</v>
          </cell>
          <cell r="S42">
            <v>0</v>
          </cell>
          <cell r="T42">
            <v>0</v>
          </cell>
          <cell r="U42" t="e">
            <v>#DIV/0!</v>
          </cell>
          <cell r="V42">
            <v>0</v>
          </cell>
          <cell r="W42">
            <v>0</v>
          </cell>
          <cell r="X42" t="str">
            <v>杨楠</v>
          </cell>
        </row>
        <row r="43">
          <cell r="B43" t="str">
            <v>19219110WI0116</v>
          </cell>
          <cell r="C43" t="str">
            <v>天津市河西区智慧市政防汛车辆专用GPS设备安装与调试项目</v>
          </cell>
          <cell r="D43" t="str">
            <v>JC21-1201-2019-000390</v>
          </cell>
          <cell r="E43" t="str">
            <v>ICT天津市河西区智慧市政防汛车辆专用GPS设备与安装</v>
          </cell>
          <cell r="F43">
            <v>14308.25</v>
          </cell>
          <cell r="G43" t="str">
            <v>天津同望创新科技有限公司</v>
          </cell>
          <cell r="S43">
            <v>0</v>
          </cell>
          <cell r="T43">
            <v>14308.25</v>
          </cell>
          <cell r="U43">
            <v>0</v>
          </cell>
          <cell r="V43">
            <v>0</v>
          </cell>
          <cell r="W43">
            <v>0</v>
          </cell>
          <cell r="X43" t="str">
            <v>刘秧</v>
          </cell>
        </row>
        <row r="44">
          <cell r="B44" t="str">
            <v>19219102WT0127</v>
          </cell>
          <cell r="C44" t="str">
            <v>天津市北辰区住建委建筑安全综合管理系统维护服务项目</v>
          </cell>
          <cell r="S44">
            <v>0</v>
          </cell>
          <cell r="T44">
            <v>0</v>
          </cell>
          <cell r="U44" t="e">
            <v>#DIV/0!</v>
          </cell>
          <cell r="V44">
            <v>0</v>
          </cell>
          <cell r="W44">
            <v>0</v>
          </cell>
          <cell r="X44" t="str">
            <v>李天慈</v>
          </cell>
        </row>
        <row r="45">
          <cell r="B45" t="str">
            <v>19219102WI0128</v>
          </cell>
          <cell r="C45" t="str">
            <v>天津市北辰住建委建筑安全管理平台扩容项目</v>
          </cell>
          <cell r="D45" t="str">
            <v>JC21-1201-2019-000373</v>
          </cell>
          <cell r="E45" t="str">
            <v>天津市北辰住建委建筑安全综合管理系统维护服务</v>
          </cell>
          <cell r="F45">
            <v>76500</v>
          </cell>
          <cell r="G45" t="str">
            <v>天津市拓甫网络科技开发有限公司</v>
          </cell>
          <cell r="S45">
            <v>0</v>
          </cell>
          <cell r="T45">
            <v>76500</v>
          </cell>
          <cell r="U45">
            <v>0</v>
          </cell>
          <cell r="V45">
            <v>0</v>
          </cell>
          <cell r="W45">
            <v>0</v>
          </cell>
          <cell r="X45" t="str">
            <v>李天慈</v>
          </cell>
        </row>
        <row r="46">
          <cell r="B46" t="str">
            <v>19219000WS037</v>
          </cell>
          <cell r="C46" t="str">
            <v>西青区河道网格化管理平台</v>
          </cell>
          <cell r="S46">
            <v>0</v>
          </cell>
          <cell r="T46">
            <v>0</v>
          </cell>
          <cell r="U46" t="e">
            <v>#DIV/0!</v>
          </cell>
          <cell r="V46">
            <v>0</v>
          </cell>
          <cell r="W46">
            <v>0</v>
          </cell>
          <cell r="X46" t="str">
            <v>付欣</v>
          </cell>
        </row>
        <row r="47">
          <cell r="B47" t="str">
            <v>19219110WI0116</v>
          </cell>
          <cell r="C47" t="str">
            <v>天津市河西区智慧市政防汛车辆专用GPS设备安装与调试项目</v>
          </cell>
          <cell r="D47" t="str">
            <v>JC21-1201-2019-000390</v>
          </cell>
          <cell r="E47" t="str">
            <v>ICT天津市河西区智慧市政防汛车辆专用GPS设备与安装</v>
          </cell>
          <cell r="F47">
            <v>14308.25</v>
          </cell>
          <cell r="G47" t="str">
            <v>天津同望创新科技有限公司</v>
          </cell>
          <cell r="S47">
            <v>0</v>
          </cell>
          <cell r="T47">
            <v>14308.25</v>
          </cell>
          <cell r="U47">
            <v>0</v>
          </cell>
          <cell r="V47">
            <v>0</v>
          </cell>
          <cell r="W47">
            <v>0</v>
          </cell>
          <cell r="X47" t="str">
            <v>刘秧</v>
          </cell>
        </row>
        <row r="48">
          <cell r="B48" t="str">
            <v>19219101WI0146</v>
          </cell>
          <cell r="C48" t="str">
            <v>宝坻区建设工程远程视频监控平台扩容项目</v>
          </cell>
          <cell r="D48" t="str">
            <v>JC21-1201-2019-000440</v>
          </cell>
          <cell r="E48" t="str">
            <v>ICT宝坻区建设工程远程视频监控平台扩容项目合同</v>
          </cell>
          <cell r="F48">
            <v>1451900</v>
          </cell>
          <cell r="G48" t="str">
            <v>天津新信科技股份有限公司</v>
          </cell>
          <cell r="S48">
            <v>0</v>
          </cell>
          <cell r="T48">
            <v>1451900</v>
          </cell>
          <cell r="U48">
            <v>0</v>
          </cell>
          <cell r="V48">
            <v>0</v>
          </cell>
          <cell r="W48">
            <v>0</v>
          </cell>
          <cell r="X48" t="str">
            <v>李天慈</v>
          </cell>
        </row>
        <row r="49">
          <cell r="B49" t="str">
            <v>19219110WI0164</v>
          </cell>
          <cell r="C49" t="str">
            <v>阿米玛玛农贸市场WIFI建设项目</v>
          </cell>
          <cell r="S49">
            <v>0</v>
          </cell>
          <cell r="T49">
            <v>0</v>
          </cell>
          <cell r="U49" t="e">
            <v>#DIV/0!</v>
          </cell>
          <cell r="V49">
            <v>0</v>
          </cell>
          <cell r="W49">
            <v>0</v>
          </cell>
          <cell r="X49" t="str">
            <v>刘秧</v>
          </cell>
        </row>
        <row r="50">
          <cell r="B50" t="str">
            <v>19219114WO0166</v>
          </cell>
          <cell r="C50" t="str">
            <v>天津津静昆仑燃气集成服务项目</v>
          </cell>
          <cell r="S50">
            <v>0</v>
          </cell>
          <cell r="T50">
            <v>0</v>
          </cell>
          <cell r="U50" t="e">
            <v>#DIV/0!</v>
          </cell>
          <cell r="V50">
            <v>0</v>
          </cell>
          <cell r="W50">
            <v>0</v>
          </cell>
          <cell r="X50" t="str">
            <v>刘秧</v>
          </cell>
        </row>
        <row r="51">
          <cell r="B51" t="str">
            <v>19219107WI0167</v>
          </cell>
          <cell r="C51" t="str">
            <v>天津医科大学总医院招待所系统集成服务</v>
          </cell>
          <cell r="D51" t="str">
            <v>JC21-1201-2019-000478</v>
          </cell>
          <cell r="E51" t="str">
            <v>天津市医科大学总医院招待所系统集成服务合同</v>
          </cell>
          <cell r="F51">
            <v>1156</v>
          </cell>
          <cell r="G51" t="str">
            <v>天津市深大立讯电子科技有限公司</v>
          </cell>
          <cell r="S51">
            <v>0</v>
          </cell>
          <cell r="T51">
            <v>1156</v>
          </cell>
          <cell r="U51">
            <v>0</v>
          </cell>
          <cell r="V51">
            <v>0</v>
          </cell>
          <cell r="W51">
            <v>0</v>
          </cell>
          <cell r="X51" t="str">
            <v>刘秧</v>
          </cell>
        </row>
        <row r="52">
          <cell r="B52" t="str">
            <v>19219104WI0172</v>
          </cell>
          <cell r="C52" t="str">
            <v>天津市交通（集团）有限公司网络改造项目</v>
          </cell>
          <cell r="S52">
            <v>0</v>
          </cell>
          <cell r="T52">
            <v>0</v>
          </cell>
          <cell r="U52" t="e">
            <v>#DIV/0!</v>
          </cell>
          <cell r="V52">
            <v>0</v>
          </cell>
          <cell r="W52">
            <v>0</v>
          </cell>
          <cell r="X52" t="str">
            <v>李天慈</v>
          </cell>
        </row>
        <row r="53">
          <cell r="B53" t="str">
            <v>19219109WI0170</v>
          </cell>
          <cell r="C53" t="str">
            <v>江苏蓝园视频监控项目</v>
          </cell>
          <cell r="D53" t="str">
            <v>JC21-1201-2019-000467</v>
          </cell>
          <cell r="E53" t="str">
            <v>ICT河东江苏蓝园视频监控项目</v>
          </cell>
          <cell r="F53">
            <v>143910</v>
          </cell>
          <cell r="G53" t="str">
            <v>天津新信科技股份有限公司</v>
          </cell>
          <cell r="S53">
            <v>0</v>
          </cell>
          <cell r="T53">
            <v>143910</v>
          </cell>
          <cell r="U53">
            <v>0</v>
          </cell>
          <cell r="V53">
            <v>0</v>
          </cell>
          <cell r="W53">
            <v>0</v>
          </cell>
          <cell r="X53" t="str">
            <v>刘秧</v>
          </cell>
        </row>
        <row r="54">
          <cell r="B54" t="str">
            <v>192181HXWI0107</v>
          </cell>
          <cell r="C54" t="str">
            <v>关于《天津市河西区文化中心弱电维护合同》的补充协议</v>
          </cell>
          <cell r="D54" t="str">
            <v>JC21-1201-2018-000430</v>
          </cell>
          <cell r="E54" t="str">
            <v>ICT天津市河西区文化中心弱电维护服务项目合同6%</v>
          </cell>
          <cell r="F54">
            <v>125220</v>
          </cell>
          <cell r="G54" t="str">
            <v>天津新信科技股份有限公司</v>
          </cell>
          <cell r="S54">
            <v>62610</v>
          </cell>
          <cell r="T54">
            <v>62610</v>
          </cell>
          <cell r="U54">
            <v>0.5</v>
          </cell>
          <cell r="V54">
            <v>147323</v>
          </cell>
          <cell r="W54">
            <v>1</v>
          </cell>
          <cell r="X54" t="str">
            <v>刘秧</v>
          </cell>
        </row>
        <row r="55">
          <cell r="B55" t="str">
            <v>19219107WI0169</v>
          </cell>
          <cell r="C55" t="str">
            <v>公安医院系统集成服务</v>
          </cell>
          <cell r="D55" t="str">
            <v>JC21-1201-2019-000477</v>
          </cell>
          <cell r="E55" t="str">
            <v>天津市公安医院系统集成服务合同</v>
          </cell>
          <cell r="F55">
            <v>33940.5</v>
          </cell>
          <cell r="G55" t="str">
            <v>天津市深大立讯电子科技有限公司</v>
          </cell>
          <cell r="S55">
            <v>0</v>
          </cell>
          <cell r="T55">
            <v>33940.5</v>
          </cell>
          <cell r="U55">
            <v>0</v>
          </cell>
          <cell r="V55">
            <v>0</v>
          </cell>
          <cell r="W55">
            <v>0</v>
          </cell>
          <cell r="X55" t="str">
            <v>刘秧</v>
          </cell>
        </row>
        <row r="56">
          <cell r="B56" t="str">
            <v>19219114WI0195</v>
          </cell>
          <cell r="C56" t="str">
            <v>静海住建委系统集成服务项目</v>
          </cell>
          <cell r="S56">
            <v>0</v>
          </cell>
          <cell r="T56">
            <v>0</v>
          </cell>
          <cell r="U56" t="e">
            <v>#DIV/0!</v>
          </cell>
          <cell r="V56">
            <v>0</v>
          </cell>
          <cell r="W56">
            <v>0</v>
          </cell>
          <cell r="X56" t="str">
            <v>刘秧</v>
          </cell>
        </row>
        <row r="57">
          <cell r="B57" t="str">
            <v>19219109WI0165</v>
          </cell>
          <cell r="C57" t="str">
            <v>中航商务大厦升级改造工程弱电专业分包项目</v>
          </cell>
          <cell r="S57">
            <v>0</v>
          </cell>
          <cell r="T57">
            <v>0</v>
          </cell>
          <cell r="U57" t="e">
            <v>#DIV/0!</v>
          </cell>
          <cell r="V57">
            <v>0</v>
          </cell>
          <cell r="W57">
            <v>0</v>
          </cell>
          <cell r="X57" t="str">
            <v>杨楠</v>
          </cell>
        </row>
        <row r="58">
          <cell r="B58" t="str">
            <v>19219104WI0182</v>
          </cell>
          <cell r="C58" t="str">
            <v>天津华祥公司车船税专网建设项目</v>
          </cell>
          <cell r="D58" t="str">
            <v>JC21-1201-2019-000487/488/489/491/493/495/497/496/492</v>
          </cell>
          <cell r="E58" t="str">
            <v>华祥公司车船税专网建设项目（聚丰）集成ICT合同</v>
          </cell>
          <cell r="F58">
            <v>15031.44</v>
          </cell>
          <cell r="G58" t="str">
            <v>天津电信建设工程有限公司</v>
          </cell>
          <cell r="S58">
            <v>0</v>
          </cell>
          <cell r="T58">
            <v>15031.44</v>
          </cell>
          <cell r="U58">
            <v>0</v>
          </cell>
          <cell r="V58">
            <v>0</v>
          </cell>
          <cell r="W58">
            <v>0</v>
          </cell>
          <cell r="X58" t="str">
            <v>李天慈</v>
          </cell>
        </row>
        <row r="59">
          <cell r="B59" t="str">
            <v>19219104WI0181</v>
          </cell>
          <cell r="C59" t="str">
            <v>天津华祥公司车船税专网建设项目</v>
          </cell>
          <cell r="S59">
            <v>0</v>
          </cell>
          <cell r="T59">
            <v>0</v>
          </cell>
          <cell r="U59" t="e">
            <v>#DIV/0!</v>
          </cell>
          <cell r="V59">
            <v>0</v>
          </cell>
          <cell r="W59">
            <v>0</v>
          </cell>
          <cell r="X59" t="str">
            <v>李天慈</v>
          </cell>
        </row>
        <row r="60">
          <cell r="B60" t="str">
            <v>19219104WI0180</v>
          </cell>
          <cell r="C60" t="str">
            <v>天津华祥公司车船税专网建设项目</v>
          </cell>
          <cell r="S60">
            <v>0</v>
          </cell>
          <cell r="T60">
            <v>0</v>
          </cell>
          <cell r="U60" t="e">
            <v>#DIV/0!</v>
          </cell>
          <cell r="V60">
            <v>0</v>
          </cell>
          <cell r="W60">
            <v>0</v>
          </cell>
          <cell r="X60" t="str">
            <v>李天慈</v>
          </cell>
        </row>
        <row r="61">
          <cell r="B61" t="str">
            <v>19219104WI0179</v>
          </cell>
          <cell r="C61" t="str">
            <v>天津华祥公司车船税专网建设项目</v>
          </cell>
          <cell r="S61">
            <v>0</v>
          </cell>
          <cell r="T61">
            <v>0</v>
          </cell>
          <cell r="U61" t="e">
            <v>#DIV/0!</v>
          </cell>
          <cell r="V61">
            <v>0</v>
          </cell>
          <cell r="W61">
            <v>0</v>
          </cell>
          <cell r="X61" t="str">
            <v>李天慈</v>
          </cell>
        </row>
        <row r="62">
          <cell r="B62" t="str">
            <v>19219104WI0178</v>
          </cell>
          <cell r="C62" t="str">
            <v>天津华祥公司车船税专网建设项目</v>
          </cell>
          <cell r="S62">
            <v>0</v>
          </cell>
          <cell r="T62">
            <v>0</v>
          </cell>
          <cell r="U62" t="e">
            <v>#DIV/0!</v>
          </cell>
          <cell r="V62">
            <v>0</v>
          </cell>
          <cell r="W62">
            <v>0</v>
          </cell>
          <cell r="X62" t="str">
            <v>李天慈</v>
          </cell>
        </row>
        <row r="63">
          <cell r="B63" t="str">
            <v>19219104WI0177</v>
          </cell>
          <cell r="C63" t="str">
            <v>天津华祥公司车船税专网建设项目</v>
          </cell>
          <cell r="S63">
            <v>0</v>
          </cell>
          <cell r="T63">
            <v>0</v>
          </cell>
          <cell r="U63" t="e">
            <v>#DIV/0!</v>
          </cell>
          <cell r="V63">
            <v>0</v>
          </cell>
          <cell r="W63">
            <v>0</v>
          </cell>
          <cell r="X63" t="str">
            <v>李天慈</v>
          </cell>
        </row>
        <row r="64">
          <cell r="B64" t="str">
            <v>19219104WI0176</v>
          </cell>
          <cell r="C64" t="str">
            <v>天津华祥公司车船税专网建设项目</v>
          </cell>
          <cell r="S64">
            <v>0</v>
          </cell>
          <cell r="T64">
            <v>0</v>
          </cell>
          <cell r="U64" t="e">
            <v>#DIV/0!</v>
          </cell>
          <cell r="V64">
            <v>0</v>
          </cell>
          <cell r="W64">
            <v>0</v>
          </cell>
          <cell r="X64" t="str">
            <v>李天慈</v>
          </cell>
        </row>
        <row r="65">
          <cell r="B65" t="str">
            <v>19219104WI0175</v>
          </cell>
          <cell r="C65" t="str">
            <v>天津华祥公司车船税专网建设项目</v>
          </cell>
          <cell r="S65">
            <v>0</v>
          </cell>
          <cell r="T65">
            <v>0</v>
          </cell>
          <cell r="U65" t="e">
            <v>#DIV/0!</v>
          </cell>
          <cell r="V65">
            <v>0</v>
          </cell>
          <cell r="W65">
            <v>0</v>
          </cell>
          <cell r="X65" t="str">
            <v>李天慈</v>
          </cell>
        </row>
        <row r="66">
          <cell r="B66" t="str">
            <v>19219104WI0183</v>
          </cell>
          <cell r="C66" t="str">
            <v>天津华祥公司车船税专网建设项目</v>
          </cell>
          <cell r="S66">
            <v>0</v>
          </cell>
          <cell r="T66">
            <v>0</v>
          </cell>
          <cell r="U66" t="e">
            <v>#DIV/0!</v>
          </cell>
          <cell r="V66">
            <v>0</v>
          </cell>
          <cell r="W66">
            <v>0</v>
          </cell>
          <cell r="X66" t="str">
            <v>李天慈</v>
          </cell>
        </row>
        <row r="67">
          <cell r="B67" t="str">
            <v>19219104WI0184</v>
          </cell>
          <cell r="C67" t="str">
            <v>天津华祥公司车船税专网建设项目</v>
          </cell>
          <cell r="D67" t="str">
            <v>JC21-1201-2019-000490</v>
          </cell>
          <cell r="E67" t="str">
            <v>华祥公司车船税专网建设项目（静塘）集成ICT合同</v>
          </cell>
          <cell r="F67">
            <v>10114</v>
          </cell>
          <cell r="G67" t="str">
            <v>天津电信建设工程有限公司</v>
          </cell>
          <cell r="S67">
            <v>0</v>
          </cell>
          <cell r="T67">
            <v>10114</v>
          </cell>
          <cell r="U67">
            <v>0</v>
          </cell>
          <cell r="V67">
            <v>0</v>
          </cell>
          <cell r="W67">
            <v>0</v>
          </cell>
          <cell r="X67" t="str">
            <v>李天慈</v>
          </cell>
        </row>
        <row r="68">
          <cell r="B68" t="str">
            <v>19219104WI0191</v>
          </cell>
          <cell r="C68" t="str">
            <v>天津华祥公司车船税专网搬迁项目</v>
          </cell>
          <cell r="S68">
            <v>0</v>
          </cell>
          <cell r="T68">
            <v>0</v>
          </cell>
          <cell r="U68" t="e">
            <v>#DIV/0!</v>
          </cell>
          <cell r="V68">
            <v>0</v>
          </cell>
          <cell r="W68">
            <v>0</v>
          </cell>
          <cell r="X68" t="str">
            <v>李天慈</v>
          </cell>
        </row>
        <row r="69">
          <cell r="B69" t="str">
            <v>19219104WI0188</v>
          </cell>
          <cell r="C69" t="str">
            <v>天津华祥公司车船税专网搬迁项目</v>
          </cell>
          <cell r="S69">
            <v>0</v>
          </cell>
          <cell r="T69">
            <v>0</v>
          </cell>
          <cell r="U69" t="e">
            <v>#DIV/0!</v>
          </cell>
          <cell r="V69">
            <v>0</v>
          </cell>
          <cell r="W69">
            <v>0</v>
          </cell>
          <cell r="X69" t="str">
            <v>李天慈</v>
          </cell>
        </row>
        <row r="70">
          <cell r="B70" t="str">
            <v>19219104WI0190</v>
          </cell>
          <cell r="C70" t="str">
            <v>天津华祥公司车船税专网搬迁项目</v>
          </cell>
          <cell r="S70">
            <v>0</v>
          </cell>
          <cell r="T70">
            <v>0</v>
          </cell>
          <cell r="U70" t="e">
            <v>#DIV/0!</v>
          </cell>
          <cell r="V70">
            <v>0</v>
          </cell>
          <cell r="W70">
            <v>0</v>
          </cell>
          <cell r="X70" t="str">
            <v>李天慈</v>
          </cell>
        </row>
        <row r="71">
          <cell r="B71" t="str">
            <v>19219104WI0187</v>
          </cell>
          <cell r="C71" t="str">
            <v>天津华祥公司车船税专网搬迁项目</v>
          </cell>
          <cell r="S71">
            <v>0</v>
          </cell>
          <cell r="T71">
            <v>0</v>
          </cell>
          <cell r="U71" t="e">
            <v>#DIV/0!</v>
          </cell>
          <cell r="V71">
            <v>0</v>
          </cell>
          <cell r="W71">
            <v>0</v>
          </cell>
          <cell r="X71" t="str">
            <v>李天慈</v>
          </cell>
        </row>
        <row r="72">
          <cell r="B72" t="str">
            <v>19219104WI0189</v>
          </cell>
          <cell r="C72" t="str">
            <v>天津华祥公司车船税专网搬迁项目</v>
          </cell>
          <cell r="S72">
            <v>0</v>
          </cell>
          <cell r="T72">
            <v>0</v>
          </cell>
          <cell r="U72" t="e">
            <v>#DIV/0!</v>
          </cell>
          <cell r="V72">
            <v>0</v>
          </cell>
          <cell r="W72">
            <v>0</v>
          </cell>
          <cell r="X72" t="str">
            <v>李天慈</v>
          </cell>
        </row>
        <row r="73">
          <cell r="B73" t="str">
            <v>19219104WI0186</v>
          </cell>
          <cell r="C73" t="str">
            <v>天津华祥公司车船税专网搬迁项目</v>
          </cell>
          <cell r="S73">
            <v>0</v>
          </cell>
          <cell r="T73">
            <v>0</v>
          </cell>
          <cell r="U73" t="e">
            <v>#DIV/0!</v>
          </cell>
          <cell r="V73">
            <v>0</v>
          </cell>
          <cell r="W73">
            <v>0</v>
          </cell>
          <cell r="X73" t="str">
            <v>李天慈</v>
          </cell>
        </row>
        <row r="74">
          <cell r="B74" t="str">
            <v>19219104WI0185</v>
          </cell>
          <cell r="C74" t="str">
            <v>天津华祥公司车船税专网搬迁项目</v>
          </cell>
          <cell r="D74" t="str">
            <v>JC21-1201-2019-000501/504/500/510/513/511/512/</v>
          </cell>
          <cell r="E74" t="str">
            <v>华祥公司车船税专网搬迁项目（西青津维腾达）集成ICT合同</v>
          </cell>
          <cell r="F74">
            <v>4670</v>
          </cell>
          <cell r="G74" t="str">
            <v>天津电信建设工程有限公司</v>
          </cell>
          <cell r="S74">
            <v>0</v>
          </cell>
          <cell r="T74">
            <v>4670</v>
          </cell>
          <cell r="U74">
            <v>0</v>
          </cell>
          <cell r="V74">
            <v>0</v>
          </cell>
          <cell r="W74">
            <v>0</v>
          </cell>
          <cell r="X74" t="str">
            <v>李天慈</v>
          </cell>
        </row>
        <row r="75">
          <cell r="B75" t="str">
            <v>19219104WI0205</v>
          </cell>
          <cell r="C75" t="str">
            <v>天津市气象台智慧气象预报服务大屏监控系统建设项目</v>
          </cell>
          <cell r="S75">
            <v>0</v>
          </cell>
          <cell r="T75">
            <v>0</v>
          </cell>
          <cell r="U75" t="e">
            <v>#DIV/0!</v>
          </cell>
          <cell r="V75">
            <v>0</v>
          </cell>
          <cell r="W75">
            <v>0</v>
          </cell>
          <cell r="X75" t="str">
            <v>杨楠</v>
          </cell>
        </row>
        <row r="76">
          <cell r="B76" t="str">
            <v>19219110WI0227</v>
          </cell>
          <cell r="C76" t="str">
            <v>天津市北航通信网络工程有限公司空港经济区东十道、东二道等9条道路通信管道工程（二期）合同项目</v>
          </cell>
          <cell r="S76">
            <v>0</v>
          </cell>
          <cell r="T76">
            <v>0</v>
          </cell>
          <cell r="U76" t="e">
            <v>#DIV/0!</v>
          </cell>
          <cell r="V76">
            <v>0</v>
          </cell>
          <cell r="W76">
            <v>0</v>
          </cell>
          <cell r="X76" t="str">
            <v>杨楠</v>
          </cell>
        </row>
        <row r="77">
          <cell r="B77" t="str">
            <v>19219104WI0206</v>
          </cell>
          <cell r="C77" t="str">
            <v>天津华祥公司车船税专网搬迁项目</v>
          </cell>
          <cell r="S77">
            <v>0</v>
          </cell>
          <cell r="T77">
            <v>0</v>
          </cell>
          <cell r="U77" t="e">
            <v>#DIV/0!</v>
          </cell>
          <cell r="V77">
            <v>0</v>
          </cell>
          <cell r="X77" t="str">
            <v>李天慈</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282"/>
  <sheetViews>
    <sheetView zoomScale="106" zoomScaleNormal="106" workbookViewId="0">
      <pane ySplit="2" topLeftCell="A28" activePane="bottomLeft" state="frozen"/>
      <selection pane="bottomLeft" activeCell="A35" sqref="A35:XFD35"/>
    </sheetView>
  </sheetViews>
  <sheetFormatPr defaultColWidth="9" defaultRowHeight="21.75" customHeight="1"/>
  <cols>
    <col min="1" max="1" width="11.21875" style="2" customWidth="1"/>
    <col min="2" max="2" width="11" style="2" customWidth="1"/>
    <col min="3" max="3" width="13.44140625" style="1" customWidth="1"/>
    <col min="4" max="4" width="20.33203125" style="2" customWidth="1"/>
    <col min="5" max="5" width="6" style="1" customWidth="1"/>
    <col min="6" max="6" width="6.6640625" style="1" customWidth="1"/>
    <col min="7" max="7" width="5.6640625" style="202" customWidth="1"/>
    <col min="8" max="8" width="7.21875" style="202" customWidth="1"/>
    <col min="9" max="9" width="9.33203125" style="203" customWidth="1"/>
    <col min="10" max="10" width="11.6640625" style="2" customWidth="1"/>
    <col min="11" max="11" width="11.44140625" style="28" customWidth="1"/>
    <col min="12" max="12" width="12.33203125" style="204" customWidth="1"/>
    <col min="13" max="13" width="8.6640625" style="202" customWidth="1"/>
    <col min="14" max="14" width="11.88671875" style="202" customWidth="1"/>
    <col min="15" max="15" width="9.88671875" style="202" customWidth="1"/>
    <col min="16" max="17" width="10.109375" style="202" customWidth="1"/>
    <col min="18" max="18" width="9.77734375" style="202" customWidth="1"/>
    <col min="19" max="19" width="10" style="2" customWidth="1"/>
    <col min="20" max="20" width="10.21875" style="2" customWidth="1"/>
    <col min="21" max="22" width="8.44140625" style="205" customWidth="1"/>
    <col min="23" max="23" width="8.44140625" style="2" customWidth="1"/>
    <col min="24" max="24" width="10.109375" style="2" customWidth="1"/>
    <col min="25" max="25" width="8.88671875" style="2" customWidth="1"/>
    <col min="26" max="26" width="11.44140625" style="2" customWidth="1"/>
    <col min="27" max="27" width="9.77734375" style="2" customWidth="1"/>
    <col min="28" max="28" width="11.109375" style="2" customWidth="1"/>
    <col min="29" max="29" width="10.88671875" style="2" customWidth="1"/>
    <col min="30" max="30" width="8.44140625" style="2" customWidth="1"/>
    <col min="31" max="31" width="11.21875" style="204" customWidth="1"/>
    <col min="32" max="32" width="8.44140625" style="1" customWidth="1"/>
    <col min="33" max="35" width="8.44140625" style="206" customWidth="1"/>
    <col min="36" max="36" width="12.109375" style="208" customWidth="1"/>
    <col min="37" max="37" width="12.6640625" style="208" customWidth="1"/>
    <col min="38" max="40" width="8.44140625" style="206" customWidth="1"/>
    <col min="41" max="41" width="10.77734375" style="2" customWidth="1"/>
    <col min="42" max="42" width="14.6640625" style="2" customWidth="1"/>
    <col min="43" max="43" width="14.88671875" style="209" customWidth="1"/>
    <col min="44" max="44" width="13.109375" style="65" customWidth="1"/>
    <col min="45" max="45" width="13.21875" style="95" customWidth="1"/>
    <col min="46" max="46" width="18.21875" style="210" customWidth="1"/>
    <col min="47" max="47" width="18.21875" style="95" customWidth="1"/>
    <col min="48" max="48" width="12.6640625" style="208" customWidth="1"/>
    <col min="49" max="49" width="8.77734375" style="207" customWidth="1"/>
    <col min="50" max="50" width="11" style="207" customWidth="1"/>
    <col min="51" max="51" width="10.88671875" style="95" customWidth="1"/>
    <col min="52" max="110" width="9" style="207"/>
    <col min="111" max="16384" width="9" style="2"/>
  </cols>
  <sheetData>
    <row r="1" spans="1:110" ht="34.5" customHeight="1">
      <c r="A1" s="212"/>
      <c r="B1" s="212"/>
      <c r="C1" s="213"/>
      <c r="D1" s="214" t="s">
        <v>0</v>
      </c>
      <c r="E1" s="213"/>
      <c r="F1" s="213"/>
      <c r="G1" s="227"/>
      <c r="H1" s="227"/>
      <c r="I1" s="228"/>
      <c r="J1" s="212"/>
      <c r="K1" s="229"/>
      <c r="L1" s="230"/>
      <c r="M1" s="231"/>
      <c r="N1" s="231"/>
      <c r="O1" s="251" t="s">
        <v>1</v>
      </c>
      <c r="P1" s="231"/>
      <c r="Q1" s="231"/>
      <c r="R1" s="231"/>
      <c r="S1" s="229"/>
      <c r="T1" s="229"/>
      <c r="U1" s="256"/>
      <c r="V1" s="256"/>
      <c r="W1" s="63"/>
      <c r="X1" s="63"/>
      <c r="Y1" s="63"/>
      <c r="Z1" s="257" t="s">
        <v>2</v>
      </c>
      <c r="AA1" s="63"/>
      <c r="AB1" s="63"/>
      <c r="AC1" s="63"/>
      <c r="AD1" s="63"/>
      <c r="AE1" s="265"/>
      <c r="AH1" s="280"/>
      <c r="AI1" s="280"/>
      <c r="AJ1" s="280"/>
      <c r="AK1" s="383" t="s">
        <v>3</v>
      </c>
      <c r="AL1" s="383"/>
      <c r="AM1" s="280"/>
      <c r="AN1" s="280"/>
      <c r="AO1" s="281"/>
      <c r="AP1" s="282" t="s">
        <v>4</v>
      </c>
      <c r="AQ1" s="283"/>
      <c r="AR1" s="283"/>
      <c r="AS1" s="284"/>
      <c r="AT1" s="285" t="s">
        <v>5</v>
      </c>
      <c r="AU1" s="284"/>
      <c r="AV1" s="284"/>
      <c r="AW1" s="385" t="s">
        <v>6</v>
      </c>
      <c r="AX1" s="386"/>
      <c r="AY1" s="387" t="s">
        <v>7</v>
      </c>
    </row>
    <row r="2" spans="1:110" ht="44.25" customHeight="1">
      <c r="A2" s="3" t="s">
        <v>8</v>
      </c>
      <c r="B2" s="3" t="s">
        <v>9</v>
      </c>
      <c r="C2" s="3" t="s">
        <v>10</v>
      </c>
      <c r="D2" s="3" t="s">
        <v>11</v>
      </c>
      <c r="E2" s="215" t="s">
        <v>12</v>
      </c>
      <c r="F2" s="96" t="s">
        <v>13</v>
      </c>
      <c r="G2" s="232" t="s">
        <v>14</v>
      </c>
      <c r="H2" s="233" t="s">
        <v>15</v>
      </c>
      <c r="I2" s="234" t="s">
        <v>16</v>
      </c>
      <c r="J2" s="98" t="s">
        <v>17</v>
      </c>
      <c r="K2" s="98" t="s">
        <v>18</v>
      </c>
      <c r="L2" s="235" t="s">
        <v>19</v>
      </c>
      <c r="M2" s="236" t="s">
        <v>20</v>
      </c>
      <c r="N2" s="236" t="s">
        <v>21</v>
      </c>
      <c r="O2" s="236" t="s">
        <v>22</v>
      </c>
      <c r="P2" s="236" t="s">
        <v>23</v>
      </c>
      <c r="Q2" s="236" t="s">
        <v>24</v>
      </c>
      <c r="R2" s="236" t="s">
        <v>25</v>
      </c>
      <c r="S2" s="252" t="s">
        <v>26</v>
      </c>
      <c r="T2" s="253" t="s">
        <v>27</v>
      </c>
      <c r="U2" s="258" t="s">
        <v>28</v>
      </c>
      <c r="V2" s="259" t="s">
        <v>29</v>
      </c>
      <c r="W2" s="260" t="s">
        <v>30</v>
      </c>
      <c r="X2" s="260" t="s">
        <v>31</v>
      </c>
      <c r="Y2" s="260" t="s">
        <v>32</v>
      </c>
      <c r="Z2" s="260" t="s">
        <v>33</v>
      </c>
      <c r="AA2" s="260" t="s">
        <v>34</v>
      </c>
      <c r="AB2" s="260" t="s">
        <v>35</v>
      </c>
      <c r="AC2" s="260" t="s">
        <v>36</v>
      </c>
      <c r="AD2" s="260" t="s">
        <v>37</v>
      </c>
      <c r="AE2" s="260" t="s">
        <v>38</v>
      </c>
      <c r="AF2" s="96" t="s">
        <v>39</v>
      </c>
      <c r="AG2" s="233" t="s">
        <v>17</v>
      </c>
      <c r="AH2" s="233" t="s">
        <v>40</v>
      </c>
      <c r="AI2" s="233" t="s">
        <v>41</v>
      </c>
      <c r="AJ2" s="274" t="s">
        <v>42</v>
      </c>
      <c r="AK2" s="274" t="s">
        <v>43</v>
      </c>
      <c r="AL2" s="233" t="s">
        <v>44</v>
      </c>
      <c r="AM2" s="233" t="s">
        <v>45</v>
      </c>
      <c r="AN2" s="233" t="s">
        <v>46</v>
      </c>
      <c r="AO2" s="286" t="s">
        <v>47</v>
      </c>
      <c r="AP2" s="286" t="s">
        <v>48</v>
      </c>
      <c r="AQ2" s="287" t="s">
        <v>49</v>
      </c>
      <c r="AR2" s="273" t="s">
        <v>50</v>
      </c>
      <c r="AS2" s="49" t="s">
        <v>51</v>
      </c>
      <c r="AT2" s="288" t="s">
        <v>52</v>
      </c>
      <c r="AU2" s="49" t="s">
        <v>53</v>
      </c>
      <c r="AV2" s="274" t="s">
        <v>54</v>
      </c>
      <c r="AW2" s="272" t="s">
        <v>55</v>
      </c>
      <c r="AX2" s="272" t="s">
        <v>56</v>
      </c>
      <c r="AY2" s="49" t="s">
        <v>7</v>
      </c>
    </row>
    <row r="3" spans="1:110" s="24" customFormat="1" ht="21.75" customHeight="1">
      <c r="A3" s="4"/>
      <c r="B3" s="26" t="s">
        <v>57</v>
      </c>
      <c r="C3" s="4" t="s">
        <v>58</v>
      </c>
      <c r="D3" s="4" t="s">
        <v>59</v>
      </c>
      <c r="E3" s="4" t="s">
        <v>60</v>
      </c>
      <c r="F3" s="4" t="s">
        <v>61</v>
      </c>
      <c r="G3" s="246" t="s">
        <v>62</v>
      </c>
      <c r="H3" s="246" t="s">
        <v>63</v>
      </c>
      <c r="I3" s="87" t="s">
        <v>64</v>
      </c>
      <c r="J3" s="4"/>
      <c r="K3" s="242">
        <f>L3+S3</f>
        <v>101989004</v>
      </c>
      <c r="L3" s="29">
        <f>SUM(M3:R3)</f>
        <v>101989004</v>
      </c>
      <c r="M3" s="249">
        <v>29011206</v>
      </c>
      <c r="N3" s="249"/>
      <c r="O3" s="249">
        <v>64877798</v>
      </c>
      <c r="P3" s="249"/>
      <c r="Q3" s="249">
        <v>8100000</v>
      </c>
      <c r="R3" s="249"/>
      <c r="S3" s="254"/>
      <c r="T3" s="255"/>
      <c r="U3" s="264"/>
      <c r="V3" s="262">
        <v>0.12</v>
      </c>
      <c r="W3" s="444" t="s">
        <v>65</v>
      </c>
      <c r="X3" s="444"/>
      <c r="Y3" s="445"/>
      <c r="Z3" s="445"/>
      <c r="AA3" s="445"/>
      <c r="AB3" s="254"/>
      <c r="AC3" s="254"/>
      <c r="AD3" s="254"/>
      <c r="AE3" s="248"/>
      <c r="AF3" s="4" t="s">
        <v>62</v>
      </c>
      <c r="AG3" s="4"/>
      <c r="AH3" s="4"/>
      <c r="AI3" s="4"/>
      <c r="AK3" s="24" t="s">
        <v>66</v>
      </c>
      <c r="AL3" s="4"/>
      <c r="AM3" s="4"/>
      <c r="AN3" s="4"/>
      <c r="AO3" s="289" t="s">
        <v>67</v>
      </c>
      <c r="AP3" s="289" t="s">
        <v>68</v>
      </c>
      <c r="AQ3" s="296">
        <v>43038</v>
      </c>
      <c r="AR3" s="290"/>
      <c r="AS3" s="24" t="s">
        <v>69</v>
      </c>
      <c r="AT3" s="290">
        <v>44837</v>
      </c>
      <c r="AU3" s="24" t="s">
        <v>70</v>
      </c>
      <c r="AV3" s="24" t="s">
        <v>66</v>
      </c>
      <c r="AW3" s="24" t="s">
        <v>71</v>
      </c>
      <c r="AZ3" s="369"/>
      <c r="BA3" s="369"/>
      <c r="BB3" s="369"/>
      <c r="BC3" s="369"/>
      <c r="BD3" s="369"/>
      <c r="BE3" s="369"/>
      <c r="BF3" s="369"/>
      <c r="BG3" s="369"/>
      <c r="BH3" s="369"/>
      <c r="BI3" s="369"/>
      <c r="BJ3" s="369"/>
      <c r="BK3" s="369"/>
      <c r="BL3" s="369"/>
      <c r="BM3" s="369"/>
      <c r="BN3" s="369"/>
      <c r="BO3" s="369"/>
      <c r="BP3" s="369"/>
      <c r="BQ3" s="369"/>
      <c r="BR3" s="369"/>
      <c r="BS3" s="369"/>
      <c r="BT3" s="369"/>
      <c r="BU3" s="369"/>
      <c r="BV3" s="369"/>
      <c r="BW3" s="369"/>
      <c r="BX3" s="369"/>
      <c r="BY3" s="369"/>
      <c r="BZ3" s="369"/>
      <c r="CA3" s="369"/>
      <c r="CB3" s="369"/>
      <c r="CC3" s="369"/>
      <c r="CD3" s="369"/>
      <c r="CE3" s="369"/>
      <c r="CF3" s="369"/>
      <c r="CG3" s="369"/>
      <c r="CH3" s="369"/>
      <c r="CI3" s="369"/>
      <c r="CJ3" s="369"/>
      <c r="CK3" s="369"/>
      <c r="CL3" s="369"/>
      <c r="CM3" s="369"/>
      <c r="CN3" s="369"/>
      <c r="CO3" s="369"/>
      <c r="CP3" s="369"/>
      <c r="CQ3" s="369"/>
      <c r="CR3" s="369"/>
      <c r="CS3" s="369"/>
      <c r="CT3" s="369"/>
      <c r="CU3" s="369"/>
      <c r="CV3" s="369"/>
      <c r="CW3" s="369"/>
      <c r="CX3" s="369"/>
      <c r="CY3" s="369"/>
      <c r="CZ3" s="369"/>
      <c r="DA3" s="369"/>
      <c r="DB3" s="369"/>
      <c r="DC3" s="369"/>
      <c r="DD3" s="369"/>
      <c r="DE3" s="369"/>
      <c r="DF3" s="369"/>
    </row>
    <row r="4" spans="1:110" s="28" customFormat="1" ht="21.75" customHeight="1">
      <c r="A4" s="8"/>
      <c r="B4" s="26" t="s">
        <v>72</v>
      </c>
      <c r="C4" s="7" t="s">
        <v>73</v>
      </c>
      <c r="D4" s="24" t="s">
        <v>74</v>
      </c>
      <c r="E4" s="24" t="s">
        <v>75</v>
      </c>
      <c r="F4" s="25" t="s">
        <v>61</v>
      </c>
      <c r="G4" s="306" t="s">
        <v>76</v>
      </c>
      <c r="H4" s="246" t="s">
        <v>63</v>
      </c>
      <c r="I4" s="87" t="s">
        <v>64</v>
      </c>
      <c r="J4" s="4"/>
      <c r="K4" s="242">
        <f>L4+S4</f>
        <v>11460000</v>
      </c>
      <c r="L4" s="248">
        <v>11460000</v>
      </c>
      <c r="M4" s="249"/>
      <c r="N4" s="249"/>
      <c r="O4" s="249">
        <v>11460000</v>
      </c>
      <c r="P4" s="249"/>
      <c r="Q4" s="249"/>
      <c r="R4" s="249"/>
      <c r="S4" s="254"/>
      <c r="T4" s="59"/>
      <c r="U4" s="262"/>
      <c r="V4" s="262">
        <v>0.15</v>
      </c>
      <c r="W4" s="444" t="s">
        <v>65</v>
      </c>
      <c r="X4" s="444"/>
      <c r="Y4" s="445"/>
      <c r="Z4" s="445"/>
      <c r="AA4" s="445"/>
      <c r="AB4" s="254"/>
      <c r="AC4" s="254"/>
      <c r="AD4" s="254"/>
      <c r="AE4" s="248"/>
      <c r="AF4" s="20" t="s">
        <v>77</v>
      </c>
      <c r="AG4" s="4"/>
      <c r="AH4" s="4"/>
      <c r="AI4" s="4"/>
      <c r="AJ4" s="43"/>
      <c r="AK4" s="43" t="s">
        <v>66</v>
      </c>
      <c r="AL4" s="4"/>
      <c r="AM4" s="4"/>
      <c r="AN4" s="4"/>
      <c r="AO4" s="289"/>
      <c r="AP4" s="289"/>
      <c r="AQ4" s="290"/>
      <c r="AR4" s="290"/>
      <c r="AS4" s="24" t="s">
        <v>78</v>
      </c>
      <c r="AT4" s="291">
        <v>43525</v>
      </c>
      <c r="AU4" s="24" t="s">
        <v>79</v>
      </c>
      <c r="AV4" s="43" t="s">
        <v>66</v>
      </c>
      <c r="AW4" s="26" t="s">
        <v>71</v>
      </c>
      <c r="AX4" s="26"/>
      <c r="AY4" s="25"/>
      <c r="AZ4" s="297"/>
      <c r="BA4" s="297"/>
      <c r="BB4" s="297"/>
      <c r="BC4" s="297"/>
      <c r="BD4" s="297"/>
      <c r="BE4" s="297"/>
      <c r="BF4" s="297"/>
      <c r="BG4" s="297"/>
      <c r="BH4" s="297"/>
      <c r="BI4" s="297"/>
      <c r="BJ4" s="297"/>
      <c r="BK4" s="297"/>
      <c r="BL4" s="297"/>
      <c r="BM4" s="297"/>
      <c r="BN4" s="297"/>
      <c r="BO4" s="297"/>
      <c r="BP4" s="297"/>
      <c r="BQ4" s="297"/>
      <c r="BR4" s="297"/>
      <c r="BS4" s="297"/>
      <c r="BT4" s="297"/>
      <c r="BU4" s="297"/>
      <c r="BV4" s="297"/>
      <c r="BW4" s="297"/>
      <c r="BX4" s="297"/>
      <c r="BY4" s="297"/>
      <c r="BZ4" s="297"/>
      <c r="CA4" s="297"/>
      <c r="CB4" s="297"/>
      <c r="CC4" s="297"/>
      <c r="CD4" s="297"/>
      <c r="CE4" s="297"/>
      <c r="CF4" s="297"/>
      <c r="CG4" s="297"/>
      <c r="CH4" s="297"/>
      <c r="CI4" s="297"/>
      <c r="CJ4" s="297"/>
      <c r="CK4" s="297"/>
      <c r="CL4" s="297"/>
      <c r="CM4" s="297"/>
      <c r="CN4" s="297"/>
      <c r="CO4" s="297"/>
      <c r="CP4" s="297"/>
      <c r="CQ4" s="297"/>
      <c r="CR4" s="297"/>
      <c r="CS4" s="297"/>
      <c r="CT4" s="297"/>
      <c r="CU4" s="297"/>
      <c r="CV4" s="297"/>
      <c r="CW4" s="297"/>
      <c r="CX4" s="297"/>
      <c r="CY4" s="297"/>
      <c r="CZ4" s="297"/>
      <c r="DA4" s="297"/>
      <c r="DB4" s="297"/>
      <c r="DC4" s="297"/>
      <c r="DD4" s="297"/>
      <c r="DE4" s="297"/>
      <c r="DF4" s="297"/>
    </row>
    <row r="5" spans="1:110" s="28" customFormat="1" ht="21.75" customHeight="1">
      <c r="A5" s="10"/>
      <c r="B5" s="26" t="s">
        <v>80</v>
      </c>
      <c r="C5" s="10" t="s">
        <v>81</v>
      </c>
      <c r="D5" s="4" t="s">
        <v>82</v>
      </c>
      <c r="E5" s="4" t="s">
        <v>83</v>
      </c>
      <c r="F5" s="216" t="s">
        <v>61</v>
      </c>
      <c r="G5" s="246" t="s">
        <v>76</v>
      </c>
      <c r="H5" s="303" t="s">
        <v>84</v>
      </c>
      <c r="I5" s="87" t="s">
        <v>64</v>
      </c>
      <c r="J5" s="4"/>
      <c r="K5" s="242">
        <f>L5+S5</f>
        <v>29900000</v>
      </c>
      <c r="L5" s="254">
        <v>29900000</v>
      </c>
      <c r="M5" s="249">
        <v>19354140</v>
      </c>
      <c r="N5" s="249"/>
      <c r="O5" s="249"/>
      <c r="P5" s="249"/>
      <c r="Q5" s="249">
        <v>10545860</v>
      </c>
      <c r="R5" s="249"/>
      <c r="S5" s="254"/>
      <c r="T5" s="255"/>
      <c r="U5" s="264"/>
      <c r="V5" s="262">
        <v>0.15</v>
      </c>
      <c r="W5" s="444" t="s">
        <v>65</v>
      </c>
      <c r="X5" s="444"/>
      <c r="Y5" s="445"/>
      <c r="Z5" s="445"/>
      <c r="AA5" s="445"/>
      <c r="AB5" s="254"/>
      <c r="AC5" s="254"/>
      <c r="AD5" s="254"/>
      <c r="AE5" s="248"/>
      <c r="AF5" s="4" t="s">
        <v>85</v>
      </c>
      <c r="AG5" s="4"/>
      <c r="AH5" s="4"/>
      <c r="AI5" s="4"/>
      <c r="AJ5" s="345"/>
      <c r="AK5" s="43" t="s">
        <v>66</v>
      </c>
      <c r="AL5" s="4"/>
      <c r="AM5" s="4"/>
      <c r="AN5" s="4"/>
      <c r="AO5" s="289" t="s">
        <v>86</v>
      </c>
      <c r="AP5" s="289"/>
      <c r="AQ5" s="290">
        <v>42979</v>
      </c>
      <c r="AR5" s="290">
        <v>43032</v>
      </c>
      <c r="AS5" s="25" t="s">
        <v>87</v>
      </c>
      <c r="AT5" s="291">
        <v>44075</v>
      </c>
      <c r="AU5" s="24" t="s">
        <v>88</v>
      </c>
      <c r="AV5" s="43" t="s">
        <v>66</v>
      </c>
      <c r="AW5" s="26" t="s">
        <v>71</v>
      </c>
      <c r="AX5" s="26"/>
      <c r="AY5" s="25"/>
      <c r="AZ5" s="297"/>
      <c r="BA5" s="297"/>
      <c r="BB5" s="297"/>
      <c r="BC5" s="297"/>
      <c r="BD5" s="297"/>
      <c r="BE5" s="297"/>
      <c r="BF5" s="297"/>
      <c r="BG5" s="297"/>
      <c r="BH5" s="297"/>
      <c r="BI5" s="297"/>
      <c r="BJ5" s="297"/>
      <c r="BK5" s="297"/>
      <c r="BL5" s="297"/>
      <c r="BM5" s="297"/>
      <c r="BN5" s="297"/>
      <c r="BO5" s="297"/>
      <c r="BP5" s="297"/>
      <c r="BQ5" s="297"/>
      <c r="BR5" s="297"/>
      <c r="BS5" s="297"/>
      <c r="BT5" s="297"/>
      <c r="BU5" s="297"/>
      <c r="BV5" s="297"/>
      <c r="BW5" s="297"/>
      <c r="BX5" s="297"/>
      <c r="BY5" s="297"/>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row>
    <row r="6" spans="1:110" s="28" customFormat="1" ht="43.5" customHeight="1">
      <c r="A6" s="16"/>
      <c r="B6" s="26" t="s">
        <v>89</v>
      </c>
      <c r="C6" s="10" t="s">
        <v>90</v>
      </c>
      <c r="D6" s="10" t="s">
        <v>91</v>
      </c>
      <c r="E6" s="4" t="s">
        <v>92</v>
      </c>
      <c r="F6" s="216" t="s">
        <v>61</v>
      </c>
      <c r="G6" s="246" t="s">
        <v>93</v>
      </c>
      <c r="H6" s="246" t="s">
        <v>63</v>
      </c>
      <c r="I6" s="87" t="s">
        <v>64</v>
      </c>
      <c r="J6" s="4"/>
      <c r="K6" s="242">
        <f>L6+S6</f>
        <v>61128700</v>
      </c>
      <c r="L6" s="304">
        <v>61128700</v>
      </c>
      <c r="M6" s="249">
        <v>22060340</v>
      </c>
      <c r="N6" s="249"/>
      <c r="O6" s="249">
        <v>36106753</v>
      </c>
      <c r="P6" s="249"/>
      <c r="Q6" s="249">
        <v>2961607</v>
      </c>
      <c r="R6" s="249"/>
      <c r="S6" s="254"/>
      <c r="T6" s="255"/>
      <c r="U6" s="264"/>
      <c r="V6" s="262">
        <v>0.1</v>
      </c>
      <c r="W6" s="444" t="s">
        <v>65</v>
      </c>
      <c r="X6" s="444"/>
      <c r="Y6" s="445"/>
      <c r="Z6" s="445"/>
      <c r="AA6" s="445"/>
      <c r="AB6" s="254"/>
      <c r="AC6" s="254"/>
      <c r="AD6" s="254"/>
      <c r="AE6" s="248"/>
      <c r="AF6" s="4" t="s">
        <v>93</v>
      </c>
      <c r="AG6" s="4"/>
      <c r="AH6" s="4"/>
      <c r="AI6" s="4"/>
      <c r="AJ6" s="345"/>
      <c r="AK6" s="43" t="s">
        <v>66</v>
      </c>
      <c r="AL6" s="4"/>
      <c r="AM6" s="4"/>
      <c r="AN6" s="4"/>
      <c r="AO6" s="289"/>
      <c r="AP6" s="289" t="s">
        <v>68</v>
      </c>
      <c r="AQ6" s="296">
        <v>43073</v>
      </c>
      <c r="AR6" s="290"/>
      <c r="AS6" s="24" t="s">
        <v>69</v>
      </c>
      <c r="AT6" s="291">
        <v>44899</v>
      </c>
      <c r="AU6" s="24" t="s">
        <v>70</v>
      </c>
      <c r="AV6" s="43" t="s">
        <v>66</v>
      </c>
      <c r="AW6" s="26" t="s">
        <v>71</v>
      </c>
      <c r="AX6" s="26"/>
      <c r="AY6" s="25"/>
      <c r="AZ6" s="297"/>
      <c r="BA6" s="297"/>
      <c r="BB6" s="297"/>
      <c r="BC6" s="297"/>
      <c r="BD6" s="297"/>
      <c r="BE6" s="297"/>
      <c r="BF6" s="297"/>
      <c r="BG6" s="297"/>
      <c r="BH6" s="297"/>
      <c r="BI6" s="297"/>
      <c r="BJ6" s="297"/>
      <c r="BK6" s="297"/>
      <c r="BL6" s="297"/>
      <c r="BM6" s="297"/>
      <c r="BN6" s="297"/>
      <c r="BO6" s="297"/>
      <c r="BP6" s="297"/>
      <c r="BQ6" s="297"/>
      <c r="BR6" s="297"/>
      <c r="BS6" s="297"/>
      <c r="BT6" s="297"/>
      <c r="BU6" s="297"/>
      <c r="BV6" s="297"/>
      <c r="BW6" s="297"/>
      <c r="BX6" s="297"/>
      <c r="BY6" s="297"/>
      <c r="BZ6" s="297"/>
      <c r="CA6" s="297"/>
      <c r="CB6" s="297"/>
      <c r="CC6" s="297"/>
      <c r="CD6" s="297"/>
      <c r="CE6" s="297"/>
      <c r="CF6" s="297"/>
      <c r="CG6" s="297"/>
      <c r="CH6" s="297"/>
      <c r="CI6" s="297"/>
      <c r="CJ6" s="297"/>
      <c r="CK6" s="297"/>
      <c r="CL6" s="297"/>
      <c r="CM6" s="297"/>
      <c r="CN6" s="297"/>
      <c r="CO6" s="297"/>
      <c r="CP6" s="297"/>
      <c r="CQ6" s="297"/>
      <c r="CR6" s="297"/>
      <c r="CS6" s="297"/>
      <c r="CT6" s="297"/>
      <c r="CU6" s="297"/>
      <c r="CV6" s="297"/>
      <c r="CW6" s="297"/>
      <c r="CX6" s="297"/>
      <c r="CY6" s="297"/>
      <c r="CZ6" s="297"/>
      <c r="DA6" s="297"/>
      <c r="DB6" s="297"/>
      <c r="DC6" s="297"/>
      <c r="DD6" s="297"/>
      <c r="DE6" s="297"/>
      <c r="DF6" s="297"/>
    </row>
    <row r="7" spans="1:110" s="28" customFormat="1" ht="39.75" customHeight="1">
      <c r="A7" s="16"/>
      <c r="B7" s="26" t="s">
        <v>94</v>
      </c>
      <c r="C7" s="14" t="s">
        <v>95</v>
      </c>
      <c r="D7" s="10" t="s">
        <v>96</v>
      </c>
      <c r="E7" s="10" t="s">
        <v>97</v>
      </c>
      <c r="F7" s="216" t="s">
        <v>61</v>
      </c>
      <c r="G7" s="316" t="s">
        <v>98</v>
      </c>
      <c r="H7" s="246" t="s">
        <v>63</v>
      </c>
      <c r="I7" s="87" t="s">
        <v>64</v>
      </c>
      <c r="J7" s="4"/>
      <c r="K7" s="242">
        <f>L7+S7</f>
        <v>29324502.920000002</v>
      </c>
      <c r="L7" s="248">
        <v>29324502.920000002</v>
      </c>
      <c r="M7" s="249">
        <v>14002729</v>
      </c>
      <c r="N7" s="249"/>
      <c r="O7" s="249" t="s">
        <v>99</v>
      </c>
      <c r="P7" s="249"/>
      <c r="Q7" s="249">
        <v>3057480</v>
      </c>
      <c r="R7" s="249"/>
      <c r="S7" s="254"/>
      <c r="T7" s="255"/>
      <c r="U7" s="264"/>
      <c r="V7" s="262">
        <v>0.15</v>
      </c>
      <c r="W7" s="444" t="s">
        <v>65</v>
      </c>
      <c r="X7" s="444"/>
      <c r="Y7" s="445"/>
      <c r="Z7" s="445"/>
      <c r="AA7" s="445"/>
      <c r="AB7" s="254"/>
      <c r="AC7" s="254"/>
      <c r="AD7" s="254"/>
      <c r="AE7" s="248"/>
      <c r="AF7" s="10" t="s">
        <v>98</v>
      </c>
      <c r="AG7" s="4"/>
      <c r="AH7" s="4"/>
      <c r="AI7" s="4"/>
      <c r="AJ7" s="43"/>
      <c r="AK7" s="43" t="s">
        <v>66</v>
      </c>
      <c r="AL7" s="4"/>
      <c r="AM7" s="4"/>
      <c r="AN7" s="4"/>
      <c r="AO7" s="289" t="s">
        <v>67</v>
      </c>
      <c r="AP7" s="289" t="s">
        <v>68</v>
      </c>
      <c r="AQ7" s="296">
        <v>43041</v>
      </c>
      <c r="AR7" s="290"/>
      <c r="AS7" s="25" t="s">
        <v>87</v>
      </c>
      <c r="AT7" s="291">
        <v>44137</v>
      </c>
      <c r="AU7" s="24" t="s">
        <v>79</v>
      </c>
      <c r="AV7" s="43" t="s">
        <v>66</v>
      </c>
      <c r="AW7" s="26" t="s">
        <v>71</v>
      </c>
      <c r="AX7" s="26"/>
      <c r="AY7" s="25"/>
      <c r="AZ7" s="297"/>
      <c r="BA7" s="297"/>
      <c r="BB7" s="297"/>
      <c r="BC7" s="297"/>
      <c r="BD7" s="297"/>
      <c r="BE7" s="297"/>
      <c r="BF7" s="297"/>
      <c r="BG7" s="297"/>
      <c r="BH7" s="297"/>
      <c r="BI7" s="297"/>
      <c r="BJ7" s="297"/>
      <c r="BK7" s="297"/>
      <c r="BL7" s="297"/>
      <c r="BM7" s="297"/>
      <c r="BN7" s="297"/>
      <c r="BO7" s="297"/>
      <c r="BP7" s="297"/>
      <c r="BQ7" s="297"/>
      <c r="BR7" s="297"/>
      <c r="BS7" s="297"/>
      <c r="BT7" s="297"/>
      <c r="BU7" s="297"/>
      <c r="BV7" s="297"/>
      <c r="BW7" s="297"/>
      <c r="BX7" s="297"/>
      <c r="BY7" s="297"/>
      <c r="BZ7" s="297"/>
      <c r="CA7" s="297"/>
      <c r="CB7" s="297"/>
      <c r="CC7" s="297"/>
      <c r="CD7" s="297"/>
      <c r="CE7" s="297"/>
      <c r="CF7" s="297"/>
      <c r="CG7" s="297"/>
      <c r="CH7" s="297"/>
      <c r="CI7" s="297"/>
      <c r="CJ7" s="297"/>
      <c r="CK7" s="297"/>
      <c r="CL7" s="297"/>
      <c r="CM7" s="297"/>
      <c r="CN7" s="297"/>
      <c r="CO7" s="297"/>
      <c r="CP7" s="297"/>
      <c r="CQ7" s="297"/>
      <c r="CR7" s="297"/>
      <c r="CS7" s="297"/>
      <c r="CT7" s="297"/>
      <c r="CU7" s="297"/>
      <c r="CV7" s="297"/>
      <c r="CW7" s="297"/>
      <c r="CX7" s="297"/>
      <c r="CY7" s="297"/>
      <c r="CZ7" s="297"/>
      <c r="DA7" s="297"/>
      <c r="DB7" s="297"/>
      <c r="DC7" s="297"/>
      <c r="DD7" s="297"/>
      <c r="DE7" s="297"/>
      <c r="DF7" s="297"/>
    </row>
    <row r="8" spans="1:110" s="28" customFormat="1" ht="39.75" customHeight="1">
      <c r="A8" s="17"/>
      <c r="B8" s="26" t="s">
        <v>100</v>
      </c>
      <c r="C8" s="16" t="s">
        <v>101</v>
      </c>
      <c r="D8" s="4" t="s">
        <v>102</v>
      </c>
      <c r="E8" s="10" t="s">
        <v>97</v>
      </c>
      <c r="F8" s="216" t="s">
        <v>61</v>
      </c>
      <c r="G8" s="316" t="s">
        <v>98</v>
      </c>
      <c r="H8" s="246" t="s">
        <v>63</v>
      </c>
      <c r="I8" s="87" t="s">
        <v>64</v>
      </c>
      <c r="J8" s="4"/>
      <c r="K8" s="17">
        <v>35004700</v>
      </c>
      <c r="L8" s="248"/>
      <c r="M8" s="249"/>
      <c r="N8" s="249"/>
      <c r="O8" s="249"/>
      <c r="P8" s="249"/>
      <c r="Q8" s="249"/>
      <c r="R8" s="249"/>
      <c r="S8" s="254"/>
      <c r="T8" s="255"/>
      <c r="U8" s="264"/>
      <c r="V8" s="262"/>
      <c r="W8" s="444" t="s">
        <v>65</v>
      </c>
      <c r="X8" s="444"/>
      <c r="Y8" s="445"/>
      <c r="Z8" s="445"/>
      <c r="AA8" s="445"/>
      <c r="AB8" s="254"/>
      <c r="AC8" s="254"/>
      <c r="AD8" s="254"/>
      <c r="AE8" s="248"/>
      <c r="AF8" s="10" t="s">
        <v>98</v>
      </c>
      <c r="AG8" s="4"/>
      <c r="AH8" s="4"/>
      <c r="AI8" s="4"/>
      <c r="AJ8" s="43"/>
      <c r="AK8" s="43" t="s">
        <v>66</v>
      </c>
      <c r="AL8" s="4"/>
      <c r="AM8" s="4"/>
      <c r="AN8" s="4"/>
      <c r="AO8" s="289" t="s">
        <v>67</v>
      </c>
      <c r="AP8" s="289" t="s">
        <v>68</v>
      </c>
      <c r="AQ8" s="296">
        <v>43041</v>
      </c>
      <c r="AR8" s="290"/>
      <c r="AS8" s="25" t="s">
        <v>87</v>
      </c>
      <c r="AT8" s="291">
        <v>44137</v>
      </c>
      <c r="AU8" s="24" t="s">
        <v>70</v>
      </c>
      <c r="AV8" s="43" t="s">
        <v>66</v>
      </c>
      <c r="AW8" s="26" t="s">
        <v>71</v>
      </c>
      <c r="AX8" s="26"/>
      <c r="AY8" s="25"/>
      <c r="AZ8" s="297"/>
      <c r="BA8" s="297"/>
      <c r="BB8" s="297"/>
      <c r="BC8" s="297"/>
      <c r="BD8" s="297"/>
      <c r="BE8" s="297"/>
      <c r="BF8" s="297"/>
      <c r="BG8" s="297"/>
      <c r="BH8" s="297"/>
      <c r="BI8" s="297"/>
      <c r="BJ8" s="297"/>
      <c r="BK8" s="297"/>
      <c r="BL8" s="297"/>
      <c r="BM8" s="297"/>
      <c r="BN8" s="297"/>
      <c r="BO8" s="297"/>
      <c r="BP8" s="297"/>
      <c r="BQ8" s="297"/>
      <c r="BR8" s="297"/>
      <c r="BS8" s="297"/>
      <c r="BT8" s="297"/>
      <c r="BU8" s="297"/>
      <c r="BV8" s="297"/>
      <c r="BW8" s="297"/>
      <c r="BX8" s="297"/>
      <c r="BY8" s="297"/>
      <c r="BZ8" s="297"/>
      <c r="CA8" s="297"/>
      <c r="CB8" s="297"/>
      <c r="CC8" s="297"/>
      <c r="CD8" s="297"/>
      <c r="CE8" s="297"/>
      <c r="CF8" s="297"/>
      <c r="CG8" s="297"/>
      <c r="CH8" s="297"/>
      <c r="CI8" s="297"/>
      <c r="CJ8" s="297"/>
      <c r="CK8" s="297"/>
      <c r="CL8" s="297"/>
      <c r="CM8" s="297"/>
      <c r="CN8" s="297"/>
      <c r="CO8" s="297"/>
      <c r="CP8" s="297"/>
      <c r="CQ8" s="297"/>
      <c r="CR8" s="297"/>
      <c r="CS8" s="297"/>
      <c r="CT8" s="297"/>
      <c r="CU8" s="297"/>
      <c r="CV8" s="297"/>
      <c r="CW8" s="297"/>
      <c r="CX8" s="297"/>
      <c r="CY8" s="297"/>
      <c r="CZ8" s="297"/>
      <c r="DA8" s="297"/>
      <c r="DB8" s="297"/>
      <c r="DC8" s="297"/>
      <c r="DD8" s="297"/>
      <c r="DE8" s="297"/>
      <c r="DF8" s="297"/>
    </row>
    <row r="9" spans="1:110" s="28" customFormat="1" ht="39.75" customHeight="1">
      <c r="A9" s="17"/>
      <c r="B9" s="26" t="s">
        <v>103</v>
      </c>
      <c r="C9" s="18" t="s">
        <v>104</v>
      </c>
      <c r="D9" s="221" t="s">
        <v>105</v>
      </c>
      <c r="E9" s="4" t="s">
        <v>106</v>
      </c>
      <c r="F9" s="216" t="s">
        <v>61</v>
      </c>
      <c r="G9" s="246" t="s">
        <v>107</v>
      </c>
      <c r="H9" s="246" t="s">
        <v>63</v>
      </c>
      <c r="I9" s="87" t="s">
        <v>64</v>
      </c>
      <c r="J9" s="4"/>
      <c r="K9" s="247">
        <v>83888800</v>
      </c>
      <c r="L9" s="248"/>
      <c r="M9" s="249"/>
      <c r="N9" s="249"/>
      <c r="O9" s="249"/>
      <c r="P9" s="249"/>
      <c r="Q9" s="249"/>
      <c r="R9" s="249"/>
      <c r="S9" s="254"/>
      <c r="T9" s="255"/>
      <c r="U9" s="264"/>
      <c r="V9" s="262"/>
      <c r="W9" s="444" t="s">
        <v>65</v>
      </c>
      <c r="X9" s="444"/>
      <c r="Y9" s="445"/>
      <c r="Z9" s="445"/>
      <c r="AA9" s="445"/>
      <c r="AB9" s="254"/>
      <c r="AC9" s="254"/>
      <c r="AD9" s="254"/>
      <c r="AE9" s="248"/>
      <c r="AF9" s="4" t="s">
        <v>108</v>
      </c>
      <c r="AG9" s="4"/>
      <c r="AH9" s="4"/>
      <c r="AI9" s="4"/>
      <c r="AJ9" s="43"/>
      <c r="AK9" s="43" t="s">
        <v>66</v>
      </c>
      <c r="AL9" s="4"/>
      <c r="AM9" s="4"/>
      <c r="AN9" s="4"/>
      <c r="AO9" s="289"/>
      <c r="AP9" s="289" t="s">
        <v>68</v>
      </c>
      <c r="AQ9" s="296"/>
      <c r="AR9" s="290"/>
      <c r="AS9" s="25"/>
      <c r="AT9" s="295">
        <v>44926</v>
      </c>
      <c r="AU9" s="24" t="s">
        <v>70</v>
      </c>
      <c r="AV9" s="43" t="s">
        <v>66</v>
      </c>
      <c r="AW9" s="26"/>
      <c r="AX9" s="26"/>
      <c r="AY9" s="25"/>
      <c r="AZ9" s="297"/>
      <c r="BA9" s="297"/>
      <c r="BB9" s="297"/>
      <c r="BC9" s="297"/>
      <c r="BD9" s="297"/>
      <c r="BE9" s="297"/>
      <c r="BF9" s="297"/>
      <c r="BG9" s="297"/>
      <c r="BH9" s="297"/>
      <c r="BI9" s="297"/>
      <c r="BJ9" s="297"/>
      <c r="BK9" s="297"/>
      <c r="BL9" s="297"/>
      <c r="BM9" s="297"/>
      <c r="BN9" s="297"/>
      <c r="BO9" s="297"/>
      <c r="BP9" s="297"/>
      <c r="BQ9" s="297"/>
      <c r="BR9" s="297"/>
      <c r="BS9" s="297"/>
      <c r="BT9" s="297"/>
      <c r="BU9" s="297"/>
      <c r="BV9" s="297"/>
      <c r="BW9" s="297"/>
      <c r="BX9" s="297"/>
      <c r="BY9" s="297"/>
      <c r="BZ9" s="297"/>
      <c r="CA9" s="297"/>
      <c r="CB9" s="297"/>
      <c r="CC9" s="297"/>
      <c r="CD9" s="297"/>
      <c r="CE9" s="297"/>
      <c r="CF9" s="297"/>
      <c r="CG9" s="297"/>
      <c r="CH9" s="297"/>
      <c r="CI9" s="297"/>
      <c r="CJ9" s="297"/>
      <c r="CK9" s="297"/>
      <c r="CL9" s="297"/>
      <c r="CM9" s="297"/>
      <c r="CN9" s="297"/>
      <c r="CO9" s="297"/>
      <c r="CP9" s="297"/>
      <c r="CQ9" s="297"/>
      <c r="CR9" s="297"/>
      <c r="CS9" s="297"/>
      <c r="CT9" s="297"/>
      <c r="CU9" s="297"/>
      <c r="CV9" s="297"/>
      <c r="CW9" s="297"/>
      <c r="CX9" s="297"/>
      <c r="CY9" s="297"/>
      <c r="CZ9" s="297"/>
      <c r="DA9" s="297"/>
      <c r="DB9" s="297"/>
      <c r="DC9" s="297"/>
      <c r="DD9" s="297"/>
      <c r="DE9" s="297"/>
      <c r="DF9" s="297"/>
    </row>
    <row r="10" spans="1:110" s="28" customFormat="1" ht="48.75" customHeight="1">
      <c r="A10" s="17" t="s">
        <v>109</v>
      </c>
      <c r="B10" s="26" t="s">
        <v>110</v>
      </c>
      <c r="C10" s="16" t="s">
        <v>111</v>
      </c>
      <c r="D10" s="4" t="s">
        <v>112</v>
      </c>
      <c r="E10" s="4" t="s">
        <v>113</v>
      </c>
      <c r="F10" s="216" t="s">
        <v>61</v>
      </c>
      <c r="G10" s="246" t="s">
        <v>114</v>
      </c>
      <c r="H10" s="246" t="s">
        <v>63</v>
      </c>
      <c r="I10" s="87" t="s">
        <v>64</v>
      </c>
      <c r="J10" s="4"/>
      <c r="K10" s="17">
        <v>118000000</v>
      </c>
      <c r="L10" s="248"/>
      <c r="M10" s="249"/>
      <c r="N10" s="249"/>
      <c r="O10" s="249"/>
      <c r="P10" s="249"/>
      <c r="Q10" s="249"/>
      <c r="R10" s="249"/>
      <c r="S10" s="254"/>
      <c r="T10" s="255"/>
      <c r="U10" s="264"/>
      <c r="V10" s="262"/>
      <c r="W10" s="444" t="s">
        <v>65</v>
      </c>
      <c r="X10" s="444"/>
      <c r="Y10" s="445"/>
      <c r="Z10" s="445"/>
      <c r="AA10" s="445"/>
      <c r="AB10" s="254"/>
      <c r="AC10" s="254"/>
      <c r="AD10" s="254"/>
      <c r="AE10" s="248"/>
      <c r="AF10" s="4" t="s">
        <v>114</v>
      </c>
      <c r="AG10" s="4"/>
      <c r="AH10" s="4"/>
      <c r="AI10" s="4"/>
      <c r="AJ10" s="345"/>
      <c r="AK10" s="43" t="s">
        <v>66</v>
      </c>
      <c r="AL10" s="4"/>
      <c r="AM10" s="4"/>
      <c r="AN10" s="4"/>
      <c r="AO10" s="289"/>
      <c r="AP10" s="289"/>
      <c r="AQ10" s="296">
        <v>43181</v>
      </c>
      <c r="AR10" s="290"/>
      <c r="AS10" s="25" t="s">
        <v>69</v>
      </c>
      <c r="AT10" s="291">
        <v>45007</v>
      </c>
      <c r="AU10" s="24" t="s">
        <v>70</v>
      </c>
      <c r="AV10" s="43" t="s">
        <v>66</v>
      </c>
      <c r="AW10" s="26" t="s">
        <v>71</v>
      </c>
      <c r="AX10" s="26"/>
      <c r="AY10" s="25"/>
      <c r="AZ10" s="297"/>
      <c r="BA10" s="297"/>
      <c r="BB10" s="297"/>
      <c r="BC10" s="297"/>
      <c r="BD10" s="297"/>
      <c r="BE10" s="297"/>
      <c r="BF10" s="297"/>
      <c r="BG10" s="297"/>
      <c r="BH10" s="297"/>
      <c r="BI10" s="297"/>
      <c r="BJ10" s="297"/>
      <c r="BK10" s="297"/>
      <c r="BL10" s="297"/>
      <c r="BM10" s="297"/>
      <c r="BN10" s="297"/>
      <c r="BO10" s="297"/>
      <c r="BP10" s="297"/>
      <c r="BQ10" s="297"/>
      <c r="BR10" s="297"/>
      <c r="BS10" s="297"/>
      <c r="BT10" s="297"/>
      <c r="BU10" s="297"/>
      <c r="BV10" s="297"/>
      <c r="BW10" s="297"/>
      <c r="BX10" s="297"/>
      <c r="BY10" s="297"/>
      <c r="BZ10" s="297"/>
      <c r="CA10" s="297"/>
      <c r="CB10" s="297"/>
      <c r="CC10" s="297"/>
      <c r="CD10" s="297"/>
      <c r="CE10" s="297"/>
      <c r="CF10" s="297"/>
      <c r="CG10" s="297"/>
      <c r="CH10" s="297"/>
      <c r="CI10" s="297"/>
      <c r="CJ10" s="297"/>
      <c r="CK10" s="297"/>
      <c r="CL10" s="297"/>
      <c r="CM10" s="297"/>
      <c r="CN10" s="297"/>
      <c r="CO10" s="297"/>
      <c r="CP10" s="297"/>
      <c r="CQ10" s="297"/>
      <c r="CR10" s="297"/>
      <c r="CS10" s="297"/>
      <c r="CT10" s="297"/>
      <c r="CU10" s="297"/>
      <c r="CV10" s="297"/>
      <c r="CW10" s="297"/>
      <c r="CX10" s="297"/>
      <c r="CY10" s="297"/>
      <c r="CZ10" s="297"/>
      <c r="DA10" s="297"/>
      <c r="DB10" s="297"/>
      <c r="DC10" s="297"/>
      <c r="DD10" s="297"/>
      <c r="DE10" s="297"/>
      <c r="DF10" s="297"/>
    </row>
    <row r="11" spans="1:110" s="28" customFormat="1" ht="21.75" customHeight="1">
      <c r="A11" s="8"/>
      <c r="B11" s="26" t="s">
        <v>115</v>
      </c>
      <c r="C11" s="7" t="s">
        <v>116</v>
      </c>
      <c r="D11" s="220" t="s">
        <v>117</v>
      </c>
      <c r="E11" s="24" t="s">
        <v>83</v>
      </c>
      <c r="F11" s="216" t="s">
        <v>61</v>
      </c>
      <c r="G11" s="303" t="s">
        <v>118</v>
      </c>
      <c r="H11" s="303" t="s">
        <v>84</v>
      </c>
      <c r="I11" s="87" t="s">
        <v>119</v>
      </c>
      <c r="J11" s="4"/>
      <c r="K11" s="242">
        <f t="shared" ref="K11:K27" si="0">L11+S11</f>
        <v>27903800</v>
      </c>
      <c r="L11" s="254">
        <v>14783800</v>
      </c>
      <c r="M11" s="249"/>
      <c r="N11" s="249"/>
      <c r="O11" s="249">
        <v>14783800</v>
      </c>
      <c r="P11" s="249"/>
      <c r="Q11" s="249"/>
      <c r="R11" s="249"/>
      <c r="S11" s="254">
        <v>13120000</v>
      </c>
      <c r="T11" s="59"/>
      <c r="U11" s="262">
        <v>0.11</v>
      </c>
      <c r="V11" s="262">
        <v>0.1</v>
      </c>
      <c r="W11" s="254">
        <v>9601052.4000000004</v>
      </c>
      <c r="X11" s="254"/>
      <c r="Y11" s="254">
        <v>3674800</v>
      </c>
      <c r="Z11" s="254"/>
      <c r="AA11" s="254">
        <v>0</v>
      </c>
      <c r="AB11" s="254"/>
      <c r="AC11" s="254"/>
      <c r="AD11" s="254"/>
      <c r="AE11" s="266">
        <f>SUM(W11:AA11)</f>
        <v>13275852.4</v>
      </c>
      <c r="AF11" s="24" t="s">
        <v>120</v>
      </c>
      <c r="AG11" s="4"/>
      <c r="AH11" s="4"/>
      <c r="AI11" s="4"/>
      <c r="AJ11" s="345"/>
      <c r="AK11" s="43" t="s">
        <v>66</v>
      </c>
      <c r="AL11" s="4"/>
      <c r="AM11" s="4"/>
      <c r="AN11" s="4"/>
      <c r="AO11" s="289" t="s">
        <v>86</v>
      </c>
      <c r="AP11" s="289"/>
      <c r="AQ11" s="290">
        <v>42987</v>
      </c>
      <c r="AR11" s="290" t="s">
        <v>121</v>
      </c>
      <c r="AS11" s="25"/>
      <c r="AT11" s="291">
        <v>43352</v>
      </c>
      <c r="AU11" s="25" t="s">
        <v>122</v>
      </c>
      <c r="AV11" s="43" t="s">
        <v>66</v>
      </c>
      <c r="AW11" s="26" t="s">
        <v>71</v>
      </c>
      <c r="AX11" s="26"/>
      <c r="AY11" s="25"/>
      <c r="AZ11" s="297"/>
      <c r="BA11" s="297"/>
      <c r="BB11" s="297"/>
      <c r="BC11" s="297"/>
      <c r="BD11" s="297"/>
      <c r="BE11" s="297"/>
      <c r="BF11" s="297"/>
      <c r="BG11" s="297"/>
      <c r="BH11" s="297"/>
      <c r="BI11" s="297"/>
      <c r="BJ11" s="297"/>
      <c r="BK11" s="297"/>
      <c r="BL11" s="297"/>
      <c r="BM11" s="297"/>
      <c r="BN11" s="297"/>
      <c r="BO11" s="297"/>
      <c r="BP11" s="297"/>
      <c r="BQ11" s="297"/>
      <c r="BR11" s="297"/>
      <c r="BS11" s="297"/>
      <c r="BT11" s="297"/>
      <c r="BU11" s="297"/>
      <c r="BV11" s="297"/>
      <c r="BW11" s="297"/>
      <c r="BX11" s="297"/>
      <c r="BY11" s="297"/>
      <c r="BZ11" s="297"/>
      <c r="CA11" s="297"/>
      <c r="CB11" s="297"/>
      <c r="CC11" s="297"/>
      <c r="CD11" s="297"/>
      <c r="CE11" s="297"/>
      <c r="CF11" s="297"/>
      <c r="CG11" s="297"/>
      <c r="CH11" s="297"/>
      <c r="CI11" s="297"/>
      <c r="CJ11" s="297"/>
      <c r="CK11" s="297"/>
      <c r="CL11" s="297"/>
      <c r="CM11" s="297"/>
      <c r="CN11" s="297"/>
      <c r="CO11" s="297"/>
      <c r="CP11" s="297"/>
      <c r="CQ11" s="297"/>
      <c r="CR11" s="297"/>
      <c r="CS11" s="297"/>
      <c r="CT11" s="297"/>
      <c r="CU11" s="297"/>
      <c r="CV11" s="297"/>
      <c r="CW11" s="297"/>
      <c r="CX11" s="297"/>
      <c r="CY11" s="297"/>
      <c r="CZ11" s="297"/>
      <c r="DA11" s="297"/>
      <c r="DB11" s="297"/>
      <c r="DC11" s="297"/>
      <c r="DD11" s="297"/>
      <c r="DE11" s="297"/>
      <c r="DF11" s="297"/>
    </row>
    <row r="12" spans="1:110" s="28" customFormat="1" ht="21.75" customHeight="1">
      <c r="A12" s="20"/>
      <c r="B12" s="26" t="s">
        <v>123</v>
      </c>
      <c r="C12" s="20" t="s">
        <v>124</v>
      </c>
      <c r="D12" s="300" t="s">
        <v>125</v>
      </c>
      <c r="E12" s="23" t="s">
        <v>126</v>
      </c>
      <c r="F12" s="25" t="s">
        <v>61</v>
      </c>
      <c r="G12" s="306" t="s">
        <v>127</v>
      </c>
      <c r="H12" s="379" t="s">
        <v>128</v>
      </c>
      <c r="I12" s="75" t="s">
        <v>129</v>
      </c>
      <c r="J12" s="24"/>
      <c r="K12" s="242">
        <f t="shared" si="0"/>
        <v>5656755.0499999998</v>
      </c>
      <c r="L12" s="254">
        <v>5656755.0499999998</v>
      </c>
      <c r="M12" s="307"/>
      <c r="N12" s="249"/>
      <c r="O12" s="249"/>
      <c r="P12" s="249"/>
      <c r="Q12" s="249"/>
      <c r="R12" s="249" t="s">
        <v>130</v>
      </c>
      <c r="S12" s="254"/>
      <c r="T12" s="59"/>
      <c r="U12" s="262"/>
      <c r="V12" s="262">
        <v>0.15</v>
      </c>
      <c r="W12" s="444" t="s">
        <v>131</v>
      </c>
      <c r="X12" s="444"/>
      <c r="Y12" s="445"/>
      <c r="Z12" s="445"/>
      <c r="AA12" s="445"/>
      <c r="AB12" s="254"/>
      <c r="AC12" s="254"/>
      <c r="AD12" s="254"/>
      <c r="AE12" s="266">
        <f t="shared" ref="AE12:AE40" si="1">SUM(W12:AA12)</f>
        <v>0</v>
      </c>
      <c r="AF12" s="20" t="s">
        <v>132</v>
      </c>
      <c r="AG12" s="4"/>
      <c r="AH12" s="4"/>
      <c r="AI12" s="4"/>
      <c r="AJ12" s="345"/>
      <c r="AK12" s="43" t="s">
        <v>133</v>
      </c>
      <c r="AL12" s="4"/>
      <c r="AM12" s="4"/>
      <c r="AN12" s="4"/>
      <c r="AO12" s="289"/>
      <c r="AP12" s="289"/>
      <c r="AQ12" s="290"/>
      <c r="AR12" s="290"/>
      <c r="AS12" s="25"/>
      <c r="AT12" s="291"/>
      <c r="AU12" s="25" t="s">
        <v>134</v>
      </c>
      <c r="AV12" s="43" t="s">
        <v>133</v>
      </c>
      <c r="AW12" s="26" t="s">
        <v>71</v>
      </c>
      <c r="AX12" s="26"/>
      <c r="AY12" s="25"/>
      <c r="AZ12" s="297"/>
      <c r="BA12" s="297"/>
      <c r="BB12" s="297"/>
      <c r="BC12" s="297"/>
      <c r="BD12" s="297"/>
      <c r="BE12" s="297"/>
      <c r="BF12" s="297"/>
      <c r="BG12" s="297"/>
      <c r="BH12" s="297"/>
      <c r="BI12" s="297"/>
      <c r="BJ12" s="297"/>
      <c r="BK12" s="297"/>
      <c r="BL12" s="297"/>
      <c r="BM12" s="297"/>
      <c r="BN12" s="297"/>
      <c r="BO12" s="297"/>
      <c r="BP12" s="297"/>
      <c r="BQ12" s="297"/>
      <c r="BR12" s="297"/>
      <c r="BS12" s="297"/>
      <c r="BT12" s="297"/>
      <c r="BU12" s="297"/>
      <c r="BV12" s="297"/>
      <c r="BW12" s="297"/>
      <c r="BX12" s="297"/>
      <c r="BY12" s="297"/>
      <c r="BZ12" s="297"/>
      <c r="CA12" s="297"/>
      <c r="CB12" s="297"/>
      <c r="CC12" s="297"/>
      <c r="CD12" s="297"/>
      <c r="CE12" s="297"/>
      <c r="CF12" s="297"/>
      <c r="CG12" s="297"/>
      <c r="CH12" s="297"/>
      <c r="CI12" s="297"/>
      <c r="CJ12" s="297"/>
      <c r="CK12" s="297"/>
      <c r="CL12" s="297"/>
      <c r="CM12" s="297"/>
      <c r="CN12" s="297"/>
      <c r="CO12" s="297"/>
      <c r="CP12" s="297"/>
      <c r="CQ12" s="297"/>
      <c r="CR12" s="297"/>
      <c r="CS12" s="297"/>
      <c r="CT12" s="297"/>
      <c r="CU12" s="297"/>
      <c r="CV12" s="297"/>
      <c r="CW12" s="297"/>
      <c r="CX12" s="297"/>
      <c r="CY12" s="297"/>
      <c r="CZ12" s="297"/>
      <c r="DA12" s="297"/>
      <c r="DB12" s="297"/>
      <c r="DC12" s="297"/>
      <c r="DD12" s="297"/>
      <c r="DE12" s="297"/>
      <c r="DF12" s="297"/>
    </row>
    <row r="13" spans="1:110" s="28" customFormat="1" ht="21.75" customHeight="1">
      <c r="A13" s="10" t="s">
        <v>135</v>
      </c>
      <c r="B13" s="26" t="s">
        <v>136</v>
      </c>
      <c r="C13" s="10" t="s">
        <v>137</v>
      </c>
      <c r="D13" s="10" t="s">
        <v>138</v>
      </c>
      <c r="E13" s="4" t="s">
        <v>139</v>
      </c>
      <c r="F13" s="10" t="s">
        <v>140</v>
      </c>
      <c r="G13" s="316" t="s">
        <v>141</v>
      </c>
      <c r="H13" s="246" t="s">
        <v>142</v>
      </c>
      <c r="I13" s="75" t="s">
        <v>129</v>
      </c>
      <c r="J13" s="4" t="s">
        <v>143</v>
      </c>
      <c r="K13" s="242">
        <f t="shared" si="0"/>
        <v>5213242</v>
      </c>
      <c r="L13" s="248">
        <v>5213242</v>
      </c>
      <c r="M13" s="307" t="s">
        <v>144</v>
      </c>
      <c r="N13" s="249"/>
      <c r="O13" s="249"/>
      <c r="P13" s="249"/>
      <c r="Q13" s="249"/>
      <c r="R13" s="249"/>
      <c r="S13" s="244"/>
      <c r="T13" s="59"/>
      <c r="U13" s="262"/>
      <c r="V13" s="262">
        <v>0.1</v>
      </c>
      <c r="W13" s="254">
        <v>4691918</v>
      </c>
      <c r="X13" s="254"/>
      <c r="Y13" s="254">
        <v>0</v>
      </c>
      <c r="Z13" s="254"/>
      <c r="AA13" s="254">
        <v>0</v>
      </c>
      <c r="AB13" s="254"/>
      <c r="AC13" s="254"/>
      <c r="AD13" s="254"/>
      <c r="AE13" s="266">
        <f t="shared" si="1"/>
        <v>4691918</v>
      </c>
      <c r="AF13" s="380" t="s">
        <v>145</v>
      </c>
      <c r="AG13" s="10"/>
      <c r="AH13" s="10"/>
      <c r="AI13" s="10"/>
      <c r="AJ13" s="345"/>
      <c r="AK13" s="43" t="s">
        <v>66</v>
      </c>
      <c r="AL13" s="10"/>
      <c r="AM13" s="10"/>
      <c r="AN13" s="10"/>
      <c r="AO13" s="10" t="s">
        <v>86</v>
      </c>
      <c r="AP13" s="10"/>
      <c r="AQ13" s="384">
        <v>42720</v>
      </c>
      <c r="AR13" s="384">
        <v>42794</v>
      </c>
      <c r="AS13" s="25" t="s">
        <v>78</v>
      </c>
      <c r="AT13" s="291">
        <v>43085</v>
      </c>
      <c r="AU13" s="25" t="s">
        <v>122</v>
      </c>
      <c r="AV13" s="43" t="s">
        <v>66</v>
      </c>
      <c r="AW13" s="26" t="s">
        <v>71</v>
      </c>
      <c r="AX13" s="26"/>
      <c r="AY13" s="25"/>
      <c r="AZ13" s="297"/>
      <c r="BA13" s="297"/>
      <c r="BB13" s="297"/>
      <c r="BC13" s="297"/>
      <c r="BD13" s="297"/>
      <c r="BE13" s="297"/>
      <c r="BF13" s="297"/>
      <c r="BG13" s="297"/>
      <c r="BH13" s="297"/>
      <c r="BI13" s="297"/>
      <c r="BJ13" s="297"/>
      <c r="BK13" s="297"/>
      <c r="BL13" s="297"/>
      <c r="BM13" s="297"/>
      <c r="BN13" s="297"/>
      <c r="BO13" s="297"/>
      <c r="BP13" s="297"/>
      <c r="BQ13" s="297"/>
      <c r="BR13" s="297"/>
      <c r="BS13" s="297"/>
      <c r="BT13" s="297"/>
      <c r="BU13" s="297"/>
      <c r="BV13" s="297"/>
      <c r="BW13" s="297"/>
      <c r="BX13" s="297"/>
      <c r="BY13" s="297"/>
      <c r="BZ13" s="297"/>
      <c r="CA13" s="297"/>
      <c r="CB13" s="297"/>
      <c r="CC13" s="297"/>
      <c r="CD13" s="297"/>
      <c r="CE13" s="297"/>
      <c r="CF13" s="297"/>
      <c r="CG13" s="297"/>
      <c r="CH13" s="297"/>
      <c r="CI13" s="297"/>
      <c r="CJ13" s="297"/>
      <c r="CK13" s="297"/>
      <c r="CL13" s="297"/>
      <c r="CM13" s="297"/>
      <c r="CN13" s="297"/>
      <c r="CO13" s="297"/>
      <c r="CP13" s="297"/>
      <c r="CQ13" s="297"/>
      <c r="CR13" s="297"/>
      <c r="CS13" s="297"/>
      <c r="CT13" s="297"/>
      <c r="CU13" s="297"/>
      <c r="CV13" s="297"/>
      <c r="CW13" s="297"/>
      <c r="CX13" s="297"/>
      <c r="CY13" s="297"/>
      <c r="CZ13" s="297"/>
      <c r="DA13" s="297"/>
      <c r="DB13" s="297"/>
      <c r="DC13" s="297"/>
      <c r="DD13" s="297"/>
      <c r="DE13" s="297"/>
      <c r="DF13" s="297"/>
    </row>
    <row r="14" spans="1:110" s="28" customFormat="1" ht="21.75" customHeight="1">
      <c r="A14" s="10" t="s">
        <v>146</v>
      </c>
      <c r="B14" s="26" t="s">
        <v>147</v>
      </c>
      <c r="C14" s="10" t="s">
        <v>148</v>
      </c>
      <c r="D14" s="10" t="s">
        <v>149</v>
      </c>
      <c r="E14" s="4" t="s">
        <v>139</v>
      </c>
      <c r="F14" s="10" t="s">
        <v>61</v>
      </c>
      <c r="G14" s="246" t="s">
        <v>150</v>
      </c>
      <c r="H14" s="379" t="s">
        <v>128</v>
      </c>
      <c r="I14" s="75" t="s">
        <v>129</v>
      </c>
      <c r="J14" s="4" t="s">
        <v>143</v>
      </c>
      <c r="K14" s="242">
        <f t="shared" si="0"/>
        <v>479462</v>
      </c>
      <c r="L14" s="7">
        <v>479462</v>
      </c>
      <c r="M14" s="307"/>
      <c r="N14" s="249"/>
      <c r="O14" s="249" t="s">
        <v>151</v>
      </c>
      <c r="P14" s="249"/>
      <c r="Q14" s="249"/>
      <c r="R14" s="249"/>
      <c r="S14" s="244"/>
      <c r="T14" s="59"/>
      <c r="U14" s="262"/>
      <c r="V14" s="262">
        <v>0.1</v>
      </c>
      <c r="W14" s="254">
        <v>0</v>
      </c>
      <c r="X14" s="254"/>
      <c r="Y14" s="254">
        <v>431515.8</v>
      </c>
      <c r="Z14" s="254"/>
      <c r="AA14" s="254">
        <v>0</v>
      </c>
      <c r="AB14" s="254"/>
      <c r="AC14" s="254"/>
      <c r="AD14" s="254"/>
      <c r="AE14" s="266">
        <f t="shared" si="1"/>
        <v>431515.8</v>
      </c>
      <c r="AF14" s="25" t="s">
        <v>145</v>
      </c>
      <c r="AG14" s="10"/>
      <c r="AH14" s="10"/>
      <c r="AI14" s="10"/>
      <c r="AJ14" s="345"/>
      <c r="AK14" s="43" t="s">
        <v>66</v>
      </c>
      <c r="AL14" s="10"/>
      <c r="AM14" s="10"/>
      <c r="AN14" s="10"/>
      <c r="AO14" s="10" t="s">
        <v>86</v>
      </c>
      <c r="AP14" s="289"/>
      <c r="AQ14" s="290">
        <v>43009</v>
      </c>
      <c r="AR14" s="290">
        <v>43231</v>
      </c>
      <c r="AS14" s="25" t="s">
        <v>78</v>
      </c>
      <c r="AT14" s="291" t="s">
        <v>152</v>
      </c>
      <c r="AU14" s="25" t="s">
        <v>122</v>
      </c>
      <c r="AV14" s="43" t="s">
        <v>66</v>
      </c>
      <c r="AW14" s="26" t="s">
        <v>71</v>
      </c>
      <c r="AX14" s="26"/>
      <c r="AY14" s="25"/>
      <c r="AZ14" s="297"/>
      <c r="BA14" s="297"/>
      <c r="BB14" s="297"/>
      <c r="BC14" s="297"/>
      <c r="BD14" s="297"/>
      <c r="BE14" s="297"/>
      <c r="BF14" s="297"/>
      <c r="BG14" s="297"/>
      <c r="BH14" s="297"/>
      <c r="BI14" s="297"/>
      <c r="BJ14" s="297"/>
      <c r="BK14" s="297"/>
      <c r="BL14" s="297"/>
      <c r="BM14" s="297"/>
      <c r="BN14" s="297"/>
      <c r="BO14" s="297"/>
      <c r="BP14" s="297"/>
      <c r="BQ14" s="297"/>
      <c r="BR14" s="297"/>
      <c r="BS14" s="297"/>
      <c r="BT14" s="297"/>
      <c r="BU14" s="297"/>
      <c r="BV14" s="297"/>
      <c r="BW14" s="297"/>
      <c r="BX14" s="297"/>
      <c r="BY14" s="297"/>
      <c r="BZ14" s="297"/>
      <c r="CA14" s="297"/>
      <c r="CB14" s="297"/>
      <c r="CC14" s="297"/>
      <c r="CD14" s="297"/>
      <c r="CE14" s="297"/>
      <c r="CF14" s="297"/>
      <c r="CG14" s="297"/>
      <c r="CH14" s="297"/>
      <c r="CI14" s="297"/>
      <c r="CJ14" s="297"/>
      <c r="CK14" s="297"/>
      <c r="CL14" s="297"/>
      <c r="CM14" s="297"/>
      <c r="CN14" s="297"/>
      <c r="CO14" s="297"/>
      <c r="CP14" s="297"/>
      <c r="CQ14" s="297"/>
      <c r="CR14" s="297"/>
      <c r="CS14" s="297"/>
      <c r="CT14" s="297"/>
      <c r="CU14" s="297"/>
      <c r="CV14" s="297"/>
      <c r="CW14" s="297"/>
      <c r="CX14" s="297"/>
      <c r="CY14" s="297"/>
      <c r="CZ14" s="297"/>
      <c r="DA14" s="297"/>
      <c r="DB14" s="297"/>
      <c r="DC14" s="297"/>
      <c r="DD14" s="297"/>
      <c r="DE14" s="297"/>
      <c r="DF14" s="297"/>
    </row>
    <row r="15" spans="1:110" s="28" customFormat="1" ht="21.75" customHeight="1">
      <c r="A15" s="10"/>
      <c r="B15" s="26" t="s">
        <v>153</v>
      </c>
      <c r="C15" s="10" t="s">
        <v>154</v>
      </c>
      <c r="D15" s="4" t="s">
        <v>155</v>
      </c>
      <c r="E15" s="4" t="s">
        <v>156</v>
      </c>
      <c r="F15" s="10" t="s">
        <v>61</v>
      </c>
      <c r="G15" s="246" t="s">
        <v>157</v>
      </c>
      <c r="H15" s="246" t="s">
        <v>128</v>
      </c>
      <c r="I15" s="75" t="s">
        <v>158</v>
      </c>
      <c r="J15" s="4"/>
      <c r="K15" s="242">
        <f t="shared" si="0"/>
        <v>495000</v>
      </c>
      <c r="L15" s="7">
        <v>495000</v>
      </c>
      <c r="M15" s="307"/>
      <c r="N15" s="249"/>
      <c r="O15" s="249">
        <v>495000</v>
      </c>
      <c r="P15" s="249"/>
      <c r="Q15" s="249"/>
      <c r="R15" s="249"/>
      <c r="S15" s="244"/>
      <c r="T15" s="59"/>
      <c r="U15" s="262"/>
      <c r="V15" s="262">
        <v>0.15</v>
      </c>
      <c r="W15" s="254">
        <v>155063.9</v>
      </c>
      <c r="X15" s="254"/>
      <c r="Y15" s="254">
        <v>274276.59999999998</v>
      </c>
      <c r="Z15" s="254"/>
      <c r="AA15" s="254">
        <v>0</v>
      </c>
      <c r="AB15" s="254"/>
      <c r="AC15" s="254"/>
      <c r="AD15" s="254"/>
      <c r="AE15" s="266">
        <f t="shared" si="1"/>
        <v>429340.5</v>
      </c>
      <c r="AF15" s="25" t="s">
        <v>145</v>
      </c>
      <c r="AG15" s="10"/>
      <c r="AH15" s="10"/>
      <c r="AI15" s="10"/>
      <c r="AJ15" s="345"/>
      <c r="AK15" s="43" t="s">
        <v>66</v>
      </c>
      <c r="AL15" s="10"/>
      <c r="AM15" s="10"/>
      <c r="AN15" s="10"/>
      <c r="AO15" s="10" t="s">
        <v>86</v>
      </c>
      <c r="AP15" s="289"/>
      <c r="AQ15" s="290">
        <v>42949</v>
      </c>
      <c r="AR15" s="290">
        <v>43047</v>
      </c>
      <c r="AS15" s="25" t="s">
        <v>78</v>
      </c>
      <c r="AT15" s="291">
        <v>43313</v>
      </c>
      <c r="AU15" s="25" t="s">
        <v>122</v>
      </c>
      <c r="AV15" s="43" t="s">
        <v>66</v>
      </c>
      <c r="AW15" s="26" t="s">
        <v>71</v>
      </c>
      <c r="AX15" s="26"/>
      <c r="AY15" s="25"/>
      <c r="AZ15" s="297"/>
      <c r="BA15" s="297"/>
      <c r="BB15" s="297"/>
      <c r="BC15" s="297"/>
      <c r="BD15" s="297"/>
      <c r="BE15" s="297"/>
      <c r="BF15" s="297"/>
      <c r="BG15" s="297"/>
      <c r="BH15" s="297"/>
      <c r="BI15" s="297"/>
      <c r="BJ15" s="297"/>
      <c r="BK15" s="297"/>
      <c r="BL15" s="297"/>
      <c r="BM15" s="297"/>
      <c r="BN15" s="297"/>
      <c r="BO15" s="297"/>
      <c r="BP15" s="297"/>
      <c r="BQ15" s="297"/>
      <c r="BR15" s="297"/>
      <c r="BS15" s="297"/>
      <c r="BT15" s="297"/>
      <c r="BU15" s="297"/>
      <c r="BV15" s="297"/>
      <c r="BW15" s="297"/>
      <c r="BX15" s="297"/>
      <c r="BY15" s="297"/>
      <c r="BZ15" s="297"/>
      <c r="CA15" s="297"/>
      <c r="CB15" s="297"/>
      <c r="CC15" s="297"/>
      <c r="CD15" s="297"/>
      <c r="CE15" s="297"/>
      <c r="CF15" s="297"/>
      <c r="CG15" s="297"/>
      <c r="CH15" s="297"/>
      <c r="CI15" s="297"/>
      <c r="CJ15" s="297"/>
      <c r="CK15" s="297"/>
      <c r="CL15" s="297"/>
      <c r="CM15" s="297"/>
      <c r="CN15" s="297"/>
      <c r="CO15" s="297"/>
      <c r="CP15" s="297"/>
      <c r="CQ15" s="297"/>
      <c r="CR15" s="297"/>
      <c r="CS15" s="297"/>
      <c r="CT15" s="297"/>
      <c r="CU15" s="297"/>
      <c r="CV15" s="297"/>
      <c r="CW15" s="297"/>
      <c r="CX15" s="297"/>
      <c r="CY15" s="297"/>
      <c r="CZ15" s="297"/>
      <c r="DA15" s="297"/>
      <c r="DB15" s="297"/>
      <c r="DC15" s="297"/>
      <c r="DD15" s="297"/>
      <c r="DE15" s="297"/>
      <c r="DF15" s="297"/>
    </row>
    <row r="16" spans="1:110" s="28" customFormat="1" ht="21.75" customHeight="1">
      <c r="A16" s="4"/>
      <c r="B16" s="26" t="s">
        <v>159</v>
      </c>
      <c r="C16" s="21" t="s">
        <v>160</v>
      </c>
      <c r="D16" s="380" t="s">
        <v>161</v>
      </c>
      <c r="E16" s="4" t="s">
        <v>75</v>
      </c>
      <c r="F16" s="25" t="s">
        <v>61</v>
      </c>
      <c r="G16" s="306" t="s">
        <v>76</v>
      </c>
      <c r="H16" s="246" t="s">
        <v>63</v>
      </c>
      <c r="I16" s="75" t="s">
        <v>162</v>
      </c>
      <c r="J16" s="4"/>
      <c r="K16" s="242">
        <f t="shared" si="0"/>
        <v>5300000</v>
      </c>
      <c r="L16" s="7">
        <v>5300000</v>
      </c>
      <c r="M16" s="244" t="s">
        <v>163</v>
      </c>
      <c r="N16" s="249"/>
      <c r="O16" s="249"/>
      <c r="P16" s="249"/>
      <c r="Q16" s="249" t="s">
        <v>164</v>
      </c>
      <c r="R16" s="249"/>
      <c r="S16" s="244"/>
      <c r="T16" s="255"/>
      <c r="U16" s="264"/>
      <c r="V16" s="262">
        <v>0.15</v>
      </c>
      <c r="W16" s="444" t="s">
        <v>131</v>
      </c>
      <c r="X16" s="444"/>
      <c r="Y16" s="445"/>
      <c r="Z16" s="445"/>
      <c r="AA16" s="445"/>
      <c r="AB16" s="254"/>
      <c r="AC16" s="254"/>
      <c r="AD16" s="254"/>
      <c r="AE16" s="266">
        <f t="shared" si="1"/>
        <v>0</v>
      </c>
      <c r="AF16" s="10" t="s">
        <v>114</v>
      </c>
      <c r="AG16" s="10"/>
      <c r="AH16" s="10"/>
      <c r="AI16" s="10"/>
      <c r="AJ16" s="345"/>
      <c r="AK16" s="43" t="s">
        <v>66</v>
      </c>
      <c r="AL16" s="10"/>
      <c r="AM16" s="10"/>
      <c r="AN16" s="10"/>
      <c r="AO16" s="10" t="s">
        <v>86</v>
      </c>
      <c r="AP16" s="289"/>
      <c r="AQ16" s="290">
        <v>43207</v>
      </c>
      <c r="AR16" s="290">
        <v>43215</v>
      </c>
      <c r="AS16" s="25" t="s">
        <v>78</v>
      </c>
      <c r="AT16" s="291">
        <v>43571</v>
      </c>
      <c r="AU16" s="25" t="s">
        <v>88</v>
      </c>
      <c r="AV16" s="43" t="s">
        <v>66</v>
      </c>
      <c r="AW16" s="26" t="s">
        <v>71</v>
      </c>
      <c r="AX16" s="26"/>
      <c r="AY16" s="25"/>
      <c r="AZ16" s="297"/>
      <c r="BA16" s="297"/>
      <c r="BB16" s="297"/>
      <c r="BC16" s="297"/>
      <c r="BD16" s="297"/>
      <c r="BE16" s="297"/>
      <c r="BF16" s="297"/>
      <c r="BG16" s="297"/>
      <c r="BH16" s="297"/>
      <c r="BI16" s="297"/>
      <c r="BJ16" s="297"/>
      <c r="BK16" s="297"/>
      <c r="BL16" s="297"/>
      <c r="BM16" s="297"/>
      <c r="BN16" s="297"/>
      <c r="BO16" s="297"/>
      <c r="BP16" s="297"/>
      <c r="BQ16" s="297"/>
      <c r="BR16" s="297"/>
      <c r="BS16" s="297"/>
      <c r="BT16" s="297"/>
      <c r="BU16" s="297"/>
      <c r="BV16" s="297"/>
      <c r="BW16" s="297"/>
      <c r="BX16" s="297"/>
      <c r="BY16" s="297"/>
      <c r="BZ16" s="297"/>
      <c r="CA16" s="297"/>
      <c r="CB16" s="297"/>
      <c r="CC16" s="297"/>
      <c r="CD16" s="297"/>
      <c r="CE16" s="297"/>
      <c r="CF16" s="297"/>
      <c r="CG16" s="297"/>
      <c r="CH16" s="297"/>
      <c r="CI16" s="297"/>
      <c r="CJ16" s="297"/>
      <c r="CK16" s="297"/>
      <c r="CL16" s="297"/>
      <c r="CM16" s="297"/>
      <c r="CN16" s="297"/>
      <c r="CO16" s="297"/>
      <c r="CP16" s="297"/>
      <c r="CQ16" s="297"/>
      <c r="CR16" s="297"/>
      <c r="CS16" s="297"/>
      <c r="CT16" s="297"/>
      <c r="CU16" s="297"/>
      <c r="CV16" s="297"/>
      <c r="CW16" s="297"/>
      <c r="CX16" s="297"/>
      <c r="CY16" s="297"/>
      <c r="CZ16" s="297"/>
      <c r="DA16" s="297"/>
      <c r="DB16" s="297"/>
      <c r="DC16" s="297"/>
      <c r="DD16" s="297"/>
      <c r="DE16" s="297"/>
      <c r="DF16" s="297"/>
    </row>
    <row r="17" spans="1:110" s="28" customFormat="1" ht="21.75" customHeight="1">
      <c r="A17" s="381"/>
      <c r="B17" s="26" t="s">
        <v>165</v>
      </c>
      <c r="C17" s="18" t="s">
        <v>166</v>
      </c>
      <c r="D17" s="221" t="s">
        <v>167</v>
      </c>
      <c r="E17" s="24" t="s">
        <v>168</v>
      </c>
      <c r="F17" s="25" t="s">
        <v>61</v>
      </c>
      <c r="G17" s="306" t="s">
        <v>157</v>
      </c>
      <c r="H17" s="379" t="s">
        <v>128</v>
      </c>
      <c r="I17" s="75" t="s">
        <v>162</v>
      </c>
      <c r="J17" s="301"/>
      <c r="K17" s="242">
        <v>1057000</v>
      </c>
      <c r="L17" s="446" t="s">
        <v>169</v>
      </c>
      <c r="M17" s="446"/>
      <c r="N17" s="446"/>
      <c r="O17" s="446"/>
      <c r="P17" s="446"/>
      <c r="Q17" s="446"/>
      <c r="R17" s="446"/>
      <c r="S17" s="446"/>
      <c r="T17" s="446"/>
      <c r="U17" s="446"/>
      <c r="V17" s="446"/>
      <c r="W17" s="446"/>
      <c r="X17" s="446"/>
      <c r="Y17" s="446"/>
      <c r="Z17" s="446"/>
      <c r="AA17" s="446"/>
      <c r="AB17" s="7"/>
      <c r="AC17" s="7"/>
      <c r="AD17" s="7"/>
      <c r="AE17" s="266">
        <f t="shared" si="1"/>
        <v>0</v>
      </c>
      <c r="AF17" s="10" t="s">
        <v>62</v>
      </c>
      <c r="AG17" s="10"/>
      <c r="AH17" s="10"/>
      <c r="AI17" s="10"/>
      <c r="AJ17" s="345"/>
      <c r="AK17" s="43" t="s">
        <v>66</v>
      </c>
      <c r="AL17" s="10"/>
      <c r="AM17" s="10"/>
      <c r="AN17" s="10"/>
      <c r="AO17" s="289" t="s">
        <v>86</v>
      </c>
      <c r="AP17" s="289"/>
      <c r="AQ17" s="290">
        <v>42975</v>
      </c>
      <c r="AR17" s="290" t="s">
        <v>170</v>
      </c>
      <c r="AS17" s="25" t="s">
        <v>78</v>
      </c>
      <c r="AT17" s="291">
        <v>43340</v>
      </c>
      <c r="AU17" s="25" t="s">
        <v>122</v>
      </c>
      <c r="AV17" s="43" t="s">
        <v>66</v>
      </c>
      <c r="AW17" s="26" t="s">
        <v>71</v>
      </c>
      <c r="AX17" s="26"/>
      <c r="AY17" s="25"/>
      <c r="AZ17" s="297"/>
      <c r="BA17" s="297"/>
      <c r="BB17" s="297"/>
      <c r="BC17" s="297"/>
      <c r="BD17" s="297"/>
      <c r="BE17" s="297"/>
      <c r="BF17" s="297"/>
      <c r="BG17" s="297"/>
      <c r="BH17" s="297"/>
      <c r="BI17" s="297"/>
      <c r="BJ17" s="297"/>
      <c r="BK17" s="297"/>
      <c r="BL17" s="297"/>
      <c r="BM17" s="297"/>
      <c r="BN17" s="297"/>
      <c r="BO17" s="297"/>
      <c r="BP17" s="297"/>
      <c r="BQ17" s="297"/>
      <c r="BR17" s="297"/>
      <c r="BS17" s="297"/>
      <c r="BT17" s="297"/>
      <c r="BU17" s="297"/>
      <c r="BV17" s="297"/>
      <c r="BW17" s="297"/>
      <c r="BX17" s="297"/>
      <c r="BY17" s="297"/>
      <c r="BZ17" s="297"/>
      <c r="CA17" s="297"/>
      <c r="CB17" s="297"/>
      <c r="CC17" s="297"/>
      <c r="CD17" s="297"/>
      <c r="CE17" s="297"/>
      <c r="CF17" s="297"/>
      <c r="CG17" s="297"/>
      <c r="CH17" s="297"/>
      <c r="CI17" s="297"/>
      <c r="CJ17" s="297"/>
      <c r="CK17" s="297"/>
      <c r="CL17" s="297"/>
      <c r="CM17" s="297"/>
      <c r="CN17" s="297"/>
      <c r="CO17" s="297"/>
      <c r="CP17" s="297"/>
      <c r="CQ17" s="297"/>
      <c r="CR17" s="297"/>
      <c r="CS17" s="297"/>
      <c r="CT17" s="297"/>
      <c r="CU17" s="297"/>
      <c r="CV17" s="297"/>
      <c r="CW17" s="297"/>
      <c r="CX17" s="297"/>
      <c r="CY17" s="297"/>
      <c r="CZ17" s="297"/>
      <c r="DA17" s="297"/>
      <c r="DB17" s="297"/>
      <c r="DC17" s="297"/>
      <c r="DD17" s="297"/>
      <c r="DE17" s="297"/>
      <c r="DF17" s="297"/>
    </row>
    <row r="18" spans="1:110" s="28" customFormat="1" ht="21.75" customHeight="1">
      <c r="A18" s="23"/>
      <c r="B18" s="26" t="s">
        <v>171</v>
      </c>
      <c r="C18" s="22" t="s">
        <v>172</v>
      </c>
      <c r="D18" s="225" t="s">
        <v>173</v>
      </c>
      <c r="E18" s="24" t="s">
        <v>174</v>
      </c>
      <c r="F18" s="25" t="s">
        <v>61</v>
      </c>
      <c r="G18" s="306" t="s">
        <v>175</v>
      </c>
      <c r="H18" s="379" t="s">
        <v>128</v>
      </c>
      <c r="I18" s="75" t="s">
        <v>176</v>
      </c>
      <c r="J18" s="4"/>
      <c r="K18" s="242">
        <f t="shared" si="0"/>
        <v>960000</v>
      </c>
      <c r="L18" s="7">
        <v>960000</v>
      </c>
      <c r="M18" s="239"/>
      <c r="N18" s="239"/>
      <c r="O18" s="244">
        <v>960000</v>
      </c>
      <c r="P18" s="239"/>
      <c r="Q18" s="239"/>
      <c r="R18" s="239"/>
      <c r="S18" s="248"/>
      <c r="T18" s="59"/>
      <c r="U18" s="262"/>
      <c r="V18" s="262">
        <v>0.15</v>
      </c>
      <c r="W18" s="254">
        <v>0</v>
      </c>
      <c r="X18" s="254"/>
      <c r="Y18" s="254">
        <v>816000</v>
      </c>
      <c r="Z18" s="254"/>
      <c r="AA18" s="254">
        <v>0</v>
      </c>
      <c r="AB18" s="254"/>
      <c r="AC18" s="254"/>
      <c r="AD18" s="254"/>
      <c r="AE18" s="266">
        <f t="shared" si="1"/>
        <v>816000</v>
      </c>
      <c r="AF18" s="4" t="s">
        <v>85</v>
      </c>
      <c r="AG18" s="10"/>
      <c r="AH18" s="10"/>
      <c r="AI18" s="10"/>
      <c r="AJ18" s="345"/>
      <c r="AK18" s="43" t="s">
        <v>66</v>
      </c>
      <c r="AL18" s="10"/>
      <c r="AM18" s="10"/>
      <c r="AN18" s="10"/>
      <c r="AO18" s="289" t="s">
        <v>86</v>
      </c>
      <c r="AP18" s="289" t="s">
        <v>177</v>
      </c>
      <c r="AQ18" s="290">
        <v>43074</v>
      </c>
      <c r="AR18" s="290">
        <v>43082</v>
      </c>
      <c r="AS18" s="25" t="s">
        <v>78</v>
      </c>
      <c r="AT18" s="291">
        <v>43439</v>
      </c>
      <c r="AU18" s="25" t="s">
        <v>122</v>
      </c>
      <c r="AV18" s="43" t="s">
        <v>66</v>
      </c>
      <c r="AW18" s="26" t="s">
        <v>71</v>
      </c>
      <c r="AX18" s="26"/>
      <c r="AY18" s="25"/>
      <c r="AZ18" s="297"/>
      <c r="BA18" s="297"/>
      <c r="BB18" s="297"/>
      <c r="BC18" s="297"/>
      <c r="BD18" s="297"/>
      <c r="BE18" s="297"/>
      <c r="BF18" s="297"/>
      <c r="BG18" s="297"/>
      <c r="BH18" s="297"/>
      <c r="BI18" s="297"/>
      <c r="BJ18" s="297"/>
      <c r="BK18" s="297"/>
      <c r="BL18" s="297"/>
      <c r="BM18" s="297"/>
      <c r="BN18" s="297"/>
      <c r="BO18" s="297"/>
      <c r="BP18" s="297"/>
      <c r="BQ18" s="297"/>
      <c r="BR18" s="297"/>
      <c r="BS18" s="297"/>
      <c r="BT18" s="297"/>
      <c r="BU18" s="297"/>
      <c r="BV18" s="297"/>
      <c r="BW18" s="297"/>
      <c r="BX18" s="297"/>
      <c r="BY18" s="297"/>
      <c r="BZ18" s="297"/>
      <c r="CA18" s="297"/>
      <c r="CB18" s="297"/>
      <c r="CC18" s="297"/>
      <c r="CD18" s="297"/>
      <c r="CE18" s="297"/>
      <c r="CF18" s="297"/>
      <c r="CG18" s="297"/>
      <c r="CH18" s="297"/>
      <c r="CI18" s="297"/>
      <c r="CJ18" s="297"/>
      <c r="CK18" s="297"/>
      <c r="CL18" s="297"/>
      <c r="CM18" s="297"/>
      <c r="CN18" s="297"/>
      <c r="CO18" s="297"/>
      <c r="CP18" s="297"/>
      <c r="CQ18" s="297"/>
      <c r="CR18" s="297"/>
      <c r="CS18" s="297"/>
      <c r="CT18" s="297"/>
      <c r="CU18" s="297"/>
      <c r="CV18" s="297"/>
      <c r="CW18" s="297"/>
      <c r="CX18" s="297"/>
      <c r="CY18" s="297"/>
      <c r="CZ18" s="297"/>
      <c r="DA18" s="297"/>
      <c r="DB18" s="297"/>
      <c r="DC18" s="297"/>
      <c r="DD18" s="297"/>
      <c r="DE18" s="297"/>
      <c r="DF18" s="297"/>
    </row>
    <row r="19" spans="1:110" s="28" customFormat="1" ht="21.75" customHeight="1">
      <c r="A19" s="24"/>
      <c r="B19" s="26" t="s">
        <v>178</v>
      </c>
      <c r="C19" s="24" t="s">
        <v>179</v>
      </c>
      <c r="D19" s="24" t="s">
        <v>180</v>
      </c>
      <c r="E19" s="23" t="s">
        <v>75</v>
      </c>
      <c r="F19" s="25" t="s">
        <v>61</v>
      </c>
      <c r="G19" s="306" t="s">
        <v>175</v>
      </c>
      <c r="H19" s="379" t="s">
        <v>128</v>
      </c>
      <c r="I19" s="75" t="s">
        <v>162</v>
      </c>
      <c r="J19" s="24"/>
      <c r="K19" s="242">
        <f t="shared" si="0"/>
        <v>37711</v>
      </c>
      <c r="L19" s="7">
        <v>37711</v>
      </c>
      <c r="M19" s="239"/>
      <c r="N19" s="239"/>
      <c r="O19" s="244" t="s">
        <v>181</v>
      </c>
      <c r="P19" s="239"/>
      <c r="Q19" s="239"/>
      <c r="R19" s="239"/>
      <c r="S19" s="248"/>
      <c r="T19" s="59"/>
      <c r="U19" s="262"/>
      <c r="V19" s="262">
        <v>0.15</v>
      </c>
      <c r="W19" s="444" t="s">
        <v>182</v>
      </c>
      <c r="X19" s="444"/>
      <c r="Y19" s="445"/>
      <c r="Z19" s="445"/>
      <c r="AA19" s="445"/>
      <c r="AB19" s="254"/>
      <c r="AC19" s="254"/>
      <c r="AD19" s="254"/>
      <c r="AE19" s="266">
        <f t="shared" si="1"/>
        <v>0</v>
      </c>
      <c r="AF19" s="7" t="s">
        <v>145</v>
      </c>
      <c r="AG19" s="10"/>
      <c r="AH19" s="10"/>
      <c r="AI19" s="10"/>
      <c r="AJ19" s="345"/>
      <c r="AK19" s="43" t="s">
        <v>66</v>
      </c>
      <c r="AL19" s="10"/>
      <c r="AM19" s="10"/>
      <c r="AN19" s="10"/>
      <c r="AO19" s="289" t="s">
        <v>86</v>
      </c>
      <c r="AP19" s="289"/>
      <c r="AQ19" s="290">
        <v>42631</v>
      </c>
      <c r="AR19" s="290">
        <v>2017.7</v>
      </c>
      <c r="AS19" s="25" t="s">
        <v>78</v>
      </c>
      <c r="AT19" s="291">
        <v>42996</v>
      </c>
      <c r="AU19" s="25" t="s">
        <v>122</v>
      </c>
      <c r="AV19" s="43" t="s">
        <v>66</v>
      </c>
      <c r="AW19" s="26" t="s">
        <v>71</v>
      </c>
      <c r="AX19" s="26"/>
      <c r="AY19" s="25"/>
      <c r="AZ19" s="297"/>
      <c r="BA19" s="297"/>
      <c r="BB19" s="297"/>
      <c r="BC19" s="297"/>
      <c r="BD19" s="297"/>
      <c r="BE19" s="297"/>
      <c r="BF19" s="297"/>
      <c r="BG19" s="297"/>
      <c r="BH19" s="297"/>
      <c r="BI19" s="297"/>
      <c r="BJ19" s="297"/>
      <c r="BK19" s="297"/>
      <c r="BL19" s="297"/>
      <c r="BM19" s="297"/>
      <c r="BN19" s="297"/>
      <c r="BO19" s="297"/>
      <c r="BP19" s="297"/>
      <c r="BQ19" s="297"/>
      <c r="BR19" s="297"/>
      <c r="BS19" s="297"/>
      <c r="BT19" s="297"/>
      <c r="BU19" s="297"/>
      <c r="BV19" s="297"/>
      <c r="BW19" s="297"/>
      <c r="BX19" s="297"/>
      <c r="BY19" s="297"/>
      <c r="BZ19" s="297"/>
      <c r="CA19" s="297"/>
      <c r="CB19" s="297"/>
      <c r="CC19" s="297"/>
      <c r="CD19" s="297"/>
      <c r="CE19" s="297"/>
      <c r="CF19" s="297"/>
      <c r="CG19" s="297"/>
      <c r="CH19" s="297"/>
      <c r="CI19" s="297"/>
      <c r="CJ19" s="297"/>
      <c r="CK19" s="297"/>
      <c r="CL19" s="297"/>
      <c r="CM19" s="297"/>
      <c r="CN19" s="297"/>
      <c r="CO19" s="297"/>
      <c r="CP19" s="297"/>
      <c r="CQ19" s="297"/>
      <c r="CR19" s="297"/>
      <c r="CS19" s="297"/>
      <c r="CT19" s="297"/>
      <c r="CU19" s="297"/>
      <c r="CV19" s="297"/>
      <c r="CW19" s="297"/>
      <c r="CX19" s="297"/>
      <c r="CY19" s="297"/>
      <c r="CZ19" s="297"/>
      <c r="DA19" s="297"/>
      <c r="DB19" s="297"/>
      <c r="DC19" s="297"/>
      <c r="DD19" s="297"/>
      <c r="DE19" s="297"/>
      <c r="DF19" s="297"/>
    </row>
    <row r="20" spans="1:110" s="28" customFormat="1" ht="21.75" customHeight="1">
      <c r="A20" s="24"/>
      <c r="B20" s="26" t="s">
        <v>183</v>
      </c>
      <c r="C20" s="18" t="s">
        <v>184</v>
      </c>
      <c r="D20" s="24" t="s">
        <v>185</v>
      </c>
      <c r="E20" s="23" t="s">
        <v>75</v>
      </c>
      <c r="F20" s="25" t="s">
        <v>61</v>
      </c>
      <c r="G20" s="306" t="s">
        <v>76</v>
      </c>
      <c r="H20" s="246" t="s">
        <v>142</v>
      </c>
      <c r="I20" s="314">
        <v>42941</v>
      </c>
      <c r="J20" s="10"/>
      <c r="K20" s="242">
        <f t="shared" si="0"/>
        <v>1790648</v>
      </c>
      <c r="L20" s="7">
        <v>1790648</v>
      </c>
      <c r="M20" s="244">
        <v>1369370</v>
      </c>
      <c r="N20" s="315"/>
      <c r="O20" s="244">
        <v>421278</v>
      </c>
      <c r="P20" s="315"/>
      <c r="Q20" s="315"/>
      <c r="R20" s="315"/>
      <c r="S20" s="248"/>
      <c r="T20" s="255"/>
      <c r="U20" s="264"/>
      <c r="V20" s="262">
        <v>0.15</v>
      </c>
      <c r="W20" s="254">
        <v>1163964.5</v>
      </c>
      <c r="X20" s="254"/>
      <c r="Y20" s="254">
        <v>358086.3</v>
      </c>
      <c r="Z20" s="254"/>
      <c r="AA20" s="254">
        <v>0</v>
      </c>
      <c r="AB20" s="254"/>
      <c r="AC20" s="254"/>
      <c r="AD20" s="254"/>
      <c r="AE20" s="266">
        <f t="shared" si="1"/>
        <v>1522050.8</v>
      </c>
      <c r="AF20" s="7" t="s">
        <v>145</v>
      </c>
      <c r="AG20" s="10"/>
      <c r="AH20" s="10"/>
      <c r="AI20" s="10"/>
      <c r="AJ20" s="345"/>
      <c r="AK20" s="43" t="s">
        <v>66</v>
      </c>
      <c r="AL20" s="10"/>
      <c r="AM20" s="10"/>
      <c r="AN20" s="10"/>
      <c r="AO20" s="289" t="s">
        <v>86</v>
      </c>
      <c r="AP20" s="289"/>
      <c r="AQ20" s="290">
        <v>42990</v>
      </c>
      <c r="AR20" s="290">
        <v>42997</v>
      </c>
      <c r="AS20" s="25" t="s">
        <v>78</v>
      </c>
      <c r="AT20" s="291">
        <v>43355</v>
      </c>
      <c r="AU20" s="25" t="s">
        <v>122</v>
      </c>
      <c r="AV20" s="43" t="s">
        <v>66</v>
      </c>
      <c r="AW20" s="26" t="s">
        <v>71</v>
      </c>
      <c r="AX20" s="26"/>
      <c r="AY20" s="25"/>
      <c r="AZ20" s="297"/>
      <c r="BA20" s="297"/>
      <c r="BB20" s="297"/>
      <c r="BC20" s="297"/>
      <c r="BD20" s="297"/>
      <c r="BE20" s="297"/>
      <c r="BF20" s="297"/>
      <c r="BG20" s="297"/>
      <c r="BH20" s="297"/>
      <c r="BI20" s="297"/>
      <c r="BJ20" s="297"/>
      <c r="BK20" s="297"/>
      <c r="BL20" s="297"/>
      <c r="BM20" s="297"/>
      <c r="BN20" s="297"/>
      <c r="BO20" s="297"/>
      <c r="BP20" s="297"/>
      <c r="BQ20" s="297"/>
      <c r="BR20" s="297"/>
      <c r="BS20" s="297"/>
      <c r="BT20" s="297"/>
      <c r="BU20" s="297"/>
      <c r="BV20" s="297"/>
      <c r="BW20" s="297"/>
      <c r="BX20" s="297"/>
      <c r="BY20" s="297"/>
      <c r="BZ20" s="297"/>
      <c r="CA20" s="297"/>
      <c r="CB20" s="297"/>
      <c r="CC20" s="297"/>
      <c r="CD20" s="297"/>
      <c r="CE20" s="297"/>
      <c r="CF20" s="297"/>
      <c r="CG20" s="297"/>
      <c r="CH20" s="297"/>
      <c r="CI20" s="297"/>
      <c r="CJ20" s="297"/>
      <c r="CK20" s="297"/>
      <c r="CL20" s="297"/>
      <c r="CM20" s="297"/>
      <c r="CN20" s="297"/>
      <c r="CO20" s="297"/>
      <c r="CP20" s="297"/>
      <c r="CQ20" s="297"/>
      <c r="CR20" s="297"/>
      <c r="CS20" s="297"/>
      <c r="CT20" s="297"/>
      <c r="CU20" s="297"/>
      <c r="CV20" s="297"/>
      <c r="CW20" s="297"/>
      <c r="CX20" s="297"/>
      <c r="CY20" s="297"/>
      <c r="CZ20" s="297"/>
      <c r="DA20" s="297"/>
      <c r="DB20" s="297"/>
      <c r="DC20" s="297"/>
      <c r="DD20" s="297"/>
      <c r="DE20" s="297"/>
      <c r="DF20" s="297"/>
    </row>
    <row r="21" spans="1:110" s="28" customFormat="1" ht="33.75" customHeight="1">
      <c r="A21" s="17" t="s">
        <v>186</v>
      </c>
      <c r="B21" s="26" t="s">
        <v>187</v>
      </c>
      <c r="C21" s="16" t="s">
        <v>188</v>
      </c>
      <c r="D21" s="24" t="s">
        <v>189</v>
      </c>
      <c r="E21" s="23" t="s">
        <v>83</v>
      </c>
      <c r="F21" s="25" t="s">
        <v>190</v>
      </c>
      <c r="G21" s="306" t="s">
        <v>107</v>
      </c>
      <c r="H21" s="53" t="s">
        <v>84</v>
      </c>
      <c r="I21" s="382">
        <v>42957</v>
      </c>
      <c r="J21" s="26" t="s">
        <v>191</v>
      </c>
      <c r="K21" s="242">
        <f t="shared" si="0"/>
        <v>15500000</v>
      </c>
      <c r="L21" s="7">
        <v>15500000</v>
      </c>
      <c r="M21" s="244">
        <v>635000</v>
      </c>
      <c r="N21" s="244"/>
      <c r="O21" s="244">
        <v>380000</v>
      </c>
      <c r="P21" s="244"/>
      <c r="Q21" s="244">
        <v>13385000</v>
      </c>
      <c r="R21" s="244"/>
      <c r="S21" s="7"/>
      <c r="T21" s="7">
        <v>1100000</v>
      </c>
      <c r="U21" s="262">
        <v>0.06</v>
      </c>
      <c r="V21" s="262">
        <v>0.128</v>
      </c>
      <c r="W21" s="254">
        <v>632000</v>
      </c>
      <c r="X21" s="254"/>
      <c r="Y21" s="254">
        <v>380000</v>
      </c>
      <c r="Z21" s="254"/>
      <c r="AA21" s="254">
        <f>11388400+1100000</f>
        <v>12488400</v>
      </c>
      <c r="AB21" s="254"/>
      <c r="AC21" s="254"/>
      <c r="AD21" s="254"/>
      <c r="AE21" s="266">
        <f t="shared" si="1"/>
        <v>13500400</v>
      </c>
      <c r="AF21" s="7" t="s">
        <v>132</v>
      </c>
      <c r="AG21" s="7"/>
      <c r="AH21" s="7"/>
      <c r="AI21" s="7"/>
      <c r="AJ21" s="345"/>
      <c r="AK21" s="43" t="s">
        <v>122</v>
      </c>
      <c r="AL21" s="7"/>
      <c r="AM21" s="7"/>
      <c r="AN21" s="7"/>
      <c r="AO21" s="289"/>
      <c r="AP21" s="289"/>
      <c r="AQ21" s="290"/>
      <c r="AR21" s="290"/>
      <c r="AS21" s="25"/>
      <c r="AT21" s="291">
        <v>43008</v>
      </c>
      <c r="AU21" s="25" t="s">
        <v>192</v>
      </c>
      <c r="AV21" s="43" t="s">
        <v>122</v>
      </c>
      <c r="AW21" s="26"/>
      <c r="AX21" s="26"/>
      <c r="AY21" s="25"/>
      <c r="AZ21" s="297"/>
      <c r="BA21" s="297"/>
      <c r="BB21" s="297"/>
      <c r="BC21" s="297"/>
      <c r="BD21" s="297"/>
      <c r="BE21" s="297"/>
      <c r="BF21" s="297"/>
      <c r="BG21" s="297"/>
      <c r="BH21" s="297"/>
      <c r="BI21" s="297"/>
      <c r="BJ21" s="297"/>
      <c r="BK21" s="297"/>
      <c r="BL21" s="297"/>
      <c r="BM21" s="297"/>
      <c r="BN21" s="297"/>
      <c r="BO21" s="297"/>
      <c r="BP21" s="297"/>
      <c r="BQ21" s="297"/>
      <c r="BR21" s="297"/>
      <c r="BS21" s="297"/>
      <c r="BT21" s="297"/>
      <c r="BU21" s="297"/>
      <c r="BV21" s="297"/>
      <c r="BW21" s="297"/>
      <c r="BX21" s="297"/>
      <c r="BY21" s="297"/>
      <c r="BZ21" s="297"/>
      <c r="CA21" s="297"/>
      <c r="CB21" s="297"/>
      <c r="CC21" s="297"/>
      <c r="CD21" s="297"/>
      <c r="CE21" s="297"/>
      <c r="CF21" s="297"/>
      <c r="CG21" s="297"/>
      <c r="CH21" s="297"/>
      <c r="CI21" s="297"/>
      <c r="CJ21" s="297"/>
      <c r="CK21" s="297"/>
      <c r="CL21" s="297"/>
      <c r="CM21" s="297"/>
      <c r="CN21" s="297"/>
      <c r="CO21" s="297"/>
      <c r="CP21" s="297"/>
      <c r="CQ21" s="297"/>
      <c r="CR21" s="297"/>
      <c r="CS21" s="297"/>
      <c r="CT21" s="297"/>
      <c r="CU21" s="297"/>
      <c r="CV21" s="297"/>
      <c r="CW21" s="297"/>
      <c r="CX21" s="297"/>
      <c r="CY21" s="297"/>
      <c r="CZ21" s="297"/>
      <c r="DA21" s="297"/>
      <c r="DB21" s="297"/>
      <c r="DC21" s="297"/>
      <c r="DD21" s="297"/>
      <c r="DE21" s="297"/>
      <c r="DF21" s="297"/>
    </row>
    <row r="22" spans="1:110" s="28" customFormat="1" ht="35.25" customHeight="1">
      <c r="A22" s="17"/>
      <c r="B22" s="26" t="s">
        <v>193</v>
      </c>
      <c r="C22" s="25" t="s">
        <v>194</v>
      </c>
      <c r="D22" s="299" t="s">
        <v>195</v>
      </c>
      <c r="E22" s="25" t="s">
        <v>75</v>
      </c>
      <c r="F22" s="4" t="s">
        <v>196</v>
      </c>
      <c r="G22" s="53" t="s">
        <v>175</v>
      </c>
      <c r="H22" s="53" t="s">
        <v>128</v>
      </c>
      <c r="I22" s="295">
        <v>42965</v>
      </c>
      <c r="J22" s="26"/>
      <c r="K22" s="242">
        <f t="shared" si="0"/>
        <v>565000</v>
      </c>
      <c r="L22" s="243">
        <v>565000</v>
      </c>
      <c r="M22" s="244"/>
      <c r="N22" s="53">
        <v>565000</v>
      </c>
      <c r="O22" s="244"/>
      <c r="P22" s="244"/>
      <c r="Q22" s="244"/>
      <c r="R22" s="244"/>
      <c r="S22" s="7"/>
      <c r="T22" s="7"/>
      <c r="U22" s="262"/>
      <c r="V22" s="262">
        <v>0.15</v>
      </c>
      <c r="W22" s="254">
        <v>0</v>
      </c>
      <c r="X22" s="254"/>
      <c r="Y22" s="254">
        <v>0</v>
      </c>
      <c r="Z22" s="254"/>
      <c r="AA22" s="254">
        <f>48000+423744</f>
        <v>471744</v>
      </c>
      <c r="AB22" s="254"/>
      <c r="AC22" s="254"/>
      <c r="AD22" s="254"/>
      <c r="AE22" s="266">
        <f t="shared" si="1"/>
        <v>471744</v>
      </c>
      <c r="AF22" s="25" t="s">
        <v>85</v>
      </c>
      <c r="AG22" s="245"/>
      <c r="AH22" s="245"/>
      <c r="AI22" s="245"/>
      <c r="AJ22" s="345"/>
      <c r="AK22" s="43" t="s">
        <v>122</v>
      </c>
      <c r="AL22" s="245"/>
      <c r="AM22" s="245"/>
      <c r="AN22" s="245"/>
      <c r="AO22" s="289"/>
      <c r="AP22" s="289"/>
      <c r="AQ22" s="290"/>
      <c r="AR22" s="290"/>
      <c r="AS22" s="25"/>
      <c r="AT22" s="291" t="s">
        <v>122</v>
      </c>
      <c r="AU22" s="25" t="s">
        <v>197</v>
      </c>
      <c r="AV22" s="43" t="s">
        <v>122</v>
      </c>
      <c r="AW22" s="26" t="s">
        <v>71</v>
      </c>
      <c r="AX22" s="26"/>
      <c r="AY22" s="25"/>
      <c r="AZ22" s="297"/>
      <c r="BA22" s="297"/>
      <c r="BB22" s="297"/>
      <c r="BC22" s="297"/>
      <c r="BD22" s="297"/>
      <c r="BE22" s="297"/>
      <c r="BF22" s="297"/>
      <c r="BG22" s="297"/>
      <c r="BH22" s="297"/>
      <c r="BI22" s="297"/>
      <c r="BJ22" s="297"/>
      <c r="BK22" s="297"/>
      <c r="BL22" s="297"/>
      <c r="BM22" s="297"/>
      <c r="BN22" s="297"/>
      <c r="BO22" s="297"/>
      <c r="BP22" s="297"/>
      <c r="BQ22" s="297"/>
      <c r="BR22" s="297"/>
      <c r="BS22" s="297"/>
      <c r="BT22" s="297"/>
      <c r="BU22" s="297"/>
      <c r="BV22" s="297"/>
      <c r="BW22" s="297"/>
      <c r="BX22" s="297"/>
      <c r="BY22" s="297"/>
      <c r="BZ22" s="297"/>
      <c r="CA22" s="297"/>
      <c r="CB22" s="297"/>
      <c r="CC22" s="297"/>
      <c r="CD22" s="297"/>
      <c r="CE22" s="297"/>
      <c r="CF22" s="297"/>
      <c r="CG22" s="297"/>
      <c r="CH22" s="297"/>
      <c r="CI22" s="297"/>
      <c r="CJ22" s="297"/>
      <c r="CK22" s="297"/>
      <c r="CL22" s="297"/>
      <c r="CM22" s="297"/>
      <c r="CN22" s="297"/>
      <c r="CO22" s="297"/>
      <c r="CP22" s="297"/>
      <c r="CQ22" s="297"/>
      <c r="CR22" s="297"/>
      <c r="CS22" s="297"/>
      <c r="CT22" s="297"/>
      <c r="CU22" s="297"/>
      <c r="CV22" s="297"/>
      <c r="CW22" s="297"/>
      <c r="CX22" s="297"/>
      <c r="CY22" s="297"/>
      <c r="CZ22" s="297"/>
      <c r="DA22" s="297"/>
      <c r="DB22" s="297"/>
      <c r="DC22" s="297"/>
      <c r="DD22" s="297"/>
      <c r="DE22" s="297"/>
      <c r="DF22" s="297"/>
    </row>
    <row r="23" spans="1:110" s="28" customFormat="1" ht="21.75" customHeight="1">
      <c r="A23" s="17"/>
      <c r="B23" s="26" t="s">
        <v>198</v>
      </c>
      <c r="C23" s="25" t="s">
        <v>199</v>
      </c>
      <c r="D23" s="26" t="s">
        <v>200</v>
      </c>
      <c r="E23" s="25" t="s">
        <v>75</v>
      </c>
      <c r="F23" s="25" t="s">
        <v>61</v>
      </c>
      <c r="G23" s="53" t="s">
        <v>175</v>
      </c>
      <c r="H23" s="53" t="s">
        <v>128</v>
      </c>
      <c r="I23" s="295">
        <v>42965</v>
      </c>
      <c r="J23" s="26" t="s">
        <v>201</v>
      </c>
      <c r="K23" s="242">
        <f t="shared" si="0"/>
        <v>547995</v>
      </c>
      <c r="L23" s="243">
        <v>547995</v>
      </c>
      <c r="M23" s="244"/>
      <c r="N23" s="53">
        <v>547995</v>
      </c>
      <c r="O23" s="244"/>
      <c r="P23" s="244"/>
      <c r="Q23" s="244"/>
      <c r="R23" s="244"/>
      <c r="S23" s="7"/>
      <c r="T23" s="7"/>
      <c r="U23" s="262"/>
      <c r="V23" s="262">
        <v>0.15</v>
      </c>
      <c r="W23" s="254">
        <v>0</v>
      </c>
      <c r="X23" s="254"/>
      <c r="Y23" s="254">
        <v>465795.75</v>
      </c>
      <c r="Z23" s="254"/>
      <c r="AA23" s="254">
        <v>0</v>
      </c>
      <c r="AB23" s="254"/>
      <c r="AC23" s="254"/>
      <c r="AD23" s="254"/>
      <c r="AE23" s="266">
        <f t="shared" si="1"/>
        <v>465795.75</v>
      </c>
      <c r="AF23" s="25" t="s">
        <v>85</v>
      </c>
      <c r="AG23" s="245"/>
      <c r="AH23" s="245"/>
      <c r="AI23" s="245"/>
      <c r="AJ23" s="345"/>
      <c r="AK23" s="43" t="s">
        <v>66</v>
      </c>
      <c r="AL23" s="245"/>
      <c r="AM23" s="245"/>
      <c r="AN23" s="245"/>
      <c r="AO23" s="289" t="s">
        <v>86</v>
      </c>
      <c r="AP23" s="289"/>
      <c r="AQ23" s="290">
        <v>43038</v>
      </c>
      <c r="AR23" s="290">
        <v>43125</v>
      </c>
      <c r="AS23" s="25" t="s">
        <v>78</v>
      </c>
      <c r="AT23" s="291">
        <v>43375</v>
      </c>
      <c r="AU23" s="25" t="s">
        <v>122</v>
      </c>
      <c r="AV23" s="43" t="s">
        <v>66</v>
      </c>
      <c r="AW23" s="26" t="s">
        <v>71</v>
      </c>
      <c r="AX23" s="26"/>
      <c r="AY23" s="25"/>
      <c r="AZ23" s="297"/>
      <c r="BA23" s="297"/>
      <c r="BB23" s="297"/>
      <c r="BC23" s="297"/>
      <c r="BD23" s="297"/>
      <c r="BE23" s="297"/>
      <c r="BF23" s="297"/>
      <c r="BG23" s="297"/>
      <c r="BH23" s="297"/>
      <c r="BI23" s="297"/>
      <c r="BJ23" s="297"/>
      <c r="BK23" s="297"/>
      <c r="BL23" s="297"/>
      <c r="BM23" s="297"/>
      <c r="BN23" s="297"/>
      <c r="BO23" s="297"/>
      <c r="BP23" s="297"/>
      <c r="BQ23" s="297"/>
      <c r="BR23" s="297"/>
      <c r="BS23" s="297"/>
      <c r="BT23" s="297"/>
      <c r="BU23" s="297"/>
      <c r="BV23" s="297"/>
      <c r="BW23" s="297"/>
      <c r="BX23" s="297"/>
      <c r="BY23" s="297"/>
      <c r="BZ23" s="297"/>
      <c r="CA23" s="297"/>
      <c r="CB23" s="297"/>
      <c r="CC23" s="297"/>
      <c r="CD23" s="297"/>
      <c r="CE23" s="297"/>
      <c r="CF23" s="297"/>
      <c r="CG23" s="297"/>
      <c r="CH23" s="297"/>
      <c r="CI23" s="297"/>
      <c r="CJ23" s="297"/>
      <c r="CK23" s="297"/>
      <c r="CL23" s="297"/>
      <c r="CM23" s="297"/>
      <c r="CN23" s="297"/>
      <c r="CO23" s="297"/>
      <c r="CP23" s="297"/>
      <c r="CQ23" s="297"/>
      <c r="CR23" s="297"/>
      <c r="CS23" s="297"/>
      <c r="CT23" s="297"/>
      <c r="CU23" s="297"/>
      <c r="CV23" s="297"/>
      <c r="CW23" s="297"/>
      <c r="CX23" s="297"/>
      <c r="CY23" s="297"/>
      <c r="CZ23" s="297"/>
      <c r="DA23" s="297"/>
      <c r="DB23" s="297"/>
      <c r="DC23" s="297"/>
      <c r="DD23" s="297"/>
      <c r="DE23" s="297"/>
      <c r="DF23" s="297"/>
    </row>
    <row r="24" spans="1:110" s="28" customFormat="1" ht="21.75" customHeight="1">
      <c r="A24" s="17" t="s">
        <v>202</v>
      </c>
      <c r="B24" s="26" t="s">
        <v>203</v>
      </c>
      <c r="C24" s="16" t="s">
        <v>204</v>
      </c>
      <c r="D24" s="26" t="s">
        <v>205</v>
      </c>
      <c r="E24" s="25" t="s">
        <v>126</v>
      </c>
      <c r="F24" s="25" t="s">
        <v>61</v>
      </c>
      <c r="G24" s="53" t="s">
        <v>157</v>
      </c>
      <c r="H24" s="53" t="s">
        <v>128</v>
      </c>
      <c r="I24" s="295">
        <v>42969</v>
      </c>
      <c r="J24" s="26"/>
      <c r="K24" s="242">
        <f t="shared" si="0"/>
        <v>500000</v>
      </c>
      <c r="L24" s="243">
        <v>500000</v>
      </c>
      <c r="M24" s="244"/>
      <c r="N24" s="244"/>
      <c r="O24" s="53">
        <v>500000</v>
      </c>
      <c r="P24" s="244"/>
      <c r="Q24" s="244"/>
      <c r="R24" s="244"/>
      <c r="S24" s="7"/>
      <c r="T24" s="7"/>
      <c r="U24" s="262"/>
      <c r="V24" s="262">
        <v>0.15</v>
      </c>
      <c r="W24" s="26">
        <v>0</v>
      </c>
      <c r="X24" s="26"/>
      <c r="Y24" s="26">
        <v>425000</v>
      </c>
      <c r="Z24" s="26"/>
      <c r="AA24" s="26">
        <v>0</v>
      </c>
      <c r="AB24" s="26"/>
      <c r="AC24" s="26"/>
      <c r="AD24" s="26"/>
      <c r="AE24" s="266">
        <f t="shared" si="1"/>
        <v>425000</v>
      </c>
      <c r="AF24" s="25" t="s">
        <v>145</v>
      </c>
      <c r="AG24" s="245"/>
      <c r="AH24" s="245"/>
      <c r="AI24" s="245"/>
      <c r="AJ24" s="345"/>
      <c r="AK24" s="43" t="s">
        <v>66</v>
      </c>
      <c r="AL24" s="245"/>
      <c r="AM24" s="245"/>
      <c r="AN24" s="245"/>
      <c r="AO24" s="289" t="s">
        <v>86</v>
      </c>
      <c r="AP24" s="289"/>
      <c r="AQ24" s="290">
        <v>43110</v>
      </c>
      <c r="AR24" s="290">
        <v>43047</v>
      </c>
      <c r="AS24" s="25" t="s">
        <v>78</v>
      </c>
      <c r="AT24" s="291">
        <v>43474</v>
      </c>
      <c r="AU24" s="25" t="s">
        <v>122</v>
      </c>
      <c r="AV24" s="43" t="s">
        <v>66</v>
      </c>
      <c r="AW24" s="26" t="s">
        <v>71</v>
      </c>
      <c r="AX24" s="26"/>
      <c r="AY24" s="25"/>
      <c r="AZ24" s="297"/>
      <c r="BA24" s="297"/>
      <c r="BB24" s="297"/>
      <c r="BC24" s="297"/>
      <c r="BD24" s="297"/>
      <c r="BE24" s="297"/>
      <c r="BF24" s="297"/>
      <c r="BG24" s="297"/>
      <c r="BH24" s="297"/>
      <c r="BI24" s="297"/>
      <c r="BJ24" s="297"/>
      <c r="BK24" s="297"/>
      <c r="BL24" s="297"/>
      <c r="BM24" s="297"/>
      <c r="BN24" s="297"/>
      <c r="BO24" s="297"/>
      <c r="BP24" s="297"/>
      <c r="BQ24" s="297"/>
      <c r="BR24" s="297"/>
      <c r="BS24" s="297"/>
      <c r="BT24" s="297"/>
      <c r="BU24" s="297"/>
      <c r="BV24" s="297"/>
      <c r="BW24" s="297"/>
      <c r="BX24" s="297"/>
      <c r="BY24" s="297"/>
      <c r="BZ24" s="297"/>
      <c r="CA24" s="297"/>
      <c r="CB24" s="297"/>
      <c r="CC24" s="297"/>
      <c r="CD24" s="297"/>
      <c r="CE24" s="297"/>
      <c r="CF24" s="297"/>
      <c r="CG24" s="297"/>
      <c r="CH24" s="297"/>
      <c r="CI24" s="297"/>
      <c r="CJ24" s="297"/>
      <c r="CK24" s="297"/>
      <c r="CL24" s="297"/>
      <c r="CM24" s="297"/>
      <c r="CN24" s="297"/>
      <c r="CO24" s="297"/>
      <c r="CP24" s="297"/>
      <c r="CQ24" s="297"/>
      <c r="CR24" s="297"/>
      <c r="CS24" s="297"/>
      <c r="CT24" s="297"/>
      <c r="CU24" s="297"/>
      <c r="CV24" s="297"/>
      <c r="CW24" s="297"/>
      <c r="CX24" s="297"/>
      <c r="CY24" s="297"/>
      <c r="CZ24" s="297"/>
      <c r="DA24" s="297"/>
      <c r="DB24" s="297"/>
      <c r="DC24" s="297"/>
      <c r="DD24" s="297"/>
      <c r="DE24" s="297"/>
      <c r="DF24" s="297"/>
    </row>
    <row r="25" spans="1:110" s="28" customFormat="1" ht="21.75" customHeight="1">
      <c r="A25" s="17" t="s">
        <v>206</v>
      </c>
      <c r="B25" s="26" t="s">
        <v>207</v>
      </c>
      <c r="C25" s="16" t="s">
        <v>208</v>
      </c>
      <c r="D25" s="26" t="s">
        <v>209</v>
      </c>
      <c r="E25" s="25" t="s">
        <v>75</v>
      </c>
      <c r="F25" s="25" t="s">
        <v>61</v>
      </c>
      <c r="G25" s="53" t="s">
        <v>175</v>
      </c>
      <c r="H25" s="53" t="s">
        <v>128</v>
      </c>
      <c r="I25" s="295">
        <v>42990</v>
      </c>
      <c r="J25" s="26" t="s">
        <v>210</v>
      </c>
      <c r="K25" s="242">
        <f t="shared" si="0"/>
        <v>6800000</v>
      </c>
      <c r="L25" s="243">
        <v>6800000</v>
      </c>
      <c r="M25" s="244"/>
      <c r="N25" s="244"/>
      <c r="O25" s="53" t="s">
        <v>211</v>
      </c>
      <c r="P25" s="244"/>
      <c r="Q25" s="244"/>
      <c r="R25" s="244"/>
      <c r="S25" s="7"/>
      <c r="T25" s="7"/>
      <c r="U25" s="262"/>
      <c r="V25" s="262">
        <v>0.15</v>
      </c>
      <c r="W25" s="26">
        <v>0</v>
      </c>
      <c r="X25" s="26"/>
      <c r="Y25" s="26">
        <v>5724900</v>
      </c>
      <c r="Z25" s="26"/>
      <c r="AA25" s="26">
        <v>0</v>
      </c>
      <c r="AB25" s="26"/>
      <c r="AC25" s="26"/>
      <c r="AD25" s="26"/>
      <c r="AE25" s="266">
        <f t="shared" si="1"/>
        <v>5724900</v>
      </c>
      <c r="AF25" s="25" t="s">
        <v>85</v>
      </c>
      <c r="AG25" s="245"/>
      <c r="AH25" s="245"/>
      <c r="AI25" s="245"/>
      <c r="AJ25" s="345"/>
      <c r="AK25" s="43" t="s">
        <v>212</v>
      </c>
      <c r="AL25" s="245"/>
      <c r="AM25" s="245"/>
      <c r="AN25" s="245"/>
      <c r="AO25" s="289"/>
      <c r="AP25" s="289"/>
      <c r="AQ25" s="290"/>
      <c r="AR25" s="290"/>
      <c r="AS25" s="25"/>
      <c r="AT25" s="291"/>
      <c r="AU25" s="25" t="s">
        <v>213</v>
      </c>
      <c r="AV25" s="43" t="s">
        <v>212</v>
      </c>
      <c r="AW25" s="297" t="s">
        <v>214</v>
      </c>
      <c r="AX25" s="26"/>
      <c r="AY25" s="25"/>
      <c r="AZ25" s="297"/>
      <c r="BA25" s="297"/>
      <c r="BB25" s="297"/>
      <c r="BC25" s="297"/>
      <c r="BD25" s="297"/>
      <c r="BE25" s="297"/>
      <c r="BF25" s="297"/>
      <c r="BG25" s="297"/>
      <c r="BH25" s="297"/>
      <c r="BI25" s="297"/>
      <c r="BJ25" s="297"/>
      <c r="BK25" s="297"/>
      <c r="BL25" s="297"/>
      <c r="BM25" s="297"/>
      <c r="BN25" s="297"/>
      <c r="BO25" s="297"/>
      <c r="BP25" s="297"/>
      <c r="BQ25" s="297"/>
      <c r="BR25" s="297"/>
      <c r="BS25" s="297"/>
      <c r="BT25" s="297"/>
      <c r="BU25" s="297"/>
      <c r="BV25" s="297"/>
      <c r="BW25" s="297"/>
      <c r="BX25" s="297"/>
      <c r="BY25" s="297"/>
      <c r="BZ25" s="297"/>
      <c r="CA25" s="297"/>
      <c r="CB25" s="297"/>
      <c r="CC25" s="297"/>
      <c r="CD25" s="297"/>
      <c r="CE25" s="297"/>
      <c r="CF25" s="297"/>
      <c r="CG25" s="297"/>
      <c r="CH25" s="297"/>
      <c r="CI25" s="297"/>
      <c r="CJ25" s="297"/>
      <c r="CK25" s="297"/>
      <c r="CL25" s="297"/>
      <c r="CM25" s="297"/>
      <c r="CN25" s="297"/>
      <c r="CO25" s="297"/>
      <c r="CP25" s="297"/>
      <c r="CQ25" s="297"/>
      <c r="CR25" s="297"/>
      <c r="CS25" s="297"/>
      <c r="CT25" s="297"/>
      <c r="CU25" s="297"/>
      <c r="CV25" s="297"/>
      <c r="CW25" s="297"/>
      <c r="CX25" s="297"/>
      <c r="CY25" s="297"/>
      <c r="CZ25" s="297"/>
      <c r="DA25" s="297"/>
      <c r="DB25" s="297"/>
      <c r="DC25" s="297"/>
      <c r="DD25" s="297"/>
      <c r="DE25" s="297"/>
      <c r="DF25" s="297"/>
    </row>
    <row r="26" spans="1:110" s="28" customFormat="1" ht="21.75" customHeight="1">
      <c r="A26" s="26" t="s">
        <v>215</v>
      </c>
      <c r="B26" s="26" t="s">
        <v>216</v>
      </c>
      <c r="C26" s="25" t="s">
        <v>217</v>
      </c>
      <c r="D26" s="24" t="s">
        <v>218</v>
      </c>
      <c r="E26" s="4" t="s">
        <v>83</v>
      </c>
      <c r="F26" s="25" t="s">
        <v>61</v>
      </c>
      <c r="G26" s="24" t="s">
        <v>150</v>
      </c>
      <c r="H26" s="24" t="s">
        <v>84</v>
      </c>
      <c r="I26" s="87">
        <v>43004</v>
      </c>
      <c r="J26" s="26"/>
      <c r="K26" s="242">
        <f t="shared" si="0"/>
        <v>363600</v>
      </c>
      <c r="L26" s="7">
        <f>94200+269400</f>
        <v>363600</v>
      </c>
      <c r="M26" s="244">
        <v>94200</v>
      </c>
      <c r="N26" s="244"/>
      <c r="O26" s="244">
        <v>269400</v>
      </c>
      <c r="P26" s="244"/>
      <c r="Q26" s="244"/>
      <c r="R26" s="244"/>
      <c r="S26" s="7"/>
      <c r="T26" s="7"/>
      <c r="U26" s="262"/>
      <c r="V26" s="262">
        <v>0.3</v>
      </c>
      <c r="W26" s="254">
        <v>61110</v>
      </c>
      <c r="X26" s="254"/>
      <c r="Y26" s="254">
        <v>194608</v>
      </c>
      <c r="Z26" s="254"/>
      <c r="AA26" s="254">
        <v>0</v>
      </c>
      <c r="AB26" s="254"/>
      <c r="AC26" s="254"/>
      <c r="AD26" s="254"/>
      <c r="AE26" s="266">
        <f t="shared" si="1"/>
        <v>255718</v>
      </c>
      <c r="AF26" s="24" t="s">
        <v>132</v>
      </c>
      <c r="AG26" s="24"/>
      <c r="AH26" s="24"/>
      <c r="AI26" s="24"/>
      <c r="AJ26" s="345"/>
      <c r="AK26" s="43" t="s">
        <v>66</v>
      </c>
      <c r="AL26" s="24"/>
      <c r="AM26" s="24"/>
      <c r="AN26" s="24"/>
      <c r="AO26" s="289" t="s">
        <v>86</v>
      </c>
      <c r="AP26" s="289"/>
      <c r="AQ26" s="290">
        <v>43008</v>
      </c>
      <c r="AR26" s="290">
        <v>43059</v>
      </c>
      <c r="AS26" s="25"/>
      <c r="AT26" s="291">
        <v>43008</v>
      </c>
      <c r="AU26" s="25" t="s">
        <v>219</v>
      </c>
      <c r="AV26" s="43" t="s">
        <v>66</v>
      </c>
      <c r="AW26" s="26" t="s">
        <v>71</v>
      </c>
      <c r="AX26" s="26"/>
      <c r="AY26" s="25"/>
      <c r="AZ26" s="297"/>
      <c r="BA26" s="297"/>
      <c r="BB26" s="297"/>
      <c r="BC26" s="297"/>
      <c r="BD26" s="297"/>
      <c r="BE26" s="297"/>
      <c r="BF26" s="297"/>
      <c r="BG26" s="297"/>
      <c r="BH26" s="297"/>
      <c r="BI26" s="297"/>
      <c r="BJ26" s="297"/>
      <c r="BK26" s="297"/>
      <c r="BL26" s="297"/>
      <c r="BM26" s="297"/>
      <c r="BN26" s="297"/>
      <c r="BO26" s="297"/>
      <c r="BP26" s="297"/>
      <c r="BQ26" s="297"/>
      <c r="BR26" s="297"/>
      <c r="BS26" s="297"/>
      <c r="BT26" s="297"/>
      <c r="BU26" s="297"/>
      <c r="BV26" s="297"/>
      <c r="BW26" s="297"/>
      <c r="BX26" s="297"/>
      <c r="BY26" s="297"/>
      <c r="BZ26" s="297"/>
      <c r="CA26" s="297"/>
      <c r="CB26" s="297"/>
      <c r="CC26" s="297"/>
      <c r="CD26" s="297"/>
      <c r="CE26" s="297"/>
      <c r="CF26" s="297"/>
      <c r="CG26" s="297"/>
      <c r="CH26" s="297"/>
      <c r="CI26" s="297"/>
      <c r="CJ26" s="297"/>
      <c r="CK26" s="297"/>
      <c r="CL26" s="297"/>
      <c r="CM26" s="297"/>
      <c r="CN26" s="297"/>
      <c r="CO26" s="297"/>
      <c r="CP26" s="297"/>
      <c r="CQ26" s="297"/>
      <c r="CR26" s="297"/>
      <c r="CS26" s="297"/>
      <c r="CT26" s="297"/>
      <c r="CU26" s="297"/>
      <c r="CV26" s="297"/>
      <c r="CW26" s="297"/>
      <c r="CX26" s="297"/>
      <c r="CY26" s="297"/>
      <c r="CZ26" s="297"/>
      <c r="DA26" s="297"/>
      <c r="DB26" s="297"/>
      <c r="DC26" s="297"/>
      <c r="DD26" s="297"/>
      <c r="DE26" s="297"/>
      <c r="DF26" s="297"/>
    </row>
    <row r="27" spans="1:110" s="28" customFormat="1" ht="39.75" customHeight="1">
      <c r="A27" s="17" t="s">
        <v>220</v>
      </c>
      <c r="B27" s="26" t="s">
        <v>221</v>
      </c>
      <c r="C27" s="16" t="s">
        <v>222</v>
      </c>
      <c r="D27" s="26" t="s">
        <v>223</v>
      </c>
      <c r="E27" s="25" t="s">
        <v>224</v>
      </c>
      <c r="F27" s="25" t="s">
        <v>61</v>
      </c>
      <c r="G27" s="53" t="s">
        <v>76</v>
      </c>
      <c r="H27" s="53"/>
      <c r="I27" s="295">
        <v>43031</v>
      </c>
      <c r="J27" s="26"/>
      <c r="K27" s="242">
        <f t="shared" si="0"/>
        <v>924847</v>
      </c>
      <c r="L27" s="243">
        <v>924847</v>
      </c>
      <c r="M27" s="244"/>
      <c r="N27" s="244"/>
      <c r="O27" s="53" t="s">
        <v>225</v>
      </c>
      <c r="P27" s="244"/>
      <c r="Q27" s="244"/>
      <c r="R27" s="244"/>
      <c r="S27" s="7"/>
      <c r="T27" s="7"/>
      <c r="U27" s="262"/>
      <c r="V27" s="262">
        <v>0.15</v>
      </c>
      <c r="W27" s="26"/>
      <c r="X27" s="26"/>
      <c r="Y27" s="26">
        <v>786120</v>
      </c>
      <c r="Z27" s="26"/>
      <c r="AA27" s="26"/>
      <c r="AB27" s="26"/>
      <c r="AC27" s="26"/>
      <c r="AD27" s="26"/>
      <c r="AE27" s="266">
        <f t="shared" si="1"/>
        <v>786120</v>
      </c>
      <c r="AF27" s="25" t="s">
        <v>145</v>
      </c>
      <c r="AG27" s="245"/>
      <c r="AH27" s="245"/>
      <c r="AI27" s="245"/>
      <c r="AJ27" s="345"/>
      <c r="AK27" s="43" t="s">
        <v>66</v>
      </c>
      <c r="AL27" s="245"/>
      <c r="AM27" s="245"/>
      <c r="AN27" s="245"/>
      <c r="AO27" s="289" t="s">
        <v>86</v>
      </c>
      <c r="AP27" s="289"/>
      <c r="AQ27" s="290">
        <v>43102</v>
      </c>
      <c r="AR27" s="290"/>
      <c r="AS27" s="25" t="s">
        <v>78</v>
      </c>
      <c r="AT27" s="291">
        <v>43466</v>
      </c>
      <c r="AU27" s="25" t="s">
        <v>122</v>
      </c>
      <c r="AV27" s="43" t="s">
        <v>66</v>
      </c>
      <c r="AW27" s="26" t="s">
        <v>71</v>
      </c>
      <c r="AX27" s="26"/>
      <c r="AY27" s="25"/>
      <c r="AZ27" s="297"/>
      <c r="BA27" s="297"/>
      <c r="BB27" s="297"/>
      <c r="BC27" s="297"/>
      <c r="BD27" s="297"/>
      <c r="BE27" s="297"/>
      <c r="BF27" s="297"/>
      <c r="BG27" s="297"/>
      <c r="BH27" s="297"/>
      <c r="BI27" s="297"/>
      <c r="BJ27" s="297"/>
      <c r="BK27" s="297"/>
      <c r="BL27" s="297"/>
      <c r="BM27" s="297"/>
      <c r="BN27" s="297"/>
      <c r="BO27" s="297"/>
      <c r="BP27" s="297"/>
      <c r="BQ27" s="297"/>
      <c r="BR27" s="297"/>
      <c r="BS27" s="297"/>
      <c r="BT27" s="297"/>
      <c r="BU27" s="297"/>
      <c r="BV27" s="297"/>
      <c r="BW27" s="297"/>
      <c r="BX27" s="297"/>
      <c r="BY27" s="297"/>
      <c r="BZ27" s="297"/>
      <c r="CA27" s="297"/>
      <c r="CB27" s="297"/>
      <c r="CC27" s="297"/>
      <c r="CD27" s="297"/>
      <c r="CE27" s="297"/>
      <c r="CF27" s="297"/>
      <c r="CG27" s="297"/>
      <c r="CH27" s="297"/>
      <c r="CI27" s="297"/>
      <c r="CJ27" s="297"/>
      <c r="CK27" s="297"/>
      <c r="CL27" s="297"/>
      <c r="CM27" s="297"/>
      <c r="CN27" s="297"/>
      <c r="CO27" s="297"/>
      <c r="CP27" s="297"/>
      <c r="CQ27" s="297"/>
      <c r="CR27" s="297"/>
      <c r="CS27" s="297"/>
      <c r="CT27" s="297"/>
      <c r="CU27" s="297"/>
      <c r="CV27" s="297"/>
      <c r="CW27" s="297"/>
      <c r="CX27" s="297"/>
      <c r="CY27" s="297"/>
      <c r="CZ27" s="297"/>
      <c r="DA27" s="297"/>
      <c r="DB27" s="297"/>
      <c r="DC27" s="297"/>
      <c r="DD27" s="297"/>
      <c r="DE27" s="297"/>
      <c r="DF27" s="297"/>
    </row>
    <row r="28" spans="1:110" s="28" customFormat="1" ht="39.75" customHeight="1">
      <c r="A28" s="16"/>
      <c r="B28" s="26" t="s">
        <v>221</v>
      </c>
      <c r="D28" s="26" t="s">
        <v>226</v>
      </c>
      <c r="E28" s="25"/>
      <c r="F28" s="25"/>
      <c r="G28" s="53"/>
      <c r="H28" s="53"/>
      <c r="I28" s="295"/>
      <c r="J28" s="26"/>
      <c r="K28" s="242"/>
      <c r="L28" s="243"/>
      <c r="M28" s="244"/>
      <c r="N28" s="244"/>
      <c r="O28" s="244"/>
      <c r="P28" s="244"/>
      <c r="Q28" s="244"/>
      <c r="R28" s="244"/>
      <c r="S28" s="7"/>
      <c r="T28" s="7"/>
      <c r="U28" s="262"/>
      <c r="V28" s="262"/>
      <c r="W28" s="26"/>
      <c r="X28" s="26"/>
      <c r="Y28" s="26"/>
      <c r="Z28" s="26"/>
      <c r="AA28" s="26"/>
      <c r="AB28" s="26"/>
      <c r="AC28" s="26"/>
      <c r="AD28" s="26"/>
      <c r="AE28" s="266"/>
      <c r="AF28" s="25"/>
      <c r="AG28" s="245"/>
      <c r="AH28" s="245"/>
      <c r="AI28" s="245"/>
      <c r="AJ28" s="345"/>
      <c r="AK28" s="43" t="s">
        <v>66</v>
      </c>
      <c r="AL28" s="245"/>
      <c r="AM28" s="245"/>
      <c r="AN28" s="245"/>
      <c r="AO28" s="289" t="s">
        <v>86</v>
      </c>
      <c r="AP28" s="289"/>
      <c r="AQ28" s="290">
        <v>43365</v>
      </c>
      <c r="AR28" s="290">
        <v>43366</v>
      </c>
      <c r="AS28" s="25" t="s">
        <v>78</v>
      </c>
      <c r="AT28" s="291">
        <v>43729</v>
      </c>
      <c r="AU28" s="25" t="s">
        <v>88</v>
      </c>
      <c r="AV28" s="43" t="s">
        <v>66</v>
      </c>
      <c r="AW28" s="26" t="s">
        <v>71</v>
      </c>
      <c r="AX28" s="26"/>
      <c r="AY28" s="25"/>
      <c r="AZ28" s="297"/>
      <c r="BA28" s="297"/>
      <c r="BB28" s="297"/>
      <c r="BC28" s="297"/>
      <c r="BD28" s="297"/>
      <c r="BE28" s="297"/>
      <c r="BF28" s="297"/>
      <c r="BG28" s="297"/>
      <c r="BH28" s="297"/>
      <c r="BI28" s="297"/>
      <c r="BJ28" s="297"/>
      <c r="BK28" s="297"/>
      <c r="BL28" s="297"/>
      <c r="BM28" s="297"/>
      <c r="BN28" s="297"/>
      <c r="BO28" s="297"/>
      <c r="BP28" s="297"/>
      <c r="BQ28" s="297"/>
      <c r="BR28" s="297"/>
      <c r="BS28" s="297"/>
      <c r="BT28" s="297"/>
      <c r="BU28" s="297"/>
      <c r="BV28" s="297"/>
      <c r="BW28" s="297"/>
      <c r="BX28" s="297"/>
      <c r="BY28" s="297"/>
      <c r="BZ28" s="297"/>
      <c r="CA28" s="297"/>
      <c r="CB28" s="297"/>
      <c r="CC28" s="297"/>
      <c r="CD28" s="297"/>
      <c r="CE28" s="297"/>
      <c r="CF28" s="297"/>
      <c r="CG28" s="297"/>
      <c r="CH28" s="297"/>
      <c r="CI28" s="297"/>
      <c r="CJ28" s="297"/>
      <c r="CK28" s="297"/>
      <c r="CL28" s="297"/>
      <c r="CM28" s="297"/>
      <c r="CN28" s="297"/>
      <c r="CO28" s="297"/>
      <c r="CP28" s="297"/>
      <c r="CQ28" s="297"/>
      <c r="CR28" s="297"/>
      <c r="CS28" s="297"/>
      <c r="CT28" s="297"/>
      <c r="CU28" s="297"/>
      <c r="CV28" s="297"/>
      <c r="CW28" s="297"/>
      <c r="CX28" s="297"/>
      <c r="CY28" s="297"/>
      <c r="CZ28" s="297"/>
      <c r="DA28" s="297"/>
      <c r="DB28" s="297"/>
      <c r="DC28" s="297"/>
      <c r="DD28" s="297"/>
      <c r="DE28" s="297"/>
      <c r="DF28" s="297"/>
    </row>
    <row r="29" spans="1:110" s="28" customFormat="1" ht="21.75" customHeight="1">
      <c r="A29" s="17" t="s">
        <v>227</v>
      </c>
      <c r="B29" s="26" t="s">
        <v>228</v>
      </c>
      <c r="C29" s="16" t="s">
        <v>229</v>
      </c>
      <c r="D29" s="26" t="s">
        <v>230</v>
      </c>
      <c r="E29" s="25" t="s">
        <v>126</v>
      </c>
      <c r="F29" s="25" t="s">
        <v>61</v>
      </c>
      <c r="G29" s="53" t="s">
        <v>76</v>
      </c>
      <c r="H29" s="53"/>
      <c r="I29" s="295">
        <v>43031</v>
      </c>
      <c r="J29" s="26"/>
      <c r="K29" s="242">
        <f t="shared" ref="K29:K67" si="2">L29+S29</f>
        <v>180417</v>
      </c>
      <c r="L29" s="243">
        <f>117117+63300</f>
        <v>180417</v>
      </c>
      <c r="M29" s="307" t="s">
        <v>231</v>
      </c>
      <c r="N29" s="244"/>
      <c r="O29" s="307" t="s">
        <v>232</v>
      </c>
      <c r="P29" s="244"/>
      <c r="Q29" s="244"/>
      <c r="R29" s="244"/>
      <c r="S29" s="7"/>
      <c r="T29" s="7"/>
      <c r="U29" s="263"/>
      <c r="V29" s="262">
        <f>1-(W29+Y29)/L29</f>
        <v>0.15000249422171963</v>
      </c>
      <c r="W29" s="26">
        <v>99549</v>
      </c>
      <c r="X29" s="26"/>
      <c r="Y29" s="26">
        <v>53805</v>
      </c>
      <c r="Z29" s="26"/>
      <c r="AA29" s="26"/>
      <c r="AB29" s="26"/>
      <c r="AC29" s="26"/>
      <c r="AD29" s="26"/>
      <c r="AE29" s="266">
        <f t="shared" si="1"/>
        <v>153354</v>
      </c>
      <c r="AF29" s="25" t="s">
        <v>145</v>
      </c>
      <c r="AG29" s="245"/>
      <c r="AH29" s="245"/>
      <c r="AI29" s="245"/>
      <c r="AJ29" s="345"/>
      <c r="AK29" s="43" t="s">
        <v>66</v>
      </c>
      <c r="AL29" s="245"/>
      <c r="AM29" s="245"/>
      <c r="AN29" s="245"/>
      <c r="AO29" s="289" t="s">
        <v>86</v>
      </c>
      <c r="AP29" s="289"/>
      <c r="AQ29" s="290">
        <v>43251</v>
      </c>
      <c r="AR29" s="290"/>
      <c r="AS29" s="25" t="s">
        <v>78</v>
      </c>
      <c r="AT29" s="291">
        <v>43525</v>
      </c>
      <c r="AU29" s="25" t="s">
        <v>88</v>
      </c>
      <c r="AV29" s="43" t="s">
        <v>66</v>
      </c>
      <c r="AW29" s="26" t="s">
        <v>71</v>
      </c>
      <c r="AX29" s="26"/>
      <c r="AY29" s="25"/>
      <c r="AZ29" s="297"/>
      <c r="BA29" s="297"/>
      <c r="BB29" s="297"/>
      <c r="BC29" s="297"/>
      <c r="BD29" s="297"/>
      <c r="BE29" s="297"/>
      <c r="BF29" s="297"/>
      <c r="BG29" s="297"/>
      <c r="BH29" s="297"/>
      <c r="BI29" s="297"/>
      <c r="BJ29" s="297"/>
      <c r="BK29" s="297"/>
      <c r="BL29" s="297"/>
      <c r="BM29" s="297"/>
      <c r="BN29" s="297"/>
      <c r="BO29" s="297"/>
      <c r="BP29" s="297"/>
      <c r="BQ29" s="297"/>
      <c r="BR29" s="297"/>
      <c r="BS29" s="297"/>
      <c r="BT29" s="297"/>
      <c r="BU29" s="297"/>
      <c r="BV29" s="297"/>
      <c r="BW29" s="297"/>
      <c r="BX29" s="297"/>
      <c r="BY29" s="297"/>
      <c r="BZ29" s="297"/>
      <c r="CA29" s="297"/>
      <c r="CB29" s="297"/>
      <c r="CC29" s="297"/>
      <c r="CD29" s="297"/>
      <c r="CE29" s="297"/>
      <c r="CF29" s="297"/>
      <c r="CG29" s="297"/>
      <c r="CH29" s="297"/>
      <c r="CI29" s="297"/>
      <c r="CJ29" s="297"/>
      <c r="CK29" s="297"/>
      <c r="CL29" s="297"/>
      <c r="CM29" s="297"/>
      <c r="CN29" s="297"/>
      <c r="CO29" s="297"/>
      <c r="CP29" s="297"/>
      <c r="CQ29" s="297"/>
      <c r="CR29" s="297"/>
      <c r="CS29" s="297"/>
      <c r="CT29" s="297"/>
      <c r="CU29" s="297"/>
      <c r="CV29" s="297"/>
      <c r="CW29" s="297"/>
      <c r="CX29" s="297"/>
      <c r="CY29" s="297"/>
      <c r="CZ29" s="297"/>
      <c r="DA29" s="297"/>
      <c r="DB29" s="297"/>
      <c r="DC29" s="297"/>
      <c r="DD29" s="297"/>
      <c r="DE29" s="297"/>
      <c r="DF29" s="297"/>
    </row>
    <row r="30" spans="1:110" s="28" customFormat="1" ht="21.75" customHeight="1">
      <c r="A30" s="17" t="s">
        <v>233</v>
      </c>
      <c r="B30" s="26" t="s">
        <v>234</v>
      </c>
      <c r="C30" s="16" t="s">
        <v>235</v>
      </c>
      <c r="D30" s="26" t="s">
        <v>236</v>
      </c>
      <c r="E30" s="25" t="s">
        <v>126</v>
      </c>
      <c r="F30" s="25" t="s">
        <v>61</v>
      </c>
      <c r="G30" s="53" t="s">
        <v>76</v>
      </c>
      <c r="H30" s="53"/>
      <c r="I30" s="295">
        <v>43031</v>
      </c>
      <c r="J30" s="26"/>
      <c r="K30" s="242">
        <f t="shared" si="2"/>
        <v>126588</v>
      </c>
      <c r="L30" s="243">
        <f>100088+26500</f>
        <v>126588</v>
      </c>
      <c r="M30" s="307" t="s">
        <v>237</v>
      </c>
      <c r="N30" s="244"/>
      <c r="O30" s="307" t="s">
        <v>238</v>
      </c>
      <c r="P30" s="244"/>
      <c r="Q30" s="244"/>
      <c r="R30" s="244"/>
      <c r="S30" s="7"/>
      <c r="T30" s="7"/>
      <c r="U30" s="263"/>
      <c r="V30" s="262">
        <f>1-(W30+Y30)/L30</f>
        <v>0.14999842007141273</v>
      </c>
      <c r="W30" s="26">
        <v>85075</v>
      </c>
      <c r="X30" s="26"/>
      <c r="Y30" s="26">
        <v>22525</v>
      </c>
      <c r="Z30" s="26"/>
      <c r="AA30" s="26"/>
      <c r="AB30" s="26"/>
      <c r="AC30" s="26"/>
      <c r="AD30" s="26"/>
      <c r="AE30" s="266">
        <f t="shared" si="1"/>
        <v>107600</v>
      </c>
      <c r="AF30" s="25" t="s">
        <v>145</v>
      </c>
      <c r="AG30" s="245"/>
      <c r="AH30" s="245"/>
      <c r="AI30" s="245"/>
      <c r="AJ30" s="345"/>
      <c r="AK30" s="43" t="s">
        <v>66</v>
      </c>
      <c r="AL30" s="245"/>
      <c r="AM30" s="245"/>
      <c r="AN30" s="245"/>
      <c r="AO30" s="289" t="s">
        <v>86</v>
      </c>
      <c r="AP30" s="289"/>
      <c r="AQ30" s="290">
        <v>43251</v>
      </c>
      <c r="AR30" s="290"/>
      <c r="AS30" s="25" t="s">
        <v>78</v>
      </c>
      <c r="AT30" s="291">
        <v>43525</v>
      </c>
      <c r="AU30" s="25" t="s">
        <v>88</v>
      </c>
      <c r="AV30" s="43" t="s">
        <v>66</v>
      </c>
      <c r="AW30" s="26" t="s">
        <v>71</v>
      </c>
      <c r="AX30" s="26"/>
      <c r="AY30" s="25"/>
      <c r="AZ30" s="297"/>
      <c r="BA30" s="297"/>
      <c r="BB30" s="297"/>
      <c r="BC30" s="297"/>
      <c r="BD30" s="297"/>
      <c r="BE30" s="297"/>
      <c r="BF30" s="297"/>
      <c r="BG30" s="297"/>
      <c r="BH30" s="297"/>
      <c r="BI30" s="297"/>
      <c r="BJ30" s="297"/>
      <c r="BK30" s="297"/>
      <c r="BL30" s="297"/>
      <c r="BM30" s="297"/>
      <c r="BN30" s="297"/>
      <c r="BO30" s="297"/>
      <c r="BP30" s="297"/>
      <c r="BQ30" s="297"/>
      <c r="BR30" s="297"/>
      <c r="BS30" s="297"/>
      <c r="BT30" s="297"/>
      <c r="BU30" s="297"/>
      <c r="BV30" s="297"/>
      <c r="BW30" s="297"/>
      <c r="BX30" s="297"/>
      <c r="BY30" s="297"/>
      <c r="BZ30" s="297"/>
      <c r="CA30" s="297"/>
      <c r="CB30" s="297"/>
      <c r="CC30" s="297"/>
      <c r="CD30" s="297"/>
      <c r="CE30" s="297"/>
      <c r="CF30" s="297"/>
      <c r="CG30" s="297"/>
      <c r="CH30" s="297"/>
      <c r="CI30" s="297"/>
      <c r="CJ30" s="297"/>
      <c r="CK30" s="297"/>
      <c r="CL30" s="297"/>
      <c r="CM30" s="297"/>
      <c r="CN30" s="297"/>
      <c r="CO30" s="297"/>
      <c r="CP30" s="297"/>
      <c r="CQ30" s="297"/>
      <c r="CR30" s="297"/>
      <c r="CS30" s="297"/>
      <c r="CT30" s="297"/>
      <c r="CU30" s="297"/>
      <c r="CV30" s="297"/>
      <c r="CW30" s="297"/>
      <c r="CX30" s="297"/>
      <c r="CY30" s="297"/>
      <c r="CZ30" s="297"/>
      <c r="DA30" s="297"/>
      <c r="DB30" s="297"/>
      <c r="DC30" s="297"/>
      <c r="DD30" s="297"/>
      <c r="DE30" s="297"/>
      <c r="DF30" s="297"/>
    </row>
    <row r="31" spans="1:110" s="28" customFormat="1" ht="21.75" customHeight="1">
      <c r="A31" s="17" t="s">
        <v>239</v>
      </c>
      <c r="B31" s="26" t="s">
        <v>240</v>
      </c>
      <c r="C31" s="16" t="s">
        <v>241</v>
      </c>
      <c r="D31" s="26" t="s">
        <v>242</v>
      </c>
      <c r="E31" s="25" t="s">
        <v>126</v>
      </c>
      <c r="F31" s="25" t="s">
        <v>61</v>
      </c>
      <c r="G31" s="53" t="s">
        <v>76</v>
      </c>
      <c r="H31" s="53"/>
      <c r="I31" s="295">
        <v>43031</v>
      </c>
      <c r="J31" s="26"/>
      <c r="K31" s="242">
        <f t="shared" si="2"/>
        <v>118414</v>
      </c>
      <c r="L31" s="243">
        <f>54386+64028</f>
        <v>118414</v>
      </c>
      <c r="M31" s="307" t="s">
        <v>243</v>
      </c>
      <c r="N31" s="244"/>
      <c r="O31" s="307" t="s">
        <v>244</v>
      </c>
      <c r="P31" s="244"/>
      <c r="Q31" s="244"/>
      <c r="R31" s="244"/>
      <c r="S31" s="7"/>
      <c r="T31" s="7"/>
      <c r="U31" s="263"/>
      <c r="V31" s="262">
        <f>1-(W31+Y31)/L31</f>
        <v>0.14999915550526122</v>
      </c>
      <c r="W31" s="26">
        <v>46228</v>
      </c>
      <c r="X31" s="26"/>
      <c r="Y31" s="26">
        <v>54424</v>
      </c>
      <c r="Z31" s="26"/>
      <c r="AA31" s="26">
        <v>0</v>
      </c>
      <c r="AB31" s="26"/>
      <c r="AC31" s="26"/>
      <c r="AD31" s="26"/>
      <c r="AE31" s="266">
        <f t="shared" si="1"/>
        <v>100652</v>
      </c>
      <c r="AF31" s="25" t="s">
        <v>145</v>
      </c>
      <c r="AG31" s="245"/>
      <c r="AH31" s="245"/>
      <c r="AI31" s="245"/>
      <c r="AJ31" s="345"/>
      <c r="AK31" s="43" t="s">
        <v>66</v>
      </c>
      <c r="AL31" s="245"/>
      <c r="AM31" s="245"/>
      <c r="AN31" s="245"/>
      <c r="AO31" s="289" t="s">
        <v>86</v>
      </c>
      <c r="AP31" s="289"/>
      <c r="AQ31" s="290">
        <v>43189</v>
      </c>
      <c r="AR31" s="290">
        <v>43223</v>
      </c>
      <c r="AS31" s="25" t="s">
        <v>78</v>
      </c>
      <c r="AT31" s="291">
        <v>43554</v>
      </c>
      <c r="AU31" s="25" t="s">
        <v>88</v>
      </c>
      <c r="AV31" s="43" t="s">
        <v>66</v>
      </c>
      <c r="AW31" s="26" t="s">
        <v>71</v>
      </c>
      <c r="AX31" s="26"/>
      <c r="AY31" s="25"/>
      <c r="AZ31" s="297"/>
      <c r="BA31" s="297"/>
      <c r="BB31" s="297"/>
      <c r="BC31" s="297"/>
      <c r="BD31" s="297"/>
      <c r="BE31" s="297"/>
      <c r="BF31" s="297"/>
      <c r="BG31" s="297"/>
      <c r="BH31" s="297"/>
      <c r="BI31" s="297"/>
      <c r="BJ31" s="297"/>
      <c r="BK31" s="297"/>
      <c r="BL31" s="297"/>
      <c r="BM31" s="297"/>
      <c r="BN31" s="297"/>
      <c r="BO31" s="297"/>
      <c r="BP31" s="297"/>
      <c r="BQ31" s="297"/>
      <c r="BR31" s="297"/>
      <c r="BS31" s="297"/>
      <c r="BT31" s="297"/>
      <c r="BU31" s="297"/>
      <c r="BV31" s="297"/>
      <c r="BW31" s="297"/>
      <c r="BX31" s="297"/>
      <c r="BY31" s="297"/>
      <c r="BZ31" s="297"/>
      <c r="CA31" s="297"/>
      <c r="CB31" s="297"/>
      <c r="CC31" s="297"/>
      <c r="CD31" s="297"/>
      <c r="CE31" s="297"/>
      <c r="CF31" s="297"/>
      <c r="CG31" s="297"/>
      <c r="CH31" s="297"/>
      <c r="CI31" s="297"/>
      <c r="CJ31" s="297"/>
      <c r="CK31" s="297"/>
      <c r="CL31" s="297"/>
      <c r="CM31" s="297"/>
      <c r="CN31" s="297"/>
      <c r="CO31" s="297"/>
      <c r="CP31" s="297"/>
      <c r="CQ31" s="297"/>
      <c r="CR31" s="297"/>
      <c r="CS31" s="297"/>
      <c r="CT31" s="297"/>
      <c r="CU31" s="297"/>
      <c r="CV31" s="297"/>
      <c r="CW31" s="297"/>
      <c r="CX31" s="297"/>
      <c r="CY31" s="297"/>
      <c r="CZ31" s="297"/>
      <c r="DA31" s="297"/>
      <c r="DB31" s="297"/>
      <c r="DC31" s="297"/>
      <c r="DD31" s="297"/>
      <c r="DE31" s="297"/>
      <c r="DF31" s="297"/>
    </row>
    <row r="32" spans="1:110" s="28" customFormat="1" ht="21.75" customHeight="1">
      <c r="A32" s="26" t="s">
        <v>245</v>
      </c>
      <c r="B32" s="26" t="s">
        <v>246</v>
      </c>
      <c r="C32" s="25" t="s">
        <v>247</v>
      </c>
      <c r="D32" s="26" t="s">
        <v>248</v>
      </c>
      <c r="E32" s="25" t="s">
        <v>249</v>
      </c>
      <c r="F32" s="4" t="s">
        <v>196</v>
      </c>
      <c r="G32" s="53" t="s">
        <v>157</v>
      </c>
      <c r="H32" s="53"/>
      <c r="I32" s="295">
        <v>43021</v>
      </c>
      <c r="J32" s="26"/>
      <c r="K32" s="242">
        <f t="shared" si="2"/>
        <v>105000</v>
      </c>
      <c r="L32" s="243">
        <v>105000</v>
      </c>
      <c r="M32" s="244"/>
      <c r="N32" s="244"/>
      <c r="O32" s="244"/>
      <c r="P32" s="244"/>
      <c r="Q32" s="245">
        <v>105000</v>
      </c>
      <c r="R32" s="244"/>
      <c r="S32" s="7"/>
      <c r="T32" s="7"/>
      <c r="U32" s="262"/>
      <c r="V32" s="262">
        <f>1-(W32+Y32+AA32)/L32</f>
        <v>0.15000000000000002</v>
      </c>
      <c r="W32" s="26">
        <v>0</v>
      </c>
      <c r="X32" s="26"/>
      <c r="Y32" s="26">
        <v>0</v>
      </c>
      <c r="Z32" s="26"/>
      <c r="AA32" s="26">
        <v>89250</v>
      </c>
      <c r="AB32" s="26"/>
      <c r="AC32" s="26"/>
      <c r="AD32" s="26"/>
      <c r="AE32" s="266">
        <f t="shared" si="1"/>
        <v>89250</v>
      </c>
      <c r="AF32" s="25" t="s">
        <v>77</v>
      </c>
      <c r="AG32" s="245"/>
      <c r="AH32" s="245"/>
      <c r="AI32" s="245"/>
      <c r="AJ32" s="43"/>
      <c r="AK32" s="43" t="s">
        <v>66</v>
      </c>
      <c r="AL32" s="245"/>
      <c r="AM32" s="245"/>
      <c r="AN32" s="245"/>
      <c r="AO32" s="289" t="s">
        <v>86</v>
      </c>
      <c r="AP32" s="289"/>
      <c r="AQ32" s="290">
        <v>43061</v>
      </c>
      <c r="AR32" s="290">
        <v>43068</v>
      </c>
      <c r="AS32" s="25" t="s">
        <v>78</v>
      </c>
      <c r="AT32" s="291">
        <v>43405</v>
      </c>
      <c r="AU32" s="25" t="s">
        <v>122</v>
      </c>
      <c r="AV32" s="43" t="s">
        <v>66</v>
      </c>
      <c r="AW32" s="26" t="s">
        <v>71</v>
      </c>
      <c r="AX32" s="26"/>
      <c r="AY32" s="25"/>
      <c r="AZ32" s="297"/>
      <c r="BA32" s="297"/>
      <c r="BB32" s="297"/>
      <c r="BC32" s="297"/>
      <c r="BD32" s="297"/>
      <c r="BE32" s="297"/>
      <c r="BF32" s="297"/>
      <c r="BG32" s="297"/>
      <c r="BH32" s="297"/>
      <c r="BI32" s="297"/>
      <c r="BJ32" s="297"/>
      <c r="BK32" s="297"/>
      <c r="BL32" s="297"/>
      <c r="BM32" s="297"/>
      <c r="BN32" s="297"/>
      <c r="BO32" s="297"/>
      <c r="BP32" s="297"/>
      <c r="BQ32" s="297"/>
      <c r="BR32" s="297"/>
      <c r="BS32" s="297"/>
      <c r="BT32" s="297"/>
      <c r="BU32" s="297"/>
      <c r="BV32" s="297"/>
      <c r="BW32" s="297"/>
      <c r="BX32" s="297"/>
      <c r="BY32" s="297"/>
      <c r="BZ32" s="297"/>
      <c r="CA32" s="297"/>
      <c r="CB32" s="297"/>
      <c r="CC32" s="297"/>
      <c r="CD32" s="297"/>
      <c r="CE32" s="297"/>
      <c r="CF32" s="297"/>
      <c r="CG32" s="297"/>
      <c r="CH32" s="297"/>
      <c r="CI32" s="297"/>
      <c r="CJ32" s="297"/>
      <c r="CK32" s="297"/>
      <c r="CL32" s="297"/>
      <c r="CM32" s="297"/>
      <c r="CN32" s="297"/>
      <c r="CO32" s="297"/>
      <c r="CP32" s="297"/>
      <c r="CQ32" s="297"/>
      <c r="CR32" s="297"/>
      <c r="CS32" s="297"/>
      <c r="CT32" s="297"/>
      <c r="CU32" s="297"/>
      <c r="CV32" s="297"/>
      <c r="CW32" s="297"/>
      <c r="CX32" s="297"/>
      <c r="CY32" s="297"/>
      <c r="CZ32" s="297"/>
      <c r="DA32" s="297"/>
      <c r="DB32" s="297"/>
      <c r="DC32" s="297"/>
      <c r="DD32" s="297"/>
      <c r="DE32" s="297"/>
      <c r="DF32" s="297"/>
    </row>
    <row r="33" spans="1:110" s="28" customFormat="1" ht="21.75" customHeight="1">
      <c r="A33" s="17" t="s">
        <v>250</v>
      </c>
      <c r="B33" s="26" t="s">
        <v>251</v>
      </c>
      <c r="C33" s="25" t="s">
        <v>252</v>
      </c>
      <c r="D33" s="26" t="s">
        <v>253</v>
      </c>
      <c r="E33" s="25" t="s">
        <v>92</v>
      </c>
      <c r="F33" s="25"/>
      <c r="G33" s="53" t="s">
        <v>157</v>
      </c>
      <c r="H33" s="53" t="s">
        <v>63</v>
      </c>
      <c r="I33" s="295">
        <v>43187</v>
      </c>
      <c r="J33" s="26" t="s">
        <v>254</v>
      </c>
      <c r="K33" s="242">
        <f t="shared" si="2"/>
        <v>983000</v>
      </c>
      <c r="L33" s="243">
        <v>983000</v>
      </c>
      <c r="M33" s="53" t="s">
        <v>255</v>
      </c>
      <c r="N33" s="244"/>
      <c r="O33" s="53" t="s">
        <v>256</v>
      </c>
      <c r="P33" s="244"/>
      <c r="Q33" s="244"/>
      <c r="R33" s="244"/>
      <c r="S33" s="7"/>
      <c r="T33" s="7"/>
      <c r="U33" s="264"/>
      <c r="V33" s="262">
        <f>1-(W33+Y33+AA33)/L33</f>
        <v>0.16581892166836221</v>
      </c>
      <c r="W33" s="26">
        <v>717400</v>
      </c>
      <c r="X33" s="26"/>
      <c r="Y33" s="26">
        <v>102600</v>
      </c>
      <c r="Z33" s="26"/>
      <c r="AA33" s="26"/>
      <c r="AB33" s="26"/>
      <c r="AC33" s="26"/>
      <c r="AD33" s="26"/>
      <c r="AE33" s="266">
        <f t="shared" si="1"/>
        <v>820000</v>
      </c>
      <c r="AF33" s="25" t="s">
        <v>93</v>
      </c>
      <c r="AG33" s="245"/>
      <c r="AH33" s="245"/>
      <c r="AI33" s="245"/>
      <c r="AJ33" s="345"/>
      <c r="AK33" s="43" t="s">
        <v>66</v>
      </c>
      <c r="AL33" s="245"/>
      <c r="AM33" s="245"/>
      <c r="AN33" s="245"/>
      <c r="AO33" s="289" t="s">
        <v>86</v>
      </c>
      <c r="AP33" s="289"/>
      <c r="AQ33" s="290">
        <v>43325</v>
      </c>
      <c r="AR33" s="290">
        <v>43338</v>
      </c>
      <c r="AS33" s="25" t="s">
        <v>78</v>
      </c>
      <c r="AT33" s="291">
        <v>43689</v>
      </c>
      <c r="AU33" s="25" t="s">
        <v>88</v>
      </c>
      <c r="AV33" s="43" t="s">
        <v>66</v>
      </c>
      <c r="AW33" s="26" t="s">
        <v>71</v>
      </c>
      <c r="AX33" s="26"/>
      <c r="AY33" s="25"/>
      <c r="AZ33" s="297"/>
      <c r="BA33" s="297"/>
      <c r="BB33" s="297"/>
      <c r="BC33" s="297"/>
      <c r="BD33" s="297"/>
      <c r="BE33" s="297"/>
      <c r="BF33" s="297"/>
      <c r="BG33" s="297"/>
      <c r="BH33" s="297"/>
      <c r="BI33" s="297"/>
      <c r="BJ33" s="297"/>
      <c r="BK33" s="297"/>
      <c r="BL33" s="297"/>
      <c r="BM33" s="297"/>
      <c r="BN33" s="297"/>
      <c r="BO33" s="297"/>
      <c r="BP33" s="297"/>
      <c r="BQ33" s="297"/>
      <c r="BR33" s="297"/>
      <c r="BS33" s="297"/>
      <c r="BT33" s="297"/>
      <c r="BU33" s="297"/>
      <c r="BV33" s="297"/>
      <c r="BW33" s="297"/>
      <c r="BX33" s="297"/>
      <c r="BY33" s="297"/>
      <c r="BZ33" s="297"/>
      <c r="CA33" s="297"/>
      <c r="CB33" s="297"/>
      <c r="CC33" s="297"/>
      <c r="CD33" s="297"/>
      <c r="CE33" s="297"/>
      <c r="CF33" s="297"/>
      <c r="CG33" s="297"/>
      <c r="CH33" s="297"/>
      <c r="CI33" s="297"/>
      <c r="CJ33" s="297"/>
      <c r="CK33" s="297"/>
      <c r="CL33" s="297"/>
      <c r="CM33" s="297"/>
      <c r="CN33" s="297"/>
      <c r="CO33" s="297"/>
      <c r="CP33" s="297"/>
      <c r="CQ33" s="297"/>
      <c r="CR33" s="297"/>
      <c r="CS33" s="297"/>
      <c r="CT33" s="297"/>
      <c r="CU33" s="297"/>
      <c r="CV33" s="297"/>
      <c r="CW33" s="297"/>
      <c r="CX33" s="297"/>
      <c r="CY33" s="297"/>
      <c r="CZ33" s="297"/>
      <c r="DA33" s="297"/>
      <c r="DB33" s="297"/>
      <c r="DC33" s="297"/>
      <c r="DD33" s="297"/>
      <c r="DE33" s="297"/>
      <c r="DF33" s="297"/>
    </row>
    <row r="34" spans="1:110" s="28" customFormat="1" ht="21.75" customHeight="1">
      <c r="A34" s="26" t="s">
        <v>257</v>
      </c>
      <c r="B34" s="26" t="s">
        <v>258</v>
      </c>
      <c r="C34" s="25" t="s">
        <v>259</v>
      </c>
      <c r="D34" s="26" t="s">
        <v>260</v>
      </c>
      <c r="E34" s="25" t="s">
        <v>261</v>
      </c>
      <c r="F34" s="25" t="s">
        <v>61</v>
      </c>
      <c r="G34" s="53" t="s">
        <v>157</v>
      </c>
      <c r="H34" s="53" t="s">
        <v>128</v>
      </c>
      <c r="I34" s="295">
        <v>43048</v>
      </c>
      <c r="J34" s="26"/>
      <c r="K34" s="242">
        <f t="shared" si="2"/>
        <v>737454</v>
      </c>
      <c r="L34" s="243">
        <v>737454</v>
      </c>
      <c r="M34" s="244"/>
      <c r="N34" s="244"/>
      <c r="O34" s="245">
        <v>737454</v>
      </c>
      <c r="P34" s="244"/>
      <c r="Q34" s="244"/>
      <c r="R34" s="244"/>
      <c r="S34" s="7"/>
      <c r="T34" s="7"/>
      <c r="U34" s="262"/>
      <c r="V34" s="262">
        <f>1-(W34+Y34+AA34)/L34</f>
        <v>0.15000000000000002</v>
      </c>
      <c r="W34" s="26"/>
      <c r="X34" s="26"/>
      <c r="Y34" s="26">
        <v>626835.9</v>
      </c>
      <c r="Z34" s="26"/>
      <c r="AA34" s="26"/>
      <c r="AB34" s="26"/>
      <c r="AC34" s="26"/>
      <c r="AD34" s="26"/>
      <c r="AE34" s="266">
        <f t="shared" si="1"/>
        <v>626835.9</v>
      </c>
      <c r="AF34" s="25" t="s">
        <v>108</v>
      </c>
      <c r="AG34" s="245"/>
      <c r="AH34" s="245"/>
      <c r="AI34" s="245"/>
      <c r="AJ34" s="43"/>
      <c r="AK34" s="43" t="s">
        <v>66</v>
      </c>
      <c r="AL34" s="245"/>
      <c r="AM34" s="245"/>
      <c r="AN34" s="245"/>
      <c r="AO34" s="289" t="s">
        <v>86</v>
      </c>
      <c r="AP34" s="289"/>
      <c r="AQ34" s="290">
        <v>43099</v>
      </c>
      <c r="AR34" s="290">
        <v>43110</v>
      </c>
      <c r="AS34" s="25" t="s">
        <v>78</v>
      </c>
      <c r="AT34" s="291">
        <v>43463</v>
      </c>
      <c r="AU34" s="25" t="s">
        <v>122</v>
      </c>
      <c r="AV34" s="43" t="s">
        <v>66</v>
      </c>
      <c r="AW34" s="26" t="s">
        <v>71</v>
      </c>
      <c r="AX34" s="26"/>
      <c r="AY34" s="25"/>
      <c r="AZ34" s="297"/>
      <c r="BA34" s="297"/>
      <c r="BB34" s="297"/>
      <c r="BC34" s="297"/>
      <c r="BD34" s="297"/>
      <c r="BE34" s="297"/>
      <c r="BF34" s="297"/>
      <c r="BG34" s="297"/>
      <c r="BH34" s="297"/>
      <c r="BI34" s="297"/>
      <c r="BJ34" s="297"/>
      <c r="BK34" s="297"/>
      <c r="BL34" s="297"/>
      <c r="BM34" s="297"/>
      <c r="BN34" s="297"/>
      <c r="BO34" s="297"/>
      <c r="BP34" s="297"/>
      <c r="BQ34" s="297"/>
      <c r="BR34" s="297"/>
      <c r="BS34" s="297"/>
      <c r="BT34" s="297"/>
      <c r="BU34" s="297"/>
      <c r="BV34" s="297"/>
      <c r="BW34" s="297"/>
      <c r="BX34" s="297"/>
      <c r="BY34" s="297"/>
      <c r="BZ34" s="297"/>
      <c r="CA34" s="297"/>
      <c r="CB34" s="297"/>
      <c r="CC34" s="297"/>
      <c r="CD34" s="297"/>
      <c r="CE34" s="297"/>
      <c r="CF34" s="297"/>
      <c r="CG34" s="297"/>
      <c r="CH34" s="297"/>
      <c r="CI34" s="297"/>
      <c r="CJ34" s="297"/>
      <c r="CK34" s="297"/>
      <c r="CL34" s="297"/>
      <c r="CM34" s="297"/>
      <c r="CN34" s="297"/>
      <c r="CO34" s="297"/>
      <c r="CP34" s="297"/>
      <c r="CQ34" s="297"/>
      <c r="CR34" s="297"/>
      <c r="CS34" s="297"/>
      <c r="CT34" s="297"/>
      <c r="CU34" s="297"/>
      <c r="CV34" s="297"/>
      <c r="CW34" s="297"/>
      <c r="CX34" s="297"/>
      <c r="CY34" s="297"/>
      <c r="CZ34" s="297"/>
      <c r="DA34" s="297"/>
      <c r="DB34" s="297"/>
      <c r="DC34" s="297"/>
      <c r="DD34" s="297"/>
      <c r="DE34" s="297"/>
      <c r="DF34" s="297"/>
    </row>
    <row r="35" spans="1:110" s="28" customFormat="1" ht="21.75" customHeight="1">
      <c r="A35" s="26"/>
      <c r="B35" s="26" t="s">
        <v>262</v>
      </c>
      <c r="C35" s="25" t="s">
        <v>263</v>
      </c>
      <c r="D35" s="26" t="s">
        <v>264</v>
      </c>
      <c r="E35" s="25" t="s">
        <v>265</v>
      </c>
      <c r="F35" s="25" t="s">
        <v>61</v>
      </c>
      <c r="G35" s="53" t="s">
        <v>266</v>
      </c>
      <c r="H35" s="53"/>
      <c r="I35" s="295">
        <v>43048</v>
      </c>
      <c r="J35" s="26"/>
      <c r="K35" s="242">
        <f t="shared" si="2"/>
        <v>306908</v>
      </c>
      <c r="L35" s="243">
        <v>306908</v>
      </c>
      <c r="M35" s="244"/>
      <c r="N35" s="244"/>
      <c r="O35" s="244"/>
      <c r="P35" s="244"/>
      <c r="Q35" s="244"/>
      <c r="R35" s="245">
        <v>306908</v>
      </c>
      <c r="S35" s="7"/>
      <c r="T35" s="7"/>
      <c r="U35" s="262"/>
      <c r="V35" s="262">
        <f>1-(W35+Y35+AA35)/L35</f>
        <v>1</v>
      </c>
      <c r="W35" s="26"/>
      <c r="X35" s="26"/>
      <c r="Y35" s="26"/>
      <c r="Z35" s="26"/>
      <c r="AA35" s="26"/>
      <c r="AB35" s="26"/>
      <c r="AC35" s="26"/>
      <c r="AD35" s="26">
        <v>260871.8</v>
      </c>
      <c r="AE35" s="266">
        <f>SUM(W35:AD35)</f>
        <v>260871.8</v>
      </c>
      <c r="AF35" s="25" t="s">
        <v>85</v>
      </c>
      <c r="AG35" s="245"/>
      <c r="AH35" s="245"/>
      <c r="AI35" s="245"/>
      <c r="AJ35" s="345"/>
      <c r="AK35" s="43" t="s">
        <v>212</v>
      </c>
      <c r="AL35" s="245"/>
      <c r="AM35" s="245"/>
      <c r="AN35" s="245"/>
      <c r="AO35" s="289"/>
      <c r="AP35" s="289"/>
      <c r="AQ35" s="290"/>
      <c r="AR35" s="290"/>
      <c r="AS35" s="25"/>
      <c r="AT35" s="291"/>
      <c r="AU35" s="25" t="s">
        <v>213</v>
      </c>
      <c r="AV35" s="43" t="s">
        <v>212</v>
      </c>
      <c r="AW35" s="26" t="s">
        <v>71</v>
      </c>
      <c r="AX35" s="26"/>
      <c r="AY35" s="25"/>
      <c r="AZ35" s="297"/>
      <c r="BA35" s="297"/>
      <c r="BB35" s="297"/>
      <c r="BC35" s="297"/>
      <c r="BD35" s="297"/>
      <c r="BE35" s="297"/>
      <c r="BF35" s="297"/>
      <c r="BG35" s="297"/>
      <c r="BH35" s="297"/>
      <c r="BI35" s="297"/>
      <c r="BJ35" s="297"/>
      <c r="BK35" s="297"/>
      <c r="BL35" s="297"/>
      <c r="BM35" s="297"/>
      <c r="BN35" s="297"/>
      <c r="BO35" s="297"/>
      <c r="BP35" s="297"/>
      <c r="BQ35" s="297"/>
      <c r="BR35" s="297"/>
      <c r="BS35" s="297"/>
      <c r="BT35" s="297"/>
      <c r="BU35" s="297"/>
      <c r="BV35" s="297"/>
      <c r="BW35" s="297"/>
      <c r="BX35" s="297"/>
      <c r="BY35" s="297"/>
      <c r="BZ35" s="297"/>
      <c r="CA35" s="297"/>
      <c r="CB35" s="297"/>
      <c r="CC35" s="297"/>
      <c r="CD35" s="297"/>
      <c r="CE35" s="297"/>
      <c r="CF35" s="297"/>
      <c r="CG35" s="297"/>
      <c r="CH35" s="297"/>
      <c r="CI35" s="297"/>
      <c r="CJ35" s="297"/>
      <c r="CK35" s="297"/>
      <c r="CL35" s="297"/>
      <c r="CM35" s="297"/>
      <c r="CN35" s="297"/>
      <c r="CO35" s="297"/>
      <c r="CP35" s="297"/>
      <c r="CQ35" s="297"/>
      <c r="CR35" s="297"/>
      <c r="CS35" s="297"/>
      <c r="CT35" s="297"/>
      <c r="CU35" s="297"/>
      <c r="CV35" s="297"/>
      <c r="CW35" s="297"/>
      <c r="CX35" s="297"/>
      <c r="CY35" s="297"/>
      <c r="CZ35" s="297"/>
      <c r="DA35" s="297"/>
      <c r="DB35" s="297"/>
      <c r="DC35" s="297"/>
      <c r="DD35" s="297"/>
      <c r="DE35" s="297"/>
      <c r="DF35" s="297"/>
    </row>
    <row r="36" spans="1:110" s="28" customFormat="1" ht="21.75" customHeight="1">
      <c r="A36" s="26" t="s">
        <v>267</v>
      </c>
      <c r="B36" s="26" t="s">
        <v>268</v>
      </c>
      <c r="C36" s="29" t="s">
        <v>269</v>
      </c>
      <c r="D36" s="24" t="s">
        <v>270</v>
      </c>
      <c r="E36" s="25" t="s">
        <v>271</v>
      </c>
      <c r="F36" s="4" t="s">
        <v>196</v>
      </c>
      <c r="G36" s="306" t="s">
        <v>157</v>
      </c>
      <c r="H36" s="53" t="s">
        <v>63</v>
      </c>
      <c r="I36" s="295">
        <v>43062</v>
      </c>
      <c r="J36" s="26" t="s">
        <v>272</v>
      </c>
      <c r="K36" s="242">
        <f t="shared" si="2"/>
        <v>12043900</v>
      </c>
      <c r="L36" s="7">
        <v>12043900</v>
      </c>
      <c r="M36" s="239"/>
      <c r="N36" s="239"/>
      <c r="O36" s="239"/>
      <c r="P36" s="239"/>
      <c r="Q36" s="244">
        <v>12043900</v>
      </c>
      <c r="R36" s="239"/>
      <c r="S36" s="248"/>
      <c r="T36" s="59"/>
      <c r="U36" s="262"/>
      <c r="V36" s="262">
        <v>0.1</v>
      </c>
      <c r="W36" s="254">
        <v>10839510</v>
      </c>
      <c r="X36" s="254"/>
      <c r="Y36" s="254"/>
      <c r="Z36" s="254"/>
      <c r="AA36" s="254"/>
      <c r="AB36" s="254"/>
      <c r="AC36" s="254"/>
      <c r="AD36" s="254"/>
      <c r="AE36" s="266">
        <f>SUM(W36:AA36)</f>
        <v>10839510</v>
      </c>
      <c r="AF36" s="7" t="s">
        <v>132</v>
      </c>
      <c r="AG36" s="245"/>
      <c r="AH36" s="245"/>
      <c r="AI36" s="245"/>
      <c r="AJ36" s="43"/>
      <c r="AK36" s="43" t="s">
        <v>66</v>
      </c>
      <c r="AL36" s="245"/>
      <c r="AM36" s="245"/>
      <c r="AN36" s="245"/>
      <c r="AO36" s="289" t="s">
        <v>86</v>
      </c>
      <c r="AP36" s="289"/>
      <c r="AQ36" s="290">
        <v>43056</v>
      </c>
      <c r="AR36" s="290">
        <v>43158</v>
      </c>
      <c r="AS36" s="25"/>
      <c r="AT36" s="291">
        <v>44151</v>
      </c>
      <c r="AU36" s="25" t="s">
        <v>88</v>
      </c>
      <c r="AV36" s="43" t="s">
        <v>66</v>
      </c>
      <c r="AW36" s="26" t="s">
        <v>71</v>
      </c>
      <c r="AX36" s="26"/>
      <c r="AY36" s="25"/>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297"/>
      <c r="BX36" s="297"/>
      <c r="BY36" s="297"/>
      <c r="BZ36" s="297"/>
      <c r="CA36" s="297"/>
      <c r="CB36" s="297"/>
      <c r="CC36" s="297"/>
      <c r="CD36" s="297"/>
      <c r="CE36" s="297"/>
      <c r="CF36" s="297"/>
      <c r="CG36" s="297"/>
      <c r="CH36" s="297"/>
      <c r="CI36" s="297"/>
      <c r="CJ36" s="297"/>
      <c r="CK36" s="297"/>
      <c r="CL36" s="297"/>
      <c r="CM36" s="297"/>
      <c r="CN36" s="297"/>
      <c r="CO36" s="297"/>
      <c r="CP36" s="297"/>
      <c r="CQ36" s="297"/>
      <c r="CR36" s="297"/>
      <c r="CS36" s="297"/>
      <c r="CT36" s="297"/>
      <c r="CU36" s="297"/>
      <c r="CV36" s="297"/>
      <c r="CW36" s="297"/>
      <c r="CX36" s="297"/>
      <c r="CY36" s="297"/>
      <c r="CZ36" s="297"/>
      <c r="DA36" s="297"/>
      <c r="DB36" s="297"/>
      <c r="DC36" s="297"/>
      <c r="DD36" s="297"/>
      <c r="DE36" s="297"/>
      <c r="DF36" s="297"/>
    </row>
    <row r="37" spans="1:110" s="28" customFormat="1" ht="21.75" customHeight="1">
      <c r="A37" s="26" t="s">
        <v>273</v>
      </c>
      <c r="B37" s="26" t="s">
        <v>274</v>
      </c>
      <c r="C37" s="25" t="s">
        <v>275</v>
      </c>
      <c r="D37" s="26" t="s">
        <v>276</v>
      </c>
      <c r="E37" s="25" t="s">
        <v>168</v>
      </c>
      <c r="F37" s="4" t="s">
        <v>196</v>
      </c>
      <c r="G37" s="53" t="s">
        <v>157</v>
      </c>
      <c r="H37" s="53"/>
      <c r="I37" s="295">
        <v>43068</v>
      </c>
      <c r="J37" s="26"/>
      <c r="K37" s="242">
        <f t="shared" si="2"/>
        <v>1457700</v>
      </c>
      <c r="L37" s="243">
        <v>1457700</v>
      </c>
      <c r="M37" s="244"/>
      <c r="N37" s="244"/>
      <c r="O37" s="245">
        <v>1457700</v>
      </c>
      <c r="P37" s="244"/>
      <c r="Q37" s="244"/>
      <c r="R37" s="244"/>
      <c r="S37" s="7"/>
      <c r="T37" s="7"/>
      <c r="U37" s="262"/>
      <c r="V37" s="262">
        <f>1-(W37+Y37+AA37)/L37</f>
        <v>9.9999999999999978E-2</v>
      </c>
      <c r="W37" s="26"/>
      <c r="X37" s="26"/>
      <c r="Y37" s="26">
        <v>1311930</v>
      </c>
      <c r="Z37" s="26"/>
      <c r="AA37" s="26"/>
      <c r="AB37" s="26"/>
      <c r="AC37" s="26"/>
      <c r="AD37" s="26"/>
      <c r="AE37" s="266">
        <f t="shared" si="1"/>
        <v>1311930</v>
      </c>
      <c r="AF37" s="25" t="s">
        <v>62</v>
      </c>
      <c r="AG37" s="245"/>
      <c r="AH37" s="245"/>
      <c r="AI37" s="245"/>
      <c r="AJ37" s="345"/>
      <c r="AK37" s="43">
        <v>2019.4</v>
      </c>
      <c r="AL37" s="245"/>
      <c r="AM37" s="245"/>
      <c r="AN37" s="245"/>
      <c r="AO37" s="289"/>
      <c r="AP37" s="289"/>
      <c r="AQ37" s="290"/>
      <c r="AR37" s="290"/>
      <c r="AS37" s="25"/>
      <c r="AT37" s="291"/>
      <c r="AU37" s="25" t="s">
        <v>213</v>
      </c>
      <c r="AV37" s="43">
        <v>2019.4</v>
      </c>
      <c r="AW37" s="26" t="s">
        <v>71</v>
      </c>
      <c r="AX37" s="26"/>
      <c r="AY37" s="25"/>
      <c r="AZ37" s="297"/>
      <c r="BA37" s="297"/>
      <c r="BB37" s="297"/>
      <c r="BC37" s="297"/>
      <c r="BD37" s="297"/>
      <c r="BE37" s="297"/>
      <c r="BF37" s="297"/>
      <c r="BG37" s="297"/>
      <c r="BH37" s="297"/>
      <c r="BI37" s="297"/>
      <c r="BJ37" s="297"/>
      <c r="BK37" s="297"/>
      <c r="BL37" s="297"/>
      <c r="BM37" s="297"/>
      <c r="BN37" s="297"/>
      <c r="BO37" s="297"/>
      <c r="BP37" s="297"/>
      <c r="BQ37" s="297"/>
      <c r="BR37" s="297"/>
      <c r="BS37" s="297"/>
      <c r="BT37" s="297"/>
      <c r="BU37" s="297"/>
      <c r="BV37" s="297"/>
      <c r="BW37" s="297"/>
      <c r="BX37" s="297"/>
      <c r="BY37" s="297"/>
      <c r="BZ37" s="297"/>
      <c r="CA37" s="297"/>
      <c r="CB37" s="297"/>
      <c r="CC37" s="297"/>
      <c r="CD37" s="297"/>
      <c r="CE37" s="297"/>
      <c r="CF37" s="297"/>
      <c r="CG37" s="297"/>
      <c r="CH37" s="297"/>
      <c r="CI37" s="297"/>
      <c r="CJ37" s="297"/>
      <c r="CK37" s="297"/>
      <c r="CL37" s="297"/>
      <c r="CM37" s="297"/>
      <c r="CN37" s="297"/>
      <c r="CO37" s="297"/>
      <c r="CP37" s="297"/>
      <c r="CQ37" s="297"/>
      <c r="CR37" s="297"/>
      <c r="CS37" s="297"/>
      <c r="CT37" s="297"/>
      <c r="CU37" s="297"/>
      <c r="CV37" s="297"/>
      <c r="CW37" s="297"/>
      <c r="CX37" s="297"/>
      <c r="CY37" s="297"/>
      <c r="CZ37" s="297"/>
      <c r="DA37" s="297"/>
      <c r="DB37" s="297"/>
      <c r="DC37" s="297"/>
      <c r="DD37" s="297"/>
      <c r="DE37" s="297"/>
      <c r="DF37" s="297"/>
    </row>
    <row r="38" spans="1:110" s="28" customFormat="1" ht="21.75" customHeight="1">
      <c r="A38" s="26" t="s">
        <v>277</v>
      </c>
      <c r="B38" s="26" t="s">
        <v>278</v>
      </c>
      <c r="C38" s="25" t="s">
        <v>279</v>
      </c>
      <c r="D38" s="26" t="s">
        <v>280</v>
      </c>
      <c r="E38" s="25" t="s">
        <v>281</v>
      </c>
      <c r="F38" s="25" t="s">
        <v>61</v>
      </c>
      <c r="G38" s="53" t="s">
        <v>76</v>
      </c>
      <c r="H38" s="53" t="s">
        <v>84</v>
      </c>
      <c r="I38" s="295">
        <v>43073</v>
      </c>
      <c r="J38" s="26"/>
      <c r="K38" s="242">
        <f t="shared" si="2"/>
        <v>1475200</v>
      </c>
      <c r="L38" s="243">
        <v>1475200</v>
      </c>
      <c r="M38" s="245">
        <v>1475200</v>
      </c>
      <c r="N38" s="244"/>
      <c r="O38" s="244"/>
      <c r="P38" s="244"/>
      <c r="Q38" s="244"/>
      <c r="R38" s="244"/>
      <c r="S38" s="7"/>
      <c r="T38" s="7"/>
      <c r="U38" s="262"/>
      <c r="V38" s="262">
        <f>1-(W38+Y38+AA38)/L38</f>
        <v>0.15000000000000002</v>
      </c>
      <c r="W38" s="26">
        <v>1253920</v>
      </c>
      <c r="X38" s="26"/>
      <c r="Y38" s="26"/>
      <c r="Z38" s="26"/>
      <c r="AA38" s="26"/>
      <c r="AB38" s="26"/>
      <c r="AC38" s="26"/>
      <c r="AD38" s="26"/>
      <c r="AE38" s="266">
        <f t="shared" si="1"/>
        <v>1253920</v>
      </c>
      <c r="AF38" s="25" t="s">
        <v>85</v>
      </c>
      <c r="AG38" s="245"/>
      <c r="AH38" s="245"/>
      <c r="AI38" s="245"/>
      <c r="AJ38" s="345"/>
      <c r="AK38" s="43" t="s">
        <v>66</v>
      </c>
      <c r="AL38" s="245"/>
      <c r="AM38" s="245"/>
      <c r="AN38" s="245"/>
      <c r="AO38" s="289"/>
      <c r="AP38" s="289"/>
      <c r="AQ38" s="290"/>
      <c r="AR38" s="290"/>
      <c r="AS38" s="25"/>
      <c r="AT38" s="291">
        <v>44075</v>
      </c>
      <c r="AU38" s="25" t="s">
        <v>213</v>
      </c>
      <c r="AV38" s="43" t="s">
        <v>66</v>
      </c>
      <c r="AW38" s="26" t="s">
        <v>71</v>
      </c>
      <c r="AX38" s="26"/>
      <c r="AY38" s="25"/>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c r="BW38" s="297"/>
      <c r="BX38" s="297"/>
      <c r="BY38" s="297"/>
      <c r="BZ38" s="297"/>
      <c r="CA38" s="297"/>
      <c r="CB38" s="297"/>
      <c r="CC38" s="297"/>
      <c r="CD38" s="297"/>
      <c r="CE38" s="297"/>
      <c r="CF38" s="297"/>
      <c r="CG38" s="297"/>
      <c r="CH38" s="297"/>
      <c r="CI38" s="297"/>
      <c r="CJ38" s="297"/>
      <c r="CK38" s="297"/>
      <c r="CL38" s="297"/>
      <c r="CM38" s="297"/>
      <c r="CN38" s="297"/>
      <c r="CO38" s="297"/>
      <c r="CP38" s="297"/>
      <c r="CQ38" s="297"/>
      <c r="CR38" s="297"/>
      <c r="CS38" s="297"/>
      <c r="CT38" s="297"/>
      <c r="CU38" s="297"/>
      <c r="CV38" s="297"/>
      <c r="CW38" s="297"/>
      <c r="CX38" s="297"/>
      <c r="CY38" s="297"/>
      <c r="CZ38" s="297"/>
      <c r="DA38" s="297"/>
      <c r="DB38" s="297"/>
      <c r="DC38" s="297"/>
      <c r="DD38" s="297"/>
      <c r="DE38" s="297"/>
      <c r="DF38" s="297"/>
    </row>
    <row r="39" spans="1:110" s="28" customFormat="1" ht="21.75" customHeight="1">
      <c r="A39" s="17" t="s">
        <v>282</v>
      </c>
      <c r="B39" s="26" t="s">
        <v>283</v>
      </c>
      <c r="C39" s="30" t="s">
        <v>284</v>
      </c>
      <c r="D39" s="26" t="s">
        <v>285</v>
      </c>
      <c r="E39" s="25" t="s">
        <v>265</v>
      </c>
      <c r="F39" s="25" t="s">
        <v>61</v>
      </c>
      <c r="G39" s="53" t="s">
        <v>286</v>
      </c>
      <c r="H39" s="53" t="s">
        <v>63</v>
      </c>
      <c r="I39" s="295">
        <v>43075</v>
      </c>
      <c r="J39" s="26" t="s">
        <v>287</v>
      </c>
      <c r="K39" s="242">
        <f t="shared" si="2"/>
        <v>11707800</v>
      </c>
      <c r="L39" s="243">
        <f>7557000+4150800</f>
        <v>11707800</v>
      </c>
      <c r="M39" s="53" t="s">
        <v>288</v>
      </c>
      <c r="N39" s="244"/>
      <c r="O39" s="53" t="s">
        <v>289</v>
      </c>
      <c r="P39" s="244"/>
      <c r="Q39" s="244"/>
      <c r="R39" s="244"/>
      <c r="S39" s="7"/>
      <c r="T39" s="7"/>
      <c r="U39" s="264"/>
      <c r="V39" s="262">
        <f>1-(W39+Y39+AA39)/L39</f>
        <v>0.18003382360477627</v>
      </c>
      <c r="W39" s="26">
        <v>6210000</v>
      </c>
      <c r="X39" s="26"/>
      <c r="Y39" s="26">
        <v>3390000</v>
      </c>
      <c r="Z39" s="26"/>
      <c r="AA39" s="26"/>
      <c r="AB39" s="26"/>
      <c r="AC39" s="26"/>
      <c r="AD39" s="26"/>
      <c r="AE39" s="266">
        <f t="shared" si="1"/>
        <v>9600000</v>
      </c>
      <c r="AF39" s="25" t="s">
        <v>62</v>
      </c>
      <c r="AG39" s="245"/>
      <c r="AH39" s="245"/>
      <c r="AI39" s="245"/>
      <c r="AJ39" s="43"/>
      <c r="AK39" s="43" t="s">
        <v>66</v>
      </c>
      <c r="AL39" s="245"/>
      <c r="AM39" s="245"/>
      <c r="AN39" s="245"/>
      <c r="AO39" s="289" t="s">
        <v>86</v>
      </c>
      <c r="AP39" s="289"/>
      <c r="AQ39" s="290">
        <v>43160</v>
      </c>
      <c r="AR39" s="290">
        <v>43145</v>
      </c>
      <c r="AS39" s="25" t="s">
        <v>78</v>
      </c>
      <c r="AT39" s="291">
        <v>43509</v>
      </c>
      <c r="AU39" s="25" t="s">
        <v>88</v>
      </c>
      <c r="AV39" s="43" t="s">
        <v>66</v>
      </c>
      <c r="AW39" s="26" t="s">
        <v>71</v>
      </c>
      <c r="AX39" s="26"/>
      <c r="AY39" s="25"/>
      <c r="AZ39" s="297"/>
      <c r="BA39" s="297"/>
      <c r="BB39" s="297"/>
      <c r="BC39" s="297"/>
      <c r="BD39" s="297"/>
      <c r="BE39" s="297"/>
      <c r="BF39" s="297"/>
      <c r="BG39" s="297"/>
      <c r="BH39" s="297"/>
      <c r="BI39" s="297"/>
      <c r="BJ39" s="297"/>
      <c r="BK39" s="297"/>
      <c r="BL39" s="297"/>
      <c r="BM39" s="297"/>
      <c r="BN39" s="297"/>
      <c r="BO39" s="297"/>
      <c r="BP39" s="297"/>
      <c r="BQ39" s="297"/>
      <c r="BR39" s="297"/>
      <c r="BS39" s="297"/>
      <c r="BT39" s="297"/>
      <c r="BU39" s="297"/>
      <c r="BV39" s="297"/>
      <c r="BW39" s="297"/>
      <c r="BX39" s="297"/>
      <c r="BY39" s="297"/>
      <c r="BZ39" s="297"/>
      <c r="CA39" s="297"/>
      <c r="CB39" s="297"/>
      <c r="CC39" s="297"/>
      <c r="CD39" s="297"/>
      <c r="CE39" s="297"/>
      <c r="CF39" s="297"/>
      <c r="CG39" s="297"/>
      <c r="CH39" s="297"/>
      <c r="CI39" s="297"/>
      <c r="CJ39" s="297"/>
      <c r="CK39" s="297"/>
      <c r="CL39" s="297"/>
      <c r="CM39" s="297"/>
      <c r="CN39" s="297"/>
      <c r="CO39" s="297"/>
      <c r="CP39" s="297"/>
      <c r="CQ39" s="297"/>
      <c r="CR39" s="297"/>
      <c r="CS39" s="297"/>
      <c r="CT39" s="297"/>
      <c r="CU39" s="297"/>
      <c r="CV39" s="297"/>
      <c r="CW39" s="297"/>
      <c r="CX39" s="297"/>
      <c r="CY39" s="297"/>
      <c r="CZ39" s="297"/>
      <c r="DA39" s="297"/>
      <c r="DB39" s="297"/>
      <c r="DC39" s="297"/>
      <c r="DD39" s="297"/>
      <c r="DE39" s="297"/>
      <c r="DF39" s="297"/>
    </row>
    <row r="40" spans="1:110" s="28" customFormat="1" ht="21.75" customHeight="1">
      <c r="A40" s="26" t="s">
        <v>290</v>
      </c>
      <c r="B40" s="26" t="s">
        <v>291</v>
      </c>
      <c r="C40" s="25" t="s">
        <v>292</v>
      </c>
      <c r="D40" s="26" t="s">
        <v>293</v>
      </c>
      <c r="E40" s="25" t="s">
        <v>294</v>
      </c>
      <c r="F40" s="25" t="s">
        <v>61</v>
      </c>
      <c r="G40" s="53" t="s">
        <v>76</v>
      </c>
      <c r="H40" s="53" t="s">
        <v>63</v>
      </c>
      <c r="I40" s="295">
        <v>43073</v>
      </c>
      <c r="J40" s="26" t="s">
        <v>295</v>
      </c>
      <c r="K40" s="242">
        <f t="shared" si="2"/>
        <v>191020</v>
      </c>
      <c r="L40" s="243">
        <v>191020</v>
      </c>
      <c r="M40" s="244"/>
      <c r="N40" s="244"/>
      <c r="O40" s="245">
        <v>191020</v>
      </c>
      <c r="P40" s="244"/>
      <c r="Q40" s="244"/>
      <c r="R40" s="244"/>
      <c r="S40" s="7"/>
      <c r="T40" s="7"/>
      <c r="U40" s="262"/>
      <c r="V40" s="262">
        <f>1-(W40+Y40+AA40)/L40</f>
        <v>9.9099570725578512E-2</v>
      </c>
      <c r="W40" s="26"/>
      <c r="X40" s="26"/>
      <c r="Y40" s="26">
        <v>172090</v>
      </c>
      <c r="Z40" s="26"/>
      <c r="AA40" s="26"/>
      <c r="AB40" s="26"/>
      <c r="AC40" s="26"/>
      <c r="AD40" s="26"/>
      <c r="AE40" s="266">
        <f t="shared" si="1"/>
        <v>172090</v>
      </c>
      <c r="AF40" s="25" t="s">
        <v>77</v>
      </c>
      <c r="AG40" s="245"/>
      <c r="AH40" s="245"/>
      <c r="AI40" s="245"/>
      <c r="AJ40" s="43"/>
      <c r="AK40" s="43" t="s">
        <v>66</v>
      </c>
      <c r="AL40" s="245"/>
      <c r="AM40" s="245"/>
      <c r="AN40" s="245"/>
      <c r="AO40" s="289" t="s">
        <v>86</v>
      </c>
      <c r="AP40" s="289"/>
      <c r="AQ40" s="290">
        <v>43191</v>
      </c>
      <c r="AR40" s="290"/>
      <c r="AS40" s="25"/>
      <c r="AT40" s="291"/>
      <c r="AU40" s="25" t="s">
        <v>88</v>
      </c>
      <c r="AV40" s="43" t="s">
        <v>66</v>
      </c>
      <c r="AW40" s="26" t="s">
        <v>71</v>
      </c>
      <c r="AX40" s="26"/>
      <c r="AY40" s="25"/>
      <c r="AZ40" s="297"/>
      <c r="BA40" s="297"/>
      <c r="BB40" s="297"/>
      <c r="BC40" s="297"/>
      <c r="BD40" s="297"/>
      <c r="BE40" s="297"/>
      <c r="BF40" s="297"/>
      <c r="BG40" s="297"/>
      <c r="BH40" s="297"/>
      <c r="BI40" s="297"/>
      <c r="BJ40" s="297"/>
      <c r="BK40" s="297"/>
      <c r="BL40" s="297"/>
      <c r="BM40" s="297"/>
      <c r="BN40" s="297"/>
      <c r="BO40" s="297"/>
      <c r="BP40" s="297"/>
      <c r="BQ40" s="297"/>
      <c r="BR40" s="297"/>
      <c r="BS40" s="297"/>
      <c r="BT40" s="297"/>
      <c r="BU40" s="297"/>
      <c r="BV40" s="297"/>
      <c r="BW40" s="297"/>
      <c r="BX40" s="297"/>
      <c r="BY40" s="297"/>
      <c r="BZ40" s="297"/>
      <c r="CA40" s="297"/>
      <c r="CB40" s="297"/>
      <c r="CC40" s="297"/>
      <c r="CD40" s="297"/>
      <c r="CE40" s="297"/>
      <c r="CF40" s="297"/>
      <c r="CG40" s="297"/>
      <c r="CH40" s="297"/>
      <c r="CI40" s="297"/>
      <c r="CJ40" s="297"/>
      <c r="CK40" s="297"/>
      <c r="CL40" s="297"/>
      <c r="CM40" s="297"/>
      <c r="CN40" s="297"/>
      <c r="CO40" s="297"/>
      <c r="CP40" s="297"/>
      <c r="CQ40" s="297"/>
      <c r="CR40" s="297"/>
      <c r="CS40" s="297"/>
      <c r="CT40" s="297"/>
      <c r="CU40" s="297"/>
      <c r="CV40" s="297"/>
      <c r="CW40" s="297"/>
      <c r="CX40" s="297"/>
      <c r="CY40" s="297"/>
      <c r="CZ40" s="297"/>
      <c r="DA40" s="297"/>
      <c r="DB40" s="297"/>
      <c r="DC40" s="297"/>
      <c r="DD40" s="297"/>
      <c r="DE40" s="297"/>
      <c r="DF40" s="297"/>
    </row>
    <row r="41" spans="1:110" s="28" customFormat="1" ht="21.75" customHeight="1">
      <c r="A41" s="26" t="s">
        <v>296</v>
      </c>
      <c r="B41" s="26" t="s">
        <v>297</v>
      </c>
      <c r="C41" s="25" t="s">
        <v>298</v>
      </c>
      <c r="D41" s="299" t="s">
        <v>299</v>
      </c>
      <c r="E41" s="25" t="s">
        <v>75</v>
      </c>
      <c r="F41" s="31" t="s">
        <v>300</v>
      </c>
      <c r="G41" s="53" t="s">
        <v>76</v>
      </c>
      <c r="H41" s="53" t="s">
        <v>128</v>
      </c>
      <c r="I41" s="295">
        <v>43326</v>
      </c>
      <c r="J41" s="26" t="s">
        <v>301</v>
      </c>
      <c r="K41" s="242">
        <f t="shared" si="2"/>
        <v>6130597</v>
      </c>
      <c r="L41" s="243">
        <v>4877797</v>
      </c>
      <c r="M41" s="317"/>
      <c r="N41" s="317"/>
      <c r="O41" s="245">
        <v>4877797</v>
      </c>
      <c r="P41" s="317"/>
      <c r="Q41" s="317"/>
      <c r="R41" s="317"/>
      <c r="S41" s="14">
        <f>1144800+108000</f>
        <v>1252800</v>
      </c>
      <c r="T41" s="59" t="s">
        <v>302</v>
      </c>
      <c r="U41" s="263" t="s">
        <v>303</v>
      </c>
      <c r="V41" s="262">
        <v>0.1</v>
      </c>
      <c r="W41" s="26">
        <v>0</v>
      </c>
      <c r="X41" s="26"/>
      <c r="Y41" s="26">
        <f>4390017.3+1144800</f>
        <v>5534817.2999999998</v>
      </c>
      <c r="Z41" s="26"/>
      <c r="AA41" s="26">
        <v>108000</v>
      </c>
      <c r="AB41" s="26"/>
      <c r="AC41" s="26"/>
      <c r="AD41" s="26"/>
      <c r="AE41" s="266">
        <f t="shared" ref="AE41:AE60" si="3">SUM(W41:AA41)</f>
        <v>5642817.2999999998</v>
      </c>
      <c r="AF41" s="25" t="s">
        <v>145</v>
      </c>
      <c r="AG41" s="245"/>
      <c r="AH41" s="245"/>
      <c r="AI41" s="245"/>
      <c r="AJ41" s="345"/>
      <c r="AK41" s="43" t="s">
        <v>197</v>
      </c>
      <c r="AL41" s="245"/>
      <c r="AM41" s="245"/>
      <c r="AN41" s="245"/>
      <c r="AO41" s="289"/>
      <c r="AP41" s="289"/>
      <c r="AQ41" s="290"/>
      <c r="AR41" s="290"/>
      <c r="AS41" s="25" t="s">
        <v>304</v>
      </c>
      <c r="AT41" s="291"/>
      <c r="AU41" s="25" t="s">
        <v>197</v>
      </c>
      <c r="AV41" s="43" t="s">
        <v>197</v>
      </c>
      <c r="AW41" s="26"/>
      <c r="AX41" s="26"/>
      <c r="AY41" s="25"/>
      <c r="AZ41" s="297"/>
      <c r="BA41" s="297"/>
      <c r="BB41" s="297"/>
      <c r="BC41" s="297"/>
      <c r="BD41" s="297"/>
      <c r="BE41" s="297"/>
      <c r="BF41" s="297"/>
      <c r="BG41" s="297"/>
      <c r="BH41" s="297"/>
      <c r="BI41" s="297"/>
      <c r="BJ41" s="297"/>
      <c r="BK41" s="297"/>
      <c r="BL41" s="297"/>
      <c r="BM41" s="297"/>
      <c r="BN41" s="297"/>
      <c r="BO41" s="297"/>
      <c r="BP41" s="297"/>
      <c r="BQ41" s="297"/>
      <c r="BR41" s="297"/>
      <c r="BS41" s="297"/>
      <c r="BT41" s="297"/>
      <c r="BU41" s="297"/>
      <c r="BV41" s="297"/>
      <c r="BW41" s="297"/>
      <c r="BX41" s="297"/>
      <c r="BY41" s="297"/>
      <c r="BZ41" s="297"/>
      <c r="CA41" s="297"/>
      <c r="CB41" s="297"/>
      <c r="CC41" s="297"/>
      <c r="CD41" s="297"/>
      <c r="CE41" s="297"/>
      <c r="CF41" s="297"/>
      <c r="CG41" s="297"/>
      <c r="CH41" s="297"/>
      <c r="CI41" s="297"/>
      <c r="CJ41" s="297"/>
      <c r="CK41" s="297"/>
      <c r="CL41" s="297"/>
      <c r="CM41" s="297"/>
      <c r="CN41" s="297"/>
      <c r="CO41" s="297"/>
      <c r="CP41" s="297"/>
      <c r="CQ41" s="297"/>
      <c r="CR41" s="297"/>
      <c r="CS41" s="297"/>
      <c r="CT41" s="297"/>
      <c r="CU41" s="297"/>
      <c r="CV41" s="297"/>
      <c r="CW41" s="297"/>
      <c r="CX41" s="297"/>
      <c r="CY41" s="297"/>
      <c r="CZ41" s="297"/>
      <c r="DA41" s="297"/>
      <c r="DB41" s="297"/>
      <c r="DC41" s="297"/>
      <c r="DD41" s="297"/>
      <c r="DE41" s="297"/>
      <c r="DF41" s="297"/>
    </row>
    <row r="42" spans="1:110" s="28" customFormat="1" ht="21.75" customHeight="1">
      <c r="A42" s="26" t="s">
        <v>305</v>
      </c>
      <c r="B42" s="26" t="s">
        <v>306</v>
      </c>
      <c r="C42" s="18" t="s">
        <v>307</v>
      </c>
      <c r="D42" s="26" t="s">
        <v>308</v>
      </c>
      <c r="E42" s="25" t="s">
        <v>83</v>
      </c>
      <c r="F42" s="25" t="s">
        <v>309</v>
      </c>
      <c r="G42" s="53" t="s">
        <v>107</v>
      </c>
      <c r="H42" s="53" t="s">
        <v>84</v>
      </c>
      <c r="I42" s="295">
        <v>43096</v>
      </c>
      <c r="J42" s="26" t="s">
        <v>310</v>
      </c>
      <c r="K42" s="242">
        <f t="shared" si="2"/>
        <v>3050000</v>
      </c>
      <c r="L42" s="243">
        <v>3050000</v>
      </c>
      <c r="M42" s="245">
        <v>3050000</v>
      </c>
      <c r="N42" s="317"/>
      <c r="O42" s="317"/>
      <c r="P42" s="317"/>
      <c r="Q42" s="317"/>
      <c r="R42" s="317"/>
      <c r="S42" s="14"/>
      <c r="T42" s="59"/>
      <c r="U42" s="262"/>
      <c r="V42" s="262">
        <v>0.17380000000000001</v>
      </c>
      <c r="W42" s="26">
        <v>587209</v>
      </c>
      <c r="X42" s="26"/>
      <c r="Y42" s="26">
        <v>1997791</v>
      </c>
      <c r="Z42" s="26"/>
      <c r="AA42" s="26"/>
      <c r="AB42" s="26"/>
      <c r="AC42" s="26"/>
      <c r="AD42" s="26"/>
      <c r="AE42" s="266">
        <f t="shared" si="3"/>
        <v>2585000</v>
      </c>
      <c r="AF42" s="25" t="s">
        <v>145</v>
      </c>
      <c r="AG42" s="245"/>
      <c r="AH42" s="245"/>
      <c r="AI42" s="245"/>
      <c r="AJ42" s="345"/>
      <c r="AK42" s="43" t="s">
        <v>66</v>
      </c>
      <c r="AL42" s="245"/>
      <c r="AM42" s="245"/>
      <c r="AN42" s="245"/>
      <c r="AO42" s="289" t="s">
        <v>86</v>
      </c>
      <c r="AP42" s="289"/>
      <c r="AQ42" s="290">
        <v>43228</v>
      </c>
      <c r="AR42" s="290">
        <v>43329</v>
      </c>
      <c r="AS42" s="25"/>
      <c r="AT42" s="291">
        <v>43592</v>
      </c>
      <c r="AU42" s="25" t="s">
        <v>88</v>
      </c>
      <c r="AV42" s="43" t="s">
        <v>66</v>
      </c>
      <c r="AW42" s="26" t="s">
        <v>71</v>
      </c>
      <c r="AX42" s="26"/>
      <c r="AY42" s="25"/>
      <c r="AZ42" s="297"/>
      <c r="BA42" s="297"/>
      <c r="BB42" s="297"/>
      <c r="BC42" s="297"/>
      <c r="BD42" s="297"/>
      <c r="BE42" s="297"/>
      <c r="BF42" s="297"/>
      <c r="BG42" s="297"/>
      <c r="BH42" s="297"/>
      <c r="BI42" s="297"/>
      <c r="BJ42" s="297"/>
      <c r="BK42" s="297"/>
      <c r="BL42" s="297"/>
      <c r="BM42" s="297"/>
      <c r="BN42" s="297"/>
      <c r="BO42" s="297"/>
      <c r="BP42" s="297"/>
      <c r="BQ42" s="297"/>
      <c r="BR42" s="297"/>
      <c r="BS42" s="297"/>
      <c r="BT42" s="297"/>
      <c r="BU42" s="297"/>
      <c r="BV42" s="297"/>
      <c r="BW42" s="297"/>
      <c r="BX42" s="297"/>
      <c r="BY42" s="297"/>
      <c r="BZ42" s="297"/>
      <c r="CA42" s="297"/>
      <c r="CB42" s="297"/>
      <c r="CC42" s="297"/>
      <c r="CD42" s="297"/>
      <c r="CE42" s="297"/>
      <c r="CF42" s="297"/>
      <c r="CG42" s="297"/>
      <c r="CH42" s="297"/>
      <c r="CI42" s="297"/>
      <c r="CJ42" s="297"/>
      <c r="CK42" s="297"/>
      <c r="CL42" s="297"/>
      <c r="CM42" s="297"/>
      <c r="CN42" s="297"/>
      <c r="CO42" s="297"/>
      <c r="CP42" s="297"/>
      <c r="CQ42" s="297"/>
      <c r="CR42" s="297"/>
      <c r="CS42" s="297"/>
      <c r="CT42" s="297"/>
      <c r="CU42" s="297"/>
      <c r="CV42" s="297"/>
      <c r="CW42" s="297"/>
      <c r="CX42" s="297"/>
      <c r="CY42" s="297"/>
      <c r="CZ42" s="297"/>
      <c r="DA42" s="297"/>
      <c r="DB42" s="297"/>
      <c r="DC42" s="297"/>
      <c r="DD42" s="297"/>
      <c r="DE42" s="297"/>
      <c r="DF42" s="297"/>
    </row>
    <row r="43" spans="1:110" s="28" customFormat="1" ht="21.75" customHeight="1">
      <c r="A43" s="26" t="s">
        <v>311</v>
      </c>
      <c r="B43" s="26" t="s">
        <v>312</v>
      </c>
      <c r="C43" s="26" t="s">
        <v>313</v>
      </c>
      <c r="D43" s="26" t="s">
        <v>314</v>
      </c>
      <c r="E43" s="25" t="s">
        <v>83</v>
      </c>
      <c r="F43" s="25" t="s">
        <v>315</v>
      </c>
      <c r="G43" s="53" t="s">
        <v>76</v>
      </c>
      <c r="H43" s="53" t="s">
        <v>128</v>
      </c>
      <c r="I43" s="295">
        <v>43082</v>
      </c>
      <c r="J43" s="26"/>
      <c r="K43" s="242">
        <f t="shared" si="2"/>
        <v>23000</v>
      </c>
      <c r="L43" s="243">
        <v>23000</v>
      </c>
      <c r="M43" s="317"/>
      <c r="N43" s="317"/>
      <c r="O43" s="317"/>
      <c r="P43" s="317"/>
      <c r="Q43" s="245">
        <v>23000</v>
      </c>
      <c r="R43" s="317"/>
      <c r="S43" s="14"/>
      <c r="T43" s="59"/>
      <c r="U43" s="262"/>
      <c r="V43" s="262">
        <f>1-(W43+Y43+AA43)/L43</f>
        <v>0.15000000000000002</v>
      </c>
      <c r="W43" s="26"/>
      <c r="X43" s="26"/>
      <c r="Y43" s="26"/>
      <c r="Z43" s="26"/>
      <c r="AA43" s="26">
        <v>19550</v>
      </c>
      <c r="AB43" s="26"/>
      <c r="AC43" s="26"/>
      <c r="AD43" s="26"/>
      <c r="AE43" s="266">
        <f t="shared" si="3"/>
        <v>19550</v>
      </c>
      <c r="AF43" s="25" t="s">
        <v>145</v>
      </c>
      <c r="AG43" s="245"/>
      <c r="AH43" s="245"/>
      <c r="AI43" s="245"/>
      <c r="AJ43" s="345"/>
      <c r="AK43" s="43" t="s">
        <v>66</v>
      </c>
      <c r="AL43" s="245"/>
      <c r="AM43" s="245"/>
      <c r="AN43" s="245"/>
      <c r="AO43" s="289" t="s">
        <v>86</v>
      </c>
      <c r="AP43" s="289"/>
      <c r="AQ43" s="290">
        <v>42948</v>
      </c>
      <c r="AR43" s="290">
        <v>43174</v>
      </c>
      <c r="AS43" s="25"/>
      <c r="AT43" s="291">
        <v>43313</v>
      </c>
      <c r="AU43" s="25" t="s">
        <v>122</v>
      </c>
      <c r="AV43" s="43" t="s">
        <v>66</v>
      </c>
      <c r="AW43" s="26" t="s">
        <v>71</v>
      </c>
      <c r="AX43" s="26"/>
      <c r="AY43" s="25"/>
      <c r="AZ43" s="297"/>
      <c r="BA43" s="297"/>
      <c r="BB43" s="297"/>
      <c r="BC43" s="297"/>
      <c r="BD43" s="297"/>
      <c r="BE43" s="297"/>
      <c r="BF43" s="297"/>
      <c r="BG43" s="297"/>
      <c r="BH43" s="297"/>
      <c r="BI43" s="297"/>
      <c r="BJ43" s="297"/>
      <c r="BK43" s="297"/>
      <c r="BL43" s="297"/>
      <c r="BM43" s="297"/>
      <c r="BN43" s="297"/>
      <c r="BO43" s="297"/>
      <c r="BP43" s="297"/>
      <c r="BQ43" s="297"/>
      <c r="BR43" s="297"/>
      <c r="BS43" s="297"/>
      <c r="BT43" s="297"/>
      <c r="BU43" s="297"/>
      <c r="BV43" s="297"/>
      <c r="BW43" s="297"/>
      <c r="BX43" s="297"/>
      <c r="BY43" s="297"/>
      <c r="BZ43" s="297"/>
      <c r="CA43" s="297"/>
      <c r="CB43" s="297"/>
      <c r="CC43" s="297"/>
      <c r="CD43" s="297"/>
      <c r="CE43" s="297"/>
      <c r="CF43" s="297"/>
      <c r="CG43" s="297"/>
      <c r="CH43" s="297"/>
      <c r="CI43" s="297"/>
      <c r="CJ43" s="297"/>
      <c r="CK43" s="297"/>
      <c r="CL43" s="297"/>
      <c r="CM43" s="297"/>
      <c r="CN43" s="297"/>
      <c r="CO43" s="297"/>
      <c r="CP43" s="297"/>
      <c r="CQ43" s="297"/>
      <c r="CR43" s="297"/>
      <c r="CS43" s="297"/>
      <c r="CT43" s="297"/>
      <c r="CU43" s="297"/>
      <c r="CV43" s="297"/>
      <c r="CW43" s="297"/>
      <c r="CX43" s="297"/>
      <c r="CY43" s="297"/>
      <c r="CZ43" s="297"/>
      <c r="DA43" s="297"/>
      <c r="DB43" s="297"/>
      <c r="DC43" s="297"/>
      <c r="DD43" s="297"/>
      <c r="DE43" s="297"/>
      <c r="DF43" s="297"/>
    </row>
    <row r="44" spans="1:110" s="28" customFormat="1" ht="21.75" customHeight="1">
      <c r="A44" s="26" t="s">
        <v>316</v>
      </c>
      <c r="B44" s="26" t="s">
        <v>317</v>
      </c>
      <c r="C44" s="26" t="s">
        <v>318</v>
      </c>
      <c r="D44" s="26" t="s">
        <v>319</v>
      </c>
      <c r="E44" s="25" t="s">
        <v>126</v>
      </c>
      <c r="F44" s="25" t="s">
        <v>315</v>
      </c>
      <c r="G44" s="53" t="s">
        <v>76</v>
      </c>
      <c r="H44" s="53" t="s">
        <v>128</v>
      </c>
      <c r="I44" s="295">
        <v>43082</v>
      </c>
      <c r="J44" s="26"/>
      <c r="K44" s="242">
        <f t="shared" si="2"/>
        <v>197335</v>
      </c>
      <c r="L44" s="243">
        <f>115435+81900</f>
        <v>197335</v>
      </c>
      <c r="M44" s="53" t="s">
        <v>320</v>
      </c>
      <c r="N44" s="240"/>
      <c r="O44" s="53" t="s">
        <v>321</v>
      </c>
      <c r="P44" s="240"/>
      <c r="Q44" s="240"/>
      <c r="R44" s="240"/>
      <c r="S44" s="14"/>
      <c r="T44" s="26"/>
      <c r="U44" s="263"/>
      <c r="V44" s="262">
        <v>0.15</v>
      </c>
      <c r="W44" s="26">
        <v>98120</v>
      </c>
      <c r="X44" s="26"/>
      <c r="Y44" s="26">
        <v>69615</v>
      </c>
      <c r="Z44" s="26"/>
      <c r="AA44" s="26"/>
      <c r="AB44" s="26"/>
      <c r="AC44" s="26"/>
      <c r="AD44" s="26"/>
      <c r="AE44" s="266">
        <f t="shared" si="3"/>
        <v>167735</v>
      </c>
      <c r="AF44" s="25" t="s">
        <v>145</v>
      </c>
      <c r="AG44" s="245"/>
      <c r="AH44" s="245"/>
      <c r="AI44" s="245"/>
      <c r="AJ44" s="345"/>
      <c r="AK44" s="43" t="s">
        <v>66</v>
      </c>
      <c r="AL44" s="245"/>
      <c r="AM44" s="245"/>
      <c r="AN44" s="245"/>
      <c r="AO44" s="289" t="s">
        <v>86</v>
      </c>
      <c r="AP44" s="289"/>
      <c r="AQ44" s="290">
        <v>43160</v>
      </c>
      <c r="AR44" s="290">
        <v>43117</v>
      </c>
      <c r="AS44" s="25" t="s">
        <v>78</v>
      </c>
      <c r="AT44" s="291">
        <v>43525</v>
      </c>
      <c r="AU44" s="25" t="s">
        <v>88</v>
      </c>
      <c r="AV44" s="43" t="s">
        <v>66</v>
      </c>
      <c r="AW44" s="26" t="s">
        <v>71</v>
      </c>
      <c r="AX44" s="26"/>
      <c r="AY44" s="25"/>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c r="CA44" s="297"/>
      <c r="CB44" s="297"/>
      <c r="CC44" s="297"/>
      <c r="CD44" s="297"/>
      <c r="CE44" s="297"/>
      <c r="CF44" s="297"/>
      <c r="CG44" s="297"/>
      <c r="CH44" s="297"/>
      <c r="CI44" s="297"/>
      <c r="CJ44" s="297"/>
      <c r="CK44" s="297"/>
      <c r="CL44" s="297"/>
      <c r="CM44" s="297"/>
      <c r="CN44" s="297"/>
      <c r="CO44" s="297"/>
      <c r="CP44" s="297"/>
      <c r="CQ44" s="297"/>
      <c r="CR44" s="297"/>
      <c r="CS44" s="297"/>
      <c r="CT44" s="297"/>
      <c r="CU44" s="297"/>
      <c r="CV44" s="297"/>
      <c r="CW44" s="297"/>
      <c r="CX44" s="297"/>
      <c r="CY44" s="297"/>
      <c r="CZ44" s="297"/>
      <c r="DA44" s="297"/>
      <c r="DB44" s="297"/>
      <c r="DC44" s="297"/>
      <c r="DD44" s="297"/>
      <c r="DE44" s="297"/>
      <c r="DF44" s="297"/>
    </row>
    <row r="45" spans="1:110" s="28" customFormat="1" ht="21.75" customHeight="1">
      <c r="A45" s="26" t="s">
        <v>322</v>
      </c>
      <c r="B45" s="26" t="s">
        <v>323</v>
      </c>
      <c r="C45" s="26" t="s">
        <v>324</v>
      </c>
      <c r="D45" s="26" t="s">
        <v>325</v>
      </c>
      <c r="E45" s="25" t="s">
        <v>126</v>
      </c>
      <c r="F45" s="25" t="s">
        <v>315</v>
      </c>
      <c r="G45" s="53" t="s">
        <v>76</v>
      </c>
      <c r="H45" s="53" t="s">
        <v>128</v>
      </c>
      <c r="I45" s="295">
        <v>43082</v>
      </c>
      <c r="J45" s="26"/>
      <c r="K45" s="242">
        <f t="shared" si="2"/>
        <v>606640</v>
      </c>
      <c r="L45" s="243">
        <f>437876+168764</f>
        <v>606640</v>
      </c>
      <c r="M45" s="53" t="s">
        <v>326</v>
      </c>
      <c r="N45" s="240"/>
      <c r="O45" s="53" t="s">
        <v>327</v>
      </c>
      <c r="P45" s="240"/>
      <c r="Q45" s="240"/>
      <c r="R45" s="240"/>
      <c r="S45" s="14"/>
      <c r="T45" s="26"/>
      <c r="U45" s="263"/>
      <c r="V45" s="262">
        <v>0.15</v>
      </c>
      <c r="W45" s="26">
        <v>372194</v>
      </c>
      <c r="X45" s="26"/>
      <c r="Y45" s="26">
        <v>143449</v>
      </c>
      <c r="Z45" s="26"/>
      <c r="AA45" s="26"/>
      <c r="AB45" s="26"/>
      <c r="AC45" s="26"/>
      <c r="AD45" s="26"/>
      <c r="AE45" s="266">
        <f t="shared" si="3"/>
        <v>515643</v>
      </c>
      <c r="AF45" s="25" t="s">
        <v>145</v>
      </c>
      <c r="AG45" s="245"/>
      <c r="AH45" s="245"/>
      <c r="AI45" s="245"/>
      <c r="AJ45" s="345"/>
      <c r="AK45" s="43" t="s">
        <v>66</v>
      </c>
      <c r="AL45" s="245"/>
      <c r="AM45" s="245"/>
      <c r="AN45" s="245"/>
      <c r="AO45" s="289" t="s">
        <v>86</v>
      </c>
      <c r="AP45" s="289"/>
      <c r="AQ45" s="290">
        <v>43160</v>
      </c>
      <c r="AR45" s="290">
        <v>43117</v>
      </c>
      <c r="AS45" s="25" t="s">
        <v>78</v>
      </c>
      <c r="AT45" s="291">
        <v>43525</v>
      </c>
      <c r="AU45" s="25" t="s">
        <v>88</v>
      </c>
      <c r="AV45" s="43" t="s">
        <v>66</v>
      </c>
      <c r="AW45" s="26" t="s">
        <v>71</v>
      </c>
      <c r="AX45" s="26"/>
      <c r="AY45" s="25"/>
      <c r="AZ45" s="297"/>
      <c r="BA45" s="297"/>
      <c r="BB45" s="297"/>
      <c r="BC45" s="297"/>
      <c r="BD45" s="297"/>
      <c r="BE45" s="297"/>
      <c r="BF45" s="297"/>
      <c r="BG45" s="297"/>
      <c r="BH45" s="297"/>
      <c r="BI45" s="297"/>
      <c r="BJ45" s="297"/>
      <c r="BK45" s="297"/>
      <c r="BL45" s="297"/>
      <c r="BM45" s="297"/>
      <c r="BN45" s="297"/>
      <c r="BO45" s="297"/>
      <c r="BP45" s="297"/>
      <c r="BQ45" s="297"/>
      <c r="BR45" s="297"/>
      <c r="BS45" s="297"/>
      <c r="BT45" s="297"/>
      <c r="BU45" s="297"/>
      <c r="BV45" s="297"/>
      <c r="BW45" s="297"/>
      <c r="BX45" s="297"/>
      <c r="BY45" s="297"/>
      <c r="BZ45" s="297"/>
      <c r="CA45" s="297"/>
      <c r="CB45" s="297"/>
      <c r="CC45" s="297"/>
      <c r="CD45" s="297"/>
      <c r="CE45" s="297"/>
      <c r="CF45" s="297"/>
      <c r="CG45" s="297"/>
      <c r="CH45" s="297"/>
      <c r="CI45" s="297"/>
      <c r="CJ45" s="297"/>
      <c r="CK45" s="297"/>
      <c r="CL45" s="297"/>
      <c r="CM45" s="297"/>
      <c r="CN45" s="297"/>
      <c r="CO45" s="297"/>
      <c r="CP45" s="297"/>
      <c r="CQ45" s="297"/>
      <c r="CR45" s="297"/>
      <c r="CS45" s="297"/>
      <c r="CT45" s="297"/>
      <c r="CU45" s="297"/>
      <c r="CV45" s="297"/>
      <c r="CW45" s="297"/>
      <c r="CX45" s="297"/>
      <c r="CY45" s="297"/>
      <c r="CZ45" s="297"/>
      <c r="DA45" s="297"/>
      <c r="DB45" s="297"/>
      <c r="DC45" s="297"/>
      <c r="DD45" s="297"/>
      <c r="DE45" s="297"/>
      <c r="DF45" s="297"/>
    </row>
    <row r="46" spans="1:110" s="28" customFormat="1" ht="21.75" customHeight="1">
      <c r="A46" s="26" t="s">
        <v>328</v>
      </c>
      <c r="B46" s="26" t="s">
        <v>329</v>
      </c>
      <c r="C46" s="26" t="s">
        <v>330</v>
      </c>
      <c r="D46" s="26" t="s">
        <v>331</v>
      </c>
      <c r="E46" s="25" t="s">
        <v>126</v>
      </c>
      <c r="F46" s="25" t="s">
        <v>315</v>
      </c>
      <c r="G46" s="53" t="s">
        <v>76</v>
      </c>
      <c r="H46" s="53" t="s">
        <v>128</v>
      </c>
      <c r="I46" s="295">
        <v>43082</v>
      </c>
      <c r="J46" s="26"/>
      <c r="K46" s="242">
        <f t="shared" si="2"/>
        <v>36619</v>
      </c>
      <c r="L46" s="243">
        <f>19000+17619</f>
        <v>36619</v>
      </c>
      <c r="M46" s="53" t="s">
        <v>332</v>
      </c>
      <c r="N46" s="240"/>
      <c r="O46" s="53" t="s">
        <v>333</v>
      </c>
      <c r="P46" s="240"/>
      <c r="Q46" s="240"/>
      <c r="R46" s="240"/>
      <c r="S46" s="14"/>
      <c r="T46" s="26"/>
      <c r="U46" s="263"/>
      <c r="V46" s="262">
        <v>0.15</v>
      </c>
      <c r="W46" s="26">
        <v>16150</v>
      </c>
      <c r="X46" s="26"/>
      <c r="Y46" s="26">
        <v>14976</v>
      </c>
      <c r="Z46" s="26"/>
      <c r="AA46" s="26"/>
      <c r="AB46" s="26"/>
      <c r="AC46" s="26"/>
      <c r="AD46" s="26"/>
      <c r="AE46" s="243">
        <f t="shared" si="3"/>
        <v>31126</v>
      </c>
      <c r="AF46" s="25" t="s">
        <v>145</v>
      </c>
      <c r="AG46" s="245"/>
      <c r="AH46" s="245"/>
      <c r="AI46" s="245"/>
      <c r="AJ46" s="345"/>
      <c r="AK46" s="43" t="s">
        <v>66</v>
      </c>
      <c r="AL46" s="245"/>
      <c r="AM46" s="245"/>
      <c r="AN46" s="245"/>
      <c r="AO46" s="289" t="s">
        <v>86</v>
      </c>
      <c r="AP46" s="289"/>
      <c r="AQ46" s="290">
        <v>43160</v>
      </c>
      <c r="AR46" s="290">
        <v>43117</v>
      </c>
      <c r="AS46" s="25" t="s">
        <v>78</v>
      </c>
      <c r="AT46" s="291">
        <v>43525</v>
      </c>
      <c r="AU46" s="25" t="s">
        <v>88</v>
      </c>
      <c r="AV46" s="43" t="s">
        <v>66</v>
      </c>
      <c r="AW46" s="26" t="s">
        <v>71</v>
      </c>
      <c r="AX46" s="26"/>
      <c r="AY46" s="25"/>
      <c r="AZ46" s="297"/>
      <c r="BA46" s="297"/>
      <c r="BB46" s="297"/>
      <c r="BC46" s="297"/>
      <c r="BD46" s="297"/>
      <c r="BE46" s="297"/>
      <c r="BF46" s="297"/>
      <c r="BG46" s="297"/>
      <c r="BH46" s="297"/>
      <c r="BI46" s="297"/>
      <c r="BJ46" s="297"/>
      <c r="BK46" s="297"/>
      <c r="BL46" s="297"/>
      <c r="BM46" s="297"/>
      <c r="BN46" s="297"/>
      <c r="BO46" s="297"/>
      <c r="BP46" s="297"/>
      <c r="BQ46" s="297"/>
      <c r="BR46" s="297"/>
      <c r="BS46" s="297"/>
      <c r="BT46" s="297"/>
      <c r="BU46" s="297"/>
      <c r="BV46" s="297"/>
      <c r="BW46" s="297"/>
      <c r="BX46" s="297"/>
      <c r="BY46" s="297"/>
      <c r="BZ46" s="297"/>
      <c r="CA46" s="297"/>
      <c r="CB46" s="297"/>
      <c r="CC46" s="297"/>
      <c r="CD46" s="297"/>
      <c r="CE46" s="297"/>
      <c r="CF46" s="297"/>
      <c r="CG46" s="297"/>
      <c r="CH46" s="297"/>
      <c r="CI46" s="297"/>
      <c r="CJ46" s="297"/>
      <c r="CK46" s="297"/>
      <c r="CL46" s="297"/>
      <c r="CM46" s="297"/>
      <c r="CN46" s="297"/>
      <c r="CO46" s="297"/>
      <c r="CP46" s="297"/>
      <c r="CQ46" s="297"/>
      <c r="CR46" s="297"/>
      <c r="CS46" s="297"/>
      <c r="CT46" s="297"/>
      <c r="CU46" s="297"/>
      <c r="CV46" s="297"/>
      <c r="CW46" s="297"/>
      <c r="CX46" s="297"/>
      <c r="CY46" s="297"/>
      <c r="CZ46" s="297"/>
      <c r="DA46" s="297"/>
      <c r="DB46" s="297"/>
      <c r="DC46" s="297"/>
      <c r="DD46" s="297"/>
      <c r="DE46" s="297"/>
      <c r="DF46" s="297"/>
    </row>
    <row r="47" spans="1:110" s="28" customFormat="1" ht="21.75" customHeight="1">
      <c r="A47" s="26" t="s">
        <v>334</v>
      </c>
      <c r="B47" s="26" t="s">
        <v>335</v>
      </c>
      <c r="C47" s="26" t="s">
        <v>336</v>
      </c>
      <c r="D47" s="26" t="s">
        <v>337</v>
      </c>
      <c r="E47" s="25" t="s">
        <v>126</v>
      </c>
      <c r="F47" s="25" t="s">
        <v>315</v>
      </c>
      <c r="G47" s="53" t="s">
        <v>76</v>
      </c>
      <c r="H47" s="53" t="s">
        <v>128</v>
      </c>
      <c r="I47" s="295">
        <v>43082</v>
      </c>
      <c r="J47" s="26"/>
      <c r="K47" s="242">
        <f t="shared" si="2"/>
        <v>4947</v>
      </c>
      <c r="L47" s="243">
        <f>442+4505</f>
        <v>4947</v>
      </c>
      <c r="M47" s="53" t="s">
        <v>338</v>
      </c>
      <c r="N47" s="240"/>
      <c r="O47" s="53" t="s">
        <v>339</v>
      </c>
      <c r="P47" s="240"/>
      <c r="Q47" s="240"/>
      <c r="R47" s="240"/>
      <c r="S47" s="14"/>
      <c r="T47" s="26"/>
      <c r="U47" s="263"/>
      <c r="V47" s="262">
        <v>0.15</v>
      </c>
      <c r="W47" s="26">
        <v>376</v>
      </c>
      <c r="X47" s="26"/>
      <c r="Y47" s="26">
        <v>3829</v>
      </c>
      <c r="Z47" s="26"/>
      <c r="AA47" s="26"/>
      <c r="AB47" s="26"/>
      <c r="AC47" s="26"/>
      <c r="AD47" s="26"/>
      <c r="AE47" s="243">
        <f t="shared" si="3"/>
        <v>4205</v>
      </c>
      <c r="AF47" s="25" t="s">
        <v>145</v>
      </c>
      <c r="AG47" s="245"/>
      <c r="AH47" s="245"/>
      <c r="AI47" s="245"/>
      <c r="AJ47" s="345"/>
      <c r="AK47" s="43" t="s">
        <v>66</v>
      </c>
      <c r="AL47" s="245"/>
      <c r="AM47" s="245"/>
      <c r="AN47" s="245"/>
      <c r="AO47" s="289" t="s">
        <v>86</v>
      </c>
      <c r="AP47" s="289"/>
      <c r="AQ47" s="290">
        <v>43160</v>
      </c>
      <c r="AR47" s="290">
        <v>43117</v>
      </c>
      <c r="AS47" s="25" t="s">
        <v>78</v>
      </c>
      <c r="AT47" s="291">
        <v>43525</v>
      </c>
      <c r="AU47" s="25" t="s">
        <v>88</v>
      </c>
      <c r="AV47" s="43" t="s">
        <v>66</v>
      </c>
      <c r="AW47" s="26" t="s">
        <v>71</v>
      </c>
      <c r="AX47" s="26"/>
      <c r="AY47" s="25"/>
      <c r="AZ47" s="297"/>
      <c r="BA47" s="297"/>
      <c r="BB47" s="297"/>
      <c r="BC47" s="297"/>
      <c r="BD47" s="297"/>
      <c r="BE47" s="297"/>
      <c r="BF47" s="297"/>
      <c r="BG47" s="297"/>
      <c r="BH47" s="297"/>
      <c r="BI47" s="297"/>
      <c r="BJ47" s="297"/>
      <c r="BK47" s="297"/>
      <c r="BL47" s="297"/>
      <c r="BM47" s="297"/>
      <c r="BN47" s="297"/>
      <c r="BO47" s="297"/>
      <c r="BP47" s="297"/>
      <c r="BQ47" s="297"/>
      <c r="BR47" s="297"/>
      <c r="BS47" s="297"/>
      <c r="BT47" s="297"/>
      <c r="BU47" s="297"/>
      <c r="BV47" s="297"/>
      <c r="BW47" s="297"/>
      <c r="BX47" s="297"/>
      <c r="BY47" s="297"/>
      <c r="BZ47" s="297"/>
      <c r="CA47" s="297"/>
      <c r="CB47" s="297"/>
      <c r="CC47" s="297"/>
      <c r="CD47" s="297"/>
      <c r="CE47" s="297"/>
      <c r="CF47" s="297"/>
      <c r="CG47" s="297"/>
      <c r="CH47" s="297"/>
      <c r="CI47" s="297"/>
      <c r="CJ47" s="297"/>
      <c r="CK47" s="297"/>
      <c r="CL47" s="297"/>
      <c r="CM47" s="297"/>
      <c r="CN47" s="297"/>
      <c r="CO47" s="297"/>
      <c r="CP47" s="297"/>
      <c r="CQ47" s="297"/>
      <c r="CR47" s="297"/>
      <c r="CS47" s="297"/>
      <c r="CT47" s="297"/>
      <c r="CU47" s="297"/>
      <c r="CV47" s="297"/>
      <c r="CW47" s="297"/>
      <c r="CX47" s="297"/>
      <c r="CY47" s="297"/>
      <c r="CZ47" s="297"/>
      <c r="DA47" s="297"/>
      <c r="DB47" s="297"/>
      <c r="DC47" s="297"/>
      <c r="DD47" s="297"/>
      <c r="DE47" s="297"/>
      <c r="DF47" s="297"/>
    </row>
    <row r="48" spans="1:110" s="28" customFormat="1" ht="21.75" customHeight="1">
      <c r="A48" s="26" t="s">
        <v>340</v>
      </c>
      <c r="B48" s="26" t="s">
        <v>341</v>
      </c>
      <c r="C48" s="26" t="s">
        <v>342</v>
      </c>
      <c r="D48" s="26" t="s">
        <v>343</v>
      </c>
      <c r="E48" s="25" t="s">
        <v>126</v>
      </c>
      <c r="F48" s="25" t="s">
        <v>315</v>
      </c>
      <c r="G48" s="53" t="s">
        <v>76</v>
      </c>
      <c r="H48" s="53" t="s">
        <v>128</v>
      </c>
      <c r="I48" s="295">
        <v>43082</v>
      </c>
      <c r="J48" s="26"/>
      <c r="K48" s="242">
        <f t="shared" si="2"/>
        <v>71290</v>
      </c>
      <c r="L48" s="243">
        <f>33420+37870</f>
        <v>71290</v>
      </c>
      <c r="M48" s="53" t="s">
        <v>344</v>
      </c>
      <c r="N48" s="240"/>
      <c r="O48" s="53" t="s">
        <v>345</v>
      </c>
      <c r="P48" s="240"/>
      <c r="Q48" s="240"/>
      <c r="R48" s="240"/>
      <c r="S48" s="14"/>
      <c r="T48" s="26"/>
      <c r="U48" s="263"/>
      <c r="V48" s="262">
        <v>0.15</v>
      </c>
      <c r="W48" s="26">
        <v>28407</v>
      </c>
      <c r="X48" s="26"/>
      <c r="Y48" s="26">
        <v>32190</v>
      </c>
      <c r="Z48" s="26"/>
      <c r="AA48" s="26"/>
      <c r="AB48" s="26"/>
      <c r="AC48" s="26"/>
      <c r="AD48" s="26"/>
      <c r="AE48" s="243">
        <f t="shared" si="3"/>
        <v>60597</v>
      </c>
      <c r="AF48" s="25" t="s">
        <v>145</v>
      </c>
      <c r="AG48" s="245"/>
      <c r="AH48" s="245"/>
      <c r="AI48" s="245"/>
      <c r="AJ48" s="345"/>
      <c r="AK48" s="43" t="s">
        <v>66</v>
      </c>
      <c r="AL48" s="245"/>
      <c r="AM48" s="245"/>
      <c r="AN48" s="245"/>
      <c r="AO48" s="289" t="s">
        <v>86</v>
      </c>
      <c r="AP48" s="289"/>
      <c r="AQ48" s="290">
        <v>43160</v>
      </c>
      <c r="AR48" s="290">
        <v>43117</v>
      </c>
      <c r="AS48" s="25" t="s">
        <v>78</v>
      </c>
      <c r="AT48" s="291">
        <v>43525</v>
      </c>
      <c r="AU48" s="25" t="s">
        <v>88</v>
      </c>
      <c r="AV48" s="43" t="s">
        <v>66</v>
      </c>
      <c r="AW48" s="26" t="s">
        <v>71</v>
      </c>
      <c r="AX48" s="26"/>
      <c r="AY48" s="25"/>
      <c r="AZ48" s="297"/>
      <c r="BA48" s="297"/>
      <c r="BB48" s="297"/>
      <c r="BC48" s="297"/>
      <c r="BD48" s="297"/>
      <c r="BE48" s="297"/>
      <c r="BF48" s="297"/>
      <c r="BG48" s="297"/>
      <c r="BH48" s="297"/>
      <c r="BI48" s="297"/>
      <c r="BJ48" s="297"/>
      <c r="BK48" s="297"/>
      <c r="BL48" s="297"/>
      <c r="BM48" s="297"/>
      <c r="BN48" s="297"/>
      <c r="BO48" s="297"/>
      <c r="BP48" s="297"/>
      <c r="BQ48" s="297"/>
      <c r="BR48" s="297"/>
      <c r="BS48" s="297"/>
      <c r="BT48" s="297"/>
      <c r="BU48" s="297"/>
      <c r="BV48" s="297"/>
      <c r="BW48" s="297"/>
      <c r="BX48" s="297"/>
      <c r="BY48" s="297"/>
      <c r="BZ48" s="297"/>
      <c r="CA48" s="297"/>
      <c r="CB48" s="297"/>
      <c r="CC48" s="297"/>
      <c r="CD48" s="297"/>
      <c r="CE48" s="297"/>
      <c r="CF48" s="297"/>
      <c r="CG48" s="297"/>
      <c r="CH48" s="297"/>
      <c r="CI48" s="297"/>
      <c r="CJ48" s="297"/>
      <c r="CK48" s="297"/>
      <c r="CL48" s="297"/>
      <c r="CM48" s="297"/>
      <c r="CN48" s="297"/>
      <c r="CO48" s="297"/>
      <c r="CP48" s="297"/>
      <c r="CQ48" s="297"/>
      <c r="CR48" s="297"/>
      <c r="CS48" s="297"/>
      <c r="CT48" s="297"/>
      <c r="CU48" s="297"/>
      <c r="CV48" s="297"/>
      <c r="CW48" s="297"/>
      <c r="CX48" s="297"/>
      <c r="CY48" s="297"/>
      <c r="CZ48" s="297"/>
      <c r="DA48" s="297"/>
      <c r="DB48" s="297"/>
      <c r="DC48" s="297"/>
      <c r="DD48" s="297"/>
      <c r="DE48" s="297"/>
      <c r="DF48" s="297"/>
    </row>
    <row r="49" spans="1:110" s="28" customFormat="1" ht="21.75" customHeight="1">
      <c r="A49" s="26" t="s">
        <v>346</v>
      </c>
      <c r="B49" s="26" t="s">
        <v>347</v>
      </c>
      <c r="C49" s="26" t="s">
        <v>348</v>
      </c>
      <c r="D49" s="26" t="s">
        <v>349</v>
      </c>
      <c r="E49" s="25" t="s">
        <v>126</v>
      </c>
      <c r="F49" s="25" t="s">
        <v>315</v>
      </c>
      <c r="G49" s="53" t="s">
        <v>76</v>
      </c>
      <c r="H49" s="53" t="s">
        <v>128</v>
      </c>
      <c r="I49" s="295">
        <v>43082</v>
      </c>
      <c r="J49" s="26"/>
      <c r="K49" s="242">
        <f t="shared" si="2"/>
        <v>66490</v>
      </c>
      <c r="L49" s="243">
        <f>30930+35560</f>
        <v>66490</v>
      </c>
      <c r="M49" s="53" t="s">
        <v>350</v>
      </c>
      <c r="N49" s="240"/>
      <c r="O49" s="53" t="s">
        <v>351</v>
      </c>
      <c r="P49" s="240"/>
      <c r="Q49" s="240"/>
      <c r="R49" s="240"/>
      <c r="S49" s="14"/>
      <c r="T49" s="26"/>
      <c r="U49" s="263"/>
      <c r="V49" s="262">
        <v>0.15</v>
      </c>
      <c r="W49" s="26">
        <v>26291</v>
      </c>
      <c r="X49" s="26"/>
      <c r="Y49" s="26">
        <v>30226</v>
      </c>
      <c r="Z49" s="26"/>
      <c r="AA49" s="26"/>
      <c r="AB49" s="26"/>
      <c r="AC49" s="26"/>
      <c r="AD49" s="26"/>
      <c r="AE49" s="243">
        <f t="shared" si="3"/>
        <v>56517</v>
      </c>
      <c r="AF49" s="25" t="s">
        <v>145</v>
      </c>
      <c r="AG49" s="245"/>
      <c r="AH49" s="245"/>
      <c r="AI49" s="245"/>
      <c r="AJ49" s="345"/>
      <c r="AK49" s="43" t="s">
        <v>66</v>
      </c>
      <c r="AL49" s="245"/>
      <c r="AM49" s="245"/>
      <c r="AN49" s="245"/>
      <c r="AO49" s="289" t="s">
        <v>86</v>
      </c>
      <c r="AP49" s="289"/>
      <c r="AQ49" s="290">
        <v>43160</v>
      </c>
      <c r="AR49" s="290">
        <v>43117</v>
      </c>
      <c r="AS49" s="25" t="s">
        <v>78</v>
      </c>
      <c r="AT49" s="291">
        <v>43525</v>
      </c>
      <c r="AU49" s="25" t="s">
        <v>88</v>
      </c>
      <c r="AV49" s="43" t="s">
        <v>66</v>
      </c>
      <c r="AW49" s="26" t="s">
        <v>71</v>
      </c>
      <c r="AX49" s="26"/>
      <c r="AY49" s="25"/>
      <c r="AZ49" s="297"/>
      <c r="BA49" s="297"/>
      <c r="BB49" s="297"/>
      <c r="BC49" s="297"/>
      <c r="BD49" s="297"/>
      <c r="BE49" s="297"/>
      <c r="BF49" s="297"/>
      <c r="BG49" s="297"/>
      <c r="BH49" s="297"/>
      <c r="BI49" s="297"/>
      <c r="BJ49" s="297"/>
      <c r="BK49" s="297"/>
      <c r="BL49" s="297"/>
      <c r="BM49" s="297"/>
      <c r="BN49" s="297"/>
      <c r="BO49" s="297"/>
      <c r="BP49" s="297"/>
      <c r="BQ49" s="297"/>
      <c r="BR49" s="297"/>
      <c r="BS49" s="297"/>
      <c r="BT49" s="297"/>
      <c r="BU49" s="297"/>
      <c r="BV49" s="297"/>
      <c r="BW49" s="297"/>
      <c r="BX49" s="297"/>
      <c r="BY49" s="297"/>
      <c r="BZ49" s="297"/>
      <c r="CA49" s="297"/>
      <c r="CB49" s="297"/>
      <c r="CC49" s="297"/>
      <c r="CD49" s="297"/>
      <c r="CE49" s="297"/>
      <c r="CF49" s="297"/>
      <c r="CG49" s="297"/>
      <c r="CH49" s="297"/>
      <c r="CI49" s="297"/>
      <c r="CJ49" s="297"/>
      <c r="CK49" s="297"/>
      <c r="CL49" s="297"/>
      <c r="CM49" s="297"/>
      <c r="CN49" s="297"/>
      <c r="CO49" s="297"/>
      <c r="CP49" s="297"/>
      <c r="CQ49" s="297"/>
      <c r="CR49" s="297"/>
      <c r="CS49" s="297"/>
      <c r="CT49" s="297"/>
      <c r="CU49" s="297"/>
      <c r="CV49" s="297"/>
      <c r="CW49" s="297"/>
      <c r="CX49" s="297"/>
      <c r="CY49" s="297"/>
      <c r="CZ49" s="297"/>
      <c r="DA49" s="297"/>
      <c r="DB49" s="297"/>
      <c r="DC49" s="297"/>
      <c r="DD49" s="297"/>
      <c r="DE49" s="297"/>
      <c r="DF49" s="297"/>
    </row>
    <row r="50" spans="1:110" s="28" customFormat="1" ht="21.75" customHeight="1">
      <c r="A50" s="26" t="s">
        <v>352</v>
      </c>
      <c r="B50" s="26" t="s">
        <v>353</v>
      </c>
      <c r="C50" s="26" t="s">
        <v>354</v>
      </c>
      <c r="D50" s="26" t="s">
        <v>355</v>
      </c>
      <c r="E50" s="25" t="s">
        <v>126</v>
      </c>
      <c r="F50" s="25" t="s">
        <v>315</v>
      </c>
      <c r="G50" s="53" t="s">
        <v>76</v>
      </c>
      <c r="H50" s="53" t="s">
        <v>128</v>
      </c>
      <c r="I50" s="295">
        <v>43082</v>
      </c>
      <c r="J50" s="26"/>
      <c r="K50" s="242">
        <f t="shared" si="2"/>
        <v>177521</v>
      </c>
      <c r="L50" s="243">
        <f>114250+63271</f>
        <v>177521</v>
      </c>
      <c r="M50" s="53" t="s">
        <v>356</v>
      </c>
      <c r="N50" s="240"/>
      <c r="O50" s="53" t="s">
        <v>357</v>
      </c>
      <c r="P50" s="240"/>
      <c r="Q50" s="240"/>
      <c r="R50" s="240"/>
      <c r="S50" s="14"/>
      <c r="T50" s="26"/>
      <c r="U50" s="263"/>
      <c r="V50" s="262">
        <v>0.15</v>
      </c>
      <c r="W50" s="26">
        <v>97113</v>
      </c>
      <c r="X50" s="26"/>
      <c r="Y50" s="26">
        <v>53780</v>
      </c>
      <c r="Z50" s="26"/>
      <c r="AA50" s="26"/>
      <c r="AB50" s="26"/>
      <c r="AC50" s="26"/>
      <c r="AD50" s="26"/>
      <c r="AE50" s="243">
        <f t="shared" si="3"/>
        <v>150893</v>
      </c>
      <c r="AF50" s="25" t="s">
        <v>145</v>
      </c>
      <c r="AG50" s="245"/>
      <c r="AH50" s="245"/>
      <c r="AI50" s="245"/>
      <c r="AJ50" s="345"/>
      <c r="AK50" s="43" t="s">
        <v>66</v>
      </c>
      <c r="AL50" s="245"/>
      <c r="AM50" s="245"/>
      <c r="AN50" s="245"/>
      <c r="AO50" s="289" t="s">
        <v>86</v>
      </c>
      <c r="AP50" s="289"/>
      <c r="AQ50" s="290">
        <v>43160</v>
      </c>
      <c r="AR50" s="290">
        <v>43117</v>
      </c>
      <c r="AS50" s="25" t="s">
        <v>78</v>
      </c>
      <c r="AT50" s="291">
        <v>43525</v>
      </c>
      <c r="AU50" s="25" t="s">
        <v>88</v>
      </c>
      <c r="AV50" s="43" t="s">
        <v>66</v>
      </c>
      <c r="AW50" s="26" t="s">
        <v>71</v>
      </c>
      <c r="AX50" s="26"/>
      <c r="AY50" s="25"/>
      <c r="AZ50" s="297"/>
      <c r="BA50" s="297"/>
      <c r="BB50" s="297"/>
      <c r="BC50" s="297"/>
      <c r="BD50" s="297"/>
      <c r="BE50" s="297"/>
      <c r="BF50" s="297"/>
      <c r="BG50" s="297"/>
      <c r="BH50" s="297"/>
      <c r="BI50" s="297"/>
      <c r="BJ50" s="297"/>
      <c r="BK50" s="297"/>
      <c r="BL50" s="297"/>
      <c r="BM50" s="297"/>
      <c r="BN50" s="297"/>
      <c r="BO50" s="297"/>
      <c r="BP50" s="297"/>
      <c r="BQ50" s="297"/>
      <c r="BR50" s="297"/>
      <c r="BS50" s="297"/>
      <c r="BT50" s="297"/>
      <c r="BU50" s="297"/>
      <c r="BV50" s="297"/>
      <c r="BW50" s="297"/>
      <c r="BX50" s="297"/>
      <c r="BY50" s="297"/>
      <c r="BZ50" s="297"/>
      <c r="CA50" s="297"/>
      <c r="CB50" s="297"/>
      <c r="CC50" s="297"/>
      <c r="CD50" s="297"/>
      <c r="CE50" s="297"/>
      <c r="CF50" s="297"/>
      <c r="CG50" s="297"/>
      <c r="CH50" s="297"/>
      <c r="CI50" s="297"/>
      <c r="CJ50" s="297"/>
      <c r="CK50" s="297"/>
      <c r="CL50" s="297"/>
      <c r="CM50" s="297"/>
      <c r="CN50" s="297"/>
      <c r="CO50" s="297"/>
      <c r="CP50" s="297"/>
      <c r="CQ50" s="297"/>
      <c r="CR50" s="297"/>
      <c r="CS50" s="297"/>
      <c r="CT50" s="297"/>
      <c r="CU50" s="297"/>
      <c r="CV50" s="297"/>
      <c r="CW50" s="297"/>
      <c r="CX50" s="297"/>
      <c r="CY50" s="297"/>
      <c r="CZ50" s="297"/>
      <c r="DA50" s="297"/>
      <c r="DB50" s="297"/>
      <c r="DC50" s="297"/>
      <c r="DD50" s="297"/>
      <c r="DE50" s="297"/>
      <c r="DF50" s="297"/>
    </row>
    <row r="51" spans="1:110" s="28" customFormat="1" ht="21.75" customHeight="1">
      <c r="A51" s="26" t="s">
        <v>358</v>
      </c>
      <c r="B51" s="26" t="s">
        <v>359</v>
      </c>
      <c r="C51" s="26" t="s">
        <v>360</v>
      </c>
      <c r="D51" s="26" t="s">
        <v>361</v>
      </c>
      <c r="E51" s="25" t="s">
        <v>126</v>
      </c>
      <c r="F51" s="25" t="s">
        <v>315</v>
      </c>
      <c r="G51" s="53" t="s">
        <v>76</v>
      </c>
      <c r="H51" s="53" t="s">
        <v>128</v>
      </c>
      <c r="I51" s="295">
        <v>43082</v>
      </c>
      <c r="J51" s="26"/>
      <c r="K51" s="242">
        <f t="shared" si="2"/>
        <v>185317</v>
      </c>
      <c r="L51" s="243">
        <f>126487+58830</f>
        <v>185317</v>
      </c>
      <c r="M51" s="53" t="s">
        <v>362</v>
      </c>
      <c r="N51" s="240"/>
      <c r="O51" s="53" t="s">
        <v>363</v>
      </c>
      <c r="P51" s="240"/>
      <c r="Q51" s="240"/>
      <c r="R51" s="240"/>
      <c r="S51" s="14"/>
      <c r="T51" s="26"/>
      <c r="U51" s="263"/>
      <c r="V51" s="262">
        <v>0.15</v>
      </c>
      <c r="W51" s="26">
        <v>107514</v>
      </c>
      <c r="X51" s="26"/>
      <c r="Y51" s="26">
        <v>50006</v>
      </c>
      <c r="Z51" s="26"/>
      <c r="AA51" s="26"/>
      <c r="AB51" s="26"/>
      <c r="AC51" s="26"/>
      <c r="AD51" s="26"/>
      <c r="AE51" s="243">
        <f t="shared" si="3"/>
        <v>157520</v>
      </c>
      <c r="AF51" s="25" t="s">
        <v>145</v>
      </c>
      <c r="AG51" s="245"/>
      <c r="AH51" s="245"/>
      <c r="AI51" s="245"/>
      <c r="AJ51" s="345"/>
      <c r="AK51" s="43" t="s">
        <v>66</v>
      </c>
      <c r="AL51" s="245"/>
      <c r="AM51" s="245"/>
      <c r="AN51" s="245"/>
      <c r="AO51" s="289" t="s">
        <v>86</v>
      </c>
      <c r="AP51" s="289"/>
      <c r="AQ51" s="290">
        <v>43160</v>
      </c>
      <c r="AR51" s="290">
        <v>43117</v>
      </c>
      <c r="AS51" s="25" t="s">
        <v>78</v>
      </c>
      <c r="AT51" s="291">
        <v>43525</v>
      </c>
      <c r="AU51" s="25" t="s">
        <v>88</v>
      </c>
      <c r="AV51" s="43" t="s">
        <v>66</v>
      </c>
      <c r="AW51" s="26" t="s">
        <v>71</v>
      </c>
      <c r="AX51" s="26"/>
      <c r="AY51" s="25"/>
      <c r="AZ51" s="297"/>
      <c r="BA51" s="297"/>
      <c r="BB51" s="297"/>
      <c r="BC51" s="297"/>
      <c r="BD51" s="297"/>
      <c r="BE51" s="297"/>
      <c r="BF51" s="297"/>
      <c r="BG51" s="297"/>
      <c r="BH51" s="297"/>
      <c r="BI51" s="297"/>
      <c r="BJ51" s="297"/>
      <c r="BK51" s="297"/>
      <c r="BL51" s="297"/>
      <c r="BM51" s="297"/>
      <c r="BN51" s="297"/>
      <c r="BO51" s="297"/>
      <c r="BP51" s="297"/>
      <c r="BQ51" s="297"/>
      <c r="BR51" s="297"/>
      <c r="BS51" s="297"/>
      <c r="BT51" s="297"/>
      <c r="BU51" s="297"/>
      <c r="BV51" s="297"/>
      <c r="BW51" s="297"/>
      <c r="BX51" s="297"/>
      <c r="BY51" s="297"/>
      <c r="BZ51" s="297"/>
      <c r="CA51" s="297"/>
      <c r="CB51" s="297"/>
      <c r="CC51" s="297"/>
      <c r="CD51" s="297"/>
      <c r="CE51" s="297"/>
      <c r="CF51" s="297"/>
      <c r="CG51" s="297"/>
      <c r="CH51" s="297"/>
      <c r="CI51" s="297"/>
      <c r="CJ51" s="297"/>
      <c r="CK51" s="297"/>
      <c r="CL51" s="297"/>
      <c r="CM51" s="297"/>
      <c r="CN51" s="297"/>
      <c r="CO51" s="297"/>
      <c r="CP51" s="297"/>
      <c r="CQ51" s="297"/>
      <c r="CR51" s="297"/>
      <c r="CS51" s="297"/>
      <c r="CT51" s="297"/>
      <c r="CU51" s="297"/>
      <c r="CV51" s="297"/>
      <c r="CW51" s="297"/>
      <c r="CX51" s="297"/>
      <c r="CY51" s="297"/>
      <c r="CZ51" s="297"/>
      <c r="DA51" s="297"/>
      <c r="DB51" s="297"/>
      <c r="DC51" s="297"/>
      <c r="DD51" s="297"/>
      <c r="DE51" s="297"/>
      <c r="DF51" s="297"/>
    </row>
    <row r="52" spans="1:110" s="28" customFormat="1" ht="21.75" customHeight="1">
      <c r="A52" s="26" t="s">
        <v>364</v>
      </c>
      <c r="B52" s="26" t="s">
        <v>365</v>
      </c>
      <c r="C52" s="26" t="s">
        <v>366</v>
      </c>
      <c r="D52" s="26" t="s">
        <v>367</v>
      </c>
      <c r="E52" s="25" t="s">
        <v>126</v>
      </c>
      <c r="F52" s="25" t="s">
        <v>315</v>
      </c>
      <c r="G52" s="53" t="s">
        <v>76</v>
      </c>
      <c r="H52" s="53" t="s">
        <v>128</v>
      </c>
      <c r="I52" s="295">
        <v>43082</v>
      </c>
      <c r="J52" s="26"/>
      <c r="K52" s="242">
        <f t="shared" si="2"/>
        <v>529255</v>
      </c>
      <c r="L52" s="243">
        <f>417155+112100</f>
        <v>529255</v>
      </c>
      <c r="M52" s="53" t="s">
        <v>368</v>
      </c>
      <c r="N52" s="240"/>
      <c r="O52" s="53" t="s">
        <v>369</v>
      </c>
      <c r="P52" s="240"/>
      <c r="Q52" s="240"/>
      <c r="R52" s="240"/>
      <c r="S52" s="14"/>
      <c r="T52" s="26"/>
      <c r="U52" s="263"/>
      <c r="V52" s="262">
        <v>0.15</v>
      </c>
      <c r="W52" s="26">
        <v>354582</v>
      </c>
      <c r="X52" s="26"/>
      <c r="Y52" s="26">
        <v>95285</v>
      </c>
      <c r="Z52" s="26"/>
      <c r="AA52" s="26"/>
      <c r="AB52" s="26"/>
      <c r="AC52" s="26"/>
      <c r="AD52" s="26"/>
      <c r="AE52" s="243">
        <f t="shared" si="3"/>
        <v>449867</v>
      </c>
      <c r="AF52" s="25" t="s">
        <v>145</v>
      </c>
      <c r="AG52" s="245"/>
      <c r="AH52" s="245"/>
      <c r="AI52" s="245"/>
      <c r="AJ52" s="345"/>
      <c r="AK52" s="43" t="s">
        <v>66</v>
      </c>
      <c r="AL52" s="245"/>
      <c r="AM52" s="245"/>
      <c r="AN52" s="245"/>
      <c r="AO52" s="289" t="s">
        <v>86</v>
      </c>
      <c r="AP52" s="289"/>
      <c r="AQ52" s="290">
        <v>43160</v>
      </c>
      <c r="AR52" s="290">
        <v>43117</v>
      </c>
      <c r="AS52" s="25" t="s">
        <v>78</v>
      </c>
      <c r="AT52" s="291">
        <v>43525</v>
      </c>
      <c r="AU52" s="25" t="s">
        <v>88</v>
      </c>
      <c r="AV52" s="43" t="s">
        <v>66</v>
      </c>
      <c r="AW52" s="26" t="s">
        <v>71</v>
      </c>
      <c r="AX52" s="26"/>
      <c r="AY52" s="25"/>
      <c r="AZ52" s="297"/>
      <c r="BA52" s="297"/>
      <c r="BB52" s="297"/>
      <c r="BC52" s="297"/>
      <c r="BD52" s="297"/>
      <c r="BE52" s="297"/>
      <c r="BF52" s="297"/>
      <c r="BG52" s="297"/>
      <c r="BH52" s="297"/>
      <c r="BI52" s="297"/>
      <c r="BJ52" s="297"/>
      <c r="BK52" s="297"/>
      <c r="BL52" s="297"/>
      <c r="BM52" s="297"/>
      <c r="BN52" s="297"/>
      <c r="BO52" s="297"/>
      <c r="BP52" s="297"/>
      <c r="BQ52" s="297"/>
      <c r="BR52" s="297"/>
      <c r="BS52" s="297"/>
      <c r="BT52" s="297"/>
      <c r="BU52" s="297"/>
      <c r="BV52" s="297"/>
      <c r="BW52" s="297"/>
      <c r="BX52" s="297"/>
      <c r="BY52" s="297"/>
      <c r="BZ52" s="297"/>
      <c r="CA52" s="297"/>
      <c r="CB52" s="297"/>
      <c r="CC52" s="297"/>
      <c r="CD52" s="297"/>
      <c r="CE52" s="297"/>
      <c r="CF52" s="297"/>
      <c r="CG52" s="297"/>
      <c r="CH52" s="297"/>
      <c r="CI52" s="297"/>
      <c r="CJ52" s="297"/>
      <c r="CK52" s="297"/>
      <c r="CL52" s="297"/>
      <c r="CM52" s="297"/>
      <c r="CN52" s="297"/>
      <c r="CO52" s="297"/>
      <c r="CP52" s="297"/>
      <c r="CQ52" s="297"/>
      <c r="CR52" s="297"/>
      <c r="CS52" s="297"/>
      <c r="CT52" s="297"/>
      <c r="CU52" s="297"/>
      <c r="CV52" s="297"/>
      <c r="CW52" s="297"/>
      <c r="CX52" s="297"/>
      <c r="CY52" s="297"/>
      <c r="CZ52" s="297"/>
      <c r="DA52" s="297"/>
      <c r="DB52" s="297"/>
      <c r="DC52" s="297"/>
      <c r="DD52" s="297"/>
      <c r="DE52" s="297"/>
      <c r="DF52" s="297"/>
    </row>
    <row r="53" spans="1:110" s="28" customFormat="1" ht="21.75" customHeight="1">
      <c r="A53" s="26" t="s">
        <v>370</v>
      </c>
      <c r="B53" s="26" t="s">
        <v>371</v>
      </c>
      <c r="C53" s="26" t="s">
        <v>372</v>
      </c>
      <c r="D53" s="26" t="s">
        <v>373</v>
      </c>
      <c r="E53" s="25" t="s">
        <v>374</v>
      </c>
      <c r="F53" s="25" t="s">
        <v>315</v>
      </c>
      <c r="G53" s="53" t="s">
        <v>286</v>
      </c>
      <c r="H53" s="53" t="s">
        <v>128</v>
      </c>
      <c r="I53" s="295">
        <v>43088</v>
      </c>
      <c r="J53" s="26"/>
      <c r="K53" s="242">
        <f t="shared" si="2"/>
        <v>2822586</v>
      </c>
      <c r="L53" s="243">
        <v>2822586</v>
      </c>
      <c r="M53" s="317"/>
      <c r="N53" s="317"/>
      <c r="O53" s="317"/>
      <c r="P53" s="317"/>
      <c r="Q53" s="245">
        <v>2822586</v>
      </c>
      <c r="R53" s="317"/>
      <c r="S53" s="14"/>
      <c r="T53" s="59"/>
      <c r="U53" s="262"/>
      <c r="V53" s="262">
        <v>0.1</v>
      </c>
      <c r="W53" s="26"/>
      <c r="X53" s="26"/>
      <c r="Y53" s="26"/>
      <c r="Z53" s="26"/>
      <c r="AA53" s="26">
        <f>2219040+285000</f>
        <v>2504040</v>
      </c>
      <c r="AB53" s="26"/>
      <c r="AC53" s="26"/>
      <c r="AD53" s="26"/>
      <c r="AE53" s="243">
        <f t="shared" si="3"/>
        <v>2504040</v>
      </c>
      <c r="AF53" s="25" t="s">
        <v>77</v>
      </c>
      <c r="AG53" s="245"/>
      <c r="AH53" s="245"/>
      <c r="AI53" s="245"/>
      <c r="AJ53" s="43"/>
      <c r="AK53" s="43" t="s">
        <v>66</v>
      </c>
      <c r="AL53" s="245"/>
      <c r="AM53" s="245"/>
      <c r="AN53" s="245"/>
      <c r="AO53" s="289" t="s">
        <v>86</v>
      </c>
      <c r="AP53" s="289"/>
      <c r="AQ53" s="290">
        <v>43136</v>
      </c>
      <c r="AR53" s="290">
        <v>43145</v>
      </c>
      <c r="AS53" s="25" t="s">
        <v>78</v>
      </c>
      <c r="AT53" s="291">
        <v>43500</v>
      </c>
      <c r="AU53" s="25" t="s">
        <v>88</v>
      </c>
      <c r="AV53" s="43" t="s">
        <v>66</v>
      </c>
      <c r="AW53" s="26" t="s">
        <v>71</v>
      </c>
      <c r="AX53" s="26"/>
      <c r="AY53" s="25"/>
      <c r="AZ53" s="297"/>
      <c r="BA53" s="297"/>
      <c r="BB53" s="297"/>
      <c r="BC53" s="297"/>
      <c r="BD53" s="297"/>
      <c r="BE53" s="297"/>
      <c r="BF53" s="297"/>
      <c r="BG53" s="297"/>
      <c r="BH53" s="297"/>
      <c r="BI53" s="297"/>
      <c r="BJ53" s="297"/>
      <c r="BK53" s="297"/>
      <c r="BL53" s="297"/>
      <c r="BM53" s="297"/>
      <c r="BN53" s="297"/>
      <c r="BO53" s="297"/>
      <c r="BP53" s="297"/>
      <c r="BQ53" s="297"/>
      <c r="BR53" s="297"/>
      <c r="BS53" s="297"/>
      <c r="BT53" s="297"/>
      <c r="BU53" s="297"/>
      <c r="BV53" s="297"/>
      <c r="BW53" s="297"/>
      <c r="BX53" s="297"/>
      <c r="BY53" s="297"/>
      <c r="BZ53" s="297"/>
      <c r="CA53" s="297"/>
      <c r="CB53" s="297"/>
      <c r="CC53" s="297"/>
      <c r="CD53" s="297"/>
      <c r="CE53" s="297"/>
      <c r="CF53" s="297"/>
      <c r="CG53" s="297"/>
      <c r="CH53" s="297"/>
      <c r="CI53" s="297"/>
      <c r="CJ53" s="297"/>
      <c r="CK53" s="297"/>
      <c r="CL53" s="297"/>
      <c r="CM53" s="297"/>
      <c r="CN53" s="297"/>
      <c r="CO53" s="297"/>
      <c r="CP53" s="297"/>
      <c r="CQ53" s="297"/>
      <c r="CR53" s="297"/>
      <c r="CS53" s="297"/>
      <c r="CT53" s="297"/>
      <c r="CU53" s="297"/>
      <c r="CV53" s="297"/>
      <c r="CW53" s="297"/>
      <c r="CX53" s="297"/>
      <c r="CY53" s="297"/>
      <c r="CZ53" s="297"/>
      <c r="DA53" s="297"/>
      <c r="DB53" s="297"/>
      <c r="DC53" s="297"/>
      <c r="DD53" s="297"/>
      <c r="DE53" s="297"/>
      <c r="DF53" s="297"/>
    </row>
    <row r="54" spans="1:110" s="28" customFormat="1" ht="21.75" customHeight="1">
      <c r="A54" s="26" t="s">
        <v>375</v>
      </c>
      <c r="B54" s="26" t="s">
        <v>376</v>
      </c>
      <c r="C54" s="26" t="s">
        <v>377</v>
      </c>
      <c r="D54" s="26" t="s">
        <v>378</v>
      </c>
      <c r="E54" s="25" t="s">
        <v>83</v>
      </c>
      <c r="F54" s="25" t="s">
        <v>315</v>
      </c>
      <c r="G54" s="53" t="s">
        <v>175</v>
      </c>
      <c r="H54" s="53" t="s">
        <v>63</v>
      </c>
      <c r="I54" s="295">
        <v>43090</v>
      </c>
      <c r="J54" s="26" t="s">
        <v>379</v>
      </c>
      <c r="K54" s="242">
        <f t="shared" si="2"/>
        <v>2800000</v>
      </c>
      <c r="L54" s="243">
        <f>953125+802875</f>
        <v>1756000</v>
      </c>
      <c r="M54" s="53" t="s">
        <v>380</v>
      </c>
      <c r="N54" s="240"/>
      <c r="O54" s="240"/>
      <c r="P54" s="240"/>
      <c r="Q54" s="53" t="s">
        <v>381</v>
      </c>
      <c r="R54" s="240"/>
      <c r="S54" s="14">
        <v>1044000</v>
      </c>
      <c r="T54" s="245"/>
      <c r="U54" s="263">
        <v>0.06</v>
      </c>
      <c r="V54" s="262">
        <v>0.32850000000000001</v>
      </c>
      <c r="W54" s="26">
        <f>552475+202400</f>
        <v>754875</v>
      </c>
      <c r="X54" s="26"/>
      <c r="Y54" s="26"/>
      <c r="Z54" s="26"/>
      <c r="AA54" s="26">
        <f>510000+1044000</f>
        <v>1554000</v>
      </c>
      <c r="AB54" s="26"/>
      <c r="AC54" s="26"/>
      <c r="AD54" s="26"/>
      <c r="AE54" s="243">
        <v>2438875</v>
      </c>
      <c r="AF54" s="25" t="s">
        <v>108</v>
      </c>
      <c r="AG54" s="245"/>
      <c r="AH54" s="245"/>
      <c r="AI54" s="245"/>
      <c r="AJ54" s="43" t="s">
        <v>382</v>
      </c>
      <c r="AK54" s="43" t="s">
        <v>383</v>
      </c>
      <c r="AL54" s="245"/>
      <c r="AM54" s="245"/>
      <c r="AN54" s="245"/>
      <c r="AO54" s="289"/>
      <c r="AP54" s="289"/>
      <c r="AQ54" s="290"/>
      <c r="AR54" s="290"/>
      <c r="AS54" s="25"/>
      <c r="AT54" s="291"/>
      <c r="AU54" s="25" t="s">
        <v>213</v>
      </c>
      <c r="AV54" s="43"/>
      <c r="AW54" s="26" t="s">
        <v>71</v>
      </c>
      <c r="AX54" s="26" t="s">
        <v>384</v>
      </c>
      <c r="AY54" s="25"/>
      <c r="AZ54" s="297"/>
      <c r="BA54" s="297"/>
      <c r="BB54" s="297"/>
      <c r="BC54" s="297"/>
      <c r="BD54" s="297"/>
      <c r="BE54" s="297"/>
      <c r="BF54" s="297"/>
      <c r="BG54" s="297"/>
      <c r="BH54" s="297"/>
      <c r="BI54" s="297"/>
      <c r="BJ54" s="297"/>
      <c r="BK54" s="297"/>
      <c r="BL54" s="297"/>
      <c r="BM54" s="297"/>
      <c r="BN54" s="297"/>
      <c r="BO54" s="297"/>
      <c r="BP54" s="297"/>
      <c r="BQ54" s="297"/>
      <c r="BR54" s="297"/>
      <c r="BS54" s="297"/>
      <c r="BT54" s="297"/>
      <c r="BU54" s="297"/>
      <c r="BV54" s="297"/>
      <c r="BW54" s="297"/>
      <c r="BX54" s="297"/>
      <c r="BY54" s="297"/>
      <c r="BZ54" s="297"/>
      <c r="CA54" s="297"/>
      <c r="CB54" s="297"/>
      <c r="CC54" s="297"/>
      <c r="CD54" s="297"/>
      <c r="CE54" s="297"/>
      <c r="CF54" s="297"/>
      <c r="CG54" s="297"/>
      <c r="CH54" s="297"/>
      <c r="CI54" s="297"/>
      <c r="CJ54" s="297"/>
      <c r="CK54" s="297"/>
      <c r="CL54" s="297"/>
      <c r="CM54" s="297"/>
      <c r="CN54" s="297"/>
      <c r="CO54" s="297"/>
      <c r="CP54" s="297"/>
      <c r="CQ54" s="297"/>
      <c r="CR54" s="297"/>
      <c r="CS54" s="297"/>
      <c r="CT54" s="297"/>
      <c r="CU54" s="297"/>
      <c r="CV54" s="297"/>
      <c r="CW54" s="297"/>
      <c r="CX54" s="297"/>
      <c r="CY54" s="297"/>
      <c r="CZ54" s="297"/>
      <c r="DA54" s="297"/>
      <c r="DB54" s="297"/>
      <c r="DC54" s="297"/>
      <c r="DD54" s="297"/>
      <c r="DE54" s="297"/>
      <c r="DF54" s="297"/>
    </row>
    <row r="55" spans="1:110" s="28" customFormat="1" ht="21.75" customHeight="1">
      <c r="A55" s="26" t="s">
        <v>135</v>
      </c>
      <c r="B55" s="26" t="s">
        <v>385</v>
      </c>
      <c r="C55" s="25" t="s">
        <v>386</v>
      </c>
      <c r="D55" s="26" t="s">
        <v>387</v>
      </c>
      <c r="E55" s="25" t="s">
        <v>261</v>
      </c>
      <c r="F55" s="25" t="s">
        <v>309</v>
      </c>
      <c r="G55" s="53" t="s">
        <v>107</v>
      </c>
      <c r="H55" s="53" t="s">
        <v>63</v>
      </c>
      <c r="I55" s="295">
        <v>43096</v>
      </c>
      <c r="J55" s="26"/>
      <c r="K55" s="242">
        <f t="shared" si="2"/>
        <v>187000</v>
      </c>
      <c r="L55" s="243">
        <f>154000+33000</f>
        <v>187000</v>
      </c>
      <c r="M55" s="53" t="s">
        <v>388</v>
      </c>
      <c r="N55" s="240"/>
      <c r="O55" s="53" t="s">
        <v>389</v>
      </c>
      <c r="P55" s="240"/>
      <c r="Q55" s="240"/>
      <c r="R55" s="240"/>
      <c r="S55" s="14"/>
      <c r="T55" s="245"/>
      <c r="U55" s="263"/>
      <c r="V55" s="262">
        <v>0.15</v>
      </c>
      <c r="W55" s="26">
        <v>126700</v>
      </c>
      <c r="X55" s="26"/>
      <c r="Y55" s="26">
        <v>32000</v>
      </c>
      <c r="Z55" s="26"/>
      <c r="AA55" s="26"/>
      <c r="AB55" s="26"/>
      <c r="AC55" s="26"/>
      <c r="AD55" s="26"/>
      <c r="AE55" s="243">
        <f t="shared" si="3"/>
        <v>158700</v>
      </c>
      <c r="AF55" s="25" t="s">
        <v>85</v>
      </c>
      <c r="AG55" s="245"/>
      <c r="AH55" s="245"/>
      <c r="AI55" s="245"/>
      <c r="AJ55" s="345"/>
      <c r="AK55" s="43" t="s">
        <v>66</v>
      </c>
      <c r="AL55" s="245"/>
      <c r="AM55" s="245"/>
      <c r="AN55" s="245"/>
      <c r="AO55" s="289" t="s">
        <v>86</v>
      </c>
      <c r="AP55" s="289"/>
      <c r="AQ55" s="290">
        <v>43008</v>
      </c>
      <c r="AR55" s="290">
        <v>43208</v>
      </c>
      <c r="AS55" s="25" t="s">
        <v>78</v>
      </c>
      <c r="AT55" s="291">
        <v>43372</v>
      </c>
      <c r="AU55" s="25" t="s">
        <v>122</v>
      </c>
      <c r="AV55" s="43" t="s">
        <v>66</v>
      </c>
      <c r="AW55" s="26" t="s">
        <v>71</v>
      </c>
      <c r="AX55" s="26"/>
      <c r="AY55" s="25"/>
      <c r="AZ55" s="297"/>
      <c r="BA55" s="297"/>
      <c r="BB55" s="297"/>
      <c r="BC55" s="297"/>
      <c r="BD55" s="297"/>
      <c r="BE55" s="297"/>
      <c r="BF55" s="297"/>
      <c r="BG55" s="297"/>
      <c r="BH55" s="297"/>
      <c r="BI55" s="297"/>
      <c r="BJ55" s="297"/>
      <c r="BK55" s="297"/>
      <c r="BL55" s="297"/>
      <c r="BM55" s="297"/>
      <c r="BN55" s="297"/>
      <c r="BO55" s="297"/>
      <c r="BP55" s="297"/>
      <c r="BQ55" s="297"/>
      <c r="BR55" s="297"/>
      <c r="BS55" s="297"/>
      <c r="BT55" s="297"/>
      <c r="BU55" s="297"/>
      <c r="BV55" s="297"/>
      <c r="BW55" s="297"/>
      <c r="BX55" s="297"/>
      <c r="BY55" s="297"/>
      <c r="BZ55" s="297"/>
      <c r="CA55" s="297"/>
      <c r="CB55" s="297"/>
      <c r="CC55" s="297"/>
      <c r="CD55" s="297"/>
      <c r="CE55" s="297"/>
      <c r="CF55" s="297"/>
      <c r="CG55" s="297"/>
      <c r="CH55" s="297"/>
      <c r="CI55" s="297"/>
      <c r="CJ55" s="297"/>
      <c r="CK55" s="297"/>
      <c r="CL55" s="297"/>
      <c r="CM55" s="297"/>
      <c r="CN55" s="297"/>
      <c r="CO55" s="297"/>
      <c r="CP55" s="297"/>
      <c r="CQ55" s="297"/>
      <c r="CR55" s="297"/>
      <c r="CS55" s="297"/>
      <c r="CT55" s="297"/>
      <c r="CU55" s="297"/>
      <c r="CV55" s="297"/>
      <c r="CW55" s="297"/>
      <c r="CX55" s="297"/>
      <c r="CY55" s="297"/>
      <c r="CZ55" s="297"/>
      <c r="DA55" s="297"/>
      <c r="DB55" s="297"/>
      <c r="DC55" s="297"/>
      <c r="DD55" s="297"/>
      <c r="DE55" s="297"/>
      <c r="DF55" s="297"/>
    </row>
    <row r="56" spans="1:110" s="28" customFormat="1" ht="21.75" customHeight="1">
      <c r="A56" s="26" t="s">
        <v>305</v>
      </c>
      <c r="B56" s="26" t="s">
        <v>390</v>
      </c>
      <c r="C56" s="29" t="s">
        <v>391</v>
      </c>
      <c r="D56" s="26" t="s">
        <v>392</v>
      </c>
      <c r="E56" s="25" t="s">
        <v>168</v>
      </c>
      <c r="F56" s="25" t="s">
        <v>309</v>
      </c>
      <c r="G56" s="53" t="s">
        <v>107</v>
      </c>
      <c r="H56" s="53" t="s">
        <v>63</v>
      </c>
      <c r="I56" s="295">
        <v>43096</v>
      </c>
      <c r="J56" s="26" t="s">
        <v>393</v>
      </c>
      <c r="K56" s="242">
        <f t="shared" si="2"/>
        <v>8275000</v>
      </c>
      <c r="L56" s="243">
        <f>5900000+1073684+306316</f>
        <v>7280000</v>
      </c>
      <c r="M56" s="53" t="s">
        <v>394</v>
      </c>
      <c r="N56" s="240"/>
      <c r="O56" s="53" t="s">
        <v>395</v>
      </c>
      <c r="P56" s="240"/>
      <c r="Q56" s="53" t="s">
        <v>396</v>
      </c>
      <c r="R56" s="240"/>
      <c r="S56" s="14">
        <v>995000</v>
      </c>
      <c r="T56" s="245"/>
      <c r="U56" s="263">
        <v>0.06</v>
      </c>
      <c r="V56" s="262">
        <v>0.05</v>
      </c>
      <c r="W56" s="26">
        <v>1050000</v>
      </c>
      <c r="X56" s="26"/>
      <c r="Y56" s="26">
        <v>291000</v>
      </c>
      <c r="Z56" s="26"/>
      <c r="AA56" s="26">
        <f>4580000+556159.68+305000+100000+33840.32</f>
        <v>5575000</v>
      </c>
      <c r="AB56" s="26"/>
      <c r="AC56" s="26"/>
      <c r="AD56" s="26"/>
      <c r="AE56" s="243">
        <f t="shared" si="3"/>
        <v>6916000</v>
      </c>
      <c r="AF56" s="25" t="s">
        <v>62</v>
      </c>
      <c r="AG56" s="245"/>
      <c r="AH56" s="245"/>
      <c r="AI56" s="245"/>
      <c r="AJ56" s="345"/>
      <c r="AK56" s="43" t="s">
        <v>397</v>
      </c>
      <c r="AL56" s="245"/>
      <c r="AM56" s="245"/>
      <c r="AN56" s="245"/>
      <c r="AO56" s="289"/>
      <c r="AP56" s="289"/>
      <c r="AQ56" s="290"/>
      <c r="AR56" s="290"/>
      <c r="AS56" s="25"/>
      <c r="AT56" s="291"/>
      <c r="AU56" s="25" t="s">
        <v>213</v>
      </c>
      <c r="AV56" s="43" t="s">
        <v>397</v>
      </c>
      <c r="AW56" s="5" t="s">
        <v>71</v>
      </c>
      <c r="AX56" s="26"/>
      <c r="AY56" s="25"/>
      <c r="AZ56" s="297"/>
      <c r="BA56" s="297"/>
      <c r="BB56" s="297"/>
      <c r="BC56" s="297"/>
      <c r="BD56" s="297"/>
      <c r="BE56" s="297"/>
      <c r="BF56" s="297"/>
      <c r="BG56" s="297"/>
      <c r="BH56" s="297"/>
      <c r="BI56" s="297"/>
      <c r="BJ56" s="297"/>
      <c r="BK56" s="297"/>
      <c r="BL56" s="297"/>
      <c r="BM56" s="297"/>
      <c r="BN56" s="297"/>
      <c r="BO56" s="297"/>
      <c r="BP56" s="297"/>
      <c r="BQ56" s="297"/>
      <c r="BR56" s="297"/>
      <c r="BS56" s="297"/>
      <c r="BT56" s="297"/>
      <c r="BU56" s="297"/>
      <c r="BV56" s="297"/>
      <c r="BW56" s="297"/>
      <c r="BX56" s="297"/>
      <c r="BY56" s="297"/>
      <c r="BZ56" s="297"/>
      <c r="CA56" s="297"/>
      <c r="CB56" s="297"/>
      <c r="CC56" s="297"/>
      <c r="CD56" s="297"/>
      <c r="CE56" s="297"/>
      <c r="CF56" s="297"/>
      <c r="CG56" s="297"/>
      <c r="CH56" s="297"/>
      <c r="CI56" s="297"/>
      <c r="CJ56" s="297"/>
      <c r="CK56" s="297"/>
      <c r="CL56" s="297"/>
      <c r="CM56" s="297"/>
      <c r="CN56" s="297"/>
      <c r="CO56" s="297"/>
      <c r="CP56" s="297"/>
      <c r="CQ56" s="297"/>
      <c r="CR56" s="297"/>
      <c r="CS56" s="297"/>
      <c r="CT56" s="297"/>
      <c r="CU56" s="297"/>
      <c r="CV56" s="297"/>
      <c r="CW56" s="297"/>
      <c r="CX56" s="297"/>
      <c r="CY56" s="297"/>
      <c r="CZ56" s="297"/>
      <c r="DA56" s="297"/>
      <c r="DB56" s="297"/>
      <c r="DC56" s="297"/>
      <c r="DD56" s="297"/>
      <c r="DE56" s="297"/>
      <c r="DF56" s="297"/>
    </row>
    <row r="57" spans="1:110" ht="21.75" customHeight="1">
      <c r="A57" s="5" t="s">
        <v>398</v>
      </c>
      <c r="B57" s="26" t="s">
        <v>399</v>
      </c>
      <c r="C57" s="31" t="s">
        <v>400</v>
      </c>
      <c r="D57" s="5" t="s">
        <v>401</v>
      </c>
      <c r="E57" s="31" t="s">
        <v>265</v>
      </c>
      <c r="F57" s="31" t="s">
        <v>315</v>
      </c>
      <c r="G57" s="6" t="s">
        <v>175</v>
      </c>
      <c r="H57" s="6" t="s">
        <v>402</v>
      </c>
      <c r="I57" s="292">
        <v>43102</v>
      </c>
      <c r="J57" s="5"/>
      <c r="K57" s="242">
        <f t="shared" si="2"/>
        <v>249660</v>
      </c>
      <c r="L57" s="238">
        <f>172292+77368</f>
        <v>249660</v>
      </c>
      <c r="M57" s="6" t="s">
        <v>403</v>
      </c>
      <c r="N57" s="217"/>
      <c r="O57" s="217"/>
      <c r="P57" s="217"/>
      <c r="Q57" s="6" t="s">
        <v>404</v>
      </c>
      <c r="R57" s="217"/>
      <c r="S57" s="14"/>
      <c r="T57" s="68"/>
      <c r="U57" s="261"/>
      <c r="V57" s="262">
        <v>0.1</v>
      </c>
      <c r="W57" s="5">
        <v>153062.85999999999</v>
      </c>
      <c r="X57" s="5"/>
      <c r="Y57" s="5"/>
      <c r="Z57" s="5"/>
      <c r="AA57" s="5">
        <v>67831.14</v>
      </c>
      <c r="AB57" s="5"/>
      <c r="AC57" s="5"/>
      <c r="AD57" s="5"/>
      <c r="AE57" s="238">
        <f t="shared" si="3"/>
        <v>220894</v>
      </c>
      <c r="AF57" s="31" t="s">
        <v>85</v>
      </c>
      <c r="AG57" s="68"/>
      <c r="AH57" s="68"/>
      <c r="AI57" s="68"/>
      <c r="AJ57" s="345"/>
      <c r="AK57" s="43" t="s">
        <v>66</v>
      </c>
      <c r="AL57" s="68"/>
      <c r="AM57" s="68"/>
      <c r="AN57" s="68"/>
      <c r="AO57" s="289" t="s">
        <v>86</v>
      </c>
      <c r="AP57" s="289"/>
      <c r="AQ57" s="290">
        <v>43187</v>
      </c>
      <c r="AR57" s="290">
        <v>43187</v>
      </c>
      <c r="AS57" s="25" t="s">
        <v>78</v>
      </c>
      <c r="AT57" s="43" t="s">
        <v>405</v>
      </c>
      <c r="AU57" s="25" t="s">
        <v>88</v>
      </c>
      <c r="AV57" s="43" t="s">
        <v>66</v>
      </c>
      <c r="AW57" s="26" t="s">
        <v>71</v>
      </c>
      <c r="AX57" s="5"/>
      <c r="AY57" s="31"/>
    </row>
    <row r="58" spans="1:110" s="28" customFormat="1" ht="21.75" customHeight="1">
      <c r="A58" s="26"/>
      <c r="B58" s="26" t="s">
        <v>406</v>
      </c>
      <c r="C58" s="25" t="s">
        <v>407</v>
      </c>
      <c r="D58" s="26" t="s">
        <v>408</v>
      </c>
      <c r="E58" s="25" t="s">
        <v>75</v>
      </c>
      <c r="F58" s="25" t="s">
        <v>315</v>
      </c>
      <c r="G58" s="53" t="s">
        <v>76</v>
      </c>
      <c r="H58" s="53" t="s">
        <v>128</v>
      </c>
      <c r="I58" s="295">
        <v>43111</v>
      </c>
      <c r="J58" s="26"/>
      <c r="K58" s="242">
        <f t="shared" si="2"/>
        <v>7283157</v>
      </c>
      <c r="L58" s="243">
        <f>6130743+1152414</f>
        <v>7283157</v>
      </c>
      <c r="M58" s="53" t="s">
        <v>409</v>
      </c>
      <c r="N58" s="240"/>
      <c r="O58" s="53" t="s">
        <v>410</v>
      </c>
      <c r="P58" s="240"/>
      <c r="Q58" s="240"/>
      <c r="R58" s="240"/>
      <c r="S58" s="14"/>
      <c r="T58" s="245"/>
      <c r="U58" s="263"/>
      <c r="V58" s="262">
        <v>0.15</v>
      </c>
      <c r="W58" s="26">
        <v>5211132</v>
      </c>
      <c r="X58" s="26"/>
      <c r="Y58" s="26">
        <v>979552</v>
      </c>
      <c r="Z58" s="26"/>
      <c r="AA58" s="26"/>
      <c r="AB58" s="26"/>
      <c r="AC58" s="26"/>
      <c r="AD58" s="26"/>
      <c r="AE58" s="243">
        <f t="shared" si="3"/>
        <v>6190684</v>
      </c>
      <c r="AF58" s="25" t="s">
        <v>145</v>
      </c>
      <c r="AG58" s="245"/>
      <c r="AH58" s="245"/>
      <c r="AI58" s="245"/>
      <c r="AJ58" s="345"/>
      <c r="AK58" s="43" t="s">
        <v>66</v>
      </c>
      <c r="AL58" s="245"/>
      <c r="AM58" s="245"/>
      <c r="AN58" s="245"/>
      <c r="AO58" s="289" t="s">
        <v>86</v>
      </c>
      <c r="AP58" s="289"/>
      <c r="AQ58" s="290" t="s">
        <v>411</v>
      </c>
      <c r="AR58" s="290">
        <v>43285</v>
      </c>
      <c r="AS58" s="25" t="s">
        <v>78</v>
      </c>
      <c r="AT58" s="43" t="s">
        <v>405</v>
      </c>
      <c r="AU58" s="25" t="s">
        <v>88</v>
      </c>
      <c r="AV58" s="43" t="s">
        <v>66</v>
      </c>
      <c r="AW58" s="26" t="s">
        <v>71</v>
      </c>
      <c r="AX58" s="26"/>
      <c r="AY58" s="25"/>
      <c r="AZ58" s="297"/>
      <c r="BA58" s="297"/>
      <c r="BB58" s="297"/>
      <c r="BC58" s="297"/>
      <c r="BD58" s="297"/>
      <c r="BE58" s="297"/>
      <c r="BF58" s="297"/>
      <c r="BG58" s="297"/>
      <c r="BH58" s="297"/>
      <c r="BI58" s="297"/>
      <c r="BJ58" s="297"/>
      <c r="BK58" s="297"/>
      <c r="BL58" s="297"/>
      <c r="BM58" s="297"/>
      <c r="BN58" s="297"/>
      <c r="BO58" s="297"/>
      <c r="BP58" s="297"/>
      <c r="BQ58" s="297"/>
      <c r="BR58" s="297"/>
      <c r="BS58" s="297"/>
      <c r="BT58" s="297"/>
      <c r="BU58" s="297"/>
      <c r="BV58" s="297"/>
      <c r="BW58" s="297"/>
      <c r="BX58" s="297"/>
      <c r="BY58" s="297"/>
      <c r="BZ58" s="297"/>
      <c r="CA58" s="297"/>
      <c r="CB58" s="297"/>
      <c r="CC58" s="297"/>
      <c r="CD58" s="297"/>
      <c r="CE58" s="297"/>
      <c r="CF58" s="297"/>
      <c r="CG58" s="297"/>
      <c r="CH58" s="297"/>
      <c r="CI58" s="297"/>
      <c r="CJ58" s="297"/>
      <c r="CK58" s="297"/>
      <c r="CL58" s="297"/>
      <c r="CM58" s="297"/>
      <c r="CN58" s="297"/>
      <c r="CO58" s="297"/>
      <c r="CP58" s="297"/>
      <c r="CQ58" s="297"/>
      <c r="CR58" s="297"/>
      <c r="CS58" s="297"/>
      <c r="CT58" s="297"/>
      <c r="CU58" s="297"/>
      <c r="CV58" s="297"/>
      <c r="CW58" s="297"/>
      <c r="CX58" s="297"/>
      <c r="CY58" s="297"/>
      <c r="CZ58" s="297"/>
      <c r="DA58" s="297"/>
      <c r="DB58" s="297"/>
      <c r="DC58" s="297"/>
      <c r="DD58" s="297"/>
      <c r="DE58" s="297"/>
      <c r="DF58" s="297"/>
    </row>
    <row r="59" spans="1:110" ht="21.75" customHeight="1">
      <c r="A59" s="5" t="s">
        <v>412</v>
      </c>
      <c r="B59" s="26" t="s">
        <v>413</v>
      </c>
      <c r="C59" s="31" t="s">
        <v>414</v>
      </c>
      <c r="D59" s="5" t="s">
        <v>415</v>
      </c>
      <c r="E59" s="31" t="s">
        <v>61</v>
      </c>
      <c r="F59" s="31" t="s">
        <v>315</v>
      </c>
      <c r="G59" s="6" t="s">
        <v>76</v>
      </c>
      <c r="H59" s="6" t="s">
        <v>128</v>
      </c>
      <c r="I59" s="292">
        <v>43111</v>
      </c>
      <c r="J59" s="5"/>
      <c r="K59" s="242">
        <f t="shared" si="2"/>
        <v>675000</v>
      </c>
      <c r="L59" s="238">
        <f>624000+33000+18000</f>
        <v>675000</v>
      </c>
      <c r="M59" s="6" t="s">
        <v>416</v>
      </c>
      <c r="N59" s="6"/>
      <c r="O59" s="6" t="s">
        <v>417</v>
      </c>
      <c r="P59" s="6"/>
      <c r="Q59" s="6" t="s">
        <v>418</v>
      </c>
      <c r="R59" s="6"/>
      <c r="S59" s="5"/>
      <c r="T59" s="68"/>
      <c r="U59" s="261"/>
      <c r="V59" s="262">
        <v>0.15</v>
      </c>
      <c r="W59" s="5">
        <v>530400</v>
      </c>
      <c r="X59" s="5"/>
      <c r="Y59" s="5">
        <v>28050</v>
      </c>
      <c r="Z59" s="5"/>
      <c r="AA59" s="5">
        <v>15300</v>
      </c>
      <c r="AB59" s="5"/>
      <c r="AC59" s="5"/>
      <c r="AD59" s="5"/>
      <c r="AE59" s="238">
        <f t="shared" si="3"/>
        <v>573750</v>
      </c>
      <c r="AF59" s="31" t="s">
        <v>85</v>
      </c>
      <c r="AG59" s="68"/>
      <c r="AH59" s="68"/>
      <c r="AI59" s="68"/>
      <c r="AJ59" s="345"/>
      <c r="AK59" s="43" t="s">
        <v>66</v>
      </c>
      <c r="AL59" s="68"/>
      <c r="AM59" s="68"/>
      <c r="AN59" s="68"/>
      <c r="AO59" s="289" t="s">
        <v>86</v>
      </c>
      <c r="AP59" s="289"/>
      <c r="AQ59" s="290">
        <v>43124</v>
      </c>
      <c r="AR59" s="290">
        <v>43174</v>
      </c>
      <c r="AS59" s="25" t="s">
        <v>78</v>
      </c>
      <c r="AT59" s="291">
        <v>43488</v>
      </c>
      <c r="AU59" s="25" t="s">
        <v>122</v>
      </c>
      <c r="AV59" s="43" t="s">
        <v>66</v>
      </c>
      <c r="AW59" s="26" t="s">
        <v>71</v>
      </c>
      <c r="AX59" s="5"/>
      <c r="AY59" s="31"/>
    </row>
    <row r="60" spans="1:110" ht="21.75" customHeight="1">
      <c r="A60" s="5" t="s">
        <v>419</v>
      </c>
      <c r="B60" s="26" t="s">
        <v>420</v>
      </c>
      <c r="C60" s="31" t="s">
        <v>421</v>
      </c>
      <c r="D60" s="5" t="s">
        <v>422</v>
      </c>
      <c r="E60" s="31" t="s">
        <v>224</v>
      </c>
      <c r="F60" s="31" t="s">
        <v>315</v>
      </c>
      <c r="G60" s="6" t="s">
        <v>150</v>
      </c>
      <c r="H60" s="6" t="s">
        <v>84</v>
      </c>
      <c r="I60" s="292">
        <v>43112</v>
      </c>
      <c r="J60" s="5"/>
      <c r="K60" s="242">
        <f t="shared" si="2"/>
        <v>179847</v>
      </c>
      <c r="L60" s="238">
        <f>6930+172917</f>
        <v>179847</v>
      </c>
      <c r="M60" s="6" t="s">
        <v>423</v>
      </c>
      <c r="N60" s="6"/>
      <c r="O60" s="6" t="s">
        <v>424</v>
      </c>
      <c r="P60" s="6"/>
      <c r="Q60" s="6"/>
      <c r="R60" s="6"/>
      <c r="S60" s="5"/>
      <c r="T60" s="68"/>
      <c r="U60" s="261"/>
      <c r="V60" s="262">
        <v>0.15</v>
      </c>
      <c r="W60" s="5">
        <v>5890.5</v>
      </c>
      <c r="X60" s="5"/>
      <c r="Y60" s="5">
        <v>146979.45000000001</v>
      </c>
      <c r="Z60" s="5"/>
      <c r="AA60" s="5"/>
      <c r="AB60" s="5"/>
      <c r="AC60" s="5"/>
      <c r="AD60" s="5"/>
      <c r="AE60" s="238">
        <f t="shared" si="3"/>
        <v>152869.95000000001</v>
      </c>
      <c r="AF60" s="31" t="s">
        <v>132</v>
      </c>
      <c r="AG60" s="68"/>
      <c r="AH60" s="68"/>
      <c r="AI60" s="68"/>
      <c r="AJ60" s="345"/>
      <c r="AK60" s="43" t="s">
        <v>66</v>
      </c>
      <c r="AL60" s="68"/>
      <c r="AM60" s="68"/>
      <c r="AN60" s="68"/>
      <c r="AO60" s="289" t="s">
        <v>86</v>
      </c>
      <c r="AP60" s="289"/>
      <c r="AQ60" s="290" t="s">
        <v>425</v>
      </c>
      <c r="AR60" s="290">
        <v>43126</v>
      </c>
      <c r="AS60" s="25" t="s">
        <v>78</v>
      </c>
      <c r="AT60" s="43" t="s">
        <v>405</v>
      </c>
      <c r="AU60" s="25" t="s">
        <v>88</v>
      </c>
      <c r="AV60" s="43" t="s">
        <v>66</v>
      </c>
      <c r="AW60" s="26" t="s">
        <v>71</v>
      </c>
      <c r="AX60" s="5"/>
      <c r="AY60" s="31"/>
    </row>
    <row r="61" spans="1:110" ht="21.75" customHeight="1">
      <c r="A61" s="5" t="s">
        <v>426</v>
      </c>
      <c r="B61" s="26" t="s">
        <v>427</v>
      </c>
      <c r="C61" s="31" t="s">
        <v>428</v>
      </c>
      <c r="D61" s="5" t="s">
        <v>429</v>
      </c>
      <c r="E61" s="31" t="s">
        <v>83</v>
      </c>
      <c r="F61" s="31" t="s">
        <v>315</v>
      </c>
      <c r="G61" s="6" t="s">
        <v>76</v>
      </c>
      <c r="H61" s="6" t="s">
        <v>128</v>
      </c>
      <c r="I61" s="292">
        <v>43130</v>
      </c>
      <c r="J61" s="5"/>
      <c r="K61" s="242">
        <f t="shared" si="2"/>
        <v>2453</v>
      </c>
      <c r="L61" s="238">
        <v>2453</v>
      </c>
      <c r="M61" s="239"/>
      <c r="N61" s="239"/>
      <c r="O61" s="239"/>
      <c r="P61" s="239"/>
      <c r="Q61" s="6" t="s">
        <v>430</v>
      </c>
      <c r="R61" s="239"/>
      <c r="S61" s="5"/>
      <c r="T61" s="5"/>
      <c r="U61" s="261"/>
      <c r="V61" s="262">
        <v>0.15</v>
      </c>
      <c r="W61" s="5"/>
      <c r="X61" s="5"/>
      <c r="Y61" s="5"/>
      <c r="Z61" s="5"/>
      <c r="AA61" s="5">
        <v>2085</v>
      </c>
      <c r="AB61" s="5"/>
      <c r="AC61" s="5"/>
      <c r="AD61" s="5"/>
      <c r="AE61" s="238">
        <f t="shared" ref="AE61:AE65" si="4">SUM(W61:AA61)</f>
        <v>2085</v>
      </c>
      <c r="AF61" s="31" t="s">
        <v>145</v>
      </c>
      <c r="AG61" s="68"/>
      <c r="AH61" s="68"/>
      <c r="AI61" s="68"/>
      <c r="AJ61" s="345"/>
      <c r="AK61" s="43" t="s">
        <v>66</v>
      </c>
      <c r="AL61" s="68"/>
      <c r="AM61" s="68"/>
      <c r="AN61" s="68"/>
      <c r="AO61" s="289" t="s">
        <v>86</v>
      </c>
      <c r="AP61" s="289"/>
      <c r="AQ61" s="290">
        <v>43171</v>
      </c>
      <c r="AR61" s="290">
        <v>43174</v>
      </c>
      <c r="AS61" s="25" t="s">
        <v>78</v>
      </c>
      <c r="AT61" s="291">
        <v>43535</v>
      </c>
      <c r="AU61" s="25" t="s">
        <v>88</v>
      </c>
      <c r="AV61" s="43" t="s">
        <v>66</v>
      </c>
      <c r="AW61" s="26" t="s">
        <v>71</v>
      </c>
      <c r="AX61" s="26"/>
      <c r="AY61" s="31"/>
    </row>
    <row r="62" spans="1:110" ht="21.75" customHeight="1">
      <c r="A62" s="5" t="s">
        <v>431</v>
      </c>
      <c r="B62" s="26" t="s">
        <v>432</v>
      </c>
      <c r="C62" s="31" t="s">
        <v>433</v>
      </c>
      <c r="D62" s="5" t="s">
        <v>434</v>
      </c>
      <c r="E62" s="31" t="s">
        <v>83</v>
      </c>
      <c r="F62" s="31" t="s">
        <v>315</v>
      </c>
      <c r="G62" s="6" t="s">
        <v>76</v>
      </c>
      <c r="H62" s="6" t="s">
        <v>128</v>
      </c>
      <c r="I62" s="292">
        <v>43130</v>
      </c>
      <c r="J62" s="5"/>
      <c r="K62" s="242">
        <f t="shared" si="2"/>
        <v>84000</v>
      </c>
      <c r="L62" s="238">
        <f>34718+49282</f>
        <v>84000</v>
      </c>
      <c r="M62" s="6" t="s">
        <v>435</v>
      </c>
      <c r="N62" s="6"/>
      <c r="O62" s="6" t="s">
        <v>436</v>
      </c>
      <c r="P62" s="6"/>
      <c r="Q62" s="6"/>
      <c r="R62" s="6"/>
      <c r="S62" s="5"/>
      <c r="T62" s="5"/>
      <c r="U62" s="261"/>
      <c r="V62" s="262">
        <v>0.15</v>
      </c>
      <c r="W62" s="5">
        <v>29510</v>
      </c>
      <c r="X62" s="5"/>
      <c r="Y62" s="5"/>
      <c r="Z62" s="5"/>
      <c r="AA62" s="5">
        <v>41889</v>
      </c>
      <c r="AB62" s="5"/>
      <c r="AC62" s="5"/>
      <c r="AD62" s="5"/>
      <c r="AE62" s="238">
        <f t="shared" si="4"/>
        <v>71399</v>
      </c>
      <c r="AF62" s="31" t="s">
        <v>145</v>
      </c>
      <c r="AG62" s="68"/>
      <c r="AH62" s="68"/>
      <c r="AI62" s="68"/>
      <c r="AJ62" s="345"/>
      <c r="AK62" s="43" t="s">
        <v>66</v>
      </c>
      <c r="AL62" s="68"/>
      <c r="AM62" s="68"/>
      <c r="AN62" s="68"/>
      <c r="AO62" s="289" t="s">
        <v>86</v>
      </c>
      <c r="AP62" s="289"/>
      <c r="AQ62" s="290">
        <v>43175</v>
      </c>
      <c r="AR62" s="290">
        <v>43175</v>
      </c>
      <c r="AS62" s="25" t="s">
        <v>78</v>
      </c>
      <c r="AT62" s="291">
        <v>43539</v>
      </c>
      <c r="AU62" s="25" t="s">
        <v>88</v>
      </c>
      <c r="AV62" s="43" t="s">
        <v>66</v>
      </c>
      <c r="AW62" s="26" t="s">
        <v>71</v>
      </c>
      <c r="AX62" s="26"/>
      <c r="AY62" s="31"/>
    </row>
    <row r="63" spans="1:110" ht="21.75" customHeight="1">
      <c r="A63" s="5" t="s">
        <v>437</v>
      </c>
      <c r="B63" s="26" t="s">
        <v>438</v>
      </c>
      <c r="C63" s="31" t="s">
        <v>439</v>
      </c>
      <c r="D63" s="299" t="s">
        <v>440</v>
      </c>
      <c r="E63" s="31" t="s">
        <v>168</v>
      </c>
      <c r="F63" s="31" t="s">
        <v>300</v>
      </c>
      <c r="G63" s="6" t="s">
        <v>175</v>
      </c>
      <c r="H63" s="6" t="s">
        <v>84</v>
      </c>
      <c r="I63" s="292">
        <v>43130</v>
      </c>
      <c r="J63" s="5"/>
      <c r="K63" s="242">
        <f t="shared" si="2"/>
        <v>25200</v>
      </c>
      <c r="L63" s="238">
        <v>25200</v>
      </c>
      <c r="M63" s="239"/>
      <c r="N63" s="239"/>
      <c r="O63" s="239"/>
      <c r="P63" s="239"/>
      <c r="Q63" s="6" t="s">
        <v>441</v>
      </c>
      <c r="R63" s="239"/>
      <c r="S63" s="5"/>
      <c r="T63" s="5"/>
      <c r="U63" s="261"/>
      <c r="V63" s="262">
        <v>0.15</v>
      </c>
      <c r="W63" s="5"/>
      <c r="X63" s="5"/>
      <c r="Y63" s="5"/>
      <c r="Z63" s="5"/>
      <c r="AA63" s="5">
        <f>6000+15420</f>
        <v>21420</v>
      </c>
      <c r="AB63" s="5"/>
      <c r="AC63" s="5"/>
      <c r="AD63" s="5"/>
      <c r="AE63" s="238">
        <f t="shared" si="4"/>
        <v>21420</v>
      </c>
      <c r="AF63" s="31" t="s">
        <v>442</v>
      </c>
      <c r="AG63" s="68"/>
      <c r="AH63" s="68"/>
      <c r="AI63" s="68"/>
      <c r="AJ63" s="345"/>
      <c r="AK63" s="43" t="s">
        <v>190</v>
      </c>
      <c r="AL63" s="68"/>
      <c r="AM63" s="68"/>
      <c r="AN63" s="68"/>
      <c r="AO63" s="289"/>
      <c r="AP63" s="289"/>
      <c r="AQ63" s="290"/>
      <c r="AR63" s="290"/>
      <c r="AS63" s="31" t="s">
        <v>443</v>
      </c>
      <c r="AT63" s="291">
        <v>44927</v>
      </c>
      <c r="AU63" s="31" t="s">
        <v>190</v>
      </c>
      <c r="AV63" s="43" t="s">
        <v>190</v>
      </c>
      <c r="AW63" s="5" t="s">
        <v>71</v>
      </c>
      <c r="AX63" s="5"/>
      <c r="AY63" s="31"/>
    </row>
    <row r="64" spans="1:110" ht="21.75" customHeight="1">
      <c r="A64" s="5" t="s">
        <v>444</v>
      </c>
      <c r="B64" s="26" t="s">
        <v>445</v>
      </c>
      <c r="C64" s="31" t="s">
        <v>446</v>
      </c>
      <c r="D64" s="299" t="s">
        <v>440</v>
      </c>
      <c r="E64" s="31" t="s">
        <v>168</v>
      </c>
      <c r="F64" s="31" t="s">
        <v>300</v>
      </c>
      <c r="G64" s="6" t="s">
        <v>175</v>
      </c>
      <c r="H64" s="6" t="s">
        <v>84</v>
      </c>
      <c r="I64" s="292">
        <v>43130</v>
      </c>
      <c r="J64" s="5"/>
      <c r="K64" s="242">
        <f t="shared" si="2"/>
        <v>73200</v>
      </c>
      <c r="L64" s="238">
        <v>73200</v>
      </c>
      <c r="M64" s="239"/>
      <c r="N64" s="239"/>
      <c r="O64" s="239"/>
      <c r="P64" s="239"/>
      <c r="Q64" s="68">
        <v>73200</v>
      </c>
      <c r="R64" s="239"/>
      <c r="S64" s="5"/>
      <c r="T64" s="5"/>
      <c r="U64" s="261"/>
      <c r="V64" s="262">
        <v>0.15</v>
      </c>
      <c r="W64" s="5"/>
      <c r="X64" s="5"/>
      <c r="Y64" s="5"/>
      <c r="Z64" s="5"/>
      <c r="AA64" s="5">
        <f>6000+56220</f>
        <v>62220</v>
      </c>
      <c r="AB64" s="5"/>
      <c r="AC64" s="5"/>
      <c r="AD64" s="5"/>
      <c r="AE64" s="238">
        <f t="shared" si="4"/>
        <v>62220</v>
      </c>
      <c r="AF64" s="31" t="s">
        <v>442</v>
      </c>
      <c r="AG64" s="68"/>
      <c r="AH64" s="68"/>
      <c r="AI64" s="68"/>
      <c r="AJ64" s="345"/>
      <c r="AK64" s="43" t="s">
        <v>190</v>
      </c>
      <c r="AL64" s="68"/>
      <c r="AM64" s="68"/>
      <c r="AN64" s="68"/>
      <c r="AO64" s="289"/>
      <c r="AP64" s="289"/>
      <c r="AQ64" s="290"/>
      <c r="AR64" s="290"/>
      <c r="AS64" s="31" t="s">
        <v>443</v>
      </c>
      <c r="AT64" s="291">
        <v>44927</v>
      </c>
      <c r="AU64" s="31" t="s">
        <v>190</v>
      </c>
      <c r="AV64" s="43" t="s">
        <v>190</v>
      </c>
      <c r="AW64" s="5" t="s">
        <v>71</v>
      </c>
      <c r="AX64" s="5"/>
      <c r="AY64" s="31"/>
    </row>
    <row r="65" spans="1:51" ht="21.75" customHeight="1">
      <c r="A65" s="5" t="s">
        <v>447</v>
      </c>
      <c r="B65" s="26" t="s">
        <v>448</v>
      </c>
      <c r="C65" s="31" t="s">
        <v>449</v>
      </c>
      <c r="D65" s="299" t="s">
        <v>440</v>
      </c>
      <c r="E65" s="31" t="s">
        <v>168</v>
      </c>
      <c r="F65" s="31" t="s">
        <v>300</v>
      </c>
      <c r="G65" s="6" t="s">
        <v>175</v>
      </c>
      <c r="H65" s="6" t="s">
        <v>84</v>
      </c>
      <c r="I65" s="292">
        <v>43130</v>
      </c>
      <c r="J65" s="5"/>
      <c r="K65" s="29">
        <f t="shared" si="2"/>
        <v>325200</v>
      </c>
      <c r="L65" s="238">
        <v>325200</v>
      </c>
      <c r="M65" s="239"/>
      <c r="N65" s="239"/>
      <c r="O65" s="239"/>
      <c r="P65" s="239"/>
      <c r="Q65" s="400">
        <v>325200</v>
      </c>
      <c r="R65" s="239"/>
      <c r="S65" s="5"/>
      <c r="T65" s="5"/>
      <c r="U65" s="261"/>
      <c r="V65" s="262">
        <v>0.15</v>
      </c>
      <c r="W65" s="5"/>
      <c r="X65" s="5"/>
      <c r="Y65" s="5"/>
      <c r="Z65" s="5"/>
      <c r="AA65" s="5">
        <f>6000+270420</f>
        <v>276420</v>
      </c>
      <c r="AB65" s="5"/>
      <c r="AC65" s="5"/>
      <c r="AD65" s="5"/>
      <c r="AE65" s="238">
        <f t="shared" si="4"/>
        <v>276420</v>
      </c>
      <c r="AF65" s="31" t="s">
        <v>442</v>
      </c>
      <c r="AG65" s="68"/>
      <c r="AH65" s="68"/>
      <c r="AI65" s="68"/>
      <c r="AJ65" s="345"/>
      <c r="AK65" s="43" t="s">
        <v>190</v>
      </c>
      <c r="AL65" s="68"/>
      <c r="AM65" s="68"/>
      <c r="AN65" s="68"/>
      <c r="AO65" s="289"/>
      <c r="AP65" s="289"/>
      <c r="AQ65" s="290"/>
      <c r="AR65" s="290"/>
      <c r="AS65" s="31" t="s">
        <v>443</v>
      </c>
      <c r="AT65" s="291">
        <v>44927</v>
      </c>
      <c r="AU65" s="31" t="s">
        <v>190</v>
      </c>
      <c r="AV65" s="43" t="s">
        <v>190</v>
      </c>
      <c r="AW65" s="5" t="s">
        <v>71</v>
      </c>
      <c r="AX65" s="5"/>
      <c r="AY65" s="31"/>
    </row>
    <row r="66" spans="1:51" ht="21.75" customHeight="1">
      <c r="A66" s="5" t="s">
        <v>450</v>
      </c>
      <c r="B66" s="26" t="s">
        <v>451</v>
      </c>
      <c r="C66" s="31" t="s">
        <v>452</v>
      </c>
      <c r="D66" s="299" t="s">
        <v>453</v>
      </c>
      <c r="E66" s="31" t="s">
        <v>261</v>
      </c>
      <c r="F66" s="31" t="s">
        <v>190</v>
      </c>
      <c r="G66" s="6" t="s">
        <v>76</v>
      </c>
      <c r="H66" s="6" t="s">
        <v>63</v>
      </c>
      <c r="I66" s="292">
        <v>43215</v>
      </c>
      <c r="J66" s="5" t="s">
        <v>454</v>
      </c>
      <c r="K66" s="29">
        <f t="shared" si="2"/>
        <v>15700000</v>
      </c>
      <c r="L66" s="238">
        <v>12349300</v>
      </c>
      <c r="M66" s="239"/>
      <c r="N66" s="239"/>
      <c r="O66" s="239"/>
      <c r="P66" s="239"/>
      <c r="Q66" s="68">
        <v>12349300</v>
      </c>
      <c r="R66" s="239"/>
      <c r="S66" s="5">
        <v>3350700</v>
      </c>
      <c r="T66" s="5"/>
      <c r="U66" s="261">
        <v>0.06</v>
      </c>
      <c r="V66" s="262">
        <v>0.15</v>
      </c>
      <c r="Y66" s="2">
        <v>3350700</v>
      </c>
      <c r="AA66" s="5"/>
      <c r="AB66" s="5"/>
      <c r="AC66" s="5">
        <v>10490000</v>
      </c>
      <c r="AD66" s="5"/>
      <c r="AE66" s="238">
        <f t="shared" ref="AE66:AE125" si="5">SUM(W66:AA66)</f>
        <v>3350700</v>
      </c>
      <c r="AF66" s="31" t="s">
        <v>455</v>
      </c>
      <c r="AJ66" s="345"/>
      <c r="AK66" s="43" t="s">
        <v>190</v>
      </c>
      <c r="AO66" s="5"/>
      <c r="AP66" s="5"/>
      <c r="AQ66" s="290"/>
      <c r="AR66" s="290"/>
      <c r="AS66" s="406">
        <v>43070</v>
      </c>
      <c r="AT66" s="291">
        <v>44141</v>
      </c>
      <c r="AU66" s="31" t="s">
        <v>190</v>
      </c>
      <c r="AV66" s="43" t="s">
        <v>190</v>
      </c>
      <c r="AW66" s="5" t="s">
        <v>71</v>
      </c>
      <c r="AX66" s="31"/>
      <c r="AY66" s="31"/>
    </row>
    <row r="67" spans="1:51" ht="21.75" customHeight="1">
      <c r="A67" s="5" t="s">
        <v>456</v>
      </c>
      <c r="B67" s="26" t="s">
        <v>457</v>
      </c>
      <c r="C67" s="31" t="s">
        <v>458</v>
      </c>
      <c r="D67" s="5" t="s">
        <v>459</v>
      </c>
      <c r="E67" s="31" t="s">
        <v>249</v>
      </c>
      <c r="F67" s="31" t="s">
        <v>315</v>
      </c>
      <c r="G67" s="6" t="s">
        <v>157</v>
      </c>
      <c r="H67" s="6" t="s">
        <v>63</v>
      </c>
      <c r="I67" s="292">
        <v>43132</v>
      </c>
      <c r="J67" s="5"/>
      <c r="K67" s="242">
        <f t="shared" si="2"/>
        <v>315745</v>
      </c>
      <c r="L67" s="238">
        <f>165085+150660</f>
        <v>315745</v>
      </c>
      <c r="M67" s="6" t="s">
        <v>460</v>
      </c>
      <c r="N67" s="6"/>
      <c r="O67" s="6" t="s">
        <v>461</v>
      </c>
      <c r="P67" s="6"/>
      <c r="Q67" s="6"/>
      <c r="R67" s="6"/>
      <c r="S67" s="5"/>
      <c r="T67" s="5"/>
      <c r="U67" s="261"/>
      <c r="V67" s="262">
        <v>0.15</v>
      </c>
      <c r="W67" s="5">
        <v>128010</v>
      </c>
      <c r="X67" s="5"/>
      <c r="Y67" s="5">
        <v>140322.25</v>
      </c>
      <c r="Z67" s="5"/>
      <c r="AA67" s="5"/>
      <c r="AB67" s="5"/>
      <c r="AC67" s="5"/>
      <c r="AD67" s="5"/>
      <c r="AE67" s="238">
        <f t="shared" si="5"/>
        <v>268332.25</v>
      </c>
      <c r="AF67" s="31" t="s">
        <v>132</v>
      </c>
      <c r="AG67" s="68"/>
      <c r="AH67" s="68"/>
      <c r="AI67" s="68"/>
      <c r="AJ67" s="345"/>
      <c r="AK67" s="43" t="s">
        <v>66</v>
      </c>
      <c r="AL67" s="68"/>
      <c r="AM67" s="68"/>
      <c r="AN67" s="68"/>
      <c r="AO67" s="289" t="s">
        <v>86</v>
      </c>
      <c r="AP67" s="289"/>
      <c r="AQ67" s="290">
        <v>43108</v>
      </c>
      <c r="AR67" s="290">
        <v>43108</v>
      </c>
      <c r="AS67" s="25" t="s">
        <v>78</v>
      </c>
      <c r="AT67" s="291">
        <v>43472</v>
      </c>
      <c r="AU67" s="25" t="s">
        <v>122</v>
      </c>
      <c r="AV67" s="43" t="s">
        <v>66</v>
      </c>
      <c r="AW67" s="26" t="s">
        <v>71</v>
      </c>
      <c r="AX67" s="5"/>
      <c r="AY67" s="31"/>
    </row>
    <row r="68" spans="1:51" ht="21.75" customHeight="1">
      <c r="A68" s="31" t="s">
        <v>462</v>
      </c>
      <c r="B68" s="26"/>
      <c r="C68" s="32" t="s">
        <v>463</v>
      </c>
      <c r="D68" s="5" t="s">
        <v>464</v>
      </c>
      <c r="E68" s="31" t="s">
        <v>139</v>
      </c>
      <c r="F68" s="31" t="s">
        <v>315</v>
      </c>
      <c r="G68" s="6" t="s">
        <v>150</v>
      </c>
      <c r="H68" s="6" t="s">
        <v>128</v>
      </c>
      <c r="I68" s="292">
        <v>43131</v>
      </c>
      <c r="J68" s="5"/>
      <c r="K68" s="25">
        <v>152360</v>
      </c>
      <c r="L68" s="238"/>
      <c r="M68" s="6"/>
      <c r="N68" s="6"/>
      <c r="O68" s="6"/>
      <c r="P68" s="6"/>
      <c r="Q68" s="6"/>
      <c r="R68" s="6"/>
      <c r="S68" s="5"/>
      <c r="T68" s="5"/>
      <c r="U68" s="261"/>
      <c r="V68" s="319"/>
      <c r="W68" s="5"/>
      <c r="X68" s="5"/>
      <c r="Y68" s="5"/>
      <c r="Z68" s="5"/>
      <c r="AA68" s="5"/>
      <c r="AB68" s="31"/>
      <c r="AC68" s="5"/>
      <c r="AD68" s="5"/>
      <c r="AE68" s="238"/>
      <c r="AF68" s="346" t="s">
        <v>85</v>
      </c>
      <c r="AG68" s="68"/>
      <c r="AH68" s="68"/>
      <c r="AI68" s="68"/>
      <c r="AJ68" s="345"/>
      <c r="AK68" s="43" t="s">
        <v>66</v>
      </c>
      <c r="AL68" s="68"/>
      <c r="AM68" s="68"/>
      <c r="AN68" s="68"/>
      <c r="AO68" s="289" t="s">
        <v>86</v>
      </c>
      <c r="AP68" s="320"/>
      <c r="AQ68" s="291">
        <v>43131</v>
      </c>
      <c r="AR68" s="291">
        <v>43131</v>
      </c>
      <c r="AS68" s="25" t="s">
        <v>78</v>
      </c>
      <c r="AT68" s="291" t="s">
        <v>405</v>
      </c>
      <c r="AU68" s="25" t="s">
        <v>88</v>
      </c>
      <c r="AV68" s="43" t="s">
        <v>66</v>
      </c>
      <c r="AW68" s="26" t="s">
        <v>71</v>
      </c>
      <c r="AX68" s="5"/>
      <c r="AY68" s="31"/>
    </row>
    <row r="69" spans="1:51" ht="21.75" customHeight="1">
      <c r="A69" s="31" t="s">
        <v>465</v>
      </c>
      <c r="B69" s="26"/>
      <c r="C69" s="32" t="s">
        <v>466</v>
      </c>
      <c r="D69" s="5" t="s">
        <v>467</v>
      </c>
      <c r="E69" s="31" t="s">
        <v>139</v>
      </c>
      <c r="F69" s="31" t="s">
        <v>315</v>
      </c>
      <c r="G69" s="6" t="s">
        <v>150</v>
      </c>
      <c r="H69" s="6" t="s">
        <v>128</v>
      </c>
      <c r="I69" s="292">
        <v>43131</v>
      </c>
      <c r="J69" s="5"/>
      <c r="K69" s="25">
        <v>176242</v>
      </c>
      <c r="L69" s="238"/>
      <c r="M69" s="6"/>
      <c r="N69" s="6"/>
      <c r="O69" s="6"/>
      <c r="P69" s="6"/>
      <c r="Q69" s="6"/>
      <c r="R69" s="6"/>
      <c r="S69" s="5"/>
      <c r="T69" s="5"/>
      <c r="U69" s="261"/>
      <c r="V69" s="319"/>
      <c r="W69" s="5"/>
      <c r="X69" s="5"/>
      <c r="Y69" s="5"/>
      <c r="Z69" s="5"/>
      <c r="AA69" s="5"/>
      <c r="AB69" s="31"/>
      <c r="AC69" s="5"/>
      <c r="AD69" s="5"/>
      <c r="AE69" s="238"/>
      <c r="AF69" s="346" t="s">
        <v>85</v>
      </c>
      <c r="AG69" s="68"/>
      <c r="AH69" s="68"/>
      <c r="AI69" s="68"/>
      <c r="AJ69" s="345"/>
      <c r="AK69" s="43" t="s">
        <v>66</v>
      </c>
      <c r="AL69" s="68"/>
      <c r="AM69" s="68"/>
      <c r="AN69" s="68"/>
      <c r="AO69" s="289" t="s">
        <v>86</v>
      </c>
      <c r="AP69" s="320"/>
      <c r="AQ69" s="291">
        <v>43131</v>
      </c>
      <c r="AR69" s="291">
        <v>43131</v>
      </c>
      <c r="AS69" s="25" t="s">
        <v>78</v>
      </c>
      <c r="AT69" s="291" t="s">
        <v>405</v>
      </c>
      <c r="AU69" s="25" t="s">
        <v>88</v>
      </c>
      <c r="AV69" s="43" t="s">
        <v>66</v>
      </c>
      <c r="AW69" s="26" t="s">
        <v>71</v>
      </c>
      <c r="AX69" s="5"/>
      <c r="AY69" s="31"/>
    </row>
    <row r="70" spans="1:51" ht="21.75" customHeight="1">
      <c r="A70" s="31" t="s">
        <v>468</v>
      </c>
      <c r="B70" s="26"/>
      <c r="C70" s="32" t="s">
        <v>469</v>
      </c>
      <c r="D70" s="5" t="s">
        <v>470</v>
      </c>
      <c r="E70" s="31" t="s">
        <v>139</v>
      </c>
      <c r="F70" s="31" t="s">
        <v>315</v>
      </c>
      <c r="G70" s="6" t="s">
        <v>150</v>
      </c>
      <c r="H70" s="6" t="s">
        <v>128</v>
      </c>
      <c r="I70" s="292">
        <v>43131</v>
      </c>
      <c r="J70" s="5"/>
      <c r="K70" s="25">
        <v>199280</v>
      </c>
      <c r="L70" s="238"/>
      <c r="M70" s="6"/>
      <c r="N70" s="6"/>
      <c r="O70" s="6"/>
      <c r="P70" s="6"/>
      <c r="Q70" s="6"/>
      <c r="R70" s="6"/>
      <c r="S70" s="5"/>
      <c r="T70" s="5"/>
      <c r="U70" s="261"/>
      <c r="V70" s="319"/>
      <c r="W70" s="5"/>
      <c r="X70" s="5"/>
      <c r="Y70" s="5"/>
      <c r="Z70" s="5"/>
      <c r="AA70" s="5"/>
      <c r="AB70" s="31"/>
      <c r="AC70" s="5"/>
      <c r="AD70" s="5"/>
      <c r="AE70" s="238"/>
      <c r="AF70" s="346" t="s">
        <v>85</v>
      </c>
      <c r="AG70" s="68"/>
      <c r="AH70" s="68"/>
      <c r="AI70" s="68"/>
      <c r="AJ70" s="345"/>
      <c r="AK70" s="43" t="s">
        <v>66</v>
      </c>
      <c r="AL70" s="68"/>
      <c r="AM70" s="68"/>
      <c r="AN70" s="68"/>
      <c r="AO70" s="289" t="s">
        <v>86</v>
      </c>
      <c r="AP70" s="320"/>
      <c r="AQ70" s="291">
        <v>43131</v>
      </c>
      <c r="AR70" s="291">
        <v>43131</v>
      </c>
      <c r="AS70" s="25" t="s">
        <v>78</v>
      </c>
      <c r="AT70" s="291" t="s">
        <v>405</v>
      </c>
      <c r="AU70" s="25" t="s">
        <v>88</v>
      </c>
      <c r="AV70" s="43" t="s">
        <v>66</v>
      </c>
      <c r="AW70" s="26" t="s">
        <v>71</v>
      </c>
      <c r="AX70" s="5"/>
      <c r="AY70" s="31"/>
    </row>
    <row r="71" spans="1:51" ht="21.75" customHeight="1">
      <c r="A71" s="31" t="s">
        <v>471</v>
      </c>
      <c r="B71" s="26"/>
      <c r="C71" s="32" t="s">
        <v>472</v>
      </c>
      <c r="D71" s="5" t="s">
        <v>473</v>
      </c>
      <c r="E71" s="31" t="s">
        <v>139</v>
      </c>
      <c r="F71" s="31" t="s">
        <v>315</v>
      </c>
      <c r="G71" s="6" t="s">
        <v>150</v>
      </c>
      <c r="H71" s="6" t="s">
        <v>128</v>
      </c>
      <c r="I71" s="292">
        <v>43131</v>
      </c>
      <c r="J71" s="5"/>
      <c r="K71" s="25">
        <v>196236</v>
      </c>
      <c r="L71" s="238"/>
      <c r="M71" s="6"/>
      <c r="N71" s="6"/>
      <c r="O71" s="6"/>
      <c r="P71" s="6"/>
      <c r="Q71" s="6"/>
      <c r="R71" s="6"/>
      <c r="S71" s="5"/>
      <c r="T71" s="5"/>
      <c r="U71" s="261"/>
      <c r="V71" s="319"/>
      <c r="W71" s="5"/>
      <c r="X71" s="5"/>
      <c r="Y71" s="5"/>
      <c r="Z71" s="5"/>
      <c r="AA71" s="5"/>
      <c r="AB71" s="31"/>
      <c r="AC71" s="5"/>
      <c r="AD71" s="5"/>
      <c r="AE71" s="238"/>
      <c r="AF71" s="346" t="s">
        <v>85</v>
      </c>
      <c r="AG71" s="68"/>
      <c r="AH71" s="68"/>
      <c r="AI71" s="68"/>
      <c r="AJ71" s="345"/>
      <c r="AK71" s="43" t="s">
        <v>66</v>
      </c>
      <c r="AL71" s="68"/>
      <c r="AM71" s="68"/>
      <c r="AN71" s="68"/>
      <c r="AO71" s="289" t="s">
        <v>86</v>
      </c>
      <c r="AP71" s="320"/>
      <c r="AQ71" s="291">
        <v>43131</v>
      </c>
      <c r="AR71" s="291">
        <v>43131</v>
      </c>
      <c r="AS71" s="25" t="s">
        <v>78</v>
      </c>
      <c r="AT71" s="291" t="s">
        <v>405</v>
      </c>
      <c r="AU71" s="25" t="s">
        <v>88</v>
      </c>
      <c r="AV71" s="43" t="s">
        <v>66</v>
      </c>
      <c r="AW71" s="26" t="s">
        <v>71</v>
      </c>
      <c r="AX71" s="5"/>
      <c r="AY71" s="31"/>
    </row>
    <row r="72" spans="1:51" ht="21.75" customHeight="1">
      <c r="A72" s="31" t="s">
        <v>474</v>
      </c>
      <c r="B72" s="26"/>
      <c r="C72" s="32" t="s">
        <v>475</v>
      </c>
      <c r="D72" s="5" t="s">
        <v>476</v>
      </c>
      <c r="E72" s="31" t="s">
        <v>139</v>
      </c>
      <c r="F72" s="31" t="s">
        <v>315</v>
      </c>
      <c r="G72" s="6" t="s">
        <v>150</v>
      </c>
      <c r="H72" s="6" t="s">
        <v>128</v>
      </c>
      <c r="I72" s="292">
        <v>43131</v>
      </c>
      <c r="J72" s="5"/>
      <c r="K72" s="25">
        <v>108615</v>
      </c>
      <c r="L72" s="238"/>
      <c r="M72" s="6"/>
      <c r="N72" s="6"/>
      <c r="O72" s="6"/>
      <c r="P72" s="6"/>
      <c r="Q72" s="6"/>
      <c r="R72" s="6"/>
      <c r="S72" s="5"/>
      <c r="T72" s="5"/>
      <c r="U72" s="261"/>
      <c r="V72" s="319"/>
      <c r="W72" s="5"/>
      <c r="X72" s="5"/>
      <c r="Y72" s="5"/>
      <c r="Z72" s="5"/>
      <c r="AA72" s="5"/>
      <c r="AB72" s="31"/>
      <c r="AC72" s="5"/>
      <c r="AD72" s="5"/>
      <c r="AE72" s="238"/>
      <c r="AF72" s="346" t="s">
        <v>85</v>
      </c>
      <c r="AG72" s="68"/>
      <c r="AH72" s="68"/>
      <c r="AI72" s="68"/>
      <c r="AJ72" s="345"/>
      <c r="AK72" s="43" t="s">
        <v>66</v>
      </c>
      <c r="AL72" s="68"/>
      <c r="AM72" s="68"/>
      <c r="AN72" s="68"/>
      <c r="AO72" s="289" t="s">
        <v>86</v>
      </c>
      <c r="AP72" s="320"/>
      <c r="AQ72" s="291">
        <v>43131</v>
      </c>
      <c r="AR72" s="291">
        <v>43131</v>
      </c>
      <c r="AS72" s="25" t="s">
        <v>78</v>
      </c>
      <c r="AT72" s="291" t="s">
        <v>405</v>
      </c>
      <c r="AU72" s="25" t="s">
        <v>88</v>
      </c>
      <c r="AV72" s="43" t="s">
        <v>66</v>
      </c>
      <c r="AW72" s="26" t="s">
        <v>71</v>
      </c>
      <c r="AX72" s="5"/>
      <c r="AY72" s="31"/>
    </row>
    <row r="73" spans="1:51" ht="21.75" customHeight="1">
      <c r="A73" s="31" t="s">
        <v>477</v>
      </c>
      <c r="B73" s="26"/>
      <c r="C73" s="32" t="s">
        <v>478</v>
      </c>
      <c r="D73" s="5" t="s">
        <v>479</v>
      </c>
      <c r="E73" s="31" t="s">
        <v>139</v>
      </c>
      <c r="F73" s="31" t="s">
        <v>315</v>
      </c>
      <c r="G73" s="6" t="s">
        <v>150</v>
      </c>
      <c r="H73" s="6" t="s">
        <v>128</v>
      </c>
      <c r="I73" s="292">
        <v>43131</v>
      </c>
      <c r="J73" s="5"/>
      <c r="K73" s="25">
        <v>163033</v>
      </c>
      <c r="L73" s="238"/>
      <c r="M73" s="6"/>
      <c r="N73" s="6"/>
      <c r="O73" s="6"/>
      <c r="P73" s="6"/>
      <c r="Q73" s="6"/>
      <c r="R73" s="6"/>
      <c r="S73" s="5"/>
      <c r="T73" s="5"/>
      <c r="U73" s="261"/>
      <c r="V73" s="319"/>
      <c r="W73" s="5"/>
      <c r="X73" s="5"/>
      <c r="Y73" s="5"/>
      <c r="Z73" s="5"/>
      <c r="AA73" s="5"/>
      <c r="AB73" s="31"/>
      <c r="AC73" s="5"/>
      <c r="AD73" s="5"/>
      <c r="AE73" s="238"/>
      <c r="AF73" s="346" t="s">
        <v>85</v>
      </c>
      <c r="AG73" s="68"/>
      <c r="AH73" s="68"/>
      <c r="AI73" s="68"/>
      <c r="AJ73" s="345"/>
      <c r="AK73" s="43" t="s">
        <v>66</v>
      </c>
      <c r="AL73" s="68"/>
      <c r="AM73" s="68"/>
      <c r="AN73" s="68"/>
      <c r="AO73" s="289" t="s">
        <v>86</v>
      </c>
      <c r="AP73" s="320"/>
      <c r="AQ73" s="291">
        <v>43131</v>
      </c>
      <c r="AR73" s="291">
        <v>43131</v>
      </c>
      <c r="AS73" s="25" t="s">
        <v>78</v>
      </c>
      <c r="AT73" s="291" t="s">
        <v>405</v>
      </c>
      <c r="AU73" s="25" t="s">
        <v>88</v>
      </c>
      <c r="AV73" s="43" t="s">
        <v>66</v>
      </c>
      <c r="AW73" s="26" t="s">
        <v>71</v>
      </c>
      <c r="AX73" s="5"/>
      <c r="AY73" s="31"/>
    </row>
    <row r="74" spans="1:51" ht="21.75" customHeight="1">
      <c r="A74" s="31" t="s">
        <v>480</v>
      </c>
      <c r="B74" s="26"/>
      <c r="C74" s="32" t="s">
        <v>481</v>
      </c>
      <c r="D74" s="5" t="s">
        <v>482</v>
      </c>
      <c r="E74" s="31" t="s">
        <v>139</v>
      </c>
      <c r="F74" s="31" t="s">
        <v>315</v>
      </c>
      <c r="G74" s="6" t="s">
        <v>150</v>
      </c>
      <c r="H74" s="6" t="s">
        <v>128</v>
      </c>
      <c r="I74" s="292">
        <v>43131</v>
      </c>
      <c r="J74" s="5"/>
      <c r="K74" s="25">
        <v>168151</v>
      </c>
      <c r="L74" s="238"/>
      <c r="M74" s="6"/>
      <c r="N74" s="6"/>
      <c r="O74" s="6"/>
      <c r="P74" s="6"/>
      <c r="Q74" s="6"/>
      <c r="R74" s="6"/>
      <c r="S74" s="5"/>
      <c r="T74" s="5"/>
      <c r="U74" s="261"/>
      <c r="V74" s="319"/>
      <c r="W74" s="5"/>
      <c r="X74" s="5"/>
      <c r="Y74" s="5"/>
      <c r="Z74" s="5"/>
      <c r="AA74" s="5"/>
      <c r="AB74" s="31"/>
      <c r="AC74" s="5"/>
      <c r="AD74" s="5"/>
      <c r="AE74" s="238"/>
      <c r="AF74" s="346" t="s">
        <v>85</v>
      </c>
      <c r="AG74" s="68"/>
      <c r="AH74" s="68"/>
      <c r="AI74" s="68"/>
      <c r="AJ74" s="345"/>
      <c r="AK74" s="43" t="s">
        <v>66</v>
      </c>
      <c r="AL74" s="68"/>
      <c r="AM74" s="68"/>
      <c r="AN74" s="68"/>
      <c r="AO74" s="289" t="s">
        <v>86</v>
      </c>
      <c r="AP74" s="320"/>
      <c r="AQ74" s="291">
        <v>43131</v>
      </c>
      <c r="AR74" s="291">
        <v>43131</v>
      </c>
      <c r="AS74" s="25" t="s">
        <v>78</v>
      </c>
      <c r="AT74" s="291" t="s">
        <v>405</v>
      </c>
      <c r="AU74" s="25" t="s">
        <v>88</v>
      </c>
      <c r="AV74" s="43" t="s">
        <v>66</v>
      </c>
      <c r="AW74" s="26" t="s">
        <v>71</v>
      </c>
      <c r="AX74" s="5"/>
      <c r="AY74" s="31"/>
    </row>
    <row r="75" spans="1:51" ht="21.75" customHeight="1">
      <c r="A75" s="31" t="s">
        <v>483</v>
      </c>
      <c r="B75" s="26"/>
      <c r="C75" s="32" t="s">
        <v>484</v>
      </c>
      <c r="D75" s="5" t="s">
        <v>485</v>
      </c>
      <c r="E75" s="31" t="s">
        <v>139</v>
      </c>
      <c r="F75" s="31" t="s">
        <v>315</v>
      </c>
      <c r="G75" s="6" t="s">
        <v>150</v>
      </c>
      <c r="H75" s="6" t="s">
        <v>128</v>
      </c>
      <c r="I75" s="292">
        <v>43131</v>
      </c>
      <c r="J75" s="5"/>
      <c r="K75" s="25">
        <v>112728</v>
      </c>
      <c r="L75" s="238"/>
      <c r="M75" s="6"/>
      <c r="N75" s="6"/>
      <c r="O75" s="6"/>
      <c r="P75" s="6"/>
      <c r="Q75" s="6"/>
      <c r="R75" s="6"/>
      <c r="S75" s="5"/>
      <c r="T75" s="5"/>
      <c r="U75" s="261"/>
      <c r="V75" s="319"/>
      <c r="W75" s="5"/>
      <c r="X75" s="5"/>
      <c r="Y75" s="5"/>
      <c r="Z75" s="5"/>
      <c r="AA75" s="5"/>
      <c r="AB75" s="31"/>
      <c r="AC75" s="5"/>
      <c r="AD75" s="5"/>
      <c r="AE75" s="238"/>
      <c r="AF75" s="346" t="s">
        <v>85</v>
      </c>
      <c r="AG75" s="68"/>
      <c r="AH75" s="68"/>
      <c r="AI75" s="68"/>
      <c r="AJ75" s="345"/>
      <c r="AK75" s="43" t="s">
        <v>66</v>
      </c>
      <c r="AL75" s="68"/>
      <c r="AM75" s="68"/>
      <c r="AN75" s="68"/>
      <c r="AO75" s="289" t="s">
        <v>86</v>
      </c>
      <c r="AP75" s="320"/>
      <c r="AQ75" s="291">
        <v>43131</v>
      </c>
      <c r="AR75" s="291">
        <v>43131</v>
      </c>
      <c r="AS75" s="25" t="s">
        <v>78</v>
      </c>
      <c r="AT75" s="291" t="s">
        <v>405</v>
      </c>
      <c r="AU75" s="25" t="s">
        <v>88</v>
      </c>
      <c r="AV75" s="43" t="s">
        <v>66</v>
      </c>
      <c r="AW75" s="26" t="s">
        <v>71</v>
      </c>
      <c r="AX75" s="5"/>
      <c r="AY75" s="31"/>
    </row>
    <row r="76" spans="1:51" ht="21.75" customHeight="1">
      <c r="A76" s="31" t="s">
        <v>486</v>
      </c>
      <c r="B76" s="26"/>
      <c r="C76" s="32" t="s">
        <v>487</v>
      </c>
      <c r="D76" s="5" t="s">
        <v>488</v>
      </c>
      <c r="E76" s="31" t="s">
        <v>139</v>
      </c>
      <c r="F76" s="31" t="s">
        <v>315</v>
      </c>
      <c r="G76" s="6" t="s">
        <v>150</v>
      </c>
      <c r="H76" s="6" t="s">
        <v>128</v>
      </c>
      <c r="I76" s="292">
        <v>43131</v>
      </c>
      <c r="J76" s="5"/>
      <c r="K76" s="25">
        <v>129663</v>
      </c>
      <c r="L76" s="238"/>
      <c r="M76" s="6"/>
      <c r="N76" s="6"/>
      <c r="O76" s="6"/>
      <c r="P76" s="6"/>
      <c r="Q76" s="6"/>
      <c r="R76" s="6"/>
      <c r="S76" s="5"/>
      <c r="T76" s="5"/>
      <c r="U76" s="261"/>
      <c r="V76" s="319"/>
      <c r="W76" s="5"/>
      <c r="X76" s="5"/>
      <c r="Y76" s="5"/>
      <c r="Z76" s="5"/>
      <c r="AA76" s="5"/>
      <c r="AB76" s="31"/>
      <c r="AC76" s="5"/>
      <c r="AD76" s="5"/>
      <c r="AE76" s="238"/>
      <c r="AF76" s="346" t="s">
        <v>85</v>
      </c>
      <c r="AG76" s="68"/>
      <c r="AH76" s="68"/>
      <c r="AI76" s="68"/>
      <c r="AJ76" s="345"/>
      <c r="AK76" s="43" t="s">
        <v>66</v>
      </c>
      <c r="AL76" s="68"/>
      <c r="AM76" s="68"/>
      <c r="AN76" s="68"/>
      <c r="AO76" s="289" t="s">
        <v>86</v>
      </c>
      <c r="AP76" s="320"/>
      <c r="AQ76" s="291">
        <v>43131</v>
      </c>
      <c r="AR76" s="291">
        <v>43131</v>
      </c>
      <c r="AS76" s="25" t="s">
        <v>78</v>
      </c>
      <c r="AT76" s="291" t="s">
        <v>405</v>
      </c>
      <c r="AU76" s="25" t="s">
        <v>88</v>
      </c>
      <c r="AV76" s="43" t="s">
        <v>66</v>
      </c>
      <c r="AW76" s="26" t="s">
        <v>71</v>
      </c>
      <c r="AX76" s="5"/>
      <c r="AY76" s="31"/>
    </row>
    <row r="77" spans="1:51" ht="21.75" customHeight="1">
      <c r="A77" s="31" t="s">
        <v>489</v>
      </c>
      <c r="B77" s="26"/>
      <c r="C77" s="32" t="s">
        <v>490</v>
      </c>
      <c r="D77" s="5" t="s">
        <v>491</v>
      </c>
      <c r="E77" s="31" t="s">
        <v>139</v>
      </c>
      <c r="F77" s="31" t="s">
        <v>315</v>
      </c>
      <c r="G77" s="6" t="s">
        <v>150</v>
      </c>
      <c r="H77" s="6" t="s">
        <v>128</v>
      </c>
      <c r="I77" s="292">
        <v>43131</v>
      </c>
      <c r="J77" s="5"/>
      <c r="K77" s="25">
        <v>187562</v>
      </c>
      <c r="L77" s="238"/>
      <c r="M77" s="6"/>
      <c r="N77" s="6"/>
      <c r="O77" s="6"/>
      <c r="P77" s="6"/>
      <c r="Q77" s="6"/>
      <c r="R77" s="6"/>
      <c r="S77" s="5"/>
      <c r="T77" s="5"/>
      <c r="U77" s="261"/>
      <c r="V77" s="319"/>
      <c r="W77" s="5"/>
      <c r="X77" s="5"/>
      <c r="Y77" s="5"/>
      <c r="Z77" s="5"/>
      <c r="AA77" s="5"/>
      <c r="AB77" s="31"/>
      <c r="AC77" s="5"/>
      <c r="AD77" s="5"/>
      <c r="AE77" s="238"/>
      <c r="AF77" s="346" t="s">
        <v>85</v>
      </c>
      <c r="AG77" s="68"/>
      <c r="AH77" s="68"/>
      <c r="AI77" s="68"/>
      <c r="AJ77" s="345"/>
      <c r="AK77" s="43" t="s">
        <v>66</v>
      </c>
      <c r="AL77" s="68"/>
      <c r="AM77" s="68"/>
      <c r="AN77" s="68"/>
      <c r="AO77" s="289" t="s">
        <v>86</v>
      </c>
      <c r="AP77" s="320"/>
      <c r="AQ77" s="291">
        <v>43131</v>
      </c>
      <c r="AR77" s="291">
        <v>43131</v>
      </c>
      <c r="AS77" s="25" t="s">
        <v>78</v>
      </c>
      <c r="AT77" s="291" t="s">
        <v>405</v>
      </c>
      <c r="AU77" s="25" t="s">
        <v>88</v>
      </c>
      <c r="AV77" s="43" t="s">
        <v>66</v>
      </c>
      <c r="AW77" s="26" t="s">
        <v>71</v>
      </c>
      <c r="AX77" s="5"/>
      <c r="AY77" s="31"/>
    </row>
    <row r="78" spans="1:51" ht="21.75" customHeight="1">
      <c r="A78" s="31" t="s">
        <v>492</v>
      </c>
      <c r="B78" s="26"/>
      <c r="C78" s="32" t="s">
        <v>493</v>
      </c>
      <c r="D78" s="5" t="s">
        <v>494</v>
      </c>
      <c r="E78" s="31" t="s">
        <v>139</v>
      </c>
      <c r="F78" s="31" t="s">
        <v>315</v>
      </c>
      <c r="G78" s="6" t="s">
        <v>150</v>
      </c>
      <c r="H78" s="6" t="s">
        <v>128</v>
      </c>
      <c r="I78" s="292">
        <v>43131</v>
      </c>
      <c r="J78" s="5"/>
      <c r="K78" s="25">
        <v>180882</v>
      </c>
      <c r="L78" s="238"/>
      <c r="M78" s="6"/>
      <c r="N78" s="6"/>
      <c r="O78" s="6"/>
      <c r="P78" s="6"/>
      <c r="Q78" s="6"/>
      <c r="R78" s="6"/>
      <c r="S78" s="5"/>
      <c r="T78" s="5"/>
      <c r="U78" s="261"/>
      <c r="V78" s="319"/>
      <c r="W78" s="5"/>
      <c r="X78" s="5"/>
      <c r="Y78" s="5"/>
      <c r="Z78" s="5"/>
      <c r="AA78" s="5"/>
      <c r="AB78" s="31"/>
      <c r="AC78" s="5"/>
      <c r="AD78" s="5"/>
      <c r="AE78" s="238"/>
      <c r="AF78" s="346" t="s">
        <v>85</v>
      </c>
      <c r="AG78" s="68"/>
      <c r="AH78" s="68"/>
      <c r="AI78" s="68"/>
      <c r="AJ78" s="345"/>
      <c r="AK78" s="43" t="s">
        <v>66</v>
      </c>
      <c r="AL78" s="68"/>
      <c r="AM78" s="68"/>
      <c r="AN78" s="68"/>
      <c r="AO78" s="289" t="s">
        <v>86</v>
      </c>
      <c r="AP78" s="320"/>
      <c r="AQ78" s="291">
        <v>43131</v>
      </c>
      <c r="AR78" s="291">
        <v>43131</v>
      </c>
      <c r="AS78" s="25" t="s">
        <v>78</v>
      </c>
      <c r="AT78" s="291" t="s">
        <v>405</v>
      </c>
      <c r="AU78" s="25" t="s">
        <v>88</v>
      </c>
      <c r="AV78" s="43" t="s">
        <v>66</v>
      </c>
      <c r="AW78" s="26" t="s">
        <v>71</v>
      </c>
      <c r="AX78" s="5"/>
      <c r="AY78" s="31"/>
    </row>
    <row r="79" spans="1:51" ht="21.75" customHeight="1">
      <c r="A79" s="31" t="s">
        <v>495</v>
      </c>
      <c r="B79" s="26"/>
      <c r="C79" s="32" t="s">
        <v>496</v>
      </c>
      <c r="D79" s="5" t="s">
        <v>497</v>
      </c>
      <c r="E79" s="31" t="s">
        <v>139</v>
      </c>
      <c r="F79" s="31" t="s">
        <v>315</v>
      </c>
      <c r="G79" s="6" t="s">
        <v>150</v>
      </c>
      <c r="H79" s="6" t="s">
        <v>128</v>
      </c>
      <c r="I79" s="292">
        <v>43131</v>
      </c>
      <c r="J79" s="5"/>
      <c r="K79" s="25">
        <v>190340</v>
      </c>
      <c r="L79" s="238"/>
      <c r="M79" s="6"/>
      <c r="N79" s="6"/>
      <c r="O79" s="6"/>
      <c r="P79" s="6"/>
      <c r="Q79" s="6"/>
      <c r="R79" s="6"/>
      <c r="S79" s="5"/>
      <c r="T79" s="5"/>
      <c r="U79" s="261"/>
      <c r="V79" s="319"/>
      <c r="W79" s="5"/>
      <c r="X79" s="5"/>
      <c r="Y79" s="5"/>
      <c r="Z79" s="5"/>
      <c r="AA79" s="5"/>
      <c r="AB79" s="31"/>
      <c r="AC79" s="5"/>
      <c r="AD79" s="5"/>
      <c r="AE79" s="238"/>
      <c r="AF79" s="346" t="s">
        <v>85</v>
      </c>
      <c r="AG79" s="68"/>
      <c r="AH79" s="68"/>
      <c r="AI79" s="68"/>
      <c r="AJ79" s="345"/>
      <c r="AK79" s="43" t="s">
        <v>66</v>
      </c>
      <c r="AL79" s="68"/>
      <c r="AM79" s="68"/>
      <c r="AN79" s="68"/>
      <c r="AO79" s="289" t="s">
        <v>86</v>
      </c>
      <c r="AP79" s="320"/>
      <c r="AQ79" s="291">
        <v>43131</v>
      </c>
      <c r="AR79" s="291">
        <v>43131</v>
      </c>
      <c r="AS79" s="25" t="s">
        <v>78</v>
      </c>
      <c r="AT79" s="291" t="s">
        <v>405</v>
      </c>
      <c r="AU79" s="25" t="s">
        <v>88</v>
      </c>
      <c r="AV79" s="43" t="s">
        <v>66</v>
      </c>
      <c r="AW79" s="26" t="s">
        <v>71</v>
      </c>
      <c r="AX79" s="5"/>
      <c r="AY79" s="31"/>
    </row>
    <row r="80" spans="1:51" ht="21.75" customHeight="1">
      <c r="A80" s="31" t="s">
        <v>498</v>
      </c>
      <c r="B80" s="26"/>
      <c r="C80" s="32" t="s">
        <v>499</v>
      </c>
      <c r="D80" s="5" t="s">
        <v>500</v>
      </c>
      <c r="E80" s="31" t="s">
        <v>139</v>
      </c>
      <c r="F80" s="31" t="s">
        <v>315</v>
      </c>
      <c r="G80" s="6" t="s">
        <v>150</v>
      </c>
      <c r="H80" s="6" t="s">
        <v>128</v>
      </c>
      <c r="I80" s="292">
        <v>43131</v>
      </c>
      <c r="J80" s="5"/>
      <c r="K80" s="25">
        <v>184067</v>
      </c>
      <c r="L80" s="238"/>
      <c r="M80" s="6"/>
      <c r="N80" s="6"/>
      <c r="O80" s="6"/>
      <c r="P80" s="6"/>
      <c r="Q80" s="6"/>
      <c r="R80" s="6"/>
      <c r="S80" s="5"/>
      <c r="T80" s="5"/>
      <c r="U80" s="261"/>
      <c r="V80" s="319"/>
      <c r="W80" s="5"/>
      <c r="X80" s="5"/>
      <c r="Y80" s="5"/>
      <c r="Z80" s="5"/>
      <c r="AA80" s="5"/>
      <c r="AB80" s="31"/>
      <c r="AC80" s="5"/>
      <c r="AD80" s="5"/>
      <c r="AE80" s="238"/>
      <c r="AF80" s="346" t="s">
        <v>85</v>
      </c>
      <c r="AG80" s="68"/>
      <c r="AH80" s="68"/>
      <c r="AI80" s="68"/>
      <c r="AJ80" s="345"/>
      <c r="AK80" s="43" t="s">
        <v>66</v>
      </c>
      <c r="AL80" s="68"/>
      <c r="AM80" s="68"/>
      <c r="AN80" s="68"/>
      <c r="AO80" s="289" t="s">
        <v>86</v>
      </c>
      <c r="AP80" s="320"/>
      <c r="AQ80" s="291">
        <v>43131</v>
      </c>
      <c r="AR80" s="291">
        <v>43131</v>
      </c>
      <c r="AS80" s="25" t="s">
        <v>78</v>
      </c>
      <c r="AT80" s="291" t="s">
        <v>405</v>
      </c>
      <c r="AU80" s="25" t="s">
        <v>88</v>
      </c>
      <c r="AV80" s="43" t="s">
        <v>66</v>
      </c>
      <c r="AW80" s="26" t="s">
        <v>71</v>
      </c>
      <c r="AX80" s="5"/>
      <c r="AY80" s="31"/>
    </row>
    <row r="81" spans="1:51" ht="21.75" customHeight="1">
      <c r="A81" s="31" t="s">
        <v>501</v>
      </c>
      <c r="B81" s="26"/>
      <c r="C81" s="32" t="s">
        <v>502</v>
      </c>
      <c r="D81" s="5" t="s">
        <v>503</v>
      </c>
      <c r="E81" s="31" t="s">
        <v>139</v>
      </c>
      <c r="F81" s="31" t="s">
        <v>315</v>
      </c>
      <c r="G81" s="6" t="s">
        <v>150</v>
      </c>
      <c r="H81" s="6" t="s">
        <v>128</v>
      </c>
      <c r="I81" s="292">
        <v>43131</v>
      </c>
      <c r="J81" s="5"/>
      <c r="K81" s="25">
        <v>167251</v>
      </c>
      <c r="L81" s="238"/>
      <c r="M81" s="6"/>
      <c r="N81" s="6"/>
      <c r="O81" s="6"/>
      <c r="P81" s="6"/>
      <c r="Q81" s="6"/>
      <c r="R81" s="6"/>
      <c r="S81" s="5"/>
      <c r="T81" s="5"/>
      <c r="U81" s="261"/>
      <c r="V81" s="319"/>
      <c r="W81" s="5"/>
      <c r="X81" s="5"/>
      <c r="Y81" s="5"/>
      <c r="Z81" s="5"/>
      <c r="AA81" s="5"/>
      <c r="AB81" s="31"/>
      <c r="AC81" s="5"/>
      <c r="AD81" s="5"/>
      <c r="AE81" s="238"/>
      <c r="AF81" s="346" t="s">
        <v>85</v>
      </c>
      <c r="AG81" s="68"/>
      <c r="AH81" s="68"/>
      <c r="AI81" s="68"/>
      <c r="AJ81" s="345"/>
      <c r="AK81" s="43" t="s">
        <v>66</v>
      </c>
      <c r="AL81" s="68"/>
      <c r="AM81" s="68"/>
      <c r="AN81" s="68"/>
      <c r="AO81" s="289" t="s">
        <v>86</v>
      </c>
      <c r="AP81" s="320"/>
      <c r="AQ81" s="291">
        <v>43131</v>
      </c>
      <c r="AR81" s="291">
        <v>43131</v>
      </c>
      <c r="AS81" s="25" t="s">
        <v>78</v>
      </c>
      <c r="AT81" s="291" t="s">
        <v>405</v>
      </c>
      <c r="AU81" s="25" t="s">
        <v>88</v>
      </c>
      <c r="AV81" s="43" t="s">
        <v>66</v>
      </c>
      <c r="AW81" s="26" t="s">
        <v>71</v>
      </c>
      <c r="AX81" s="5"/>
      <c r="AY81" s="31"/>
    </row>
    <row r="82" spans="1:51" ht="21.75" customHeight="1">
      <c r="A82" s="31" t="s">
        <v>504</v>
      </c>
      <c r="B82" s="26"/>
      <c r="C82" s="32" t="s">
        <v>505</v>
      </c>
      <c r="D82" s="5" t="s">
        <v>506</v>
      </c>
      <c r="E82" s="31" t="s">
        <v>139</v>
      </c>
      <c r="F82" s="31" t="s">
        <v>315</v>
      </c>
      <c r="G82" s="6" t="s">
        <v>150</v>
      </c>
      <c r="H82" s="6" t="s">
        <v>128</v>
      </c>
      <c r="I82" s="292">
        <v>43131</v>
      </c>
      <c r="J82" s="5"/>
      <c r="K82" s="25">
        <v>195000</v>
      </c>
      <c r="L82" s="238"/>
      <c r="M82" s="6"/>
      <c r="N82" s="6"/>
      <c r="O82" s="6"/>
      <c r="P82" s="6"/>
      <c r="Q82" s="6"/>
      <c r="R82" s="6"/>
      <c r="S82" s="5"/>
      <c r="T82" s="5"/>
      <c r="U82" s="261"/>
      <c r="V82" s="319"/>
      <c r="W82" s="5"/>
      <c r="X82" s="5"/>
      <c r="Y82" s="5"/>
      <c r="Z82" s="5"/>
      <c r="AA82" s="5"/>
      <c r="AB82" s="31"/>
      <c r="AC82" s="5"/>
      <c r="AD82" s="5"/>
      <c r="AE82" s="238"/>
      <c r="AF82" s="346" t="s">
        <v>85</v>
      </c>
      <c r="AG82" s="68"/>
      <c r="AH82" s="68"/>
      <c r="AI82" s="68"/>
      <c r="AJ82" s="345"/>
      <c r="AK82" s="43" t="s">
        <v>66</v>
      </c>
      <c r="AL82" s="68"/>
      <c r="AM82" s="68"/>
      <c r="AN82" s="68"/>
      <c r="AO82" s="289" t="s">
        <v>86</v>
      </c>
      <c r="AP82" s="320"/>
      <c r="AQ82" s="291">
        <v>43131</v>
      </c>
      <c r="AR82" s="291">
        <v>43131</v>
      </c>
      <c r="AS82" s="25" t="s">
        <v>78</v>
      </c>
      <c r="AT82" s="291" t="s">
        <v>405</v>
      </c>
      <c r="AU82" s="25" t="s">
        <v>88</v>
      </c>
      <c r="AV82" s="43" t="s">
        <v>66</v>
      </c>
      <c r="AW82" s="26" t="s">
        <v>71</v>
      </c>
      <c r="AX82" s="5"/>
      <c r="AY82" s="31"/>
    </row>
    <row r="83" spans="1:51" ht="21.75" customHeight="1">
      <c r="A83" s="31" t="s">
        <v>507</v>
      </c>
      <c r="B83" s="26"/>
      <c r="C83" s="32" t="s">
        <v>508</v>
      </c>
      <c r="D83" s="5" t="s">
        <v>509</v>
      </c>
      <c r="E83" s="31" t="s">
        <v>139</v>
      </c>
      <c r="F83" s="31" t="s">
        <v>315</v>
      </c>
      <c r="G83" s="6" t="s">
        <v>150</v>
      </c>
      <c r="H83" s="6" t="s">
        <v>128</v>
      </c>
      <c r="I83" s="292">
        <v>43131</v>
      </c>
      <c r="J83" s="5"/>
      <c r="K83" s="25">
        <v>136510</v>
      </c>
      <c r="L83" s="238"/>
      <c r="M83" s="6"/>
      <c r="N83" s="6"/>
      <c r="O83" s="6"/>
      <c r="P83" s="6"/>
      <c r="Q83" s="6"/>
      <c r="R83" s="6"/>
      <c r="S83" s="5"/>
      <c r="T83" s="5"/>
      <c r="U83" s="261"/>
      <c r="V83" s="319"/>
      <c r="W83" s="5"/>
      <c r="X83" s="5"/>
      <c r="Y83" s="5"/>
      <c r="Z83" s="5"/>
      <c r="AA83" s="5"/>
      <c r="AB83" s="31"/>
      <c r="AC83" s="5"/>
      <c r="AD83" s="5"/>
      <c r="AE83" s="238"/>
      <c r="AF83" s="346" t="s">
        <v>85</v>
      </c>
      <c r="AG83" s="68"/>
      <c r="AH83" s="68"/>
      <c r="AI83" s="68"/>
      <c r="AJ83" s="345"/>
      <c r="AK83" s="43" t="s">
        <v>66</v>
      </c>
      <c r="AL83" s="68"/>
      <c r="AM83" s="68"/>
      <c r="AN83" s="68"/>
      <c r="AO83" s="289" t="s">
        <v>86</v>
      </c>
      <c r="AP83" s="320"/>
      <c r="AQ83" s="291">
        <v>43131</v>
      </c>
      <c r="AR83" s="291">
        <v>43131</v>
      </c>
      <c r="AS83" s="25" t="s">
        <v>78</v>
      </c>
      <c r="AT83" s="291" t="s">
        <v>405</v>
      </c>
      <c r="AU83" s="25" t="s">
        <v>88</v>
      </c>
      <c r="AV83" s="43" t="s">
        <v>66</v>
      </c>
      <c r="AW83" s="26" t="s">
        <v>71</v>
      </c>
      <c r="AX83" s="5"/>
      <c r="AY83" s="31"/>
    </row>
    <row r="84" spans="1:51" ht="21.75" customHeight="1">
      <c r="A84" s="31" t="s">
        <v>510</v>
      </c>
      <c r="B84" s="26"/>
      <c r="C84" s="32" t="s">
        <v>511</v>
      </c>
      <c r="D84" s="5" t="s">
        <v>512</v>
      </c>
      <c r="E84" s="31" t="s">
        <v>139</v>
      </c>
      <c r="F84" s="31" t="s">
        <v>315</v>
      </c>
      <c r="G84" s="6" t="s">
        <v>150</v>
      </c>
      <c r="H84" s="6" t="s">
        <v>128</v>
      </c>
      <c r="I84" s="292">
        <v>43131</v>
      </c>
      <c r="J84" s="5"/>
      <c r="K84" s="25">
        <v>99304</v>
      </c>
      <c r="L84" s="238"/>
      <c r="M84" s="6"/>
      <c r="N84" s="6"/>
      <c r="O84" s="6"/>
      <c r="P84" s="6"/>
      <c r="Q84" s="6"/>
      <c r="R84" s="6"/>
      <c r="S84" s="5"/>
      <c r="T84" s="5"/>
      <c r="U84" s="261"/>
      <c r="V84" s="319"/>
      <c r="W84" s="5"/>
      <c r="X84" s="5"/>
      <c r="Y84" s="5"/>
      <c r="Z84" s="5"/>
      <c r="AA84" s="5"/>
      <c r="AB84" s="31"/>
      <c r="AC84" s="5"/>
      <c r="AD84" s="5"/>
      <c r="AE84" s="238"/>
      <c r="AF84" s="346" t="s">
        <v>85</v>
      </c>
      <c r="AG84" s="68"/>
      <c r="AH84" s="68"/>
      <c r="AI84" s="68"/>
      <c r="AJ84" s="345"/>
      <c r="AK84" s="43" t="s">
        <v>66</v>
      </c>
      <c r="AL84" s="68"/>
      <c r="AM84" s="68"/>
      <c r="AN84" s="68"/>
      <c r="AO84" s="289" t="s">
        <v>86</v>
      </c>
      <c r="AP84" s="320"/>
      <c r="AQ84" s="291">
        <v>43131</v>
      </c>
      <c r="AR84" s="291">
        <v>43131</v>
      </c>
      <c r="AS84" s="25" t="s">
        <v>78</v>
      </c>
      <c r="AT84" s="291" t="s">
        <v>405</v>
      </c>
      <c r="AU84" s="25" t="s">
        <v>88</v>
      </c>
      <c r="AV84" s="43" t="s">
        <v>66</v>
      </c>
      <c r="AW84" s="26" t="s">
        <v>71</v>
      </c>
      <c r="AX84" s="5"/>
      <c r="AY84" s="31"/>
    </row>
    <row r="85" spans="1:51" ht="21.75" customHeight="1">
      <c r="A85" s="31" t="s">
        <v>513</v>
      </c>
      <c r="B85" s="26"/>
      <c r="C85" s="32" t="s">
        <v>514</v>
      </c>
      <c r="D85" s="5" t="s">
        <v>515</v>
      </c>
      <c r="E85" s="31" t="s">
        <v>139</v>
      </c>
      <c r="F85" s="31" t="s">
        <v>315</v>
      </c>
      <c r="G85" s="6" t="s">
        <v>150</v>
      </c>
      <c r="H85" s="6" t="s">
        <v>128</v>
      </c>
      <c r="I85" s="292">
        <v>43131</v>
      </c>
      <c r="J85" s="5"/>
      <c r="K85" s="25">
        <v>199848</v>
      </c>
      <c r="L85" s="238"/>
      <c r="M85" s="6"/>
      <c r="N85" s="6"/>
      <c r="O85" s="6"/>
      <c r="P85" s="6"/>
      <c r="Q85" s="6"/>
      <c r="R85" s="6"/>
      <c r="S85" s="5"/>
      <c r="T85" s="5"/>
      <c r="U85" s="261"/>
      <c r="V85" s="319"/>
      <c r="W85" s="5"/>
      <c r="X85" s="5"/>
      <c r="Y85" s="5"/>
      <c r="Z85" s="5"/>
      <c r="AA85" s="5"/>
      <c r="AB85" s="31"/>
      <c r="AC85" s="5"/>
      <c r="AD85" s="5"/>
      <c r="AE85" s="238"/>
      <c r="AF85" s="346" t="s">
        <v>85</v>
      </c>
      <c r="AG85" s="68"/>
      <c r="AH85" s="68"/>
      <c r="AI85" s="68"/>
      <c r="AJ85" s="345"/>
      <c r="AK85" s="43" t="s">
        <v>66</v>
      </c>
      <c r="AL85" s="68"/>
      <c r="AM85" s="68"/>
      <c r="AN85" s="68"/>
      <c r="AO85" s="289" t="s">
        <v>86</v>
      </c>
      <c r="AP85" s="320"/>
      <c r="AQ85" s="291">
        <v>43131</v>
      </c>
      <c r="AR85" s="291">
        <v>43131</v>
      </c>
      <c r="AS85" s="25" t="s">
        <v>78</v>
      </c>
      <c r="AT85" s="291" t="s">
        <v>405</v>
      </c>
      <c r="AU85" s="25" t="s">
        <v>88</v>
      </c>
      <c r="AV85" s="43" t="s">
        <v>66</v>
      </c>
      <c r="AW85" s="26" t="s">
        <v>71</v>
      </c>
      <c r="AX85" s="5"/>
      <c r="AY85" s="31"/>
    </row>
    <row r="86" spans="1:51" ht="21.75" customHeight="1">
      <c r="A86" s="31" t="s">
        <v>516</v>
      </c>
      <c r="B86" s="26"/>
      <c r="C86" s="32" t="s">
        <v>517</v>
      </c>
      <c r="D86" s="5" t="s">
        <v>518</v>
      </c>
      <c r="E86" s="31" t="s">
        <v>139</v>
      </c>
      <c r="F86" s="31" t="s">
        <v>315</v>
      </c>
      <c r="G86" s="6" t="s">
        <v>150</v>
      </c>
      <c r="H86" s="6" t="s">
        <v>128</v>
      </c>
      <c r="I86" s="292">
        <v>43131</v>
      </c>
      <c r="J86" s="5"/>
      <c r="K86" s="25">
        <v>163569</v>
      </c>
      <c r="L86" s="238"/>
      <c r="M86" s="6"/>
      <c r="N86" s="6"/>
      <c r="O86" s="6"/>
      <c r="P86" s="6"/>
      <c r="Q86" s="6"/>
      <c r="R86" s="6"/>
      <c r="S86" s="5"/>
      <c r="T86" s="5"/>
      <c r="U86" s="261"/>
      <c r="V86" s="319"/>
      <c r="W86" s="5"/>
      <c r="X86" s="5"/>
      <c r="Y86" s="5"/>
      <c r="Z86" s="5"/>
      <c r="AA86" s="5"/>
      <c r="AB86" s="31"/>
      <c r="AC86" s="5"/>
      <c r="AD86" s="5"/>
      <c r="AE86" s="238"/>
      <c r="AF86" s="346" t="s">
        <v>85</v>
      </c>
      <c r="AG86" s="68"/>
      <c r="AH86" s="68"/>
      <c r="AI86" s="68"/>
      <c r="AJ86" s="345"/>
      <c r="AK86" s="43" t="s">
        <v>66</v>
      </c>
      <c r="AL86" s="68"/>
      <c r="AM86" s="68"/>
      <c r="AN86" s="68"/>
      <c r="AO86" s="289" t="s">
        <v>86</v>
      </c>
      <c r="AP86" s="320"/>
      <c r="AQ86" s="291">
        <v>43131</v>
      </c>
      <c r="AR86" s="291">
        <v>43131</v>
      </c>
      <c r="AS86" s="25" t="s">
        <v>78</v>
      </c>
      <c r="AT86" s="291" t="s">
        <v>405</v>
      </c>
      <c r="AU86" s="25" t="s">
        <v>88</v>
      </c>
      <c r="AV86" s="43" t="s">
        <v>66</v>
      </c>
      <c r="AW86" s="26" t="s">
        <v>71</v>
      </c>
      <c r="AX86" s="5"/>
      <c r="AY86" s="31"/>
    </row>
    <row r="87" spans="1:51" ht="21.75" customHeight="1">
      <c r="A87" s="31" t="s">
        <v>519</v>
      </c>
      <c r="B87" s="26"/>
      <c r="C87" s="32" t="s">
        <v>520</v>
      </c>
      <c r="D87" s="5" t="s">
        <v>521</v>
      </c>
      <c r="E87" s="31" t="s">
        <v>139</v>
      </c>
      <c r="F87" s="31" t="s">
        <v>315</v>
      </c>
      <c r="G87" s="6" t="s">
        <v>150</v>
      </c>
      <c r="H87" s="6" t="s">
        <v>128</v>
      </c>
      <c r="I87" s="292">
        <v>43131</v>
      </c>
      <c r="J87" s="5"/>
      <c r="K87" s="25">
        <v>132953</v>
      </c>
      <c r="L87" s="238"/>
      <c r="M87" s="6"/>
      <c r="N87" s="6"/>
      <c r="O87" s="6"/>
      <c r="P87" s="6"/>
      <c r="Q87" s="6"/>
      <c r="R87" s="6"/>
      <c r="S87" s="5"/>
      <c r="T87" s="5"/>
      <c r="U87" s="261"/>
      <c r="V87" s="319"/>
      <c r="W87" s="5"/>
      <c r="X87" s="5"/>
      <c r="Y87" s="5"/>
      <c r="Z87" s="5"/>
      <c r="AA87" s="5"/>
      <c r="AB87" s="31"/>
      <c r="AC87" s="5"/>
      <c r="AD87" s="5"/>
      <c r="AE87" s="238"/>
      <c r="AF87" s="346" t="s">
        <v>85</v>
      </c>
      <c r="AG87" s="68"/>
      <c r="AH87" s="68"/>
      <c r="AI87" s="68"/>
      <c r="AJ87" s="345"/>
      <c r="AK87" s="43" t="s">
        <v>66</v>
      </c>
      <c r="AL87" s="68"/>
      <c r="AM87" s="68"/>
      <c r="AN87" s="68"/>
      <c r="AO87" s="289" t="s">
        <v>86</v>
      </c>
      <c r="AP87" s="320"/>
      <c r="AQ87" s="291">
        <v>43131</v>
      </c>
      <c r="AR87" s="291">
        <v>43131</v>
      </c>
      <c r="AS87" s="25" t="s">
        <v>78</v>
      </c>
      <c r="AT87" s="291" t="s">
        <v>405</v>
      </c>
      <c r="AU87" s="25" t="s">
        <v>88</v>
      </c>
      <c r="AV87" s="43" t="s">
        <v>66</v>
      </c>
      <c r="AW87" s="26" t="s">
        <v>71</v>
      </c>
      <c r="AX87" s="5"/>
      <c r="AY87" s="31"/>
    </row>
    <row r="88" spans="1:51" ht="21.75" customHeight="1">
      <c r="A88" s="31" t="s">
        <v>522</v>
      </c>
      <c r="B88" s="26"/>
      <c r="C88" s="32" t="s">
        <v>523</v>
      </c>
      <c r="D88" s="5" t="s">
        <v>524</v>
      </c>
      <c r="E88" s="31" t="s">
        <v>139</v>
      </c>
      <c r="F88" s="31" t="s">
        <v>315</v>
      </c>
      <c r="G88" s="6" t="s">
        <v>150</v>
      </c>
      <c r="H88" s="6" t="s">
        <v>128</v>
      </c>
      <c r="I88" s="292">
        <v>43131</v>
      </c>
      <c r="J88" s="5"/>
      <c r="K88" s="25">
        <v>106782</v>
      </c>
      <c r="L88" s="238"/>
      <c r="M88" s="6"/>
      <c r="N88" s="6"/>
      <c r="O88" s="6"/>
      <c r="P88" s="6"/>
      <c r="Q88" s="6"/>
      <c r="R88" s="6"/>
      <c r="S88" s="5"/>
      <c r="T88" s="5"/>
      <c r="U88" s="261"/>
      <c r="V88" s="319"/>
      <c r="W88" s="5"/>
      <c r="X88" s="5"/>
      <c r="Y88" s="5"/>
      <c r="Z88" s="5"/>
      <c r="AA88" s="5"/>
      <c r="AB88" s="31"/>
      <c r="AC88" s="5"/>
      <c r="AD88" s="5"/>
      <c r="AE88" s="238"/>
      <c r="AF88" s="346" t="s">
        <v>85</v>
      </c>
      <c r="AG88" s="68"/>
      <c r="AH88" s="68"/>
      <c r="AI88" s="68"/>
      <c r="AJ88" s="345"/>
      <c r="AK88" s="43" t="s">
        <v>66</v>
      </c>
      <c r="AL88" s="68"/>
      <c r="AM88" s="68"/>
      <c r="AN88" s="68"/>
      <c r="AO88" s="289" t="s">
        <v>86</v>
      </c>
      <c r="AP88" s="320"/>
      <c r="AQ88" s="291">
        <v>43131</v>
      </c>
      <c r="AR88" s="291">
        <v>43131</v>
      </c>
      <c r="AS88" s="25" t="s">
        <v>78</v>
      </c>
      <c r="AT88" s="291" t="s">
        <v>405</v>
      </c>
      <c r="AU88" s="25" t="s">
        <v>88</v>
      </c>
      <c r="AV88" s="43" t="s">
        <v>66</v>
      </c>
      <c r="AW88" s="26" t="s">
        <v>71</v>
      </c>
      <c r="AX88" s="5"/>
      <c r="AY88" s="31"/>
    </row>
    <row r="89" spans="1:51" ht="21.75" customHeight="1">
      <c r="A89" s="31" t="s">
        <v>525</v>
      </c>
      <c r="B89" s="26"/>
      <c r="C89" s="32" t="s">
        <v>526</v>
      </c>
      <c r="D89" s="5" t="s">
        <v>527</v>
      </c>
      <c r="E89" s="31" t="s">
        <v>139</v>
      </c>
      <c r="F89" s="31" t="s">
        <v>315</v>
      </c>
      <c r="G89" s="6" t="s">
        <v>150</v>
      </c>
      <c r="H89" s="6" t="s">
        <v>128</v>
      </c>
      <c r="I89" s="292">
        <v>43131</v>
      </c>
      <c r="J89" s="5"/>
      <c r="K89" s="25">
        <v>98224</v>
      </c>
      <c r="L89" s="238"/>
      <c r="M89" s="6"/>
      <c r="N89" s="6"/>
      <c r="O89" s="6"/>
      <c r="P89" s="6"/>
      <c r="Q89" s="6"/>
      <c r="R89" s="6"/>
      <c r="S89" s="5"/>
      <c r="T89" s="5"/>
      <c r="U89" s="261"/>
      <c r="V89" s="319"/>
      <c r="W89" s="5"/>
      <c r="X89" s="5"/>
      <c r="Y89" s="5"/>
      <c r="Z89" s="5"/>
      <c r="AA89" s="5"/>
      <c r="AB89" s="31"/>
      <c r="AC89" s="5"/>
      <c r="AD89" s="5"/>
      <c r="AE89" s="238"/>
      <c r="AF89" s="346" t="s">
        <v>85</v>
      </c>
      <c r="AG89" s="68"/>
      <c r="AH89" s="68"/>
      <c r="AI89" s="68"/>
      <c r="AJ89" s="345"/>
      <c r="AK89" s="43" t="s">
        <v>66</v>
      </c>
      <c r="AL89" s="68"/>
      <c r="AM89" s="68"/>
      <c r="AN89" s="68"/>
      <c r="AO89" s="289" t="s">
        <v>86</v>
      </c>
      <c r="AP89" s="320"/>
      <c r="AQ89" s="291">
        <v>43131</v>
      </c>
      <c r="AR89" s="291">
        <v>43131</v>
      </c>
      <c r="AS89" s="25" t="s">
        <v>78</v>
      </c>
      <c r="AT89" s="291" t="s">
        <v>405</v>
      </c>
      <c r="AU89" s="25" t="s">
        <v>88</v>
      </c>
      <c r="AV89" s="43" t="s">
        <v>66</v>
      </c>
      <c r="AW89" s="26" t="s">
        <v>71</v>
      </c>
      <c r="AX89" s="5"/>
      <c r="AY89" s="31"/>
    </row>
    <row r="90" spans="1:51" ht="21.75" customHeight="1">
      <c r="A90" s="31" t="s">
        <v>528</v>
      </c>
      <c r="B90" s="26"/>
      <c r="C90" s="32" t="s">
        <v>529</v>
      </c>
      <c r="D90" s="5" t="s">
        <v>530</v>
      </c>
      <c r="E90" s="31" t="s">
        <v>139</v>
      </c>
      <c r="F90" s="31" t="s">
        <v>315</v>
      </c>
      <c r="G90" s="6" t="s">
        <v>150</v>
      </c>
      <c r="H90" s="6" t="s">
        <v>128</v>
      </c>
      <c r="I90" s="292">
        <v>43131</v>
      </c>
      <c r="J90" s="5"/>
      <c r="K90" s="25">
        <v>630000</v>
      </c>
      <c r="L90" s="238"/>
      <c r="M90" s="6"/>
      <c r="N90" s="6"/>
      <c r="O90" s="6"/>
      <c r="P90" s="6"/>
      <c r="Q90" s="6"/>
      <c r="R90" s="6"/>
      <c r="S90" s="5"/>
      <c r="T90" s="5"/>
      <c r="U90" s="261"/>
      <c r="V90" s="319"/>
      <c r="W90" s="5"/>
      <c r="X90" s="5"/>
      <c r="Y90" s="5"/>
      <c r="Z90" s="5"/>
      <c r="AA90" s="5"/>
      <c r="AB90" s="31"/>
      <c r="AC90" s="5"/>
      <c r="AD90" s="5"/>
      <c r="AE90" s="238"/>
      <c r="AF90" s="346" t="s">
        <v>85</v>
      </c>
      <c r="AG90" s="68"/>
      <c r="AH90" s="68"/>
      <c r="AI90" s="68"/>
      <c r="AJ90" s="345"/>
      <c r="AK90" s="43" t="s">
        <v>66</v>
      </c>
      <c r="AL90" s="68"/>
      <c r="AM90" s="68"/>
      <c r="AN90" s="68"/>
      <c r="AO90" s="289" t="s">
        <v>86</v>
      </c>
      <c r="AP90" s="320"/>
      <c r="AQ90" s="291">
        <v>43131</v>
      </c>
      <c r="AR90" s="291">
        <v>43131</v>
      </c>
      <c r="AS90" s="25" t="s">
        <v>78</v>
      </c>
      <c r="AT90" s="291" t="s">
        <v>405</v>
      </c>
      <c r="AU90" s="25" t="s">
        <v>88</v>
      </c>
      <c r="AV90" s="43" t="s">
        <v>66</v>
      </c>
      <c r="AW90" s="26" t="s">
        <v>71</v>
      </c>
      <c r="AX90" s="5"/>
      <c r="AY90" s="31"/>
    </row>
    <row r="91" spans="1:51" ht="21.75" customHeight="1">
      <c r="A91" s="31" t="s">
        <v>531</v>
      </c>
      <c r="B91" s="26"/>
      <c r="C91" s="32" t="s">
        <v>532</v>
      </c>
      <c r="D91" s="5" t="s">
        <v>533</v>
      </c>
      <c r="E91" s="31" t="s">
        <v>139</v>
      </c>
      <c r="F91" s="31" t="s">
        <v>315</v>
      </c>
      <c r="G91" s="6" t="s">
        <v>150</v>
      </c>
      <c r="H91" s="6" t="s">
        <v>128</v>
      </c>
      <c r="I91" s="292">
        <v>43131</v>
      </c>
      <c r="J91" s="5"/>
      <c r="K91" s="25">
        <v>197946</v>
      </c>
      <c r="L91" s="238"/>
      <c r="M91" s="6"/>
      <c r="N91" s="6"/>
      <c r="O91" s="6"/>
      <c r="P91" s="6"/>
      <c r="Q91" s="6"/>
      <c r="R91" s="6"/>
      <c r="S91" s="5"/>
      <c r="T91" s="5"/>
      <c r="U91" s="261"/>
      <c r="V91" s="319"/>
      <c r="W91" s="5"/>
      <c r="X91" s="5"/>
      <c r="Y91" s="5"/>
      <c r="Z91" s="5"/>
      <c r="AA91" s="5"/>
      <c r="AB91" s="31"/>
      <c r="AC91" s="5"/>
      <c r="AD91" s="5"/>
      <c r="AE91" s="238"/>
      <c r="AF91" s="346" t="s">
        <v>85</v>
      </c>
      <c r="AG91" s="68"/>
      <c r="AH91" s="68"/>
      <c r="AI91" s="68"/>
      <c r="AJ91" s="345"/>
      <c r="AK91" s="43" t="s">
        <v>66</v>
      </c>
      <c r="AL91" s="68"/>
      <c r="AM91" s="68"/>
      <c r="AN91" s="68"/>
      <c r="AO91" s="289" t="s">
        <v>86</v>
      </c>
      <c r="AP91" s="320"/>
      <c r="AQ91" s="291">
        <v>43131</v>
      </c>
      <c r="AR91" s="291">
        <v>43131</v>
      </c>
      <c r="AS91" s="25" t="s">
        <v>78</v>
      </c>
      <c r="AT91" s="291" t="s">
        <v>405</v>
      </c>
      <c r="AU91" s="25" t="s">
        <v>88</v>
      </c>
      <c r="AV91" s="43" t="s">
        <v>66</v>
      </c>
      <c r="AW91" s="26" t="s">
        <v>71</v>
      </c>
      <c r="AX91" s="5"/>
      <c r="AY91" s="31"/>
    </row>
    <row r="92" spans="1:51" ht="21.75" customHeight="1">
      <c r="A92" s="31" t="s">
        <v>534</v>
      </c>
      <c r="B92" s="26"/>
      <c r="C92" s="32" t="s">
        <v>535</v>
      </c>
      <c r="D92" s="5" t="s">
        <v>536</v>
      </c>
      <c r="E92" s="31" t="s">
        <v>139</v>
      </c>
      <c r="F92" s="31" t="s">
        <v>315</v>
      </c>
      <c r="G92" s="6" t="s">
        <v>150</v>
      </c>
      <c r="H92" s="6" t="s">
        <v>128</v>
      </c>
      <c r="I92" s="292">
        <v>43131</v>
      </c>
      <c r="J92" s="5"/>
      <c r="K92" s="25">
        <v>189311</v>
      </c>
      <c r="L92" s="238"/>
      <c r="M92" s="6"/>
      <c r="N92" s="6"/>
      <c r="O92" s="6"/>
      <c r="P92" s="6"/>
      <c r="Q92" s="6"/>
      <c r="R92" s="6"/>
      <c r="S92" s="5"/>
      <c r="T92" s="5"/>
      <c r="U92" s="261"/>
      <c r="V92" s="319"/>
      <c r="W92" s="5"/>
      <c r="X92" s="5"/>
      <c r="Y92" s="5"/>
      <c r="Z92" s="5"/>
      <c r="AA92" s="5"/>
      <c r="AB92" s="31"/>
      <c r="AC92" s="5"/>
      <c r="AD92" s="5"/>
      <c r="AE92" s="238"/>
      <c r="AF92" s="346" t="s">
        <v>85</v>
      </c>
      <c r="AG92" s="68"/>
      <c r="AH92" s="68"/>
      <c r="AI92" s="68"/>
      <c r="AJ92" s="345"/>
      <c r="AK92" s="43" t="s">
        <v>66</v>
      </c>
      <c r="AL92" s="68"/>
      <c r="AM92" s="68"/>
      <c r="AN92" s="68"/>
      <c r="AO92" s="289" t="s">
        <v>86</v>
      </c>
      <c r="AP92" s="320"/>
      <c r="AQ92" s="291">
        <v>43131</v>
      </c>
      <c r="AR92" s="291">
        <v>43131</v>
      </c>
      <c r="AS92" s="25" t="s">
        <v>78</v>
      </c>
      <c r="AT92" s="291" t="s">
        <v>405</v>
      </c>
      <c r="AU92" s="25" t="s">
        <v>88</v>
      </c>
      <c r="AV92" s="43" t="s">
        <v>66</v>
      </c>
      <c r="AW92" s="26" t="s">
        <v>71</v>
      </c>
      <c r="AX92" s="5"/>
      <c r="AY92" s="31"/>
    </row>
    <row r="93" spans="1:51" ht="21.75" customHeight="1">
      <c r="A93" s="31" t="s">
        <v>537</v>
      </c>
      <c r="B93" s="26"/>
      <c r="C93" s="32" t="s">
        <v>538</v>
      </c>
      <c r="D93" s="5" t="s">
        <v>539</v>
      </c>
      <c r="E93" s="31" t="s">
        <v>139</v>
      </c>
      <c r="F93" s="31" t="s">
        <v>315</v>
      </c>
      <c r="G93" s="6" t="s">
        <v>150</v>
      </c>
      <c r="H93" s="6" t="s">
        <v>128</v>
      </c>
      <c r="I93" s="292">
        <v>43131</v>
      </c>
      <c r="J93" s="5"/>
      <c r="K93" s="25">
        <v>147127</v>
      </c>
      <c r="L93" s="238"/>
      <c r="M93" s="6"/>
      <c r="N93" s="6"/>
      <c r="O93" s="6"/>
      <c r="P93" s="6"/>
      <c r="Q93" s="6"/>
      <c r="R93" s="6"/>
      <c r="S93" s="5"/>
      <c r="T93" s="5"/>
      <c r="U93" s="261"/>
      <c r="V93" s="319"/>
      <c r="W93" s="5"/>
      <c r="X93" s="5"/>
      <c r="Y93" s="5"/>
      <c r="Z93" s="5"/>
      <c r="AA93" s="5"/>
      <c r="AB93" s="31"/>
      <c r="AC93" s="5"/>
      <c r="AD93" s="5"/>
      <c r="AE93" s="238"/>
      <c r="AF93" s="346" t="s">
        <v>85</v>
      </c>
      <c r="AG93" s="68"/>
      <c r="AH93" s="68"/>
      <c r="AI93" s="68"/>
      <c r="AJ93" s="345"/>
      <c r="AK93" s="43" t="s">
        <v>66</v>
      </c>
      <c r="AL93" s="68"/>
      <c r="AM93" s="68"/>
      <c r="AN93" s="68"/>
      <c r="AO93" s="289" t="s">
        <v>86</v>
      </c>
      <c r="AP93" s="320"/>
      <c r="AQ93" s="291">
        <v>43131</v>
      </c>
      <c r="AR93" s="291">
        <v>43131</v>
      </c>
      <c r="AS93" s="25" t="s">
        <v>78</v>
      </c>
      <c r="AT93" s="291" t="s">
        <v>405</v>
      </c>
      <c r="AU93" s="25" t="s">
        <v>88</v>
      </c>
      <c r="AV93" s="43" t="s">
        <v>66</v>
      </c>
      <c r="AW93" s="26" t="s">
        <v>71</v>
      </c>
      <c r="AX93" s="5"/>
      <c r="AY93" s="31"/>
    </row>
    <row r="94" spans="1:51" ht="21.75" customHeight="1">
      <c r="A94" s="31" t="s">
        <v>540</v>
      </c>
      <c r="B94" s="26"/>
      <c r="C94" s="32" t="s">
        <v>541</v>
      </c>
      <c r="D94" s="5" t="s">
        <v>542</v>
      </c>
      <c r="E94" s="31" t="s">
        <v>139</v>
      </c>
      <c r="F94" s="31" t="s">
        <v>315</v>
      </c>
      <c r="G94" s="6" t="s">
        <v>150</v>
      </c>
      <c r="H94" s="6" t="s">
        <v>128</v>
      </c>
      <c r="I94" s="292">
        <v>43131</v>
      </c>
      <c r="J94" s="5"/>
      <c r="K94" s="25">
        <v>129745</v>
      </c>
      <c r="L94" s="238"/>
      <c r="M94" s="6"/>
      <c r="N94" s="6"/>
      <c r="O94" s="6"/>
      <c r="P94" s="6"/>
      <c r="Q94" s="6"/>
      <c r="R94" s="6"/>
      <c r="S94" s="5"/>
      <c r="T94" s="5"/>
      <c r="U94" s="261"/>
      <c r="V94" s="319"/>
      <c r="W94" s="5"/>
      <c r="X94" s="5"/>
      <c r="Y94" s="5"/>
      <c r="Z94" s="5"/>
      <c r="AA94" s="5"/>
      <c r="AB94" s="31"/>
      <c r="AC94" s="5"/>
      <c r="AD94" s="5"/>
      <c r="AE94" s="238"/>
      <c r="AF94" s="346" t="s">
        <v>85</v>
      </c>
      <c r="AG94" s="68"/>
      <c r="AH94" s="68"/>
      <c r="AI94" s="68"/>
      <c r="AJ94" s="345"/>
      <c r="AK94" s="43" t="s">
        <v>66</v>
      </c>
      <c r="AL94" s="68"/>
      <c r="AM94" s="68"/>
      <c r="AN94" s="68"/>
      <c r="AO94" s="289" t="s">
        <v>86</v>
      </c>
      <c r="AP94" s="320"/>
      <c r="AQ94" s="291">
        <v>43131</v>
      </c>
      <c r="AR94" s="291">
        <v>43131</v>
      </c>
      <c r="AS94" s="25" t="s">
        <v>78</v>
      </c>
      <c r="AT94" s="291" t="s">
        <v>405</v>
      </c>
      <c r="AU94" s="25" t="s">
        <v>88</v>
      </c>
      <c r="AV94" s="43" t="s">
        <v>66</v>
      </c>
      <c r="AW94" s="26" t="s">
        <v>71</v>
      </c>
      <c r="AX94" s="5"/>
      <c r="AY94" s="31"/>
    </row>
    <row r="95" spans="1:51" ht="21.75" customHeight="1">
      <c r="A95" s="31" t="s">
        <v>543</v>
      </c>
      <c r="B95" s="26"/>
      <c r="C95" s="32" t="s">
        <v>544</v>
      </c>
      <c r="D95" s="5" t="s">
        <v>545</v>
      </c>
      <c r="E95" s="31" t="s">
        <v>139</v>
      </c>
      <c r="F95" s="31" t="s">
        <v>315</v>
      </c>
      <c r="G95" s="6" t="s">
        <v>150</v>
      </c>
      <c r="H95" s="6" t="s">
        <v>128</v>
      </c>
      <c r="I95" s="292">
        <v>43131</v>
      </c>
      <c r="J95" s="5"/>
      <c r="K95" s="25">
        <v>79919</v>
      </c>
      <c r="L95" s="238"/>
      <c r="M95" s="6"/>
      <c r="N95" s="6"/>
      <c r="O95" s="6"/>
      <c r="P95" s="6"/>
      <c r="Q95" s="6"/>
      <c r="R95" s="6"/>
      <c r="S95" s="5"/>
      <c r="T95" s="5"/>
      <c r="U95" s="261"/>
      <c r="V95" s="319"/>
      <c r="W95" s="5"/>
      <c r="X95" s="5"/>
      <c r="Y95" s="5"/>
      <c r="Z95" s="5"/>
      <c r="AA95" s="5"/>
      <c r="AB95" s="31"/>
      <c r="AC95" s="5"/>
      <c r="AD95" s="5"/>
      <c r="AE95" s="238"/>
      <c r="AF95" s="346" t="s">
        <v>85</v>
      </c>
      <c r="AG95" s="68"/>
      <c r="AH95" s="68"/>
      <c r="AI95" s="68"/>
      <c r="AJ95" s="345"/>
      <c r="AK95" s="43" t="s">
        <v>66</v>
      </c>
      <c r="AL95" s="68"/>
      <c r="AM95" s="68"/>
      <c r="AN95" s="68"/>
      <c r="AO95" s="289" t="s">
        <v>86</v>
      </c>
      <c r="AP95" s="320"/>
      <c r="AQ95" s="291">
        <v>43131</v>
      </c>
      <c r="AR95" s="291">
        <v>43131</v>
      </c>
      <c r="AS95" s="25" t="s">
        <v>78</v>
      </c>
      <c r="AT95" s="291" t="s">
        <v>405</v>
      </c>
      <c r="AU95" s="25" t="s">
        <v>88</v>
      </c>
      <c r="AV95" s="43" t="s">
        <v>66</v>
      </c>
      <c r="AW95" s="26" t="s">
        <v>71</v>
      </c>
      <c r="AX95" s="5"/>
      <c r="AY95" s="31"/>
    </row>
    <row r="96" spans="1:51" ht="21.75" customHeight="1">
      <c r="A96" s="31" t="s">
        <v>546</v>
      </c>
      <c r="B96" s="26"/>
      <c r="C96" s="32" t="s">
        <v>547</v>
      </c>
      <c r="D96" s="5" t="s">
        <v>548</v>
      </c>
      <c r="E96" s="31" t="s">
        <v>139</v>
      </c>
      <c r="F96" s="31" t="s">
        <v>315</v>
      </c>
      <c r="G96" s="6" t="s">
        <v>150</v>
      </c>
      <c r="H96" s="6" t="s">
        <v>128</v>
      </c>
      <c r="I96" s="292">
        <v>43131</v>
      </c>
      <c r="J96" s="5"/>
      <c r="K96" s="25">
        <v>151161</v>
      </c>
      <c r="L96" s="238"/>
      <c r="M96" s="6"/>
      <c r="N96" s="6"/>
      <c r="O96" s="6"/>
      <c r="P96" s="6"/>
      <c r="Q96" s="6"/>
      <c r="R96" s="6"/>
      <c r="S96" s="5"/>
      <c r="T96" s="5"/>
      <c r="U96" s="261"/>
      <c r="V96" s="319"/>
      <c r="W96" s="5"/>
      <c r="X96" s="5"/>
      <c r="Y96" s="5"/>
      <c r="Z96" s="5"/>
      <c r="AA96" s="5"/>
      <c r="AB96" s="31"/>
      <c r="AC96" s="5"/>
      <c r="AD96" s="5"/>
      <c r="AE96" s="238"/>
      <c r="AF96" s="346" t="s">
        <v>85</v>
      </c>
      <c r="AG96" s="68"/>
      <c r="AH96" s="68"/>
      <c r="AI96" s="68"/>
      <c r="AJ96" s="345"/>
      <c r="AK96" s="43" t="s">
        <v>66</v>
      </c>
      <c r="AL96" s="68"/>
      <c r="AM96" s="68"/>
      <c r="AN96" s="68"/>
      <c r="AO96" s="289" t="s">
        <v>86</v>
      </c>
      <c r="AP96" s="320"/>
      <c r="AQ96" s="291">
        <v>43131</v>
      </c>
      <c r="AR96" s="291">
        <v>43131</v>
      </c>
      <c r="AS96" s="25" t="s">
        <v>78</v>
      </c>
      <c r="AT96" s="291" t="s">
        <v>405</v>
      </c>
      <c r="AU96" s="25" t="s">
        <v>88</v>
      </c>
      <c r="AV96" s="43" t="s">
        <v>66</v>
      </c>
      <c r="AW96" s="26" t="s">
        <v>71</v>
      </c>
      <c r="AX96" s="5"/>
      <c r="AY96" s="31"/>
    </row>
    <row r="97" spans="1:110" ht="21.75" customHeight="1">
      <c r="A97" s="31" t="s">
        <v>549</v>
      </c>
      <c r="B97" s="26"/>
      <c r="C97" s="32" t="s">
        <v>550</v>
      </c>
      <c r="D97" s="5" t="s">
        <v>551</v>
      </c>
      <c r="E97" s="31" t="s">
        <v>139</v>
      </c>
      <c r="F97" s="31" t="s">
        <v>315</v>
      </c>
      <c r="G97" s="6" t="s">
        <v>150</v>
      </c>
      <c r="H97" s="6" t="s">
        <v>128</v>
      </c>
      <c r="I97" s="292">
        <v>43131</v>
      </c>
      <c r="J97" s="5"/>
      <c r="K97" s="25">
        <v>164004</v>
      </c>
      <c r="L97" s="238"/>
      <c r="M97" s="6"/>
      <c r="N97" s="6"/>
      <c r="O97" s="6"/>
      <c r="P97" s="6"/>
      <c r="Q97" s="6"/>
      <c r="R97" s="6"/>
      <c r="S97" s="5"/>
      <c r="T97" s="5"/>
      <c r="U97" s="261"/>
      <c r="V97" s="319"/>
      <c r="W97" s="5"/>
      <c r="X97" s="5"/>
      <c r="Y97" s="5"/>
      <c r="Z97" s="5"/>
      <c r="AA97" s="5"/>
      <c r="AB97" s="31"/>
      <c r="AC97" s="5"/>
      <c r="AD97" s="5"/>
      <c r="AE97" s="238"/>
      <c r="AF97" s="346" t="s">
        <v>85</v>
      </c>
      <c r="AG97" s="68"/>
      <c r="AH97" s="68"/>
      <c r="AI97" s="68"/>
      <c r="AJ97" s="345"/>
      <c r="AK97" s="43" t="s">
        <v>66</v>
      </c>
      <c r="AL97" s="68"/>
      <c r="AM97" s="68"/>
      <c r="AN97" s="68"/>
      <c r="AO97" s="289" t="s">
        <v>86</v>
      </c>
      <c r="AP97" s="320"/>
      <c r="AQ97" s="291">
        <v>43131</v>
      </c>
      <c r="AR97" s="291">
        <v>43131</v>
      </c>
      <c r="AS97" s="25" t="s">
        <v>78</v>
      </c>
      <c r="AT97" s="291" t="s">
        <v>405</v>
      </c>
      <c r="AU97" s="25" t="s">
        <v>88</v>
      </c>
      <c r="AV97" s="43" t="s">
        <v>66</v>
      </c>
      <c r="AW97" s="26" t="s">
        <v>71</v>
      </c>
      <c r="AX97" s="5"/>
      <c r="AY97" s="31"/>
    </row>
    <row r="98" spans="1:110" ht="21.75" customHeight="1">
      <c r="A98" s="31" t="s">
        <v>552</v>
      </c>
      <c r="B98" s="26"/>
      <c r="C98" s="32" t="s">
        <v>553</v>
      </c>
      <c r="D98" s="5" t="s">
        <v>554</v>
      </c>
      <c r="E98" s="31" t="s">
        <v>139</v>
      </c>
      <c r="F98" s="31" t="s">
        <v>315</v>
      </c>
      <c r="G98" s="6" t="s">
        <v>150</v>
      </c>
      <c r="H98" s="6" t="s">
        <v>128</v>
      </c>
      <c r="I98" s="292">
        <v>43131</v>
      </c>
      <c r="J98" s="5"/>
      <c r="K98" s="25">
        <v>126609</v>
      </c>
      <c r="L98" s="238"/>
      <c r="M98" s="6"/>
      <c r="N98" s="6"/>
      <c r="O98" s="6"/>
      <c r="P98" s="6"/>
      <c r="Q98" s="6"/>
      <c r="R98" s="6"/>
      <c r="S98" s="5"/>
      <c r="T98" s="5"/>
      <c r="U98" s="261"/>
      <c r="V98" s="319"/>
      <c r="W98" s="5"/>
      <c r="X98" s="5"/>
      <c r="Y98" s="5"/>
      <c r="Z98" s="5"/>
      <c r="AA98" s="5"/>
      <c r="AB98" s="31"/>
      <c r="AC98" s="5"/>
      <c r="AD98" s="5"/>
      <c r="AE98" s="238"/>
      <c r="AF98" s="346" t="s">
        <v>85</v>
      </c>
      <c r="AG98" s="68"/>
      <c r="AH98" s="68"/>
      <c r="AI98" s="68"/>
      <c r="AJ98" s="345"/>
      <c r="AK98" s="43" t="s">
        <v>66</v>
      </c>
      <c r="AL98" s="68"/>
      <c r="AM98" s="68"/>
      <c r="AN98" s="68"/>
      <c r="AO98" s="289" t="s">
        <v>86</v>
      </c>
      <c r="AP98" s="320"/>
      <c r="AQ98" s="291">
        <v>43131</v>
      </c>
      <c r="AR98" s="291">
        <v>43131</v>
      </c>
      <c r="AS98" s="25" t="s">
        <v>78</v>
      </c>
      <c r="AT98" s="291" t="s">
        <v>405</v>
      </c>
      <c r="AU98" s="25" t="s">
        <v>88</v>
      </c>
      <c r="AV98" s="43" t="s">
        <v>66</v>
      </c>
      <c r="AW98" s="26" t="s">
        <v>71</v>
      </c>
      <c r="AX98" s="5"/>
      <c r="AY98" s="31"/>
    </row>
    <row r="99" spans="1:110" ht="28.5" customHeight="1">
      <c r="A99" s="31" t="s">
        <v>555</v>
      </c>
      <c r="B99" s="26" t="s">
        <v>556</v>
      </c>
      <c r="C99" s="5" t="s">
        <v>557</v>
      </c>
      <c r="D99" s="5" t="s">
        <v>558</v>
      </c>
      <c r="E99" s="31" t="s">
        <v>83</v>
      </c>
      <c r="F99" s="31" t="s">
        <v>315</v>
      </c>
      <c r="G99" s="6" t="s">
        <v>157</v>
      </c>
      <c r="H99" s="6" t="s">
        <v>63</v>
      </c>
      <c r="I99" s="292">
        <v>43143</v>
      </c>
      <c r="J99" s="5" t="s">
        <v>559</v>
      </c>
      <c r="K99" s="26">
        <f t="shared" ref="K99:K126" si="6">L99+S99</f>
        <v>1175092</v>
      </c>
      <c r="L99" s="238">
        <v>1175092</v>
      </c>
      <c r="M99" s="325"/>
      <c r="N99" s="325"/>
      <c r="O99" s="6" t="s">
        <v>560</v>
      </c>
      <c r="P99" s="325"/>
      <c r="Q99" s="325"/>
      <c r="R99" s="325"/>
      <c r="S99" s="5"/>
      <c r="T99" s="5"/>
      <c r="U99" s="261"/>
      <c r="V99" s="319">
        <v>0.15</v>
      </c>
      <c r="W99" s="5"/>
      <c r="X99" s="5"/>
      <c r="Y99" s="5">
        <v>998998.2</v>
      </c>
      <c r="Z99" s="5"/>
      <c r="AA99" s="5"/>
      <c r="AB99" s="31"/>
      <c r="AC99" s="5"/>
      <c r="AD99" s="5"/>
      <c r="AE99" s="238">
        <f t="shared" si="5"/>
        <v>998998.2</v>
      </c>
      <c r="AF99" s="31" t="s">
        <v>85</v>
      </c>
      <c r="AG99" s="68"/>
      <c r="AH99" s="68"/>
      <c r="AI99" s="68"/>
      <c r="AJ99" s="345"/>
      <c r="AK99" s="43">
        <v>2018.12</v>
      </c>
      <c r="AL99" s="68"/>
      <c r="AM99" s="68"/>
      <c r="AN99" s="68"/>
      <c r="AO99" s="320"/>
      <c r="AP99" s="320"/>
      <c r="AQ99" s="291"/>
      <c r="AR99" s="291"/>
      <c r="AS99" s="31"/>
      <c r="AT99" s="291"/>
      <c r="AU99" s="31" t="s">
        <v>561</v>
      </c>
      <c r="AV99" s="43">
        <v>2018.12</v>
      </c>
      <c r="AW99" s="26" t="s">
        <v>71</v>
      </c>
      <c r="AX99" s="5"/>
      <c r="AY99" s="31"/>
    </row>
    <row r="100" spans="1:110" ht="21.75" customHeight="1">
      <c r="A100" s="5" t="s">
        <v>562</v>
      </c>
      <c r="B100" s="26" t="s">
        <v>563</v>
      </c>
      <c r="C100" s="31" t="s">
        <v>564</v>
      </c>
      <c r="D100" s="5" t="s">
        <v>565</v>
      </c>
      <c r="E100" s="31" t="s">
        <v>83</v>
      </c>
      <c r="F100" s="31" t="s">
        <v>315</v>
      </c>
      <c r="G100" s="6" t="s">
        <v>175</v>
      </c>
      <c r="H100" s="6" t="s">
        <v>84</v>
      </c>
      <c r="I100" s="292" t="s">
        <v>566</v>
      </c>
      <c r="J100" s="5" t="s">
        <v>567</v>
      </c>
      <c r="K100" s="26">
        <f t="shared" si="6"/>
        <v>25114000</v>
      </c>
      <c r="L100" s="238">
        <f>10514000+14600000</f>
        <v>25114000</v>
      </c>
      <c r="M100" s="6" t="s">
        <v>568</v>
      </c>
      <c r="N100" s="6"/>
      <c r="O100" s="6"/>
      <c r="P100" s="6"/>
      <c r="Q100" s="6" t="s">
        <v>569</v>
      </c>
      <c r="R100" s="6"/>
      <c r="S100" s="26"/>
      <c r="T100" s="26"/>
      <c r="U100" s="263"/>
      <c r="V100" s="319">
        <v>7.7700000000000005E-2</v>
      </c>
      <c r="W100" s="5">
        <v>9764100</v>
      </c>
      <c r="X100" s="5"/>
      <c r="Y100" s="5"/>
      <c r="Z100" s="5"/>
      <c r="AA100" s="5">
        <f>1920000+10434900+1200000</f>
        <v>13554900</v>
      </c>
      <c r="AB100" s="5"/>
      <c r="AC100" s="5"/>
      <c r="AD100" s="5"/>
      <c r="AE100" s="238">
        <f t="shared" si="5"/>
        <v>23319000</v>
      </c>
      <c r="AF100" s="31" t="s">
        <v>132</v>
      </c>
      <c r="AG100" s="68"/>
      <c r="AH100" s="68"/>
      <c r="AI100" s="68"/>
      <c r="AJ100" s="345" t="s">
        <v>570</v>
      </c>
      <c r="AK100" s="43" t="s">
        <v>571</v>
      </c>
      <c r="AL100" s="68"/>
      <c r="AM100" s="68"/>
      <c r="AN100" s="68"/>
      <c r="AO100" s="320"/>
      <c r="AP100" s="320"/>
      <c r="AQ100" s="291"/>
      <c r="AR100" s="291"/>
      <c r="AS100" s="31"/>
      <c r="AT100" s="291"/>
      <c r="AU100" s="25" t="s">
        <v>213</v>
      </c>
      <c r="AV100" s="43" t="s">
        <v>571</v>
      </c>
      <c r="AW100" s="5" t="s">
        <v>71</v>
      </c>
      <c r="AX100" s="5"/>
      <c r="AY100" s="31"/>
    </row>
    <row r="101" spans="1:110" ht="21.75" customHeight="1">
      <c r="A101" s="5" t="s">
        <v>572</v>
      </c>
      <c r="B101" s="26" t="s">
        <v>573</v>
      </c>
      <c r="C101" s="31" t="s">
        <v>574</v>
      </c>
      <c r="D101" s="5" t="s">
        <v>575</v>
      </c>
      <c r="E101" s="31" t="s">
        <v>576</v>
      </c>
      <c r="F101" s="31" t="s">
        <v>315</v>
      </c>
      <c r="G101" s="6" t="s">
        <v>175</v>
      </c>
      <c r="H101" s="6" t="s">
        <v>128</v>
      </c>
      <c r="I101" s="292">
        <v>43158</v>
      </c>
      <c r="J101" s="5"/>
      <c r="K101" s="26">
        <f t="shared" si="6"/>
        <v>80000</v>
      </c>
      <c r="L101" s="238">
        <v>80000</v>
      </c>
      <c r="M101" s="239"/>
      <c r="N101" s="239"/>
      <c r="O101" s="239"/>
      <c r="P101" s="239"/>
      <c r="Q101" s="68">
        <v>80000</v>
      </c>
      <c r="R101" s="239"/>
      <c r="S101" s="26"/>
      <c r="T101" s="5"/>
      <c r="U101" s="261"/>
      <c r="V101" s="262">
        <v>0.15</v>
      </c>
      <c r="W101" s="5"/>
      <c r="X101" s="5"/>
      <c r="Y101" s="5"/>
      <c r="Z101" s="5"/>
      <c r="AA101" s="5">
        <v>68000</v>
      </c>
      <c r="AB101" s="5"/>
      <c r="AC101" s="5"/>
      <c r="AD101" s="5"/>
      <c r="AE101" s="238">
        <f t="shared" si="5"/>
        <v>68000</v>
      </c>
      <c r="AF101" s="31" t="s">
        <v>93</v>
      </c>
      <c r="AG101" s="68"/>
      <c r="AH101" s="68"/>
      <c r="AI101" s="68"/>
      <c r="AJ101" s="345"/>
      <c r="AK101" s="43" t="s">
        <v>66</v>
      </c>
      <c r="AL101" s="68"/>
      <c r="AM101" s="68"/>
      <c r="AN101" s="68"/>
      <c r="AO101" s="289" t="s">
        <v>86</v>
      </c>
      <c r="AP101" s="289"/>
      <c r="AQ101" s="291">
        <v>43188</v>
      </c>
      <c r="AR101" s="290">
        <v>43188</v>
      </c>
      <c r="AS101" s="25" t="s">
        <v>78</v>
      </c>
      <c r="AT101" s="291" t="s">
        <v>405</v>
      </c>
      <c r="AU101" s="25" t="s">
        <v>88</v>
      </c>
      <c r="AV101" s="43" t="s">
        <v>66</v>
      </c>
      <c r="AW101" s="26" t="s">
        <v>71</v>
      </c>
      <c r="AX101" s="26"/>
      <c r="AY101" s="31"/>
    </row>
    <row r="102" spans="1:110" ht="21.75" customHeight="1">
      <c r="A102" s="5" t="s">
        <v>135</v>
      </c>
      <c r="B102" s="26" t="s">
        <v>577</v>
      </c>
      <c r="C102" s="31" t="s">
        <v>578</v>
      </c>
      <c r="D102" s="299" t="s">
        <v>579</v>
      </c>
      <c r="E102" s="31" t="s">
        <v>249</v>
      </c>
      <c r="F102" s="31" t="s">
        <v>580</v>
      </c>
      <c r="G102" s="6" t="s">
        <v>157</v>
      </c>
      <c r="H102" s="6" t="s">
        <v>63</v>
      </c>
      <c r="I102" s="292">
        <v>43160</v>
      </c>
      <c r="J102" s="5"/>
      <c r="K102" s="26">
        <f t="shared" si="6"/>
        <v>500000</v>
      </c>
      <c r="L102" s="238">
        <v>500000</v>
      </c>
      <c r="M102" s="239"/>
      <c r="N102" s="239"/>
      <c r="O102" s="239"/>
      <c r="P102" s="239"/>
      <c r="Q102" s="68">
        <v>500000</v>
      </c>
      <c r="R102" s="239"/>
      <c r="S102" s="26"/>
      <c r="T102" s="5"/>
      <c r="U102" s="261"/>
      <c r="V102" s="262">
        <v>0.15</v>
      </c>
      <c r="W102" s="5"/>
      <c r="X102" s="5"/>
      <c r="Y102" s="5"/>
      <c r="Z102" s="5"/>
      <c r="AA102" s="5">
        <v>425000</v>
      </c>
      <c r="AB102" s="5"/>
      <c r="AC102" s="5"/>
      <c r="AD102" s="5"/>
      <c r="AE102" s="238">
        <f t="shared" si="5"/>
        <v>425000</v>
      </c>
      <c r="AF102" s="31" t="s">
        <v>132</v>
      </c>
      <c r="AG102" s="68"/>
      <c r="AH102" s="68"/>
      <c r="AI102" s="68"/>
      <c r="AJ102" s="345"/>
      <c r="AK102" s="43" t="s">
        <v>190</v>
      </c>
      <c r="AL102" s="68"/>
      <c r="AM102" s="68"/>
      <c r="AN102" s="68"/>
      <c r="AO102" s="289"/>
      <c r="AP102" s="289"/>
      <c r="AQ102" s="290"/>
      <c r="AR102" s="290"/>
      <c r="AS102" s="31" t="s">
        <v>581</v>
      </c>
      <c r="AT102" s="291">
        <v>43465</v>
      </c>
      <c r="AU102" s="31" t="s">
        <v>190</v>
      </c>
      <c r="AV102" s="43" t="s">
        <v>190</v>
      </c>
      <c r="AW102" s="5" t="s">
        <v>71</v>
      </c>
      <c r="AX102" s="5"/>
      <c r="AY102" s="31"/>
    </row>
    <row r="103" spans="1:110" ht="21.75" customHeight="1">
      <c r="A103" s="5" t="s">
        <v>582</v>
      </c>
      <c r="B103" s="26" t="s">
        <v>583</v>
      </c>
      <c r="C103" s="31" t="s">
        <v>584</v>
      </c>
      <c r="D103" s="5" t="s">
        <v>585</v>
      </c>
      <c r="E103" s="31" t="s">
        <v>271</v>
      </c>
      <c r="F103" s="31" t="s">
        <v>315</v>
      </c>
      <c r="G103" s="6" t="s">
        <v>157</v>
      </c>
      <c r="H103" s="6" t="s">
        <v>63</v>
      </c>
      <c r="I103" s="292">
        <v>43160</v>
      </c>
      <c r="J103" s="5"/>
      <c r="K103" s="26">
        <f t="shared" si="6"/>
        <v>135000</v>
      </c>
      <c r="L103" s="238">
        <f>94300+40700</f>
        <v>135000</v>
      </c>
      <c r="M103" s="6" t="s">
        <v>586</v>
      </c>
      <c r="N103" s="6"/>
      <c r="O103" s="6" t="s">
        <v>587</v>
      </c>
      <c r="P103" s="6"/>
      <c r="Q103" s="6"/>
      <c r="R103" s="6"/>
      <c r="S103" s="26"/>
      <c r="T103" s="5"/>
      <c r="U103" s="261"/>
      <c r="V103" s="262">
        <v>0.15</v>
      </c>
      <c r="W103" s="5">
        <v>34595</v>
      </c>
      <c r="X103" s="5"/>
      <c r="Y103" s="5">
        <v>80155</v>
      </c>
      <c r="Z103" s="5"/>
      <c r="AA103" s="5"/>
      <c r="AB103" s="5"/>
      <c r="AC103" s="5"/>
      <c r="AD103" s="5"/>
      <c r="AE103" s="238">
        <f t="shared" si="5"/>
        <v>114750</v>
      </c>
      <c r="AF103" s="31" t="s">
        <v>132</v>
      </c>
      <c r="AG103" s="68"/>
      <c r="AH103" s="68"/>
      <c r="AI103" s="68"/>
      <c r="AJ103" s="345"/>
      <c r="AK103" s="43" t="s">
        <v>66</v>
      </c>
      <c r="AL103" s="68"/>
      <c r="AM103" s="68"/>
      <c r="AN103" s="68"/>
      <c r="AO103" s="289" t="s">
        <v>86</v>
      </c>
      <c r="AP103" s="289"/>
      <c r="AQ103" s="291">
        <v>43200</v>
      </c>
      <c r="AR103" s="290">
        <v>43216</v>
      </c>
      <c r="AS103" s="25" t="s">
        <v>78</v>
      </c>
      <c r="AT103" s="291" t="s">
        <v>405</v>
      </c>
      <c r="AU103" s="25" t="s">
        <v>88</v>
      </c>
      <c r="AV103" s="43" t="s">
        <v>66</v>
      </c>
      <c r="AW103" s="26" t="s">
        <v>71</v>
      </c>
      <c r="AX103" s="5"/>
      <c r="AY103" s="31"/>
    </row>
    <row r="104" spans="1:110" ht="21.75" customHeight="1">
      <c r="A104" s="5" t="s">
        <v>588</v>
      </c>
      <c r="B104" s="26" t="s">
        <v>589</v>
      </c>
      <c r="C104" s="5" t="s">
        <v>589</v>
      </c>
      <c r="D104" s="5" t="s">
        <v>590</v>
      </c>
      <c r="E104" s="31" t="s">
        <v>156</v>
      </c>
      <c r="F104" s="31" t="s">
        <v>315</v>
      </c>
      <c r="G104" s="6" t="s">
        <v>157</v>
      </c>
      <c r="H104" s="6"/>
      <c r="I104" s="292">
        <v>43160</v>
      </c>
      <c r="J104" s="5"/>
      <c r="K104" s="26">
        <f t="shared" si="6"/>
        <v>254690</v>
      </c>
      <c r="L104" s="238">
        <f>192286+62404</f>
        <v>254690</v>
      </c>
      <c r="M104" s="6" t="s">
        <v>591</v>
      </c>
      <c r="N104" s="6"/>
      <c r="O104" s="6" t="s">
        <v>592</v>
      </c>
      <c r="P104" s="6"/>
      <c r="Q104" s="6"/>
      <c r="R104" s="6"/>
      <c r="S104" s="26"/>
      <c r="T104" s="5"/>
      <c r="U104" s="261"/>
      <c r="V104" s="262">
        <v>0.15</v>
      </c>
      <c r="W104" s="5">
        <v>53043.4</v>
      </c>
      <c r="X104" s="5"/>
      <c r="Y104" s="5">
        <v>163443.1</v>
      </c>
      <c r="Z104" s="5"/>
      <c r="AA104" s="5"/>
      <c r="AB104" s="5"/>
      <c r="AC104" s="5"/>
      <c r="AD104" s="5"/>
      <c r="AE104" s="238">
        <f t="shared" si="5"/>
        <v>216486.5</v>
      </c>
      <c r="AF104" s="31" t="s">
        <v>145</v>
      </c>
      <c r="AG104" s="68"/>
      <c r="AH104" s="68"/>
      <c r="AI104" s="68"/>
      <c r="AJ104" s="345"/>
      <c r="AK104" s="43" t="s">
        <v>66</v>
      </c>
      <c r="AL104" s="68"/>
      <c r="AM104" s="68"/>
      <c r="AN104" s="68"/>
      <c r="AO104" s="289" t="s">
        <v>86</v>
      </c>
      <c r="AP104" s="289"/>
      <c r="AQ104" s="290">
        <v>42949</v>
      </c>
      <c r="AR104" s="290">
        <v>20.183</v>
      </c>
      <c r="AS104" s="25" t="s">
        <v>78</v>
      </c>
      <c r="AT104" s="291" t="s">
        <v>405</v>
      </c>
      <c r="AU104" s="25" t="s">
        <v>88</v>
      </c>
      <c r="AV104" s="43" t="s">
        <v>66</v>
      </c>
      <c r="AW104" s="26" t="s">
        <v>71</v>
      </c>
      <c r="AX104" s="26"/>
      <c r="AY104" s="31"/>
    </row>
    <row r="105" spans="1:110" s="28" customFormat="1" ht="21.75" customHeight="1">
      <c r="A105" s="26" t="s">
        <v>593</v>
      </c>
      <c r="B105" s="26" t="s">
        <v>594</v>
      </c>
      <c r="C105" s="25" t="s">
        <v>595</v>
      </c>
      <c r="D105" s="26" t="s">
        <v>596</v>
      </c>
      <c r="E105" s="25" t="s">
        <v>168</v>
      </c>
      <c r="F105" s="25" t="s">
        <v>597</v>
      </c>
      <c r="G105" s="53" t="s">
        <v>107</v>
      </c>
      <c r="H105" s="53" t="s">
        <v>63</v>
      </c>
      <c r="I105" s="295">
        <v>43172</v>
      </c>
      <c r="J105" s="26"/>
      <c r="K105" s="26">
        <f t="shared" si="6"/>
        <v>5498000</v>
      </c>
      <c r="L105" s="243">
        <v>5498000</v>
      </c>
      <c r="M105" s="239"/>
      <c r="N105" s="239"/>
      <c r="O105" s="245">
        <v>5498000</v>
      </c>
      <c r="P105" s="239"/>
      <c r="Q105" s="239"/>
      <c r="R105" s="239"/>
      <c r="S105" s="26"/>
      <c r="T105" s="26"/>
      <c r="U105" s="263"/>
      <c r="V105" s="262">
        <v>0.1153</v>
      </c>
      <c r="W105" s="26">
        <v>3858000</v>
      </c>
      <c r="X105" s="26"/>
      <c r="Y105" s="26">
        <v>1202000</v>
      </c>
      <c r="Z105" s="26"/>
      <c r="AA105" s="26"/>
      <c r="AB105" s="26"/>
      <c r="AC105" s="26"/>
      <c r="AD105" s="26"/>
      <c r="AE105" s="243">
        <f t="shared" si="5"/>
        <v>5060000</v>
      </c>
      <c r="AF105" s="25" t="s">
        <v>62</v>
      </c>
      <c r="AG105" s="245"/>
      <c r="AH105" s="245"/>
      <c r="AI105" s="245"/>
      <c r="AJ105" s="345"/>
      <c r="AK105" s="43">
        <v>2019.4</v>
      </c>
      <c r="AL105" s="245"/>
      <c r="AM105" s="245"/>
      <c r="AN105" s="245"/>
      <c r="AO105" s="289"/>
      <c r="AP105" s="289"/>
      <c r="AQ105" s="290"/>
      <c r="AR105" s="290"/>
      <c r="AS105" s="25"/>
      <c r="AT105" s="291"/>
      <c r="AU105" s="25" t="s">
        <v>213</v>
      </c>
      <c r="AV105" s="43">
        <v>2019.4</v>
      </c>
      <c r="AW105" s="5" t="s">
        <v>71</v>
      </c>
      <c r="AX105" s="26"/>
      <c r="AY105" s="25"/>
      <c r="AZ105" s="297"/>
      <c r="BA105" s="297"/>
      <c r="BB105" s="297"/>
      <c r="BC105" s="297"/>
      <c r="BD105" s="297"/>
      <c r="BE105" s="297"/>
      <c r="BF105" s="297"/>
      <c r="BG105" s="297"/>
      <c r="BH105" s="297"/>
      <c r="BI105" s="297"/>
      <c r="BJ105" s="297"/>
      <c r="BK105" s="297"/>
      <c r="BL105" s="297"/>
      <c r="BM105" s="297"/>
      <c r="BN105" s="297"/>
      <c r="BO105" s="297"/>
      <c r="BP105" s="297"/>
      <c r="BQ105" s="297"/>
      <c r="BR105" s="297"/>
      <c r="BS105" s="297"/>
      <c r="BT105" s="297"/>
      <c r="BU105" s="297"/>
      <c r="BV105" s="297"/>
      <c r="BW105" s="297"/>
      <c r="BX105" s="297"/>
      <c r="BY105" s="297"/>
      <c r="BZ105" s="297"/>
      <c r="CA105" s="297"/>
      <c r="CB105" s="297"/>
      <c r="CC105" s="297"/>
      <c r="CD105" s="297"/>
      <c r="CE105" s="297"/>
      <c r="CF105" s="297"/>
      <c r="CG105" s="297"/>
      <c r="CH105" s="297"/>
      <c r="CI105" s="297"/>
      <c r="CJ105" s="297"/>
      <c r="CK105" s="297"/>
      <c r="CL105" s="297"/>
      <c r="CM105" s="297"/>
      <c r="CN105" s="297"/>
      <c r="CO105" s="297"/>
      <c r="CP105" s="297"/>
      <c r="CQ105" s="297"/>
      <c r="CR105" s="297"/>
      <c r="CS105" s="297"/>
      <c r="CT105" s="297"/>
      <c r="CU105" s="297"/>
      <c r="CV105" s="297"/>
      <c r="CW105" s="297"/>
      <c r="CX105" s="297"/>
      <c r="CY105" s="297"/>
      <c r="CZ105" s="297"/>
      <c r="DA105" s="297"/>
      <c r="DB105" s="297"/>
      <c r="DC105" s="297"/>
      <c r="DD105" s="297"/>
      <c r="DE105" s="297"/>
      <c r="DF105" s="297"/>
    </row>
    <row r="106" spans="1:110" s="28" customFormat="1" ht="21.75" customHeight="1">
      <c r="A106" s="26" t="s">
        <v>598</v>
      </c>
      <c r="B106" s="26" t="s">
        <v>599</v>
      </c>
      <c r="C106" s="25" t="s">
        <v>600</v>
      </c>
      <c r="D106" s="26" t="s">
        <v>601</v>
      </c>
      <c r="E106" s="25" t="s">
        <v>249</v>
      </c>
      <c r="F106" s="25" t="s">
        <v>309</v>
      </c>
      <c r="G106" s="53" t="s">
        <v>602</v>
      </c>
      <c r="H106" s="53" t="s">
        <v>128</v>
      </c>
      <c r="I106" s="295">
        <v>43173</v>
      </c>
      <c r="J106" s="26" t="s">
        <v>603</v>
      </c>
      <c r="K106" s="26">
        <f t="shared" si="6"/>
        <v>129876</v>
      </c>
      <c r="L106" s="243">
        <f>116550+13326</f>
        <v>129876</v>
      </c>
      <c r="M106" s="53" t="s">
        <v>604</v>
      </c>
      <c r="N106" s="53"/>
      <c r="O106" s="53" t="s">
        <v>605</v>
      </c>
      <c r="P106" s="53"/>
      <c r="Q106" s="53"/>
      <c r="R106" s="53"/>
      <c r="S106" s="26"/>
      <c r="T106" s="26"/>
      <c r="U106" s="263"/>
      <c r="V106" s="262">
        <v>0.15</v>
      </c>
      <c r="W106" s="26">
        <f>73760+25307</f>
        <v>99067</v>
      </c>
      <c r="X106" s="26"/>
      <c r="Y106" s="26">
        <v>11326.7</v>
      </c>
      <c r="Z106" s="26"/>
      <c r="AA106" s="26"/>
      <c r="AB106" s="26"/>
      <c r="AC106" s="26"/>
      <c r="AD106" s="26"/>
      <c r="AE106" s="243">
        <f t="shared" si="5"/>
        <v>110393.7</v>
      </c>
      <c r="AF106" s="25" t="s">
        <v>606</v>
      </c>
      <c r="AG106" s="245"/>
      <c r="AH106" s="245"/>
      <c r="AI106" s="245"/>
      <c r="AJ106" s="345"/>
      <c r="AK106" s="43" t="s">
        <v>66</v>
      </c>
      <c r="AL106" s="245"/>
      <c r="AM106" s="245"/>
      <c r="AN106" s="245"/>
      <c r="AO106" s="289" t="s">
        <v>607</v>
      </c>
      <c r="AP106" s="289"/>
      <c r="AQ106" s="290">
        <v>43282</v>
      </c>
      <c r="AR106" s="290">
        <v>43388</v>
      </c>
      <c r="AS106" s="25" t="s">
        <v>78</v>
      </c>
      <c r="AT106" s="291">
        <v>43646</v>
      </c>
      <c r="AU106" s="25" t="s">
        <v>88</v>
      </c>
      <c r="AV106" s="43" t="s">
        <v>66</v>
      </c>
      <c r="AW106" s="26" t="s">
        <v>71</v>
      </c>
      <c r="AX106" s="26"/>
      <c r="AY106" s="25"/>
      <c r="AZ106" s="297"/>
      <c r="BA106" s="297"/>
      <c r="BB106" s="297"/>
      <c r="BC106" s="297"/>
      <c r="BD106" s="297"/>
      <c r="BE106" s="297"/>
      <c r="BF106" s="297"/>
      <c r="BG106" s="297"/>
      <c r="BH106" s="297"/>
      <c r="BI106" s="297"/>
      <c r="BJ106" s="297"/>
      <c r="BK106" s="297"/>
      <c r="BL106" s="297"/>
      <c r="BM106" s="297"/>
      <c r="BN106" s="297"/>
      <c r="BO106" s="297"/>
      <c r="BP106" s="297"/>
      <c r="BQ106" s="297"/>
      <c r="BR106" s="297"/>
      <c r="BS106" s="297"/>
      <c r="BT106" s="297"/>
      <c r="BU106" s="297"/>
      <c r="BV106" s="297"/>
      <c r="BW106" s="297"/>
      <c r="BX106" s="297"/>
      <c r="BY106" s="297"/>
      <c r="BZ106" s="297"/>
      <c r="CA106" s="297"/>
      <c r="CB106" s="297"/>
      <c r="CC106" s="297"/>
      <c r="CD106" s="297"/>
      <c r="CE106" s="297"/>
      <c r="CF106" s="297"/>
      <c r="CG106" s="297"/>
      <c r="CH106" s="297"/>
      <c r="CI106" s="297"/>
      <c r="CJ106" s="297"/>
      <c r="CK106" s="297"/>
      <c r="CL106" s="297"/>
      <c r="CM106" s="297"/>
      <c r="CN106" s="297"/>
      <c r="CO106" s="297"/>
      <c r="CP106" s="297"/>
      <c r="CQ106" s="297"/>
      <c r="CR106" s="297"/>
      <c r="CS106" s="297"/>
      <c r="CT106" s="297"/>
      <c r="CU106" s="297"/>
      <c r="CV106" s="297"/>
      <c r="CW106" s="297"/>
      <c r="CX106" s="297"/>
      <c r="CY106" s="297"/>
      <c r="CZ106" s="297"/>
      <c r="DA106" s="297"/>
      <c r="DB106" s="297"/>
      <c r="DC106" s="297"/>
      <c r="DD106" s="297"/>
      <c r="DE106" s="297"/>
      <c r="DF106" s="297"/>
    </row>
    <row r="107" spans="1:110" s="28" customFormat="1" ht="21.75" customHeight="1">
      <c r="A107" s="26" t="s">
        <v>608</v>
      </c>
      <c r="B107" s="26" t="s">
        <v>609</v>
      </c>
      <c r="C107" s="25" t="s">
        <v>610</v>
      </c>
      <c r="D107" s="26" t="s">
        <v>611</v>
      </c>
      <c r="E107" s="25" t="s">
        <v>168</v>
      </c>
      <c r="F107" s="25" t="s">
        <v>597</v>
      </c>
      <c r="G107" s="53" t="s">
        <v>107</v>
      </c>
      <c r="H107" s="53" t="s">
        <v>63</v>
      </c>
      <c r="I107" s="295">
        <v>43172</v>
      </c>
      <c r="J107" s="26"/>
      <c r="K107" s="26">
        <f t="shared" si="6"/>
        <v>6158000</v>
      </c>
      <c r="L107" s="243">
        <f>6158000</f>
        <v>6158000</v>
      </c>
      <c r="M107" s="239"/>
      <c r="N107" s="239"/>
      <c r="O107" s="245">
        <f>6158000</f>
        <v>6158000</v>
      </c>
      <c r="P107" s="239"/>
      <c r="Q107" s="239"/>
      <c r="R107" s="239"/>
      <c r="S107" s="26"/>
      <c r="T107" s="26"/>
      <c r="U107" s="263"/>
      <c r="V107" s="262">
        <v>0.1</v>
      </c>
      <c r="W107" s="26">
        <v>3989680</v>
      </c>
      <c r="X107" s="26"/>
      <c r="Y107" s="26"/>
      <c r="Z107" s="26"/>
      <c r="AA107" s="26">
        <v>1750320</v>
      </c>
      <c r="AB107" s="26"/>
      <c r="AC107" s="26"/>
      <c r="AD107" s="26"/>
      <c r="AE107" s="243">
        <f t="shared" si="5"/>
        <v>5740000</v>
      </c>
      <c r="AF107" s="25" t="s">
        <v>62</v>
      </c>
      <c r="AG107" s="245"/>
      <c r="AH107" s="245"/>
      <c r="AI107" s="245"/>
      <c r="AJ107" s="345"/>
      <c r="AK107" s="43">
        <v>2019.4</v>
      </c>
      <c r="AL107" s="245"/>
      <c r="AM107" s="245"/>
      <c r="AN107" s="245"/>
      <c r="AO107" s="289"/>
      <c r="AP107" s="289"/>
      <c r="AQ107" s="290"/>
      <c r="AR107" s="290"/>
      <c r="AS107" s="25"/>
      <c r="AT107" s="291"/>
      <c r="AU107" s="25" t="s">
        <v>213</v>
      </c>
      <c r="AV107" s="43">
        <v>2019.4</v>
      </c>
      <c r="AW107" s="5" t="s">
        <v>71</v>
      </c>
      <c r="AX107" s="26"/>
      <c r="AY107" s="25"/>
      <c r="AZ107" s="297"/>
      <c r="BA107" s="297"/>
      <c r="BB107" s="297"/>
      <c r="BC107" s="297"/>
      <c r="BD107" s="297"/>
      <c r="BE107" s="297"/>
      <c r="BF107" s="297"/>
      <c r="BG107" s="297"/>
      <c r="BH107" s="297"/>
      <c r="BI107" s="297"/>
      <c r="BJ107" s="297"/>
      <c r="BK107" s="297"/>
      <c r="BL107" s="297"/>
      <c r="BM107" s="297"/>
      <c r="BN107" s="297"/>
      <c r="BO107" s="297"/>
      <c r="BP107" s="297"/>
      <c r="BQ107" s="297"/>
      <c r="BR107" s="297"/>
      <c r="BS107" s="297"/>
      <c r="BT107" s="297"/>
      <c r="BU107" s="297"/>
      <c r="BV107" s="297"/>
      <c r="BW107" s="297"/>
      <c r="BX107" s="297"/>
      <c r="BY107" s="297"/>
      <c r="BZ107" s="297"/>
      <c r="CA107" s="297"/>
      <c r="CB107" s="297"/>
      <c r="CC107" s="297"/>
      <c r="CD107" s="297"/>
      <c r="CE107" s="297"/>
      <c r="CF107" s="297"/>
      <c r="CG107" s="297"/>
      <c r="CH107" s="297"/>
      <c r="CI107" s="297"/>
      <c r="CJ107" s="297"/>
      <c r="CK107" s="297"/>
      <c r="CL107" s="297"/>
      <c r="CM107" s="297"/>
      <c r="CN107" s="297"/>
      <c r="CO107" s="297"/>
      <c r="CP107" s="297"/>
      <c r="CQ107" s="297"/>
      <c r="CR107" s="297"/>
      <c r="CS107" s="297"/>
      <c r="CT107" s="297"/>
      <c r="CU107" s="297"/>
      <c r="CV107" s="297"/>
      <c r="CW107" s="297"/>
      <c r="CX107" s="297"/>
      <c r="CY107" s="297"/>
      <c r="CZ107" s="297"/>
      <c r="DA107" s="297"/>
      <c r="DB107" s="297"/>
      <c r="DC107" s="297"/>
      <c r="DD107" s="297"/>
      <c r="DE107" s="297"/>
      <c r="DF107" s="297"/>
    </row>
    <row r="108" spans="1:110" ht="21.75" customHeight="1">
      <c r="A108" s="5" t="s">
        <v>612</v>
      </c>
      <c r="B108" s="26" t="s">
        <v>613</v>
      </c>
      <c r="C108" s="31" t="s">
        <v>614</v>
      </c>
      <c r="D108" s="5" t="s">
        <v>615</v>
      </c>
      <c r="E108" s="31" t="s">
        <v>75</v>
      </c>
      <c r="F108" s="37" t="s">
        <v>61</v>
      </c>
      <c r="G108" s="6" t="s">
        <v>76</v>
      </c>
      <c r="H108" s="6"/>
      <c r="I108" s="292">
        <v>43174</v>
      </c>
      <c r="J108" s="5"/>
      <c r="K108" s="26">
        <f t="shared" si="6"/>
        <v>18000</v>
      </c>
      <c r="L108" s="238">
        <f>1200+16800</f>
        <v>18000</v>
      </c>
      <c r="M108" s="6" t="s">
        <v>616</v>
      </c>
      <c r="N108" s="6"/>
      <c r="O108" s="6" t="s">
        <v>617</v>
      </c>
      <c r="P108" s="6"/>
      <c r="Q108" s="6"/>
      <c r="R108" s="6"/>
      <c r="S108" s="26"/>
      <c r="T108" s="5"/>
      <c r="U108" s="261"/>
      <c r="V108" s="262">
        <v>0.15</v>
      </c>
      <c r="W108" s="5">
        <v>1020</v>
      </c>
      <c r="X108" s="5"/>
      <c r="Y108" s="5">
        <v>14280</v>
      </c>
      <c r="Z108" s="5"/>
      <c r="AA108" s="5"/>
      <c r="AB108" s="5"/>
      <c r="AC108" s="5"/>
      <c r="AD108" s="5"/>
      <c r="AE108" s="238">
        <f t="shared" si="5"/>
        <v>15300</v>
      </c>
      <c r="AF108" s="31" t="s">
        <v>93</v>
      </c>
      <c r="AG108" s="68"/>
      <c r="AH108" s="68"/>
      <c r="AI108" s="68"/>
      <c r="AJ108" s="345"/>
      <c r="AK108" s="43" t="s">
        <v>66</v>
      </c>
      <c r="AL108" s="68"/>
      <c r="AM108" s="68"/>
      <c r="AN108" s="68"/>
      <c r="AO108" s="289" t="s">
        <v>86</v>
      </c>
      <c r="AP108" s="289"/>
      <c r="AQ108" s="290">
        <v>43282</v>
      </c>
      <c r="AR108" s="290">
        <v>43311</v>
      </c>
      <c r="AS108" s="25" t="s">
        <v>78</v>
      </c>
      <c r="AT108" s="291">
        <v>43647</v>
      </c>
      <c r="AU108" s="25" t="s">
        <v>88</v>
      </c>
      <c r="AV108" s="43" t="s">
        <v>66</v>
      </c>
      <c r="AW108" s="26" t="s">
        <v>71</v>
      </c>
      <c r="AX108" s="26"/>
      <c r="AY108" s="31"/>
    </row>
    <row r="109" spans="1:110" ht="21.75" customHeight="1">
      <c r="A109" s="5" t="s">
        <v>618</v>
      </c>
      <c r="B109" s="26" t="s">
        <v>619</v>
      </c>
      <c r="C109" s="31" t="s">
        <v>620</v>
      </c>
      <c r="D109" s="5" t="s">
        <v>621</v>
      </c>
      <c r="E109" s="31" t="s">
        <v>126</v>
      </c>
      <c r="F109" s="37" t="s">
        <v>61</v>
      </c>
      <c r="G109" s="6" t="s">
        <v>76</v>
      </c>
      <c r="H109" s="6"/>
      <c r="I109" s="292">
        <v>43174</v>
      </c>
      <c r="J109" s="5"/>
      <c r="K109" s="26">
        <f t="shared" si="6"/>
        <v>49256</v>
      </c>
      <c r="L109" s="238">
        <f>36840+12416</f>
        <v>49256</v>
      </c>
      <c r="M109" s="6" t="s">
        <v>622</v>
      </c>
      <c r="N109" s="6"/>
      <c r="O109" s="6" t="s">
        <v>623</v>
      </c>
      <c r="P109" s="6"/>
      <c r="Q109" s="6"/>
      <c r="R109" s="6"/>
      <c r="S109" s="26"/>
      <c r="T109" s="5"/>
      <c r="U109" s="261"/>
      <c r="V109" s="262">
        <v>0.15</v>
      </c>
      <c r="W109" s="5">
        <v>31314</v>
      </c>
      <c r="X109" s="5"/>
      <c r="Y109" s="5">
        <v>10554</v>
      </c>
      <c r="Z109" s="5"/>
      <c r="AA109" s="5"/>
      <c r="AB109" s="5"/>
      <c r="AC109" s="5"/>
      <c r="AD109" s="5"/>
      <c r="AE109" s="238">
        <f t="shared" si="5"/>
        <v>41868</v>
      </c>
      <c r="AF109" s="31" t="s">
        <v>93</v>
      </c>
      <c r="AG109" s="68"/>
      <c r="AH109" s="68"/>
      <c r="AI109" s="68"/>
      <c r="AJ109" s="345"/>
      <c r="AK109" s="43" t="s">
        <v>66</v>
      </c>
      <c r="AL109" s="68"/>
      <c r="AM109" s="68"/>
      <c r="AN109" s="68"/>
      <c r="AO109" s="289" t="s">
        <v>86</v>
      </c>
      <c r="AP109" s="289"/>
      <c r="AQ109" s="290">
        <v>43192</v>
      </c>
      <c r="AR109" s="290">
        <v>43344</v>
      </c>
      <c r="AS109" s="25" t="s">
        <v>78</v>
      </c>
      <c r="AT109" s="291">
        <v>43556</v>
      </c>
      <c r="AU109" s="25" t="s">
        <v>88</v>
      </c>
      <c r="AV109" s="43" t="s">
        <v>66</v>
      </c>
      <c r="AW109" s="26" t="s">
        <v>71</v>
      </c>
      <c r="AX109" s="26"/>
      <c r="AY109" s="31"/>
    </row>
    <row r="110" spans="1:110" ht="21.75" customHeight="1">
      <c r="A110" s="5" t="s">
        <v>624</v>
      </c>
      <c r="B110" s="26" t="s">
        <v>625</v>
      </c>
      <c r="C110" s="31" t="s">
        <v>626</v>
      </c>
      <c r="D110" s="5" t="s">
        <v>627</v>
      </c>
      <c r="E110" s="31" t="s">
        <v>75</v>
      </c>
      <c r="F110" s="31" t="s">
        <v>315</v>
      </c>
      <c r="G110" s="6" t="s">
        <v>76</v>
      </c>
      <c r="H110" s="6"/>
      <c r="I110" s="292">
        <v>43174</v>
      </c>
      <c r="J110" s="5"/>
      <c r="K110" s="26">
        <f t="shared" si="6"/>
        <v>95571</v>
      </c>
      <c r="L110" s="238">
        <f>55910+39661</f>
        <v>95571</v>
      </c>
      <c r="M110" s="6" t="s">
        <v>628</v>
      </c>
      <c r="N110" s="6"/>
      <c r="O110" s="6" t="s">
        <v>629</v>
      </c>
      <c r="P110" s="6"/>
      <c r="Q110" s="6"/>
      <c r="R110" s="6"/>
      <c r="S110" s="26"/>
      <c r="T110" s="5"/>
      <c r="U110" s="261"/>
      <c r="V110" s="262">
        <v>0.15</v>
      </c>
      <c r="W110" s="5">
        <v>47524</v>
      </c>
      <c r="X110" s="5"/>
      <c r="Y110" s="5">
        <v>33712</v>
      </c>
      <c r="Z110" s="5"/>
      <c r="AA110" s="5"/>
      <c r="AB110" s="5"/>
      <c r="AC110" s="5"/>
      <c r="AD110" s="5"/>
      <c r="AE110" s="238">
        <f t="shared" si="5"/>
        <v>81236</v>
      </c>
      <c r="AF110" s="31" t="s">
        <v>93</v>
      </c>
      <c r="AG110" s="68"/>
      <c r="AH110" s="68"/>
      <c r="AI110" s="68"/>
      <c r="AJ110" s="345"/>
      <c r="AK110" s="43" t="s">
        <v>66</v>
      </c>
      <c r="AL110" s="68"/>
      <c r="AM110" s="68"/>
      <c r="AN110" s="68"/>
      <c r="AO110" s="289" t="s">
        <v>86</v>
      </c>
      <c r="AP110" s="289"/>
      <c r="AQ110" s="290">
        <v>43235</v>
      </c>
      <c r="AR110" s="290">
        <v>43238</v>
      </c>
      <c r="AS110" s="25" t="s">
        <v>78</v>
      </c>
      <c r="AT110" s="291">
        <v>43599</v>
      </c>
      <c r="AU110" s="25" t="s">
        <v>88</v>
      </c>
      <c r="AV110" s="43" t="s">
        <v>66</v>
      </c>
      <c r="AW110" s="26" t="s">
        <v>71</v>
      </c>
      <c r="AX110" s="26"/>
      <c r="AY110" s="31"/>
    </row>
    <row r="111" spans="1:110" ht="21.75" customHeight="1">
      <c r="A111" s="5" t="s">
        <v>630</v>
      </c>
      <c r="B111" s="26" t="s">
        <v>631</v>
      </c>
      <c r="C111" s="31" t="s">
        <v>632</v>
      </c>
      <c r="D111" s="5" t="s">
        <v>633</v>
      </c>
      <c r="E111" s="31" t="s">
        <v>83</v>
      </c>
      <c r="F111" s="31" t="s">
        <v>315</v>
      </c>
      <c r="G111" s="6" t="s">
        <v>76</v>
      </c>
      <c r="H111" s="6"/>
      <c r="I111" s="292">
        <v>43174</v>
      </c>
      <c r="J111" s="5"/>
      <c r="K111" s="26">
        <f t="shared" si="6"/>
        <v>685000</v>
      </c>
      <c r="L111" s="238">
        <f>567000+118000</f>
        <v>685000</v>
      </c>
      <c r="M111" s="6" t="s">
        <v>634</v>
      </c>
      <c r="N111" s="6"/>
      <c r="O111" s="6"/>
      <c r="P111" s="6"/>
      <c r="Q111" s="6" t="s">
        <v>635</v>
      </c>
      <c r="R111" s="6"/>
      <c r="S111" s="26"/>
      <c r="T111" s="5"/>
      <c r="U111" s="261"/>
      <c r="V111" s="262">
        <v>0.15</v>
      </c>
      <c r="W111" s="5">
        <v>480000</v>
      </c>
      <c r="X111" s="5"/>
      <c r="Y111" s="5"/>
      <c r="Z111" s="5"/>
      <c r="AA111" s="5">
        <v>100000</v>
      </c>
      <c r="AB111" s="5"/>
      <c r="AC111" s="5"/>
      <c r="AD111" s="5"/>
      <c r="AE111" s="238">
        <f t="shared" si="5"/>
        <v>580000</v>
      </c>
      <c r="AF111" s="31" t="s">
        <v>132</v>
      </c>
      <c r="AG111" s="68"/>
      <c r="AH111" s="68"/>
      <c r="AI111" s="68"/>
      <c r="AJ111" s="345" t="s">
        <v>636</v>
      </c>
      <c r="AK111" s="43"/>
      <c r="AL111" s="68"/>
      <c r="AM111" s="68"/>
      <c r="AN111" s="68"/>
      <c r="AO111" s="289" t="s">
        <v>86</v>
      </c>
      <c r="AP111" s="289"/>
      <c r="AQ111" s="290">
        <v>43433</v>
      </c>
      <c r="AR111" s="290">
        <v>43446</v>
      </c>
      <c r="AS111" s="25" t="s">
        <v>78</v>
      </c>
      <c r="AT111" s="291">
        <v>43797</v>
      </c>
      <c r="AU111" s="25" t="s">
        <v>88</v>
      </c>
      <c r="AV111" s="43"/>
      <c r="AW111" s="5" t="s">
        <v>71</v>
      </c>
      <c r="AX111" s="5"/>
      <c r="AY111" s="31"/>
    </row>
    <row r="112" spans="1:110" ht="21.75" customHeight="1">
      <c r="A112" s="5" t="s">
        <v>637</v>
      </c>
      <c r="B112" s="26" t="s">
        <v>638</v>
      </c>
      <c r="C112" s="31" t="s">
        <v>639</v>
      </c>
      <c r="D112" s="5" t="s">
        <v>640</v>
      </c>
      <c r="E112" s="31" t="s">
        <v>106</v>
      </c>
      <c r="F112" s="31" t="s">
        <v>597</v>
      </c>
      <c r="G112" s="6" t="s">
        <v>107</v>
      </c>
      <c r="H112" s="6" t="s">
        <v>63</v>
      </c>
      <c r="I112" s="292">
        <v>43174</v>
      </c>
      <c r="J112" s="5"/>
      <c r="K112" s="26">
        <f t="shared" si="6"/>
        <v>97000</v>
      </c>
      <c r="L112" s="238">
        <f>48320+48680</f>
        <v>97000</v>
      </c>
      <c r="M112" s="6" t="s">
        <v>641</v>
      </c>
      <c r="N112" s="6"/>
      <c r="O112" s="6" t="s">
        <v>642</v>
      </c>
      <c r="P112" s="6"/>
      <c r="Q112" s="6"/>
      <c r="R112" s="6"/>
      <c r="S112" s="26"/>
      <c r="T112" s="5"/>
      <c r="U112" s="261"/>
      <c r="V112" s="262">
        <v>0.15</v>
      </c>
      <c r="W112" s="5">
        <v>41072</v>
      </c>
      <c r="X112" s="5"/>
      <c r="Y112" s="5">
        <v>41378</v>
      </c>
      <c r="Z112" s="5"/>
      <c r="AA112" s="5"/>
      <c r="AB112" s="5"/>
      <c r="AC112" s="5"/>
      <c r="AD112" s="5"/>
      <c r="AE112" s="238">
        <f t="shared" si="5"/>
        <v>82450</v>
      </c>
      <c r="AF112" s="31" t="s">
        <v>108</v>
      </c>
      <c r="AG112" s="68"/>
      <c r="AH112" s="68"/>
      <c r="AI112" s="68"/>
      <c r="AJ112" s="43" t="s">
        <v>643</v>
      </c>
      <c r="AK112" s="43" t="s">
        <v>66</v>
      </c>
      <c r="AL112" s="68"/>
      <c r="AM112" s="68"/>
      <c r="AN112" s="68"/>
      <c r="AO112" s="289" t="s">
        <v>86</v>
      </c>
      <c r="AP112" s="289"/>
      <c r="AQ112" s="290">
        <v>43215</v>
      </c>
      <c r="AR112" s="290">
        <v>43215</v>
      </c>
      <c r="AS112" s="25" t="s">
        <v>78</v>
      </c>
      <c r="AT112" s="291" t="s">
        <v>122</v>
      </c>
      <c r="AU112" s="31" t="s">
        <v>122</v>
      </c>
      <c r="AV112" s="43" t="s">
        <v>66</v>
      </c>
      <c r="AW112" s="26" t="s">
        <v>71</v>
      </c>
      <c r="AX112" s="26" t="s">
        <v>384</v>
      </c>
      <c r="AY112" s="31"/>
    </row>
    <row r="113" spans="1:110" ht="21.75" customHeight="1">
      <c r="A113" s="5" t="s">
        <v>644</v>
      </c>
      <c r="B113" s="26" t="s">
        <v>645</v>
      </c>
      <c r="C113" s="31" t="s">
        <v>646</v>
      </c>
      <c r="D113" s="5" t="s">
        <v>647</v>
      </c>
      <c r="E113" s="31" t="s">
        <v>60</v>
      </c>
      <c r="F113" s="31" t="s">
        <v>315</v>
      </c>
      <c r="G113" s="6" t="s">
        <v>157</v>
      </c>
      <c r="H113" s="6"/>
      <c r="I113" s="292">
        <v>43174</v>
      </c>
      <c r="J113" s="5" t="s">
        <v>648</v>
      </c>
      <c r="K113" s="26">
        <f t="shared" si="6"/>
        <v>336939</v>
      </c>
      <c r="L113" s="238">
        <v>336939</v>
      </c>
      <c r="M113" s="239"/>
      <c r="N113" s="239"/>
      <c r="O113" s="68">
        <v>336939</v>
      </c>
      <c r="P113" s="239"/>
      <c r="Q113" s="239"/>
      <c r="R113" s="239"/>
      <c r="S113" s="26"/>
      <c r="T113" s="5"/>
      <c r="U113" s="261"/>
      <c r="V113" s="261"/>
      <c r="W113" s="5"/>
      <c r="X113" s="5"/>
      <c r="Y113" s="5">
        <v>286398.15000000002</v>
      </c>
      <c r="Z113" s="5"/>
      <c r="AA113" s="5"/>
      <c r="AB113" s="5"/>
      <c r="AC113" s="5"/>
      <c r="AD113" s="5"/>
      <c r="AE113" s="238">
        <f t="shared" si="5"/>
        <v>286398.15000000002</v>
      </c>
      <c r="AF113" s="31" t="s">
        <v>62</v>
      </c>
      <c r="AG113" s="68"/>
      <c r="AH113" s="68"/>
      <c r="AI113" s="68"/>
      <c r="AJ113" s="345"/>
      <c r="AK113" s="43" t="s">
        <v>397</v>
      </c>
      <c r="AL113" s="68"/>
      <c r="AM113" s="68"/>
      <c r="AN113" s="68"/>
      <c r="AO113" s="289"/>
      <c r="AP113" s="289"/>
      <c r="AQ113" s="290"/>
      <c r="AR113" s="290"/>
      <c r="AS113" s="31"/>
      <c r="AT113" s="291"/>
      <c r="AU113" s="25" t="s">
        <v>213</v>
      </c>
      <c r="AV113" s="43" t="s">
        <v>397</v>
      </c>
      <c r="AW113" s="5" t="s">
        <v>71</v>
      </c>
      <c r="AX113" s="5"/>
      <c r="AY113" s="31"/>
    </row>
    <row r="114" spans="1:110" s="375" customFormat="1" ht="21.75" customHeight="1">
      <c r="A114" s="33"/>
      <c r="B114" s="26" t="s">
        <v>649</v>
      </c>
      <c r="C114" s="18" t="s">
        <v>650</v>
      </c>
      <c r="D114" s="33" t="s">
        <v>651</v>
      </c>
      <c r="E114" s="388" t="s">
        <v>652</v>
      </c>
      <c r="F114" s="389"/>
      <c r="G114" s="389"/>
      <c r="H114" s="390"/>
      <c r="I114" s="394" t="s">
        <v>653</v>
      </c>
      <c r="J114" s="33"/>
      <c r="K114" s="33">
        <v>17000000</v>
      </c>
      <c r="L114" s="395"/>
      <c r="M114" s="396"/>
      <c r="N114" s="396"/>
      <c r="O114" s="396"/>
      <c r="P114" s="396"/>
      <c r="Q114" s="396"/>
      <c r="R114" s="396"/>
      <c r="S114" s="33"/>
      <c r="T114" s="33"/>
      <c r="U114" s="401"/>
      <c r="V114" s="401"/>
      <c r="W114" s="33"/>
      <c r="X114" s="33"/>
      <c r="Y114" s="33"/>
      <c r="Z114" s="33"/>
      <c r="AA114" s="33"/>
      <c r="AB114" s="33"/>
      <c r="AC114" s="33"/>
      <c r="AD114" s="33"/>
      <c r="AE114" s="395">
        <f t="shared" si="5"/>
        <v>0</v>
      </c>
      <c r="AF114" s="403" t="s">
        <v>132</v>
      </c>
      <c r="AG114" s="404"/>
      <c r="AH114" s="404"/>
      <c r="AI114" s="404"/>
      <c r="AJ114" s="345"/>
      <c r="AK114" s="43" t="s">
        <v>66</v>
      </c>
      <c r="AL114" s="404"/>
      <c r="AM114" s="404"/>
      <c r="AN114" s="404"/>
      <c r="AO114" s="407" t="s">
        <v>86</v>
      </c>
      <c r="AP114" s="407"/>
      <c r="AQ114" s="290">
        <v>43105</v>
      </c>
      <c r="AR114" s="408">
        <v>43179</v>
      </c>
      <c r="AS114" s="403"/>
      <c r="AT114" s="291">
        <v>43469</v>
      </c>
      <c r="AU114" s="25" t="s">
        <v>122</v>
      </c>
      <c r="AV114" s="43" t="s">
        <v>66</v>
      </c>
      <c r="AW114" s="33" t="s">
        <v>71</v>
      </c>
      <c r="AX114" s="33"/>
      <c r="AY114" s="403"/>
      <c r="AZ114" s="411"/>
      <c r="BA114" s="411"/>
      <c r="BB114" s="411"/>
      <c r="BC114" s="411"/>
      <c r="BD114" s="411"/>
      <c r="BE114" s="411"/>
      <c r="BF114" s="411"/>
      <c r="BG114" s="411"/>
      <c r="BH114" s="411"/>
      <c r="BI114" s="411"/>
      <c r="BJ114" s="411"/>
      <c r="BK114" s="411"/>
      <c r="BL114" s="411"/>
      <c r="BM114" s="411"/>
      <c r="BN114" s="411"/>
      <c r="BO114" s="411"/>
      <c r="BP114" s="411"/>
      <c r="BQ114" s="411"/>
      <c r="BR114" s="411"/>
      <c r="BS114" s="411"/>
      <c r="BT114" s="411"/>
      <c r="BU114" s="411"/>
      <c r="BV114" s="411"/>
      <c r="BW114" s="411"/>
      <c r="BX114" s="411"/>
      <c r="BY114" s="411"/>
      <c r="BZ114" s="411"/>
      <c r="CA114" s="411"/>
      <c r="CB114" s="411"/>
      <c r="CC114" s="411"/>
      <c r="CD114" s="411"/>
      <c r="CE114" s="411"/>
      <c r="CF114" s="411"/>
      <c r="CG114" s="411"/>
      <c r="CH114" s="411"/>
      <c r="CI114" s="411"/>
      <c r="CJ114" s="411"/>
      <c r="CK114" s="411"/>
      <c r="CL114" s="411"/>
      <c r="CM114" s="411"/>
      <c r="CN114" s="411"/>
      <c r="CO114" s="411"/>
      <c r="CP114" s="411"/>
      <c r="CQ114" s="411"/>
      <c r="CR114" s="411"/>
      <c r="CS114" s="411"/>
      <c r="CT114" s="411"/>
      <c r="CU114" s="411"/>
      <c r="CV114" s="411"/>
      <c r="CW114" s="411"/>
      <c r="CX114" s="411"/>
      <c r="CY114" s="411"/>
      <c r="CZ114" s="411"/>
      <c r="DA114" s="411"/>
      <c r="DB114" s="411"/>
      <c r="DC114" s="411"/>
      <c r="DD114" s="411"/>
      <c r="DE114" s="411"/>
      <c r="DF114" s="411"/>
    </row>
    <row r="115" spans="1:110" ht="21.75" customHeight="1">
      <c r="A115" s="5" t="s">
        <v>654</v>
      </c>
      <c r="B115" s="26" t="s">
        <v>655</v>
      </c>
      <c r="C115" s="31" t="s">
        <v>656</v>
      </c>
      <c r="D115" s="5" t="s">
        <v>657</v>
      </c>
      <c r="E115" s="31" t="s">
        <v>83</v>
      </c>
      <c r="F115" s="31" t="s">
        <v>580</v>
      </c>
      <c r="G115" s="6" t="s">
        <v>157</v>
      </c>
      <c r="H115" s="6"/>
      <c r="I115" s="292">
        <v>43182</v>
      </c>
      <c r="J115" s="5"/>
      <c r="K115" s="26">
        <f t="shared" si="6"/>
        <v>68200.399999999994</v>
      </c>
      <c r="L115" s="238">
        <v>68200.399999999994</v>
      </c>
      <c r="M115" s="239"/>
      <c r="N115" s="239"/>
      <c r="O115" s="239"/>
      <c r="P115" s="239"/>
      <c r="Q115" s="68">
        <v>68200.399999999994</v>
      </c>
      <c r="R115" s="239"/>
      <c r="S115" s="26"/>
      <c r="T115" s="5"/>
      <c r="U115" s="261"/>
      <c r="V115" s="261">
        <v>0.25</v>
      </c>
      <c r="W115" s="5"/>
      <c r="X115" s="5"/>
      <c r="Y115" s="5"/>
      <c r="Z115" s="5"/>
      <c r="AA115" s="5">
        <v>48255</v>
      </c>
      <c r="AB115" s="5"/>
      <c r="AC115" s="5"/>
      <c r="AD115" s="5"/>
      <c r="AE115" s="238">
        <f t="shared" si="5"/>
        <v>48255</v>
      </c>
      <c r="AF115" s="31" t="s">
        <v>108</v>
      </c>
      <c r="AG115" s="68"/>
      <c r="AH115" s="68"/>
      <c r="AI115" s="68"/>
      <c r="AJ115" s="43" t="s">
        <v>643</v>
      </c>
      <c r="AK115" s="43" t="s">
        <v>190</v>
      </c>
      <c r="AL115" s="68"/>
      <c r="AM115" s="68"/>
      <c r="AN115" s="68"/>
      <c r="AO115" s="289"/>
      <c r="AP115" s="289"/>
      <c r="AQ115" s="290"/>
      <c r="AR115" s="290"/>
      <c r="AS115" s="292">
        <v>42831</v>
      </c>
      <c r="AT115" s="291" t="s">
        <v>122</v>
      </c>
      <c r="AU115" s="31" t="s">
        <v>190</v>
      </c>
      <c r="AV115" s="43" t="s">
        <v>190</v>
      </c>
      <c r="AW115" s="26" t="s">
        <v>71</v>
      </c>
      <c r="AX115" s="26" t="s">
        <v>384</v>
      </c>
      <c r="AY115" s="31"/>
    </row>
    <row r="116" spans="1:110" ht="21.75" customHeight="1">
      <c r="A116" s="5" t="s">
        <v>658</v>
      </c>
      <c r="B116" s="26" t="s">
        <v>659</v>
      </c>
      <c r="C116" s="31" t="s">
        <v>660</v>
      </c>
      <c r="D116" s="5" t="s">
        <v>661</v>
      </c>
      <c r="E116" s="31" t="s">
        <v>83</v>
      </c>
      <c r="F116" s="31" t="s">
        <v>580</v>
      </c>
      <c r="G116" s="6" t="s">
        <v>157</v>
      </c>
      <c r="H116" s="6"/>
      <c r="I116" s="292">
        <v>43182</v>
      </c>
      <c r="J116" s="5"/>
      <c r="K116" s="26">
        <f t="shared" si="6"/>
        <v>67416</v>
      </c>
      <c r="L116" s="238">
        <v>67416</v>
      </c>
      <c r="M116" s="239"/>
      <c r="N116" s="239"/>
      <c r="O116" s="239"/>
      <c r="P116" s="239"/>
      <c r="Q116" s="68">
        <v>67416</v>
      </c>
      <c r="R116" s="239"/>
      <c r="S116" s="26"/>
      <c r="T116" s="5"/>
      <c r="U116" s="261"/>
      <c r="V116" s="261">
        <v>0.25</v>
      </c>
      <c r="W116" s="5"/>
      <c r="X116" s="5"/>
      <c r="Y116" s="5"/>
      <c r="Z116" s="5"/>
      <c r="AA116" s="5">
        <v>47700</v>
      </c>
      <c r="AB116" s="5"/>
      <c r="AC116" s="5"/>
      <c r="AD116" s="5"/>
      <c r="AE116" s="238">
        <f t="shared" si="5"/>
        <v>47700</v>
      </c>
      <c r="AF116" s="31" t="s">
        <v>108</v>
      </c>
      <c r="AG116" s="68"/>
      <c r="AH116" s="68"/>
      <c r="AI116" s="68"/>
      <c r="AJ116" s="43" t="s">
        <v>643</v>
      </c>
      <c r="AK116" s="43" t="s">
        <v>190</v>
      </c>
      <c r="AL116" s="68"/>
      <c r="AM116" s="68"/>
      <c r="AN116" s="68"/>
      <c r="AO116" s="289"/>
      <c r="AP116" s="289"/>
      <c r="AQ116" s="290"/>
      <c r="AR116" s="290"/>
      <c r="AS116" s="31" t="s">
        <v>662</v>
      </c>
      <c r="AT116" s="291" t="s">
        <v>122</v>
      </c>
      <c r="AU116" s="31" t="s">
        <v>190</v>
      </c>
      <c r="AV116" s="43" t="s">
        <v>190</v>
      </c>
      <c r="AW116" s="26" t="s">
        <v>71</v>
      </c>
      <c r="AX116" s="26" t="s">
        <v>384</v>
      </c>
      <c r="AY116" s="31"/>
    </row>
    <row r="117" spans="1:110" ht="21.75" customHeight="1">
      <c r="A117" s="5" t="s">
        <v>663</v>
      </c>
      <c r="B117" s="26" t="s">
        <v>664</v>
      </c>
      <c r="C117" s="31" t="s">
        <v>665</v>
      </c>
      <c r="D117" s="5" t="s">
        <v>666</v>
      </c>
      <c r="E117" s="31" t="s">
        <v>83</v>
      </c>
      <c r="F117" s="31" t="s">
        <v>580</v>
      </c>
      <c r="G117" s="6" t="s">
        <v>157</v>
      </c>
      <c r="H117" s="6"/>
      <c r="I117" s="292">
        <v>43185</v>
      </c>
      <c r="J117" s="5"/>
      <c r="K117" s="26">
        <f t="shared" si="6"/>
        <v>23108</v>
      </c>
      <c r="L117" s="238">
        <v>23108</v>
      </c>
      <c r="M117" s="239"/>
      <c r="N117" s="239"/>
      <c r="O117" s="239"/>
      <c r="P117" s="239"/>
      <c r="Q117" s="68">
        <v>23108</v>
      </c>
      <c r="R117" s="239"/>
      <c r="S117" s="26"/>
      <c r="T117" s="5"/>
      <c r="U117" s="261"/>
      <c r="V117" s="261">
        <v>0.25</v>
      </c>
      <c r="W117" s="5"/>
      <c r="X117" s="5"/>
      <c r="Y117" s="5"/>
      <c r="Z117" s="5"/>
      <c r="AA117" s="5">
        <v>16350</v>
      </c>
      <c r="AB117" s="5"/>
      <c r="AC117" s="5"/>
      <c r="AD117" s="5"/>
      <c r="AE117" s="238">
        <f t="shared" si="5"/>
        <v>16350</v>
      </c>
      <c r="AF117" s="31" t="s">
        <v>108</v>
      </c>
      <c r="AG117" s="68"/>
      <c r="AH117" s="68"/>
      <c r="AI117" s="68"/>
      <c r="AJ117" s="43" t="s">
        <v>643</v>
      </c>
      <c r="AK117" s="43" t="s">
        <v>190</v>
      </c>
      <c r="AL117" s="68"/>
      <c r="AM117" s="68"/>
      <c r="AN117" s="68"/>
      <c r="AO117" s="289"/>
      <c r="AP117" s="289"/>
      <c r="AQ117" s="290"/>
      <c r="AR117" s="290"/>
      <c r="AS117" s="31" t="s">
        <v>662</v>
      </c>
      <c r="AT117" s="291" t="s">
        <v>122</v>
      </c>
      <c r="AU117" s="31" t="s">
        <v>190</v>
      </c>
      <c r="AV117" s="43" t="s">
        <v>190</v>
      </c>
      <c r="AW117" s="26" t="s">
        <v>71</v>
      </c>
      <c r="AX117" s="26" t="s">
        <v>384</v>
      </c>
      <c r="AY117" s="31"/>
    </row>
    <row r="118" spans="1:110" ht="21.75" customHeight="1">
      <c r="A118" s="5" t="s">
        <v>667</v>
      </c>
      <c r="B118" s="26" t="s">
        <v>668</v>
      </c>
      <c r="C118" s="31" t="s">
        <v>669</v>
      </c>
      <c r="D118" s="5" t="s">
        <v>670</v>
      </c>
      <c r="E118" s="31" t="s">
        <v>126</v>
      </c>
      <c r="F118" s="31" t="s">
        <v>671</v>
      </c>
      <c r="G118" s="6" t="s">
        <v>76</v>
      </c>
      <c r="H118" s="6" t="s">
        <v>128</v>
      </c>
      <c r="I118" s="292">
        <v>43188</v>
      </c>
      <c r="J118" s="5"/>
      <c r="K118" s="26">
        <f t="shared" si="6"/>
        <v>369440</v>
      </c>
      <c r="L118" s="238">
        <v>369440</v>
      </c>
      <c r="M118" s="68">
        <v>369440</v>
      </c>
      <c r="N118" s="239"/>
      <c r="O118" s="239"/>
      <c r="P118" s="239"/>
      <c r="Q118" s="239"/>
      <c r="R118" s="239"/>
      <c r="S118" s="26"/>
      <c r="T118" s="5"/>
      <c r="U118" s="261"/>
      <c r="V118" s="261">
        <v>0.12</v>
      </c>
      <c r="W118" s="5">
        <v>325107</v>
      </c>
      <c r="X118" s="5"/>
      <c r="Y118" s="5"/>
      <c r="Z118" s="5"/>
      <c r="AA118" s="5"/>
      <c r="AB118" s="5"/>
      <c r="AC118" s="5"/>
      <c r="AD118" s="5"/>
      <c r="AE118" s="238">
        <f t="shared" si="5"/>
        <v>325107</v>
      </c>
      <c r="AF118" s="31" t="s">
        <v>145</v>
      </c>
      <c r="AG118" s="68"/>
      <c r="AH118" s="68"/>
      <c r="AI118" s="68"/>
      <c r="AJ118" s="345"/>
      <c r="AK118" s="43" t="s">
        <v>66</v>
      </c>
      <c r="AL118" s="68"/>
      <c r="AM118" s="68"/>
      <c r="AN118" s="68"/>
      <c r="AO118" s="289" t="s">
        <v>86</v>
      </c>
      <c r="AP118" s="289"/>
      <c r="AQ118" s="290">
        <v>43282</v>
      </c>
      <c r="AR118" s="290">
        <v>43301</v>
      </c>
      <c r="AS118" s="25" t="s">
        <v>78</v>
      </c>
      <c r="AT118" s="291">
        <v>43646</v>
      </c>
      <c r="AU118" s="25" t="s">
        <v>88</v>
      </c>
      <c r="AV118" s="43" t="s">
        <v>66</v>
      </c>
      <c r="AW118" s="26" t="s">
        <v>71</v>
      </c>
      <c r="AX118" s="26"/>
      <c r="AY118" s="31"/>
    </row>
    <row r="119" spans="1:110" ht="21.75" customHeight="1">
      <c r="A119" s="5" t="s">
        <v>672</v>
      </c>
      <c r="B119" s="26" t="s">
        <v>672</v>
      </c>
      <c r="C119" s="31" t="s">
        <v>673</v>
      </c>
      <c r="D119" s="5" t="s">
        <v>674</v>
      </c>
      <c r="E119" s="31" t="s">
        <v>75</v>
      </c>
      <c r="F119" s="31" t="s">
        <v>315</v>
      </c>
      <c r="G119" s="6" t="s">
        <v>76</v>
      </c>
      <c r="H119" s="6"/>
      <c r="I119" s="292">
        <v>43201</v>
      </c>
      <c r="J119" s="5" t="s">
        <v>675</v>
      </c>
      <c r="K119" s="26">
        <f t="shared" si="6"/>
        <v>29346</v>
      </c>
      <c r="L119" s="238">
        <v>29346</v>
      </c>
      <c r="M119" s="239"/>
      <c r="N119" s="239"/>
      <c r="O119" s="68">
        <v>29346</v>
      </c>
      <c r="P119" s="239"/>
      <c r="Q119" s="239"/>
      <c r="R119" s="239"/>
      <c r="S119" s="26"/>
      <c r="T119" s="5"/>
      <c r="U119" s="261"/>
      <c r="V119" s="261">
        <v>0.15</v>
      </c>
      <c r="W119" s="5"/>
      <c r="X119" s="5"/>
      <c r="Y119" s="5">
        <v>24944.1</v>
      </c>
      <c r="Z119" s="5"/>
      <c r="AA119" s="5"/>
      <c r="AB119" s="5"/>
      <c r="AC119" s="5"/>
      <c r="AD119" s="5"/>
      <c r="AE119" s="238">
        <f t="shared" si="5"/>
        <v>24944.1</v>
      </c>
      <c r="AF119" s="31" t="s">
        <v>85</v>
      </c>
      <c r="AG119" s="68"/>
      <c r="AH119" s="68"/>
      <c r="AI119" s="68"/>
      <c r="AJ119" s="345" t="s">
        <v>643</v>
      </c>
      <c r="AK119" s="43" t="s">
        <v>676</v>
      </c>
      <c r="AL119" s="68"/>
      <c r="AM119" s="68"/>
      <c r="AN119" s="68"/>
      <c r="AO119" s="289"/>
      <c r="AP119" s="289"/>
      <c r="AQ119" s="290"/>
      <c r="AR119" s="290"/>
      <c r="AS119" s="31"/>
      <c r="AT119" s="291"/>
      <c r="AU119" s="25" t="s">
        <v>213</v>
      </c>
      <c r="AV119" s="43" t="s">
        <v>676</v>
      </c>
      <c r="AW119" s="5" t="s">
        <v>71</v>
      </c>
      <c r="AX119" s="5"/>
      <c r="AY119" s="31"/>
    </row>
    <row r="120" spans="1:110" ht="21.75" customHeight="1">
      <c r="A120" s="5" t="s">
        <v>677</v>
      </c>
      <c r="B120" s="26" t="s">
        <v>678</v>
      </c>
      <c r="C120" s="31" t="s">
        <v>679</v>
      </c>
      <c r="D120" s="5" t="s">
        <v>680</v>
      </c>
      <c r="E120" s="31" t="s">
        <v>126</v>
      </c>
      <c r="F120" s="31" t="s">
        <v>315</v>
      </c>
      <c r="G120" s="6" t="s">
        <v>76</v>
      </c>
      <c r="H120" s="6" t="s">
        <v>128</v>
      </c>
      <c r="I120" s="292">
        <v>43202</v>
      </c>
      <c r="J120" s="5"/>
      <c r="K120" s="26">
        <f t="shared" si="6"/>
        <v>138615</v>
      </c>
      <c r="L120" s="238">
        <f>58251+80364</f>
        <v>138615</v>
      </c>
      <c r="M120" s="6" t="s">
        <v>681</v>
      </c>
      <c r="N120" s="6"/>
      <c r="O120" s="6" t="s">
        <v>682</v>
      </c>
      <c r="P120" s="6"/>
      <c r="Q120" s="6"/>
      <c r="R120" s="6"/>
      <c r="S120" s="26"/>
      <c r="T120" s="5"/>
      <c r="U120" s="261"/>
      <c r="V120" s="261">
        <v>0.15</v>
      </c>
      <c r="W120" s="5">
        <v>49513</v>
      </c>
      <c r="X120" s="5"/>
      <c r="Y120" s="5">
        <v>68309</v>
      </c>
      <c r="Z120" s="5"/>
      <c r="AA120" s="5"/>
      <c r="AB120" s="5"/>
      <c r="AC120" s="5"/>
      <c r="AD120" s="5"/>
      <c r="AE120" s="238">
        <f t="shared" si="5"/>
        <v>117822</v>
      </c>
      <c r="AF120" s="31" t="s">
        <v>145</v>
      </c>
      <c r="AG120" s="68"/>
      <c r="AH120" s="68"/>
      <c r="AI120" s="68"/>
      <c r="AJ120" s="345"/>
      <c r="AK120" s="43" t="s">
        <v>66</v>
      </c>
      <c r="AL120" s="68"/>
      <c r="AM120" s="68"/>
      <c r="AN120" s="68"/>
      <c r="AO120" s="289" t="s">
        <v>86</v>
      </c>
      <c r="AP120" s="289"/>
      <c r="AQ120" s="290">
        <v>42921</v>
      </c>
      <c r="AR120" s="290">
        <v>43202</v>
      </c>
      <c r="AS120" s="31"/>
      <c r="AT120" s="291" t="s">
        <v>219</v>
      </c>
      <c r="AU120" s="31" t="s">
        <v>219</v>
      </c>
      <c r="AV120" s="43" t="s">
        <v>66</v>
      </c>
      <c r="AW120" s="26" t="s">
        <v>71</v>
      </c>
      <c r="AX120" s="26"/>
      <c r="AY120" s="31"/>
    </row>
    <row r="121" spans="1:110" ht="21.75" customHeight="1">
      <c r="A121" s="5" t="s">
        <v>683</v>
      </c>
      <c r="B121" s="26" t="s">
        <v>684</v>
      </c>
      <c r="C121" s="31" t="s">
        <v>685</v>
      </c>
      <c r="D121" s="299" t="s">
        <v>440</v>
      </c>
      <c r="E121" s="31" t="s">
        <v>168</v>
      </c>
      <c r="F121" s="31" t="s">
        <v>300</v>
      </c>
      <c r="G121" s="6" t="s">
        <v>175</v>
      </c>
      <c r="H121" s="6" t="s">
        <v>84</v>
      </c>
      <c r="I121" s="292">
        <v>43215</v>
      </c>
      <c r="J121" s="5" t="s">
        <v>686</v>
      </c>
      <c r="K121" s="26">
        <f t="shared" si="6"/>
        <v>79200</v>
      </c>
      <c r="L121" s="238">
        <v>79200</v>
      </c>
      <c r="M121" s="239"/>
      <c r="N121" s="239"/>
      <c r="O121" s="239"/>
      <c r="P121" s="239"/>
      <c r="Q121" s="68">
        <v>79200</v>
      </c>
      <c r="R121" s="239"/>
      <c r="S121" s="26"/>
      <c r="T121" s="5"/>
      <c r="U121" s="261"/>
      <c r="V121" s="261">
        <v>0.15</v>
      </c>
      <c r="W121" s="5"/>
      <c r="X121" s="5"/>
      <c r="Y121" s="5"/>
      <c r="Z121" s="5"/>
      <c r="AA121" s="5">
        <f>6000+61320</f>
        <v>67320</v>
      </c>
      <c r="AB121" s="5"/>
      <c r="AC121" s="5"/>
      <c r="AD121" s="5"/>
      <c r="AE121" s="238">
        <f t="shared" si="5"/>
        <v>67320</v>
      </c>
      <c r="AF121" s="31" t="s">
        <v>442</v>
      </c>
      <c r="AG121" s="68"/>
      <c r="AH121" s="68"/>
      <c r="AI121" s="68"/>
      <c r="AJ121" s="345"/>
      <c r="AK121" s="43" t="s">
        <v>190</v>
      </c>
      <c r="AL121" s="68"/>
      <c r="AM121" s="68"/>
      <c r="AN121" s="68"/>
      <c r="AO121" s="289"/>
      <c r="AP121" s="289"/>
      <c r="AQ121" s="290"/>
      <c r="AR121" s="290"/>
      <c r="AS121" s="31" t="s">
        <v>687</v>
      </c>
      <c r="AT121" s="291">
        <v>45047</v>
      </c>
      <c r="AU121" s="31" t="s">
        <v>190</v>
      </c>
      <c r="AV121" s="43" t="s">
        <v>190</v>
      </c>
      <c r="AW121" s="26" t="s">
        <v>71</v>
      </c>
      <c r="AX121" s="5"/>
      <c r="AY121" s="31"/>
    </row>
    <row r="122" spans="1:110" ht="21.75" customHeight="1">
      <c r="A122" s="5" t="s">
        <v>688</v>
      </c>
      <c r="B122" s="26" t="s">
        <v>689</v>
      </c>
      <c r="C122" s="31" t="s">
        <v>690</v>
      </c>
      <c r="D122" s="299" t="s">
        <v>440</v>
      </c>
      <c r="E122" s="31" t="s">
        <v>168</v>
      </c>
      <c r="F122" s="31" t="s">
        <v>300</v>
      </c>
      <c r="G122" s="6" t="s">
        <v>175</v>
      </c>
      <c r="H122" s="6" t="s">
        <v>84</v>
      </c>
      <c r="I122" s="292">
        <v>43215</v>
      </c>
      <c r="J122" s="5" t="s">
        <v>686</v>
      </c>
      <c r="K122" s="26">
        <f t="shared" si="6"/>
        <v>79200</v>
      </c>
      <c r="L122" s="238">
        <v>79200</v>
      </c>
      <c r="M122" s="239"/>
      <c r="N122" s="239"/>
      <c r="O122" s="239"/>
      <c r="P122" s="239"/>
      <c r="Q122" s="68">
        <v>79200</v>
      </c>
      <c r="R122" s="239"/>
      <c r="S122" s="26"/>
      <c r="T122" s="5"/>
      <c r="U122" s="261"/>
      <c r="V122" s="261">
        <v>0.15</v>
      </c>
      <c r="W122" s="5"/>
      <c r="X122" s="5"/>
      <c r="Y122" s="5"/>
      <c r="Z122" s="5"/>
      <c r="AA122" s="5">
        <f>6000+61320</f>
        <v>67320</v>
      </c>
      <c r="AB122" s="5"/>
      <c r="AC122" s="5"/>
      <c r="AD122" s="5"/>
      <c r="AE122" s="238">
        <f t="shared" si="5"/>
        <v>67320</v>
      </c>
      <c r="AF122" s="31" t="s">
        <v>442</v>
      </c>
      <c r="AG122" s="68"/>
      <c r="AH122" s="68"/>
      <c r="AI122" s="68"/>
      <c r="AJ122" s="345"/>
      <c r="AK122" s="43" t="s">
        <v>190</v>
      </c>
      <c r="AL122" s="68"/>
      <c r="AM122" s="68"/>
      <c r="AN122" s="68"/>
      <c r="AO122" s="289"/>
      <c r="AP122" s="289"/>
      <c r="AQ122" s="290"/>
      <c r="AR122" s="290"/>
      <c r="AS122" s="31" t="s">
        <v>687</v>
      </c>
      <c r="AT122" s="291">
        <v>45047</v>
      </c>
      <c r="AU122" s="31" t="s">
        <v>190</v>
      </c>
      <c r="AV122" s="43" t="s">
        <v>190</v>
      </c>
      <c r="AW122" s="26" t="s">
        <v>71</v>
      </c>
      <c r="AX122" s="5"/>
      <c r="AY122" s="31"/>
    </row>
    <row r="123" spans="1:110" ht="21.75" customHeight="1">
      <c r="A123" s="5" t="s">
        <v>691</v>
      </c>
      <c r="B123" s="26" t="s">
        <v>692</v>
      </c>
      <c r="C123" s="31" t="s">
        <v>693</v>
      </c>
      <c r="D123" s="5" t="s">
        <v>694</v>
      </c>
      <c r="E123" s="31" t="s">
        <v>75</v>
      </c>
      <c r="F123" s="31" t="s">
        <v>695</v>
      </c>
      <c r="G123" s="6" t="s">
        <v>175</v>
      </c>
      <c r="H123" s="6" t="s">
        <v>128</v>
      </c>
      <c r="I123" s="292">
        <v>43202</v>
      </c>
      <c r="J123" s="5"/>
      <c r="K123" s="26">
        <f t="shared" si="6"/>
        <v>215773</v>
      </c>
      <c r="L123" s="238">
        <f>154873+60900</f>
        <v>215773</v>
      </c>
      <c r="M123" s="6" t="s">
        <v>696</v>
      </c>
      <c r="N123" s="6"/>
      <c r="O123" s="6" t="s">
        <v>697</v>
      </c>
      <c r="P123" s="6"/>
      <c r="Q123" s="6"/>
      <c r="R123" s="6"/>
      <c r="S123" s="26"/>
      <c r="T123" s="5"/>
      <c r="U123" s="261"/>
      <c r="V123" s="261">
        <v>0.15</v>
      </c>
      <c r="W123" s="5">
        <v>51765</v>
      </c>
      <c r="X123" s="5"/>
      <c r="Y123" s="5"/>
      <c r="Z123" s="5"/>
      <c r="AA123" s="5">
        <v>131642</v>
      </c>
      <c r="AB123" s="5"/>
      <c r="AC123" s="5"/>
      <c r="AD123" s="5"/>
      <c r="AE123" s="238">
        <f t="shared" si="5"/>
        <v>183407</v>
      </c>
      <c r="AF123" s="31" t="s">
        <v>114</v>
      </c>
      <c r="AG123" s="68"/>
      <c r="AH123" s="68"/>
      <c r="AI123" s="68"/>
      <c r="AJ123" s="345"/>
      <c r="AK123" s="43">
        <v>2019.3</v>
      </c>
      <c r="AL123" s="68"/>
      <c r="AM123" s="68"/>
      <c r="AN123" s="68"/>
      <c r="AO123" s="289"/>
      <c r="AP123" s="289"/>
      <c r="AQ123" s="290"/>
      <c r="AR123" s="290"/>
      <c r="AS123" s="31"/>
      <c r="AT123" s="291"/>
      <c r="AU123" s="25" t="s">
        <v>213</v>
      </c>
      <c r="AV123" s="43">
        <v>2019.3</v>
      </c>
      <c r="AW123" s="5" t="s">
        <v>71</v>
      </c>
      <c r="AX123" s="5"/>
      <c r="AY123" s="31"/>
    </row>
    <row r="124" spans="1:110" ht="21.75" customHeight="1">
      <c r="A124" s="5" t="s">
        <v>698</v>
      </c>
      <c r="B124" s="26" t="s">
        <v>699</v>
      </c>
      <c r="C124" s="31" t="s">
        <v>700</v>
      </c>
      <c r="D124" s="5" t="s">
        <v>701</v>
      </c>
      <c r="E124" s="31" t="s">
        <v>261</v>
      </c>
      <c r="F124" s="31" t="s">
        <v>309</v>
      </c>
      <c r="G124" s="6" t="s">
        <v>107</v>
      </c>
      <c r="H124" s="6" t="s">
        <v>702</v>
      </c>
      <c r="I124" s="292">
        <v>43203</v>
      </c>
      <c r="J124" s="5"/>
      <c r="K124" s="26">
        <f t="shared" si="6"/>
        <v>119201</v>
      </c>
      <c r="L124" s="238">
        <f>74803+44398</f>
        <v>119201</v>
      </c>
      <c r="M124" s="6" t="s">
        <v>703</v>
      </c>
      <c r="N124" s="6"/>
      <c r="O124" s="6" t="s">
        <v>704</v>
      </c>
      <c r="P124" s="6"/>
      <c r="Q124" s="6"/>
      <c r="R124" s="6"/>
      <c r="S124" s="26"/>
      <c r="T124" s="5"/>
      <c r="U124" s="261"/>
      <c r="V124" s="261">
        <v>0.15</v>
      </c>
      <c r="W124" s="5">
        <v>63388</v>
      </c>
      <c r="X124" s="5"/>
      <c r="Y124" s="5">
        <v>37612</v>
      </c>
      <c r="Z124" s="5"/>
      <c r="AA124" s="5"/>
      <c r="AB124" s="5"/>
      <c r="AC124" s="5"/>
      <c r="AD124" s="5"/>
      <c r="AE124" s="238">
        <f t="shared" si="5"/>
        <v>101000</v>
      </c>
      <c r="AF124" s="31" t="s">
        <v>77</v>
      </c>
      <c r="AG124" s="68"/>
      <c r="AH124" s="68"/>
      <c r="AI124" s="68"/>
      <c r="AJ124" s="43"/>
      <c r="AK124" s="43" t="s">
        <v>66</v>
      </c>
      <c r="AL124" s="68"/>
      <c r="AM124" s="68"/>
      <c r="AN124" s="68"/>
      <c r="AO124" s="289" t="s">
        <v>86</v>
      </c>
      <c r="AP124" s="289"/>
      <c r="AQ124" s="290">
        <v>43223</v>
      </c>
      <c r="AR124" s="290">
        <v>43223</v>
      </c>
      <c r="AS124" s="25" t="s">
        <v>78</v>
      </c>
      <c r="AT124" s="43" t="s">
        <v>405</v>
      </c>
      <c r="AU124" s="25" t="s">
        <v>88</v>
      </c>
      <c r="AV124" s="43" t="s">
        <v>66</v>
      </c>
      <c r="AW124" s="26" t="s">
        <v>71</v>
      </c>
      <c r="AX124" s="5"/>
      <c r="AY124" s="31"/>
    </row>
    <row r="125" spans="1:110" ht="21.75" customHeight="1">
      <c r="A125" s="5" t="s">
        <v>705</v>
      </c>
      <c r="B125" s="26" t="s">
        <v>706</v>
      </c>
      <c r="C125" s="31" t="s">
        <v>707</v>
      </c>
      <c r="D125" s="299" t="s">
        <v>708</v>
      </c>
      <c r="E125" s="31" t="s">
        <v>83</v>
      </c>
      <c r="F125" s="31" t="s">
        <v>190</v>
      </c>
      <c r="G125" s="6" t="s">
        <v>286</v>
      </c>
      <c r="H125" s="6" t="s">
        <v>84</v>
      </c>
      <c r="I125" s="292">
        <v>43210</v>
      </c>
      <c r="J125" s="5"/>
      <c r="K125" s="26">
        <f t="shared" si="6"/>
        <v>9600000</v>
      </c>
      <c r="L125" s="238">
        <v>1920000</v>
      </c>
      <c r="M125" s="239"/>
      <c r="N125" s="239"/>
      <c r="O125" s="68">
        <v>1920000</v>
      </c>
      <c r="P125" s="239"/>
      <c r="Q125" s="239"/>
      <c r="R125" s="239"/>
      <c r="S125" s="26">
        <v>7680000</v>
      </c>
      <c r="T125" s="5"/>
      <c r="U125" s="262">
        <v>0.11</v>
      </c>
      <c r="V125" s="261">
        <v>0.5</v>
      </c>
      <c r="W125" s="5"/>
      <c r="X125" s="5"/>
      <c r="Y125" s="5">
        <v>960000</v>
      </c>
      <c r="Z125" s="5"/>
      <c r="AA125" s="5"/>
      <c r="AB125" s="5"/>
      <c r="AC125" s="5"/>
      <c r="AD125" s="5"/>
      <c r="AE125" s="238">
        <f t="shared" si="5"/>
        <v>960000</v>
      </c>
      <c r="AF125" s="31" t="s">
        <v>132</v>
      </c>
      <c r="AG125" s="68"/>
      <c r="AH125" s="68"/>
      <c r="AI125" s="68"/>
      <c r="AJ125" s="345"/>
      <c r="AK125" s="43" t="s">
        <v>197</v>
      </c>
      <c r="AL125" s="68"/>
      <c r="AM125" s="68"/>
      <c r="AN125" s="68"/>
      <c r="AO125" s="289"/>
      <c r="AP125" s="289"/>
      <c r="AQ125" s="290"/>
      <c r="AR125" s="290"/>
      <c r="AS125" s="31" t="s">
        <v>709</v>
      </c>
      <c r="AT125" s="291"/>
      <c r="AU125" s="31" t="s">
        <v>197</v>
      </c>
      <c r="AV125" s="43" t="s">
        <v>197</v>
      </c>
      <c r="AW125" s="26" t="s">
        <v>71</v>
      </c>
      <c r="AX125" s="5"/>
      <c r="AY125" s="31"/>
    </row>
    <row r="126" spans="1:110" ht="21.75" customHeight="1">
      <c r="A126" s="5" t="s">
        <v>710</v>
      </c>
      <c r="B126" s="26" t="s">
        <v>711</v>
      </c>
      <c r="C126" s="31" t="s">
        <v>712</v>
      </c>
      <c r="D126" s="299" t="s">
        <v>713</v>
      </c>
      <c r="E126" s="31" t="s">
        <v>714</v>
      </c>
      <c r="F126" s="31" t="s">
        <v>190</v>
      </c>
      <c r="G126" s="6" t="s">
        <v>157</v>
      </c>
      <c r="H126" s="6" t="s">
        <v>63</v>
      </c>
      <c r="I126" s="292">
        <v>43210</v>
      </c>
      <c r="J126" s="5" t="s">
        <v>715</v>
      </c>
      <c r="K126" s="26">
        <f t="shared" si="6"/>
        <v>66480</v>
      </c>
      <c r="L126" s="238">
        <v>66480</v>
      </c>
      <c r="M126" s="239"/>
      <c r="N126" s="239"/>
      <c r="O126" s="239"/>
      <c r="P126" s="239"/>
      <c r="Q126" s="68">
        <v>66480</v>
      </c>
      <c r="R126" s="239"/>
      <c r="S126" s="26"/>
      <c r="T126" s="5"/>
      <c r="U126" s="261"/>
      <c r="V126" s="261"/>
      <c r="W126" s="5"/>
      <c r="X126" s="5"/>
      <c r="Y126" s="5"/>
      <c r="Z126" s="5"/>
      <c r="AA126" s="5">
        <v>55608</v>
      </c>
      <c r="AB126" s="5"/>
      <c r="AC126" s="5"/>
      <c r="AD126" s="5"/>
      <c r="AE126" s="238">
        <f t="shared" ref="AE126" si="7">SUM(W126:AA126)</f>
        <v>55608</v>
      </c>
      <c r="AF126" s="31" t="s">
        <v>108</v>
      </c>
      <c r="AG126" s="68"/>
      <c r="AH126" s="68"/>
      <c r="AI126" s="68"/>
      <c r="AJ126" s="345" t="s">
        <v>716</v>
      </c>
      <c r="AK126" s="43" t="s">
        <v>197</v>
      </c>
      <c r="AL126" s="68"/>
      <c r="AM126" s="68"/>
      <c r="AN126" s="68"/>
      <c r="AO126" s="289"/>
      <c r="AP126" s="289"/>
      <c r="AQ126" s="290"/>
      <c r="AR126" s="290"/>
      <c r="AS126" s="31" t="s">
        <v>717</v>
      </c>
      <c r="AT126" s="291">
        <v>43465</v>
      </c>
      <c r="AU126" s="31" t="s">
        <v>197</v>
      </c>
      <c r="AV126" s="43" t="s">
        <v>197</v>
      </c>
      <c r="AW126" s="26" t="s">
        <v>71</v>
      </c>
      <c r="AX126" s="26" t="s">
        <v>384</v>
      </c>
      <c r="AY126" s="31"/>
    </row>
    <row r="127" spans="1:110" s="376" customFormat="1" ht="21.75" customHeight="1">
      <c r="A127" s="35"/>
      <c r="B127" s="26"/>
      <c r="C127" s="34"/>
      <c r="D127" s="35" t="s">
        <v>718</v>
      </c>
      <c r="E127" s="391" t="s">
        <v>652</v>
      </c>
      <c r="F127" s="392"/>
      <c r="G127" s="392"/>
      <c r="H127" s="393"/>
      <c r="I127" s="397" t="s">
        <v>653</v>
      </c>
      <c r="J127" s="35"/>
      <c r="K127" s="35"/>
      <c r="L127" s="398"/>
      <c r="M127" s="399"/>
      <c r="N127" s="399"/>
      <c r="O127" s="399"/>
      <c r="P127" s="399"/>
      <c r="Q127" s="399"/>
      <c r="R127" s="399"/>
      <c r="S127" s="35"/>
      <c r="T127" s="35"/>
      <c r="U127" s="402"/>
      <c r="V127" s="402"/>
      <c r="W127" s="35"/>
      <c r="X127" s="35"/>
      <c r="Y127" s="35"/>
      <c r="Z127" s="35"/>
      <c r="AA127" s="35"/>
      <c r="AB127" s="35"/>
      <c r="AC127" s="35"/>
      <c r="AD127" s="35"/>
      <c r="AE127" s="398">
        <f t="shared" ref="AE127:AE136" si="8">SUM(W127:AA127)</f>
        <v>0</v>
      </c>
      <c r="AF127" s="34"/>
      <c r="AG127" s="405"/>
      <c r="AH127" s="405"/>
      <c r="AI127" s="405"/>
      <c r="AJ127" s="43"/>
      <c r="AK127" s="43" t="s">
        <v>66</v>
      </c>
      <c r="AL127" s="405"/>
      <c r="AM127" s="405"/>
      <c r="AN127" s="405"/>
      <c r="AO127" s="409"/>
      <c r="AP127" s="409"/>
      <c r="AQ127" s="290"/>
      <c r="AR127" s="410"/>
      <c r="AS127" s="34"/>
      <c r="AT127" s="291"/>
      <c r="AU127" s="34"/>
      <c r="AV127" s="43" t="s">
        <v>66</v>
      </c>
      <c r="AW127" s="26" t="s">
        <v>71</v>
      </c>
      <c r="AX127" s="35"/>
      <c r="AY127" s="34"/>
      <c r="AZ127" s="412"/>
      <c r="BA127" s="412"/>
      <c r="BB127" s="412"/>
      <c r="BC127" s="412"/>
      <c r="BD127" s="412"/>
      <c r="BE127" s="412"/>
      <c r="BF127" s="412"/>
      <c r="BG127" s="412"/>
      <c r="BH127" s="412"/>
      <c r="BI127" s="412"/>
      <c r="BJ127" s="412"/>
      <c r="BK127" s="412"/>
      <c r="BL127" s="412"/>
      <c r="BM127" s="412"/>
      <c r="BN127" s="412"/>
      <c r="BO127" s="412"/>
      <c r="BP127" s="412"/>
      <c r="BQ127" s="412"/>
      <c r="BR127" s="412"/>
      <c r="BS127" s="412"/>
      <c r="BT127" s="412"/>
      <c r="BU127" s="412"/>
      <c r="BV127" s="412"/>
      <c r="BW127" s="412"/>
      <c r="BX127" s="412"/>
      <c r="BY127" s="412"/>
      <c r="BZ127" s="412"/>
      <c r="CA127" s="412"/>
      <c r="CB127" s="412"/>
      <c r="CC127" s="412"/>
      <c r="CD127" s="412"/>
      <c r="CE127" s="412"/>
      <c r="CF127" s="412"/>
      <c r="CG127" s="412"/>
      <c r="CH127" s="412"/>
      <c r="CI127" s="412"/>
      <c r="CJ127" s="412"/>
      <c r="CK127" s="412"/>
      <c r="CL127" s="412"/>
      <c r="CM127" s="412"/>
      <c r="CN127" s="412"/>
      <c r="CO127" s="412"/>
      <c r="CP127" s="412"/>
      <c r="CQ127" s="412"/>
      <c r="CR127" s="412"/>
      <c r="CS127" s="412"/>
      <c r="CT127" s="412"/>
      <c r="CU127" s="412"/>
      <c r="CV127" s="412"/>
      <c r="CW127" s="412"/>
      <c r="CX127" s="412"/>
      <c r="CY127" s="412"/>
      <c r="CZ127" s="412"/>
      <c r="DA127" s="412"/>
      <c r="DB127" s="412"/>
      <c r="DC127" s="412"/>
      <c r="DD127" s="412"/>
      <c r="DE127" s="412"/>
      <c r="DF127" s="412"/>
    </row>
    <row r="128" spans="1:110" ht="21.75" customHeight="1">
      <c r="A128" s="5" t="s">
        <v>719</v>
      </c>
      <c r="B128" s="26" t="s">
        <v>720</v>
      </c>
      <c r="C128" s="31" t="s">
        <v>721</v>
      </c>
      <c r="D128" s="299" t="s">
        <v>722</v>
      </c>
      <c r="E128" s="31" t="s">
        <v>261</v>
      </c>
      <c r="F128" s="31" t="s">
        <v>300</v>
      </c>
      <c r="G128" s="6" t="s">
        <v>107</v>
      </c>
      <c r="H128" s="6" t="s">
        <v>63</v>
      </c>
      <c r="I128" s="292">
        <v>43214</v>
      </c>
      <c r="J128" s="5"/>
      <c r="K128" s="26">
        <f t="shared" ref="K128:K136" si="9">L128+S128</f>
        <v>3549163</v>
      </c>
      <c r="L128" s="238">
        <v>2269163</v>
      </c>
      <c r="M128" s="239"/>
      <c r="N128" s="239"/>
      <c r="O128" s="239"/>
      <c r="P128" s="239"/>
      <c r="Q128" s="68">
        <v>2269163</v>
      </c>
      <c r="R128" s="239"/>
      <c r="S128" s="26">
        <v>1280000</v>
      </c>
      <c r="T128" s="5"/>
      <c r="U128" s="262">
        <v>0.11</v>
      </c>
      <c r="V128" s="261">
        <v>0.15</v>
      </c>
      <c r="W128" s="5"/>
      <c r="X128" s="5"/>
      <c r="Y128" s="5">
        <v>1280000</v>
      </c>
      <c r="Z128" s="5"/>
      <c r="AA128" s="5">
        <v>1900000</v>
      </c>
      <c r="AB128" s="5"/>
      <c r="AC128" s="5"/>
      <c r="AD128" s="5"/>
      <c r="AE128" s="238">
        <f t="shared" si="8"/>
        <v>3180000</v>
      </c>
      <c r="AF128" s="31" t="s">
        <v>455</v>
      </c>
      <c r="AG128" s="68"/>
      <c r="AH128" s="68"/>
      <c r="AI128" s="68"/>
      <c r="AJ128" s="345"/>
      <c r="AK128" s="43" t="s">
        <v>190</v>
      </c>
      <c r="AL128" s="68"/>
      <c r="AM128" s="68"/>
      <c r="AN128" s="68"/>
      <c r="AO128" s="289"/>
      <c r="AP128" s="289"/>
      <c r="AQ128" s="290"/>
      <c r="AR128" s="290"/>
      <c r="AS128" s="292">
        <v>43112</v>
      </c>
      <c r="AT128" s="291">
        <v>43444</v>
      </c>
      <c r="AU128" s="31" t="s">
        <v>190</v>
      </c>
      <c r="AV128" s="43" t="s">
        <v>190</v>
      </c>
      <c r="AW128" s="26" t="s">
        <v>71</v>
      </c>
      <c r="AX128" s="5"/>
      <c r="AY128" s="31"/>
    </row>
    <row r="129" spans="1:110" ht="21.75" customHeight="1">
      <c r="A129" s="5" t="s">
        <v>723</v>
      </c>
      <c r="B129" s="26" t="s">
        <v>724</v>
      </c>
      <c r="C129" s="31" t="s">
        <v>725</v>
      </c>
      <c r="D129" s="299" t="s">
        <v>726</v>
      </c>
      <c r="E129" s="31" t="s">
        <v>106</v>
      </c>
      <c r="F129" s="31" t="s">
        <v>300</v>
      </c>
      <c r="G129" s="6" t="s">
        <v>107</v>
      </c>
      <c r="H129" s="6" t="s">
        <v>702</v>
      </c>
      <c r="I129" s="292">
        <v>43216</v>
      </c>
      <c r="J129" s="5" t="s">
        <v>727</v>
      </c>
      <c r="K129" s="26">
        <f t="shared" si="9"/>
        <v>300000</v>
      </c>
      <c r="L129" s="238">
        <v>300000</v>
      </c>
      <c r="M129" s="239"/>
      <c r="N129" s="239"/>
      <c r="O129" s="68">
        <v>300000</v>
      </c>
      <c r="P129" s="239"/>
      <c r="Q129" s="239"/>
      <c r="R129" s="239"/>
      <c r="S129" s="26"/>
      <c r="T129" s="5"/>
      <c r="U129" s="262"/>
      <c r="V129" s="261">
        <v>0.15</v>
      </c>
      <c r="W129" s="5"/>
      <c r="X129" s="5"/>
      <c r="Y129" s="5">
        <v>255000</v>
      </c>
      <c r="Z129" s="5"/>
      <c r="AA129" s="5"/>
      <c r="AB129" s="5"/>
      <c r="AC129" s="5"/>
      <c r="AD129" s="5"/>
      <c r="AE129" s="238">
        <f t="shared" si="8"/>
        <v>255000</v>
      </c>
      <c r="AF129" s="31" t="s">
        <v>442</v>
      </c>
      <c r="AG129" s="68"/>
      <c r="AH129" s="68"/>
      <c r="AI129" s="68"/>
      <c r="AJ129" s="345"/>
      <c r="AK129" s="43" t="s">
        <v>215</v>
      </c>
      <c r="AL129" s="68"/>
      <c r="AM129" s="68"/>
      <c r="AN129" s="68"/>
      <c r="AO129" s="289"/>
      <c r="AP129" s="289"/>
      <c r="AQ129" s="290"/>
      <c r="AR129" s="290"/>
      <c r="AS129" s="31"/>
      <c r="AT129" s="291">
        <v>44378</v>
      </c>
      <c r="AU129" s="31" t="s">
        <v>190</v>
      </c>
      <c r="AV129" s="43" t="s">
        <v>215</v>
      </c>
      <c r="AW129" s="26" t="s">
        <v>71</v>
      </c>
      <c r="AX129" s="5"/>
      <c r="AY129" s="31"/>
    </row>
    <row r="130" spans="1:110" ht="21.75" customHeight="1">
      <c r="A130" s="5" t="s">
        <v>728</v>
      </c>
      <c r="B130" s="26" t="s">
        <v>729</v>
      </c>
      <c r="C130" s="31" t="s">
        <v>730</v>
      </c>
      <c r="D130" s="5" t="s">
        <v>731</v>
      </c>
      <c r="E130" s="31" t="s">
        <v>83</v>
      </c>
      <c r="F130" s="31" t="s">
        <v>732</v>
      </c>
      <c r="G130" s="6" t="s">
        <v>150</v>
      </c>
      <c r="H130" s="6" t="s">
        <v>84</v>
      </c>
      <c r="I130" s="292">
        <v>43216</v>
      </c>
      <c r="J130" s="5"/>
      <c r="K130" s="26">
        <f t="shared" si="9"/>
        <v>57200</v>
      </c>
      <c r="L130" s="238">
        <v>57200</v>
      </c>
      <c r="M130" s="239" t="s">
        <v>733</v>
      </c>
      <c r="N130" s="239"/>
      <c r="O130" s="239"/>
      <c r="P130" s="239"/>
      <c r="Q130" s="68"/>
      <c r="R130" s="239"/>
      <c r="S130" s="26"/>
      <c r="T130" s="5"/>
      <c r="U130" s="262">
        <v>0</v>
      </c>
      <c r="V130" s="261">
        <v>0.15</v>
      </c>
      <c r="W130" s="5">
        <v>48620</v>
      </c>
      <c r="X130" s="5"/>
      <c r="Y130" s="5"/>
      <c r="Z130" s="5"/>
      <c r="AA130" s="5"/>
      <c r="AB130" s="5"/>
      <c r="AC130" s="5"/>
      <c r="AD130" s="5"/>
      <c r="AE130" s="238">
        <f t="shared" si="8"/>
        <v>48620</v>
      </c>
      <c r="AF130" s="31" t="s">
        <v>93</v>
      </c>
      <c r="AG130" s="68"/>
      <c r="AH130" s="68"/>
      <c r="AI130" s="68"/>
      <c r="AJ130" s="345"/>
      <c r="AK130" s="43"/>
      <c r="AL130" s="68"/>
      <c r="AM130" s="68"/>
      <c r="AN130" s="68"/>
      <c r="AO130" s="289" t="s">
        <v>86</v>
      </c>
      <c r="AP130" s="289"/>
      <c r="AQ130" s="290">
        <v>43191</v>
      </c>
      <c r="AR130" s="290">
        <v>43449</v>
      </c>
      <c r="AS130" s="31"/>
      <c r="AT130" s="291">
        <v>43813</v>
      </c>
      <c r="AU130" s="31" t="s">
        <v>88</v>
      </c>
      <c r="AV130" s="43"/>
      <c r="AW130" s="26"/>
      <c r="AX130" s="5"/>
      <c r="AY130" s="31"/>
    </row>
    <row r="131" spans="1:110" ht="21.75" customHeight="1">
      <c r="A131" s="5" t="s">
        <v>734</v>
      </c>
      <c r="B131" s="26" t="s">
        <v>735</v>
      </c>
      <c r="C131" s="31" t="s">
        <v>736</v>
      </c>
      <c r="D131" s="299" t="s">
        <v>737</v>
      </c>
      <c r="E131" s="31" t="s">
        <v>83</v>
      </c>
      <c r="F131" s="31" t="s">
        <v>300</v>
      </c>
      <c r="G131" s="6" t="s">
        <v>150</v>
      </c>
      <c r="H131" s="6" t="s">
        <v>84</v>
      </c>
      <c r="I131" s="292" t="s">
        <v>738</v>
      </c>
      <c r="J131" s="5"/>
      <c r="K131" s="26">
        <f t="shared" si="9"/>
        <v>297000</v>
      </c>
      <c r="L131" s="238">
        <v>297000</v>
      </c>
      <c r="M131" s="239"/>
      <c r="N131" s="239"/>
      <c r="O131" s="239"/>
      <c r="P131" s="239"/>
      <c r="Q131" s="68" t="s">
        <v>739</v>
      </c>
      <c r="R131" s="239"/>
      <c r="S131" s="26"/>
      <c r="T131" s="5"/>
      <c r="U131" s="262"/>
      <c r="V131" s="261">
        <v>0.15</v>
      </c>
      <c r="W131" s="5"/>
      <c r="X131" s="5"/>
      <c r="Y131" s="5"/>
      <c r="Z131" s="5"/>
      <c r="AA131" s="5">
        <v>252450</v>
      </c>
      <c r="AB131" s="5"/>
      <c r="AC131" s="5"/>
      <c r="AD131" s="5"/>
      <c r="AE131" s="238"/>
      <c r="AF131" s="31" t="s">
        <v>93</v>
      </c>
      <c r="AG131" s="68"/>
      <c r="AH131" s="68"/>
      <c r="AI131" s="68"/>
      <c r="AJ131" s="345"/>
      <c r="AK131" s="43" t="s">
        <v>122</v>
      </c>
      <c r="AL131" s="68"/>
      <c r="AM131" s="68"/>
      <c r="AN131" s="68"/>
      <c r="AO131" s="289" t="s">
        <v>86</v>
      </c>
      <c r="AP131" s="289"/>
      <c r="AQ131" s="290" t="s">
        <v>662</v>
      </c>
      <c r="AR131" s="290">
        <v>43449</v>
      </c>
      <c r="AS131" s="31" t="s">
        <v>662</v>
      </c>
      <c r="AT131" s="291" t="s">
        <v>122</v>
      </c>
      <c r="AU131" s="31" t="s">
        <v>190</v>
      </c>
      <c r="AV131" s="43" t="s">
        <v>122</v>
      </c>
      <c r="AW131" s="26" t="s">
        <v>71</v>
      </c>
      <c r="AX131" s="5"/>
      <c r="AY131" s="31"/>
    </row>
    <row r="132" spans="1:110" ht="21.75" customHeight="1">
      <c r="A132" s="5" t="s">
        <v>740</v>
      </c>
      <c r="B132" s="26" t="s">
        <v>741</v>
      </c>
      <c r="C132" s="31" t="s">
        <v>742</v>
      </c>
      <c r="D132" s="5" t="s">
        <v>743</v>
      </c>
      <c r="E132" s="31" t="s">
        <v>249</v>
      </c>
      <c r="F132" s="31" t="s">
        <v>309</v>
      </c>
      <c r="G132" s="6" t="s">
        <v>107</v>
      </c>
      <c r="H132" s="6" t="s">
        <v>63</v>
      </c>
      <c r="I132" s="292">
        <v>43223</v>
      </c>
      <c r="J132" s="5"/>
      <c r="K132" s="26">
        <f t="shared" si="9"/>
        <v>150228</v>
      </c>
      <c r="L132" s="238">
        <v>150228</v>
      </c>
      <c r="M132" s="68">
        <v>150228</v>
      </c>
      <c r="N132" s="239"/>
      <c r="O132" s="239"/>
      <c r="P132" s="239"/>
      <c r="Q132" s="239"/>
      <c r="R132" s="239"/>
      <c r="S132" s="26"/>
      <c r="T132" s="5"/>
      <c r="U132" s="262"/>
      <c r="V132" s="261">
        <v>0.1</v>
      </c>
      <c r="W132" s="5">
        <v>135205</v>
      </c>
      <c r="X132" s="5"/>
      <c r="Y132" s="5"/>
      <c r="Z132" s="5"/>
      <c r="AA132" s="5"/>
      <c r="AB132" s="5"/>
      <c r="AC132" s="5"/>
      <c r="AD132" s="5"/>
      <c r="AE132" s="238">
        <f t="shared" si="8"/>
        <v>135205</v>
      </c>
      <c r="AF132" s="31" t="s">
        <v>132</v>
      </c>
      <c r="AG132" s="68"/>
      <c r="AH132" s="68"/>
      <c r="AI132" s="68"/>
      <c r="AJ132" s="345"/>
      <c r="AK132" s="43" t="s">
        <v>66</v>
      </c>
      <c r="AL132" s="68"/>
      <c r="AM132" s="68"/>
      <c r="AN132" s="68"/>
      <c r="AO132" s="289"/>
      <c r="AP132" s="289"/>
      <c r="AQ132" s="290"/>
      <c r="AR132" s="290"/>
      <c r="AS132" s="31"/>
      <c r="AT132" s="291">
        <v>43466</v>
      </c>
      <c r="AU132" s="25" t="s">
        <v>213</v>
      </c>
      <c r="AV132" s="43" t="s">
        <v>66</v>
      </c>
      <c r="AW132" s="26" t="s">
        <v>71</v>
      </c>
      <c r="AX132" s="5"/>
      <c r="AY132" s="31"/>
    </row>
    <row r="133" spans="1:110" ht="21.75" customHeight="1">
      <c r="A133" s="5" t="s">
        <v>744</v>
      </c>
      <c r="B133" s="26" t="s">
        <v>745</v>
      </c>
      <c r="C133" s="31" t="s">
        <v>746</v>
      </c>
      <c r="D133" s="5" t="s">
        <v>747</v>
      </c>
      <c r="E133" s="31" t="s">
        <v>126</v>
      </c>
      <c r="F133" s="31" t="s">
        <v>315</v>
      </c>
      <c r="G133" s="6" t="s">
        <v>76</v>
      </c>
      <c r="H133" s="6" t="s">
        <v>63</v>
      </c>
      <c r="I133" s="292">
        <v>43237</v>
      </c>
      <c r="J133" s="5" t="s">
        <v>748</v>
      </c>
      <c r="K133" s="26">
        <f t="shared" si="9"/>
        <v>126830</v>
      </c>
      <c r="L133" s="238">
        <f>50895+75935</f>
        <v>126830</v>
      </c>
      <c r="M133" s="6" t="s">
        <v>749</v>
      </c>
      <c r="N133" s="6"/>
      <c r="O133" s="6" t="s">
        <v>750</v>
      </c>
      <c r="P133" s="6"/>
      <c r="Q133" s="6"/>
      <c r="R133" s="6"/>
      <c r="S133" s="26"/>
      <c r="T133" s="5"/>
      <c r="U133" s="262"/>
      <c r="V133" s="261">
        <v>0.15</v>
      </c>
      <c r="W133" s="5">
        <v>43261</v>
      </c>
      <c r="X133" s="5"/>
      <c r="Y133" s="5">
        <v>64545</v>
      </c>
      <c r="Z133" s="5"/>
      <c r="AA133" s="5"/>
      <c r="AB133" s="5"/>
      <c r="AC133" s="5"/>
      <c r="AD133" s="5"/>
      <c r="AE133" s="238">
        <f t="shared" si="8"/>
        <v>107806</v>
      </c>
      <c r="AF133" s="31" t="s">
        <v>145</v>
      </c>
      <c r="AG133" s="68"/>
      <c r="AH133" s="68"/>
      <c r="AI133" s="68"/>
      <c r="AJ133" s="345"/>
      <c r="AK133" s="43" t="s">
        <v>66</v>
      </c>
      <c r="AL133" s="68"/>
      <c r="AM133" s="68"/>
      <c r="AN133" s="68"/>
      <c r="AO133" s="289" t="s">
        <v>86</v>
      </c>
      <c r="AP133" s="289"/>
      <c r="AQ133" s="290">
        <v>43313</v>
      </c>
      <c r="AR133" s="290" t="s">
        <v>751</v>
      </c>
      <c r="AS133" s="25" t="s">
        <v>78</v>
      </c>
      <c r="AT133" s="291">
        <v>43677</v>
      </c>
      <c r="AU133" s="25" t="s">
        <v>88</v>
      </c>
      <c r="AV133" s="43" t="s">
        <v>66</v>
      </c>
      <c r="AW133" s="26" t="s">
        <v>71</v>
      </c>
      <c r="AX133" s="26"/>
      <c r="AY133" s="31"/>
    </row>
    <row r="134" spans="1:110" ht="21.75" customHeight="1">
      <c r="A134" s="5" t="s">
        <v>752</v>
      </c>
      <c r="B134" s="26" t="s">
        <v>753</v>
      </c>
      <c r="C134" s="31" t="s">
        <v>754</v>
      </c>
      <c r="D134" s="299" t="s">
        <v>755</v>
      </c>
      <c r="E134" s="31" t="s">
        <v>83</v>
      </c>
      <c r="F134" s="31" t="s">
        <v>300</v>
      </c>
      <c r="G134" s="6" t="s">
        <v>286</v>
      </c>
      <c r="H134" s="6"/>
      <c r="I134" s="292">
        <v>43228</v>
      </c>
      <c r="J134" s="5"/>
      <c r="K134" s="26">
        <f t="shared" si="9"/>
        <v>118000</v>
      </c>
      <c r="L134" s="238">
        <v>118000</v>
      </c>
      <c r="M134" s="239"/>
      <c r="N134" s="239"/>
      <c r="O134" s="239"/>
      <c r="P134" s="239"/>
      <c r="Q134" s="68">
        <v>118000</v>
      </c>
      <c r="R134" s="239"/>
      <c r="S134" s="26"/>
      <c r="T134" s="5"/>
      <c r="U134" s="262"/>
      <c r="V134" s="261">
        <v>1</v>
      </c>
      <c r="W134" s="5"/>
      <c r="X134" s="5"/>
      <c r="Y134" s="5"/>
      <c r="Z134" s="5"/>
      <c r="AA134" s="5"/>
      <c r="AB134" s="5"/>
      <c r="AC134" s="5"/>
      <c r="AD134" s="5"/>
      <c r="AE134" s="238">
        <f t="shared" si="8"/>
        <v>0</v>
      </c>
      <c r="AF134" s="31" t="s">
        <v>442</v>
      </c>
      <c r="AG134" s="68"/>
      <c r="AH134" s="68"/>
      <c r="AI134" s="68"/>
      <c r="AJ134" s="345"/>
      <c r="AK134" s="43" t="s">
        <v>190</v>
      </c>
      <c r="AL134" s="68"/>
      <c r="AM134" s="68"/>
      <c r="AN134" s="68"/>
      <c r="AO134" s="289"/>
      <c r="AP134" s="289"/>
      <c r="AQ134" s="290"/>
      <c r="AR134" s="290"/>
      <c r="AS134" s="31" t="s">
        <v>756</v>
      </c>
      <c r="AT134" s="291">
        <v>43313</v>
      </c>
      <c r="AU134" s="25" t="s">
        <v>219</v>
      </c>
      <c r="AV134" s="43" t="s">
        <v>190</v>
      </c>
      <c r="AW134" s="26" t="s">
        <v>71</v>
      </c>
      <c r="AX134" s="5"/>
      <c r="AY134" s="31"/>
    </row>
    <row r="135" spans="1:110" ht="21.75" customHeight="1">
      <c r="A135" s="5" t="s">
        <v>757</v>
      </c>
      <c r="B135" s="26" t="s">
        <v>758</v>
      </c>
      <c r="C135" s="31" t="s">
        <v>759</v>
      </c>
      <c r="D135" s="299" t="s">
        <v>760</v>
      </c>
      <c r="E135" s="31" t="s">
        <v>106</v>
      </c>
      <c r="F135" s="31" t="s">
        <v>300</v>
      </c>
      <c r="G135" s="6" t="s">
        <v>107</v>
      </c>
      <c r="H135" s="6" t="s">
        <v>63</v>
      </c>
      <c r="I135" s="292">
        <v>43239</v>
      </c>
      <c r="J135" s="31" t="s">
        <v>761</v>
      </c>
      <c r="K135" s="26">
        <f t="shared" si="9"/>
        <v>7450740</v>
      </c>
      <c r="L135" s="238">
        <f>4490740</f>
        <v>4490740</v>
      </c>
      <c r="M135" s="239"/>
      <c r="N135" s="239"/>
      <c r="O135" s="239"/>
      <c r="P135" s="239"/>
      <c r="Q135" s="68">
        <f>4490740</f>
        <v>4490740</v>
      </c>
      <c r="R135" s="239"/>
      <c r="S135" s="26">
        <v>2960000</v>
      </c>
      <c r="T135" s="5"/>
      <c r="U135" s="262">
        <v>0.11</v>
      </c>
      <c r="V135" s="261">
        <v>0.16</v>
      </c>
      <c r="W135" s="5"/>
      <c r="X135" s="5"/>
      <c r="Y135" s="5">
        <v>2960000</v>
      </c>
      <c r="Z135" s="5"/>
      <c r="AA135" s="5">
        <f>2200000+1000000+560000</f>
        <v>3760000</v>
      </c>
      <c r="AB135" s="5"/>
      <c r="AC135" s="5"/>
      <c r="AD135" s="5"/>
      <c r="AE135" s="238">
        <f t="shared" si="8"/>
        <v>6720000</v>
      </c>
      <c r="AF135" s="31" t="s">
        <v>442</v>
      </c>
      <c r="AG135" s="68"/>
      <c r="AH135" s="68"/>
      <c r="AI135" s="68"/>
      <c r="AJ135" s="345"/>
      <c r="AK135" s="43" t="s">
        <v>190</v>
      </c>
      <c r="AL135" s="68"/>
      <c r="AM135" s="68"/>
      <c r="AN135" s="68"/>
      <c r="AO135" s="289"/>
      <c r="AP135" s="289"/>
      <c r="AQ135" s="290"/>
      <c r="AR135" s="290"/>
      <c r="AS135" s="31"/>
      <c r="AT135" s="291">
        <v>43159</v>
      </c>
      <c r="AU135" s="31" t="s">
        <v>190</v>
      </c>
      <c r="AV135" s="43" t="s">
        <v>190</v>
      </c>
      <c r="AW135" s="26" t="s">
        <v>71</v>
      </c>
      <c r="AX135" s="5"/>
      <c r="AY135" s="31"/>
    </row>
    <row r="136" spans="1:110" ht="21.75" customHeight="1">
      <c r="A136" s="5" t="s">
        <v>762</v>
      </c>
      <c r="B136" s="26" t="s">
        <v>763</v>
      </c>
      <c r="C136" s="31" t="s">
        <v>764</v>
      </c>
      <c r="D136" s="5" t="s">
        <v>765</v>
      </c>
      <c r="E136" s="31" t="s">
        <v>374</v>
      </c>
      <c r="F136" s="31" t="s">
        <v>315</v>
      </c>
      <c r="G136" s="6" t="s">
        <v>286</v>
      </c>
      <c r="H136" s="6" t="s">
        <v>766</v>
      </c>
      <c r="I136" s="292">
        <v>43230</v>
      </c>
      <c r="J136" s="5"/>
      <c r="K136" s="26">
        <f t="shared" si="9"/>
        <v>1453960</v>
      </c>
      <c r="L136" s="238">
        <f>500960+953000</f>
        <v>1453960</v>
      </c>
      <c r="M136" s="6"/>
      <c r="N136" s="6" t="s">
        <v>767</v>
      </c>
      <c r="O136" s="6"/>
      <c r="P136" s="6" t="s">
        <v>768</v>
      </c>
      <c r="Q136" s="6"/>
      <c r="R136" s="6"/>
      <c r="S136" s="26"/>
      <c r="T136" s="5"/>
      <c r="U136" s="262"/>
      <c r="V136" s="261">
        <v>0.1</v>
      </c>
      <c r="W136" s="5">
        <v>450864</v>
      </c>
      <c r="X136" s="5"/>
      <c r="Y136" s="5">
        <v>857700</v>
      </c>
      <c r="Z136" s="5"/>
      <c r="AA136" s="5"/>
      <c r="AB136" s="5"/>
      <c r="AC136" s="5"/>
      <c r="AD136" s="5"/>
      <c r="AE136" s="238">
        <f t="shared" si="8"/>
        <v>1308564</v>
      </c>
      <c r="AF136" s="31" t="s">
        <v>77</v>
      </c>
      <c r="AG136" s="68"/>
      <c r="AH136" s="68"/>
      <c r="AI136" s="68"/>
      <c r="AJ136" s="43"/>
      <c r="AK136" s="43" t="s">
        <v>769</v>
      </c>
      <c r="AL136" s="68"/>
      <c r="AM136" s="68"/>
      <c r="AN136" s="68"/>
      <c r="AO136" s="289" t="s">
        <v>770</v>
      </c>
      <c r="AP136" s="289"/>
      <c r="AQ136" s="290">
        <v>43322</v>
      </c>
      <c r="AR136" s="290"/>
      <c r="AS136" s="31"/>
      <c r="AT136" s="291">
        <v>43686</v>
      </c>
      <c r="AU136" s="25" t="s">
        <v>88</v>
      </c>
      <c r="AV136" s="43" t="s">
        <v>769</v>
      </c>
      <c r="AW136" s="26" t="s">
        <v>71</v>
      </c>
      <c r="AX136" s="5"/>
      <c r="AY136" s="31"/>
    </row>
    <row r="137" spans="1:110" s="376" customFormat="1" ht="21.75" customHeight="1">
      <c r="A137" s="35"/>
      <c r="B137" s="26" t="s">
        <v>771</v>
      </c>
      <c r="C137" s="18" t="s">
        <v>772</v>
      </c>
      <c r="D137" s="35" t="s">
        <v>773</v>
      </c>
      <c r="E137" s="391" t="s">
        <v>652</v>
      </c>
      <c r="F137" s="392"/>
      <c r="G137" s="392"/>
      <c r="H137" s="393"/>
      <c r="I137" s="414" t="s">
        <v>653</v>
      </c>
      <c r="J137" s="35"/>
      <c r="K137" s="35">
        <f>14824+169484</f>
        <v>184308</v>
      </c>
      <c r="L137" s="398"/>
      <c r="M137" s="399"/>
      <c r="N137" s="405"/>
      <c r="O137" s="405"/>
      <c r="P137" s="405"/>
      <c r="Q137" s="405"/>
      <c r="R137" s="405"/>
      <c r="S137" s="35"/>
      <c r="T137" s="35"/>
      <c r="U137" s="415"/>
      <c r="V137" s="402"/>
      <c r="W137" s="35"/>
      <c r="X137" s="35"/>
      <c r="Y137" s="35"/>
      <c r="Z137" s="35"/>
      <c r="AA137" s="35"/>
      <c r="AB137" s="35"/>
      <c r="AC137" s="35"/>
      <c r="AD137" s="35"/>
      <c r="AE137" s="398">
        <f t="shared" ref="AE137:AE165" si="10">SUM(W137:AA137)</f>
        <v>0</v>
      </c>
      <c r="AF137" s="34"/>
      <c r="AG137" s="405"/>
      <c r="AH137" s="405"/>
      <c r="AI137" s="405"/>
      <c r="AJ137" s="345"/>
      <c r="AK137" s="43" t="s">
        <v>66</v>
      </c>
      <c r="AL137" s="405"/>
      <c r="AM137" s="405"/>
      <c r="AN137" s="405"/>
      <c r="AO137" s="409" t="s">
        <v>86</v>
      </c>
      <c r="AP137" s="409"/>
      <c r="AQ137" s="290">
        <v>42513</v>
      </c>
      <c r="AR137" s="410">
        <v>43231</v>
      </c>
      <c r="AS137" s="34"/>
      <c r="AT137" s="291">
        <v>42877</v>
      </c>
      <c r="AU137" s="34" t="s">
        <v>122</v>
      </c>
      <c r="AV137" s="43" t="s">
        <v>66</v>
      </c>
      <c r="AW137" s="35"/>
      <c r="AX137" s="35"/>
      <c r="AY137" s="34"/>
      <c r="AZ137" s="412"/>
      <c r="BA137" s="412"/>
      <c r="BB137" s="412"/>
      <c r="BC137" s="412"/>
      <c r="BD137" s="412"/>
      <c r="BE137" s="412"/>
      <c r="BF137" s="412"/>
      <c r="BG137" s="412"/>
      <c r="BH137" s="412"/>
      <c r="BI137" s="412"/>
      <c r="BJ137" s="412"/>
      <c r="BK137" s="412"/>
      <c r="BL137" s="412"/>
      <c r="BM137" s="412"/>
      <c r="BN137" s="412"/>
      <c r="BO137" s="412"/>
      <c r="BP137" s="412"/>
      <c r="BQ137" s="412"/>
      <c r="BR137" s="412"/>
      <c r="BS137" s="412"/>
      <c r="BT137" s="412"/>
      <c r="BU137" s="412"/>
      <c r="BV137" s="412"/>
      <c r="BW137" s="412"/>
      <c r="BX137" s="412"/>
      <c r="BY137" s="412"/>
      <c r="BZ137" s="412"/>
      <c r="CA137" s="412"/>
      <c r="CB137" s="412"/>
      <c r="CC137" s="412"/>
      <c r="CD137" s="412"/>
      <c r="CE137" s="412"/>
      <c r="CF137" s="412"/>
      <c r="CG137" s="412"/>
      <c r="CH137" s="412"/>
      <c r="CI137" s="412"/>
      <c r="CJ137" s="412"/>
      <c r="CK137" s="412"/>
      <c r="CL137" s="412"/>
      <c r="CM137" s="412"/>
      <c r="CN137" s="412"/>
      <c r="CO137" s="412"/>
      <c r="CP137" s="412"/>
      <c r="CQ137" s="412"/>
      <c r="CR137" s="412"/>
      <c r="CS137" s="412"/>
      <c r="CT137" s="412"/>
      <c r="CU137" s="412"/>
      <c r="CV137" s="412"/>
      <c r="CW137" s="412"/>
      <c r="CX137" s="412"/>
      <c r="CY137" s="412"/>
      <c r="CZ137" s="412"/>
      <c r="DA137" s="412"/>
      <c r="DB137" s="412"/>
      <c r="DC137" s="412"/>
      <c r="DD137" s="412"/>
      <c r="DE137" s="412"/>
      <c r="DF137" s="412"/>
    </row>
    <row r="138" spans="1:110" s="376" customFormat="1" ht="21.75" customHeight="1">
      <c r="A138" s="35"/>
      <c r="B138" s="26" t="s">
        <v>774</v>
      </c>
      <c r="C138" s="18" t="s">
        <v>775</v>
      </c>
      <c r="D138" s="35" t="s">
        <v>776</v>
      </c>
      <c r="E138" s="391" t="s">
        <v>652</v>
      </c>
      <c r="F138" s="392"/>
      <c r="G138" s="392"/>
      <c r="H138" s="393"/>
      <c r="I138" s="414" t="s">
        <v>653</v>
      </c>
      <c r="J138" s="35"/>
      <c r="K138" s="35"/>
      <c r="L138" s="398"/>
      <c r="M138" s="399"/>
      <c r="N138" s="405"/>
      <c r="O138" s="405"/>
      <c r="P138" s="405"/>
      <c r="Q138" s="405"/>
      <c r="R138" s="405"/>
      <c r="S138" s="35"/>
      <c r="T138" s="35"/>
      <c r="U138" s="415"/>
      <c r="V138" s="402"/>
      <c r="W138" s="35"/>
      <c r="X138" s="35"/>
      <c r="Y138" s="35"/>
      <c r="Z138" s="35"/>
      <c r="AA138" s="35"/>
      <c r="AB138" s="35"/>
      <c r="AC138" s="35"/>
      <c r="AD138" s="35"/>
      <c r="AE138" s="398"/>
      <c r="AF138" s="34"/>
      <c r="AG138" s="405"/>
      <c r="AH138" s="405"/>
      <c r="AI138" s="405"/>
      <c r="AJ138" s="345"/>
      <c r="AK138" s="43" t="s">
        <v>66</v>
      </c>
      <c r="AL138" s="405"/>
      <c r="AM138" s="405"/>
      <c r="AN138" s="405"/>
      <c r="AO138" s="409" t="s">
        <v>86</v>
      </c>
      <c r="AP138" s="409"/>
      <c r="AQ138" s="290">
        <v>43238</v>
      </c>
      <c r="AR138" s="410">
        <v>43238</v>
      </c>
      <c r="AS138" s="25" t="s">
        <v>78</v>
      </c>
      <c r="AT138" s="291">
        <v>43602</v>
      </c>
      <c r="AU138" s="25" t="s">
        <v>88</v>
      </c>
      <c r="AV138" s="43" t="s">
        <v>66</v>
      </c>
      <c r="AW138" s="35"/>
      <c r="AX138" s="35"/>
      <c r="AY138" s="34"/>
      <c r="AZ138" s="412"/>
      <c r="BA138" s="412"/>
      <c r="BB138" s="412"/>
      <c r="BC138" s="412"/>
      <c r="BD138" s="412"/>
      <c r="BE138" s="412"/>
      <c r="BF138" s="412"/>
      <c r="BG138" s="412"/>
      <c r="BH138" s="412"/>
      <c r="BI138" s="412"/>
      <c r="BJ138" s="412"/>
      <c r="BK138" s="412"/>
      <c r="BL138" s="412"/>
      <c r="BM138" s="412"/>
      <c r="BN138" s="412"/>
      <c r="BO138" s="412"/>
      <c r="BP138" s="412"/>
      <c r="BQ138" s="412"/>
      <c r="BR138" s="412"/>
      <c r="BS138" s="412"/>
      <c r="BT138" s="412"/>
      <c r="BU138" s="412"/>
      <c r="BV138" s="412"/>
      <c r="BW138" s="412"/>
      <c r="BX138" s="412"/>
      <c r="BY138" s="412"/>
      <c r="BZ138" s="412"/>
      <c r="CA138" s="412"/>
      <c r="CB138" s="412"/>
      <c r="CC138" s="412"/>
      <c r="CD138" s="412"/>
      <c r="CE138" s="412"/>
      <c r="CF138" s="412"/>
      <c r="CG138" s="412"/>
      <c r="CH138" s="412"/>
      <c r="CI138" s="412"/>
      <c r="CJ138" s="412"/>
      <c r="CK138" s="412"/>
      <c r="CL138" s="412"/>
      <c r="CM138" s="412"/>
      <c r="CN138" s="412"/>
      <c r="CO138" s="412"/>
      <c r="CP138" s="412"/>
      <c r="CQ138" s="412"/>
      <c r="CR138" s="412"/>
      <c r="CS138" s="412"/>
      <c r="CT138" s="412"/>
      <c r="CU138" s="412"/>
      <c r="CV138" s="412"/>
      <c r="CW138" s="412"/>
      <c r="CX138" s="412"/>
      <c r="CY138" s="412"/>
      <c r="CZ138" s="412"/>
      <c r="DA138" s="412"/>
      <c r="DB138" s="412"/>
      <c r="DC138" s="412"/>
      <c r="DD138" s="412"/>
      <c r="DE138" s="412"/>
      <c r="DF138" s="412"/>
    </row>
    <row r="139" spans="1:110" ht="21.75" customHeight="1">
      <c r="A139" s="5" t="s">
        <v>777</v>
      </c>
      <c r="B139" s="26" t="s">
        <v>778</v>
      </c>
      <c r="C139" s="31" t="s">
        <v>779</v>
      </c>
      <c r="D139" s="5" t="s">
        <v>780</v>
      </c>
      <c r="E139" s="31" t="s">
        <v>374</v>
      </c>
      <c r="F139" s="31" t="s">
        <v>315</v>
      </c>
      <c r="G139" s="6" t="s">
        <v>286</v>
      </c>
      <c r="H139" s="6" t="s">
        <v>84</v>
      </c>
      <c r="I139" s="292">
        <v>43235</v>
      </c>
      <c r="J139" s="5"/>
      <c r="K139" s="26">
        <f t="shared" ref="K139:K172" si="11">L139+S139</f>
        <v>1020000</v>
      </c>
      <c r="L139" s="238">
        <f t="shared" ref="L139:L207" si="12">SUM(M139:R139)</f>
        <v>1020000</v>
      </c>
      <c r="M139" s="6"/>
      <c r="N139" s="68">
        <v>305100</v>
      </c>
      <c r="O139" s="68"/>
      <c r="P139" s="68"/>
      <c r="Q139" s="68">
        <v>714900</v>
      </c>
      <c r="R139" s="68"/>
      <c r="S139" s="5"/>
      <c r="T139" s="5"/>
      <c r="U139" s="261"/>
      <c r="V139" s="261">
        <v>0.1</v>
      </c>
      <c r="W139" s="5"/>
      <c r="X139" s="5">
        <v>274590</v>
      </c>
      <c r="Y139" s="5"/>
      <c r="Z139" s="5"/>
      <c r="AA139" s="5">
        <v>643410</v>
      </c>
      <c r="AB139" s="5"/>
      <c r="AC139" s="5"/>
      <c r="AD139" s="5"/>
      <c r="AE139" s="238">
        <f t="shared" si="10"/>
        <v>918000</v>
      </c>
      <c r="AF139" s="31" t="s">
        <v>77</v>
      </c>
      <c r="AG139" s="68"/>
      <c r="AH139" s="68"/>
      <c r="AI139" s="68"/>
      <c r="AJ139" s="43" t="s">
        <v>781</v>
      </c>
      <c r="AK139" s="43">
        <v>2019.1</v>
      </c>
      <c r="AL139" s="68"/>
      <c r="AM139" s="68"/>
      <c r="AN139" s="68"/>
      <c r="AO139" s="289"/>
      <c r="AP139" s="289"/>
      <c r="AQ139" s="290"/>
      <c r="AR139" s="290"/>
      <c r="AS139" s="31"/>
      <c r="AT139" s="291"/>
      <c r="AU139" s="25" t="s">
        <v>213</v>
      </c>
      <c r="AV139" s="43">
        <v>2019.1</v>
      </c>
      <c r="AW139" s="26" t="s">
        <v>71</v>
      </c>
      <c r="AX139" s="5"/>
      <c r="AY139" s="31"/>
    </row>
    <row r="140" spans="1:110" ht="21.75" customHeight="1">
      <c r="A140" s="5" t="s">
        <v>782</v>
      </c>
      <c r="B140" s="26" t="s">
        <v>783</v>
      </c>
      <c r="C140" s="31" t="s">
        <v>784</v>
      </c>
      <c r="D140" s="5" t="s">
        <v>785</v>
      </c>
      <c r="E140" s="31" t="s">
        <v>265</v>
      </c>
      <c r="F140" s="31" t="s">
        <v>315</v>
      </c>
      <c r="G140" s="6" t="s">
        <v>286</v>
      </c>
      <c r="H140" s="6" t="s">
        <v>84</v>
      </c>
      <c r="I140" s="292">
        <v>43235</v>
      </c>
      <c r="J140" s="5"/>
      <c r="K140" s="26">
        <f t="shared" si="11"/>
        <v>346000</v>
      </c>
      <c r="L140" s="238">
        <f t="shared" si="12"/>
        <v>346000</v>
      </c>
      <c r="M140" s="6"/>
      <c r="N140" s="68">
        <v>331977.25</v>
      </c>
      <c r="O140" s="68"/>
      <c r="P140" s="68"/>
      <c r="Q140" s="68">
        <v>14022.75</v>
      </c>
      <c r="R140" s="68"/>
      <c r="S140" s="5"/>
      <c r="T140" s="5"/>
      <c r="U140" s="261"/>
      <c r="V140" s="261">
        <v>0.1</v>
      </c>
      <c r="W140" s="5"/>
      <c r="X140" s="5">
        <v>298779.52000000002</v>
      </c>
      <c r="Y140" s="5"/>
      <c r="Z140" s="5"/>
      <c r="AA140" s="5">
        <v>12620.48</v>
      </c>
      <c r="AB140" s="5"/>
      <c r="AC140" s="5"/>
      <c r="AD140" s="5"/>
      <c r="AE140" s="238">
        <f t="shared" si="10"/>
        <v>311400</v>
      </c>
      <c r="AF140" s="31" t="s">
        <v>62</v>
      </c>
      <c r="AG140" s="68"/>
      <c r="AH140" s="68"/>
      <c r="AI140" s="68"/>
      <c r="AJ140" s="345"/>
      <c r="AK140" s="43">
        <v>2019.1</v>
      </c>
      <c r="AL140" s="68"/>
      <c r="AM140" s="68"/>
      <c r="AN140" s="68"/>
      <c r="AO140" s="289" t="s">
        <v>86</v>
      </c>
      <c r="AP140" s="289"/>
      <c r="AQ140" s="290">
        <v>43282</v>
      </c>
      <c r="AR140" s="290">
        <v>43319</v>
      </c>
      <c r="AS140" s="31"/>
      <c r="AT140" s="291">
        <v>43646</v>
      </c>
      <c r="AU140" s="25" t="s">
        <v>88</v>
      </c>
      <c r="AV140" s="43">
        <v>2019.1</v>
      </c>
      <c r="AW140" s="5" t="s">
        <v>71</v>
      </c>
      <c r="AX140" s="5"/>
      <c r="AY140" s="31"/>
    </row>
    <row r="141" spans="1:110" ht="21.75" customHeight="1">
      <c r="A141" s="5" t="s">
        <v>786</v>
      </c>
      <c r="B141" s="26" t="s">
        <v>787</v>
      </c>
      <c r="C141" s="31" t="s">
        <v>788</v>
      </c>
      <c r="D141" s="299" t="s">
        <v>789</v>
      </c>
      <c r="E141" s="31" t="s">
        <v>261</v>
      </c>
      <c r="F141" s="31" t="s">
        <v>190</v>
      </c>
      <c r="G141" s="6" t="s">
        <v>107</v>
      </c>
      <c r="H141" s="6" t="s">
        <v>702</v>
      </c>
      <c r="I141" s="292">
        <v>43235</v>
      </c>
      <c r="J141" s="5"/>
      <c r="K141" s="26">
        <f t="shared" si="11"/>
        <v>9980000</v>
      </c>
      <c r="L141" s="238">
        <f t="shared" si="12"/>
        <v>9980000</v>
      </c>
      <c r="M141" s="6"/>
      <c r="N141" s="68">
        <v>4500820</v>
      </c>
      <c r="O141" s="68"/>
      <c r="P141" s="68">
        <v>4481180</v>
      </c>
      <c r="Q141" s="68">
        <v>998000</v>
      </c>
      <c r="R141" s="68"/>
      <c r="S141" s="5"/>
      <c r="T141" s="5"/>
      <c r="U141" s="261"/>
      <c r="V141" s="261"/>
      <c r="W141" s="5"/>
      <c r="X141" s="5">
        <v>4500000</v>
      </c>
      <c r="Y141" s="5"/>
      <c r="Z141" s="5">
        <v>3045000</v>
      </c>
      <c r="AA141" s="5">
        <v>835000</v>
      </c>
      <c r="AB141" s="5"/>
      <c r="AC141" s="5"/>
      <c r="AD141" s="5"/>
      <c r="AE141" s="238">
        <f t="shared" si="10"/>
        <v>8380000</v>
      </c>
      <c r="AF141" s="31" t="s">
        <v>77</v>
      </c>
      <c r="AG141" s="68"/>
      <c r="AH141" s="68"/>
      <c r="AI141" s="68"/>
      <c r="AJ141" s="43" t="s">
        <v>790</v>
      </c>
      <c r="AK141" s="43">
        <v>2018.12</v>
      </c>
      <c r="AL141" s="68"/>
      <c r="AM141" s="68"/>
      <c r="AN141" s="68"/>
      <c r="AO141" s="289"/>
      <c r="AP141" s="289"/>
      <c r="AQ141" s="290"/>
      <c r="AR141" s="290"/>
      <c r="AS141" s="31"/>
      <c r="AT141" s="291"/>
      <c r="AU141" s="31" t="s">
        <v>213</v>
      </c>
      <c r="AV141" s="43">
        <v>2018.12</v>
      </c>
      <c r="AW141" s="26" t="s">
        <v>71</v>
      </c>
      <c r="AX141" s="5"/>
      <c r="AY141" s="31"/>
    </row>
    <row r="142" spans="1:110" ht="21.75" customHeight="1">
      <c r="A142" s="5" t="s">
        <v>791</v>
      </c>
      <c r="B142" s="26" t="s">
        <v>792</v>
      </c>
      <c r="C142" s="31" t="s">
        <v>793</v>
      </c>
      <c r="D142" s="5" t="s">
        <v>794</v>
      </c>
      <c r="E142" s="31" t="s">
        <v>271</v>
      </c>
      <c r="F142" s="31" t="s">
        <v>315</v>
      </c>
      <c r="G142" s="6" t="s">
        <v>795</v>
      </c>
      <c r="H142" s="6" t="s">
        <v>128</v>
      </c>
      <c r="I142" s="292">
        <v>43235</v>
      </c>
      <c r="J142" s="5"/>
      <c r="K142" s="26">
        <f t="shared" si="11"/>
        <v>95061.3</v>
      </c>
      <c r="L142" s="238">
        <f t="shared" si="12"/>
        <v>95061.3</v>
      </c>
      <c r="M142" s="6"/>
      <c r="N142" s="68">
        <v>53047.8</v>
      </c>
      <c r="O142" s="68"/>
      <c r="P142" s="68">
        <v>42013.5</v>
      </c>
      <c r="Q142" s="68"/>
      <c r="R142" s="68"/>
      <c r="S142" s="5"/>
      <c r="T142" s="5"/>
      <c r="U142" s="261"/>
      <c r="V142" s="261">
        <v>0.15</v>
      </c>
      <c r="W142" s="5"/>
      <c r="X142" s="5">
        <v>45090.63</v>
      </c>
      <c r="Y142" s="5"/>
      <c r="Z142" s="5">
        <v>35711.474999999999</v>
      </c>
      <c r="AA142" s="5"/>
      <c r="AB142" s="5"/>
      <c r="AC142" s="5"/>
      <c r="AD142" s="5"/>
      <c r="AE142" s="238">
        <f t="shared" si="10"/>
        <v>80802.104999999996</v>
      </c>
      <c r="AF142" s="31" t="s">
        <v>77</v>
      </c>
      <c r="AG142" s="68"/>
      <c r="AH142" s="68"/>
      <c r="AI142" s="68"/>
      <c r="AJ142" s="43" t="s">
        <v>796</v>
      </c>
      <c r="AK142" s="43">
        <v>2018.11</v>
      </c>
      <c r="AL142" s="68"/>
      <c r="AM142" s="68"/>
      <c r="AN142" s="68"/>
      <c r="AO142" s="289" t="s">
        <v>86</v>
      </c>
      <c r="AP142" s="289"/>
      <c r="AQ142" s="290">
        <v>43381</v>
      </c>
      <c r="AR142" s="290">
        <v>43449</v>
      </c>
      <c r="AS142" s="31"/>
      <c r="AT142" s="291">
        <v>43813</v>
      </c>
      <c r="AU142" s="25" t="s">
        <v>88</v>
      </c>
      <c r="AV142" s="43">
        <v>2018.11</v>
      </c>
      <c r="AW142" s="26" t="s">
        <v>71</v>
      </c>
      <c r="AX142" s="5"/>
      <c r="AY142" s="31"/>
    </row>
    <row r="143" spans="1:110" ht="21.75" customHeight="1">
      <c r="A143" s="5" t="s">
        <v>797</v>
      </c>
      <c r="B143" s="26" t="s">
        <v>798</v>
      </c>
      <c r="C143" s="31" t="s">
        <v>799</v>
      </c>
      <c r="D143" s="5" t="s">
        <v>800</v>
      </c>
      <c r="E143" s="31" t="s">
        <v>249</v>
      </c>
      <c r="F143" s="31" t="s">
        <v>315</v>
      </c>
      <c r="G143" s="6" t="s">
        <v>157</v>
      </c>
      <c r="H143" s="6" t="s">
        <v>63</v>
      </c>
      <c r="I143" s="292">
        <v>43235</v>
      </c>
      <c r="J143" s="5"/>
      <c r="K143" s="26">
        <f t="shared" si="11"/>
        <v>6500000</v>
      </c>
      <c r="L143" s="238">
        <f t="shared" si="12"/>
        <v>6500000</v>
      </c>
      <c r="M143" s="6"/>
      <c r="N143" s="68">
        <v>700000</v>
      </c>
      <c r="O143" s="68"/>
      <c r="P143" s="68">
        <v>2128000</v>
      </c>
      <c r="Q143" s="68">
        <v>3672000</v>
      </c>
      <c r="R143" s="68"/>
      <c r="S143" s="5"/>
      <c r="T143" s="5"/>
      <c r="U143" s="261"/>
      <c r="V143" s="261">
        <v>0.31</v>
      </c>
      <c r="W143" s="5"/>
      <c r="X143" s="5">
        <v>700000</v>
      </c>
      <c r="Y143" s="5"/>
      <c r="Z143" s="5">
        <v>1467700</v>
      </c>
      <c r="AA143" s="5">
        <v>3672000</v>
      </c>
      <c r="AB143" s="5"/>
      <c r="AC143" s="5"/>
      <c r="AD143" s="5"/>
      <c r="AE143" s="238">
        <f t="shared" si="10"/>
        <v>5839700</v>
      </c>
      <c r="AF143" s="31" t="s">
        <v>108</v>
      </c>
      <c r="AG143" s="68"/>
      <c r="AH143" s="68"/>
      <c r="AI143" s="68"/>
      <c r="AJ143" s="345" t="s">
        <v>801</v>
      </c>
      <c r="AK143" s="43" t="s">
        <v>66</v>
      </c>
      <c r="AL143" s="68"/>
      <c r="AM143" s="68"/>
      <c r="AN143" s="68"/>
      <c r="AO143" s="289" t="s">
        <v>86</v>
      </c>
      <c r="AP143" s="289"/>
      <c r="AQ143" s="290">
        <v>43348</v>
      </c>
      <c r="AR143" s="290">
        <v>43397</v>
      </c>
      <c r="AS143" s="31" t="s">
        <v>87</v>
      </c>
      <c r="AT143" s="291">
        <v>44443</v>
      </c>
      <c r="AU143" s="25" t="s">
        <v>88</v>
      </c>
      <c r="AV143" s="43" t="s">
        <v>66</v>
      </c>
      <c r="AW143" s="5" t="s">
        <v>71</v>
      </c>
      <c r="AX143" s="5" t="s">
        <v>384</v>
      </c>
      <c r="AY143" s="31"/>
    </row>
    <row r="144" spans="1:110" ht="21.75" customHeight="1">
      <c r="A144" s="5" t="s">
        <v>802</v>
      </c>
      <c r="B144" s="26" t="s">
        <v>803</v>
      </c>
      <c r="C144" s="31" t="s">
        <v>804</v>
      </c>
      <c r="D144" s="5" t="s">
        <v>805</v>
      </c>
      <c r="E144" s="31" t="s">
        <v>271</v>
      </c>
      <c r="F144" s="31" t="s">
        <v>315</v>
      </c>
      <c r="G144" s="6" t="s">
        <v>795</v>
      </c>
      <c r="H144" s="6" t="s">
        <v>806</v>
      </c>
      <c r="I144" s="292">
        <v>43235</v>
      </c>
      <c r="J144" s="5"/>
      <c r="K144" s="26">
        <f t="shared" si="11"/>
        <v>1458375</v>
      </c>
      <c r="L144" s="238">
        <f t="shared" si="12"/>
        <v>1458375</v>
      </c>
      <c r="M144" s="6"/>
      <c r="N144" s="68"/>
      <c r="O144" s="68"/>
      <c r="P144" s="68">
        <v>1458375</v>
      </c>
      <c r="Q144" s="68"/>
      <c r="R144" s="68"/>
      <c r="S144" s="5"/>
      <c r="T144" s="5"/>
      <c r="U144" s="261"/>
      <c r="V144" s="261">
        <v>0.15</v>
      </c>
      <c r="W144" s="5"/>
      <c r="X144" s="5"/>
      <c r="Y144" s="5"/>
      <c r="Z144" s="5">
        <v>1239618.75</v>
      </c>
      <c r="AA144" s="5"/>
      <c r="AB144" s="5"/>
      <c r="AC144" s="5"/>
      <c r="AD144" s="5"/>
      <c r="AE144" s="238">
        <f t="shared" si="10"/>
        <v>1239618.75</v>
      </c>
      <c r="AF144" s="31" t="s">
        <v>108</v>
      </c>
      <c r="AG144" s="68"/>
      <c r="AH144" s="68"/>
      <c r="AI144" s="68"/>
      <c r="AJ144" s="345" t="s">
        <v>807</v>
      </c>
      <c r="AK144" s="43" t="s">
        <v>808</v>
      </c>
      <c r="AL144" s="68"/>
      <c r="AM144" s="68"/>
      <c r="AN144" s="68"/>
      <c r="AO144" s="289" t="s">
        <v>86</v>
      </c>
      <c r="AP144" s="289"/>
      <c r="AQ144" s="290">
        <v>43465</v>
      </c>
      <c r="AR144" s="290">
        <v>43468</v>
      </c>
      <c r="AS144" s="31"/>
      <c r="AT144" s="291">
        <v>43829</v>
      </c>
      <c r="AU144" s="25" t="s">
        <v>88</v>
      </c>
      <c r="AV144" s="43" t="s">
        <v>808</v>
      </c>
      <c r="AW144" s="5" t="s">
        <v>71</v>
      </c>
      <c r="AX144" s="5" t="s">
        <v>384</v>
      </c>
      <c r="AY144" s="31"/>
    </row>
    <row r="145" spans="1:51" ht="42" customHeight="1">
      <c r="A145" s="5" t="s">
        <v>802</v>
      </c>
      <c r="B145" s="26" t="s">
        <v>809</v>
      </c>
      <c r="C145" s="31" t="s">
        <v>810</v>
      </c>
      <c r="D145" s="299" t="s">
        <v>811</v>
      </c>
      <c r="E145" s="31" t="s">
        <v>271</v>
      </c>
      <c r="F145" s="31" t="s">
        <v>300</v>
      </c>
      <c r="G145" s="6" t="s">
        <v>795</v>
      </c>
      <c r="H145" s="6" t="s">
        <v>128</v>
      </c>
      <c r="I145" s="292">
        <v>43369</v>
      </c>
      <c r="J145" s="31" t="s">
        <v>812</v>
      </c>
      <c r="K145" s="26">
        <f t="shared" si="11"/>
        <v>9810000</v>
      </c>
      <c r="L145" s="238">
        <f t="shared" ref="L145:L150" si="13">SUM(M145:R145)</f>
        <v>3240000</v>
      </c>
      <c r="M145" s="6"/>
      <c r="N145" s="68"/>
      <c r="O145" s="68"/>
      <c r="P145" s="68"/>
      <c r="Q145" s="68">
        <v>3240000</v>
      </c>
      <c r="R145" s="68"/>
      <c r="S145" s="5">
        <f>6210000+360000</f>
        <v>6570000</v>
      </c>
      <c r="T145" s="5"/>
      <c r="U145" s="261">
        <v>0.06</v>
      </c>
      <c r="V145" s="261">
        <v>0.113</v>
      </c>
      <c r="W145" s="5"/>
      <c r="X145" s="5"/>
      <c r="Y145" s="5"/>
      <c r="Z145" s="5"/>
      <c r="AA145" s="5">
        <v>2873880</v>
      </c>
      <c r="AB145" s="5"/>
      <c r="AC145" s="5">
        <f>6210000+360000</f>
        <v>6570000</v>
      </c>
      <c r="AD145" s="5"/>
      <c r="AE145" s="238">
        <f t="shared" ref="AE145:AE153" si="14">SUM(W145:AA145)</f>
        <v>2873880</v>
      </c>
      <c r="AF145" s="31" t="s">
        <v>813</v>
      </c>
      <c r="AG145" s="68"/>
      <c r="AH145" s="68"/>
      <c r="AI145" s="68"/>
      <c r="AJ145" s="345"/>
      <c r="AK145" s="43" t="s">
        <v>190</v>
      </c>
      <c r="AL145" s="68"/>
      <c r="AM145" s="68"/>
      <c r="AN145" s="68"/>
      <c r="AO145" s="289"/>
      <c r="AP145" s="289"/>
      <c r="AQ145" s="290"/>
      <c r="AR145" s="290"/>
      <c r="AS145" s="31"/>
      <c r="AT145" s="291"/>
      <c r="AU145" s="31" t="s">
        <v>190</v>
      </c>
      <c r="AV145" s="43" t="s">
        <v>190</v>
      </c>
      <c r="AW145" s="5" t="s">
        <v>71</v>
      </c>
      <c r="AX145" s="60">
        <v>43369</v>
      </c>
      <c r="AY145" s="31"/>
    </row>
    <row r="146" spans="1:51" ht="21.75" customHeight="1">
      <c r="A146" s="5" t="s">
        <v>814</v>
      </c>
      <c r="B146" s="26" t="s">
        <v>815</v>
      </c>
      <c r="C146" s="31" t="s">
        <v>816</v>
      </c>
      <c r="D146" s="5" t="s">
        <v>817</v>
      </c>
      <c r="E146" s="31" t="s">
        <v>294</v>
      </c>
      <c r="F146" s="31" t="s">
        <v>315</v>
      </c>
      <c r="G146" s="6" t="s">
        <v>76</v>
      </c>
      <c r="H146" s="6"/>
      <c r="I146" s="292">
        <v>43236</v>
      </c>
      <c r="J146" s="5"/>
      <c r="K146" s="26">
        <f t="shared" si="11"/>
        <v>198000</v>
      </c>
      <c r="L146" s="238">
        <f t="shared" si="13"/>
        <v>198000</v>
      </c>
      <c r="M146" s="6"/>
      <c r="N146" s="68">
        <v>118543.5</v>
      </c>
      <c r="O146" s="68"/>
      <c r="P146" s="68">
        <v>79456.5</v>
      </c>
      <c r="Q146" s="68"/>
      <c r="R146" s="68"/>
      <c r="S146" s="5"/>
      <c r="T146" s="5"/>
      <c r="U146" s="261"/>
      <c r="V146" s="261">
        <v>0.15</v>
      </c>
      <c r="W146" s="5"/>
      <c r="X146" s="5">
        <v>100761.98</v>
      </c>
      <c r="Y146" s="5"/>
      <c r="Z146" s="5">
        <v>67538.03</v>
      </c>
      <c r="AA146" s="5"/>
      <c r="AB146" s="5"/>
      <c r="AC146" s="5"/>
      <c r="AD146" s="5"/>
      <c r="AE146" s="238">
        <f t="shared" si="14"/>
        <v>168300.01</v>
      </c>
      <c r="AF146" s="31" t="s">
        <v>62</v>
      </c>
      <c r="AG146" s="68"/>
      <c r="AH146" s="68"/>
      <c r="AI146" s="68"/>
      <c r="AJ146" s="345"/>
      <c r="AK146" s="43" t="s">
        <v>66</v>
      </c>
      <c r="AL146" s="68"/>
      <c r="AM146" s="68"/>
      <c r="AN146" s="68"/>
      <c r="AO146" s="289" t="s">
        <v>86</v>
      </c>
      <c r="AP146" s="289"/>
      <c r="AQ146" s="290">
        <v>43328</v>
      </c>
      <c r="AR146" s="290">
        <v>43338</v>
      </c>
      <c r="AS146" s="25" t="s">
        <v>78</v>
      </c>
      <c r="AT146" s="291">
        <v>43692</v>
      </c>
      <c r="AU146" s="25" t="s">
        <v>88</v>
      </c>
      <c r="AV146" s="43" t="s">
        <v>66</v>
      </c>
      <c r="AW146" s="5" t="s">
        <v>71</v>
      </c>
      <c r="AX146" s="5"/>
      <c r="AY146" s="31"/>
    </row>
    <row r="147" spans="1:51" ht="21.75" customHeight="1">
      <c r="A147" s="5" t="s">
        <v>818</v>
      </c>
      <c r="B147" s="26" t="s">
        <v>819</v>
      </c>
      <c r="C147" s="31" t="s">
        <v>820</v>
      </c>
      <c r="D147" s="5" t="s">
        <v>821</v>
      </c>
      <c r="E147" s="31" t="s">
        <v>294</v>
      </c>
      <c r="F147" s="31" t="s">
        <v>315</v>
      </c>
      <c r="G147" s="6" t="s">
        <v>76</v>
      </c>
      <c r="H147" s="6"/>
      <c r="I147" s="292">
        <v>43236</v>
      </c>
      <c r="J147" s="5"/>
      <c r="K147" s="26">
        <f t="shared" si="11"/>
        <v>96570</v>
      </c>
      <c r="L147" s="238">
        <f t="shared" si="13"/>
        <v>96570</v>
      </c>
      <c r="M147" s="6"/>
      <c r="N147" s="68">
        <v>36903.599999999999</v>
      </c>
      <c r="O147" s="68"/>
      <c r="P147" s="68">
        <v>59666.400000000001</v>
      </c>
      <c r="Q147" s="68"/>
      <c r="R147" s="68"/>
      <c r="S147" s="5"/>
      <c r="T147" s="5"/>
      <c r="U147" s="261"/>
      <c r="V147" s="261">
        <v>0.15</v>
      </c>
      <c r="W147" s="5"/>
      <c r="X147" s="5">
        <v>31368.06</v>
      </c>
      <c r="Y147" s="5"/>
      <c r="Z147" s="5">
        <v>50716.44</v>
      </c>
      <c r="AA147" s="5"/>
      <c r="AB147" s="5"/>
      <c r="AC147" s="5"/>
      <c r="AD147" s="5"/>
      <c r="AE147" s="238">
        <f t="shared" si="14"/>
        <v>82084.5</v>
      </c>
      <c r="AF147" s="31" t="s">
        <v>62</v>
      </c>
      <c r="AG147" s="68"/>
      <c r="AH147" s="68"/>
      <c r="AI147" s="68"/>
      <c r="AJ147" s="345"/>
      <c r="AK147" s="43" t="s">
        <v>66</v>
      </c>
      <c r="AL147" s="68"/>
      <c r="AM147" s="68"/>
      <c r="AN147" s="68"/>
      <c r="AO147" s="289" t="s">
        <v>86</v>
      </c>
      <c r="AP147" s="289"/>
      <c r="AQ147" s="290">
        <v>43230</v>
      </c>
      <c r="AR147" s="290">
        <v>43369</v>
      </c>
      <c r="AS147" s="25" t="s">
        <v>78</v>
      </c>
      <c r="AT147" s="291">
        <v>43594</v>
      </c>
      <c r="AU147" s="25" t="s">
        <v>88</v>
      </c>
      <c r="AV147" s="43" t="s">
        <v>66</v>
      </c>
      <c r="AW147" s="5" t="s">
        <v>71</v>
      </c>
      <c r="AX147" s="5"/>
      <c r="AY147" s="31"/>
    </row>
    <row r="148" spans="1:51" ht="21.75" customHeight="1">
      <c r="A148" s="5" t="s">
        <v>822</v>
      </c>
      <c r="B148" s="26" t="s">
        <v>823</v>
      </c>
      <c r="C148" s="31" t="s">
        <v>824</v>
      </c>
      <c r="D148" s="5" t="s">
        <v>825</v>
      </c>
      <c r="E148" s="31" t="s">
        <v>83</v>
      </c>
      <c r="F148" s="31" t="s">
        <v>315</v>
      </c>
      <c r="G148" s="6" t="s">
        <v>76</v>
      </c>
      <c r="H148" s="6"/>
      <c r="I148" s="292">
        <v>43236</v>
      </c>
      <c r="J148" s="5"/>
      <c r="K148" s="26">
        <f t="shared" si="11"/>
        <v>194000</v>
      </c>
      <c r="L148" s="238">
        <f t="shared" si="13"/>
        <v>194000</v>
      </c>
      <c r="M148" s="6"/>
      <c r="N148" s="68">
        <v>158000</v>
      </c>
      <c r="O148" s="68"/>
      <c r="P148" s="68">
        <v>36000</v>
      </c>
      <c r="Q148" s="68"/>
      <c r="R148" s="68"/>
      <c r="S148" s="5"/>
      <c r="T148" s="5"/>
      <c r="U148" s="261"/>
      <c r="V148" s="261">
        <v>0.15</v>
      </c>
      <c r="W148" s="5"/>
      <c r="X148" s="5">
        <v>134300</v>
      </c>
      <c r="Y148" s="5"/>
      <c r="Z148" s="5">
        <v>30600</v>
      </c>
      <c r="AA148" s="5"/>
      <c r="AB148" s="5"/>
      <c r="AC148" s="5"/>
      <c r="AD148" s="5"/>
      <c r="AE148" s="238">
        <f t="shared" si="14"/>
        <v>164900</v>
      </c>
      <c r="AF148" s="31" t="s">
        <v>85</v>
      </c>
      <c r="AG148" s="68"/>
      <c r="AH148" s="68"/>
      <c r="AI148" s="68"/>
      <c r="AJ148" s="345" t="s">
        <v>826</v>
      </c>
      <c r="AK148" s="43" t="s">
        <v>66</v>
      </c>
      <c r="AL148" s="68"/>
      <c r="AM148" s="68"/>
      <c r="AN148" s="68"/>
      <c r="AO148" s="289" t="s">
        <v>86</v>
      </c>
      <c r="AP148" s="289"/>
      <c r="AQ148" s="290">
        <v>43228</v>
      </c>
      <c r="AR148" s="290">
        <v>43344</v>
      </c>
      <c r="AS148" s="25" t="s">
        <v>78</v>
      </c>
      <c r="AT148" s="291">
        <v>43592</v>
      </c>
      <c r="AU148" s="25" t="s">
        <v>88</v>
      </c>
      <c r="AV148" s="43" t="s">
        <v>66</v>
      </c>
      <c r="AW148" s="5" t="s">
        <v>71</v>
      </c>
      <c r="AX148" s="5"/>
      <c r="AY148" s="31"/>
    </row>
    <row r="149" spans="1:51" ht="21.75" customHeight="1">
      <c r="A149" s="5" t="s">
        <v>827</v>
      </c>
      <c r="B149" s="26" t="s">
        <v>828</v>
      </c>
      <c r="C149" s="31" t="s">
        <v>829</v>
      </c>
      <c r="D149" s="5" t="s">
        <v>830</v>
      </c>
      <c r="E149" s="31" t="s">
        <v>126</v>
      </c>
      <c r="F149" s="31" t="s">
        <v>315</v>
      </c>
      <c r="G149" s="6" t="s">
        <v>76</v>
      </c>
      <c r="H149" s="6"/>
      <c r="I149" s="292">
        <v>43236</v>
      </c>
      <c r="J149" s="5"/>
      <c r="K149" s="26">
        <f t="shared" si="11"/>
        <v>19270</v>
      </c>
      <c r="L149" s="238">
        <f t="shared" si="13"/>
        <v>19270</v>
      </c>
      <c r="M149" s="6"/>
      <c r="N149" s="68">
        <v>13470</v>
      </c>
      <c r="O149" s="68"/>
      <c r="P149" s="68">
        <v>5800</v>
      </c>
      <c r="Q149" s="68"/>
      <c r="R149" s="68"/>
      <c r="S149" s="5"/>
      <c r="T149" s="5"/>
      <c r="U149" s="261"/>
      <c r="V149" s="261">
        <v>0.15</v>
      </c>
      <c r="W149" s="5"/>
      <c r="X149" s="5">
        <v>11449.5</v>
      </c>
      <c r="Y149" s="5"/>
      <c r="Z149" s="5">
        <v>4930</v>
      </c>
      <c r="AA149" s="5"/>
      <c r="AB149" s="5"/>
      <c r="AC149" s="5"/>
      <c r="AD149" s="5"/>
      <c r="AE149" s="238">
        <f t="shared" si="14"/>
        <v>16379.5</v>
      </c>
      <c r="AF149" s="31" t="s">
        <v>145</v>
      </c>
      <c r="AG149" s="68"/>
      <c r="AH149" s="68"/>
      <c r="AI149" s="68"/>
      <c r="AJ149" s="345"/>
      <c r="AK149" s="43" t="s">
        <v>66</v>
      </c>
      <c r="AL149" s="68"/>
      <c r="AM149" s="68"/>
      <c r="AN149" s="68"/>
      <c r="AO149" s="289" t="s">
        <v>86</v>
      </c>
      <c r="AP149" s="289"/>
      <c r="AQ149" s="290">
        <v>43314</v>
      </c>
      <c r="AR149" s="290">
        <v>43328</v>
      </c>
      <c r="AS149" s="25" t="s">
        <v>78</v>
      </c>
      <c r="AT149" s="291">
        <v>43678</v>
      </c>
      <c r="AU149" s="25" t="s">
        <v>88</v>
      </c>
      <c r="AV149" s="43" t="s">
        <v>66</v>
      </c>
      <c r="AW149" s="26" t="s">
        <v>71</v>
      </c>
      <c r="AX149" s="26"/>
      <c r="AY149" s="31"/>
    </row>
    <row r="150" spans="1:51" ht="21.75" customHeight="1">
      <c r="A150" s="5" t="s">
        <v>831</v>
      </c>
      <c r="B150" s="26" t="s">
        <v>832</v>
      </c>
      <c r="C150" s="31" t="s">
        <v>833</v>
      </c>
      <c r="D150" s="5" t="s">
        <v>834</v>
      </c>
      <c r="E150" s="31" t="s">
        <v>126</v>
      </c>
      <c r="F150" s="31" t="s">
        <v>315</v>
      </c>
      <c r="G150" s="6" t="s">
        <v>76</v>
      </c>
      <c r="H150" s="6"/>
      <c r="I150" s="292">
        <v>43236</v>
      </c>
      <c r="J150" s="5"/>
      <c r="K150" s="26">
        <f t="shared" si="11"/>
        <v>35849</v>
      </c>
      <c r="L150" s="238">
        <f t="shared" si="13"/>
        <v>35849</v>
      </c>
      <c r="M150" s="6"/>
      <c r="N150" s="68">
        <v>27191</v>
      </c>
      <c r="O150" s="68"/>
      <c r="P150" s="68">
        <v>8658</v>
      </c>
      <c r="Q150" s="68"/>
      <c r="R150" s="68"/>
      <c r="S150" s="5"/>
      <c r="T150" s="5"/>
      <c r="U150" s="261"/>
      <c r="V150" s="261">
        <v>0.15</v>
      </c>
      <c r="W150" s="5"/>
      <c r="X150" s="5">
        <v>23112.18</v>
      </c>
      <c r="Y150" s="5"/>
      <c r="Z150" s="5">
        <v>7359.3</v>
      </c>
      <c r="AA150" s="5"/>
      <c r="AB150" s="5"/>
      <c r="AC150" s="5"/>
      <c r="AD150" s="5"/>
      <c r="AE150" s="238">
        <f t="shared" si="14"/>
        <v>30471.48</v>
      </c>
      <c r="AF150" s="31" t="s">
        <v>145</v>
      </c>
      <c r="AG150" s="68"/>
      <c r="AH150" s="68"/>
      <c r="AI150" s="68"/>
      <c r="AJ150" s="345"/>
      <c r="AK150" s="43" t="s">
        <v>66</v>
      </c>
      <c r="AL150" s="68"/>
      <c r="AM150" s="68"/>
      <c r="AN150" s="68"/>
      <c r="AO150" s="289" t="s">
        <v>86</v>
      </c>
      <c r="AP150" s="289"/>
      <c r="AQ150" s="290">
        <v>43311</v>
      </c>
      <c r="AR150" s="290">
        <v>43328</v>
      </c>
      <c r="AS150" s="25" t="s">
        <v>78</v>
      </c>
      <c r="AT150" s="291">
        <v>43646</v>
      </c>
      <c r="AU150" s="25" t="s">
        <v>88</v>
      </c>
      <c r="AV150" s="43" t="s">
        <v>66</v>
      </c>
      <c r="AW150" s="26" t="s">
        <v>71</v>
      </c>
      <c r="AX150" s="26"/>
      <c r="AY150" s="31"/>
    </row>
    <row r="151" spans="1:51" ht="21.75" customHeight="1">
      <c r="A151" s="5" t="s">
        <v>835</v>
      </c>
      <c r="B151" s="26" t="s">
        <v>836</v>
      </c>
      <c r="C151" s="31" t="s">
        <v>837</v>
      </c>
      <c r="D151" s="5" t="s">
        <v>838</v>
      </c>
      <c r="E151" s="31" t="s">
        <v>249</v>
      </c>
      <c r="F151" s="31" t="s">
        <v>315</v>
      </c>
      <c r="G151" s="6" t="s">
        <v>157</v>
      </c>
      <c r="H151" s="6" t="s">
        <v>63</v>
      </c>
      <c r="I151" s="292">
        <v>43236</v>
      </c>
      <c r="J151" s="5"/>
      <c r="K151" s="26">
        <f t="shared" si="11"/>
        <v>65818</v>
      </c>
      <c r="L151" s="238">
        <f t="shared" ref="L151" si="15">SUM(N151:R151)</f>
        <v>65818</v>
      </c>
      <c r="M151" s="6"/>
      <c r="N151" s="68">
        <v>51798</v>
      </c>
      <c r="O151" s="68"/>
      <c r="P151" s="68">
        <v>14020</v>
      </c>
      <c r="Q151" s="68"/>
      <c r="R151" s="68"/>
      <c r="S151" s="5"/>
      <c r="T151" s="5"/>
      <c r="U151" s="262"/>
      <c r="V151" s="261">
        <v>0.15</v>
      </c>
      <c r="W151" s="5"/>
      <c r="X151" s="5">
        <v>44028.3</v>
      </c>
      <c r="Y151" s="5"/>
      <c r="Z151" s="5">
        <v>11917</v>
      </c>
      <c r="AA151" s="5"/>
      <c r="AB151" s="5"/>
      <c r="AC151" s="5"/>
      <c r="AD151" s="5"/>
      <c r="AE151" s="238">
        <f t="shared" si="14"/>
        <v>55945.3</v>
      </c>
      <c r="AF151" s="31" t="s">
        <v>62</v>
      </c>
      <c r="AG151" s="68"/>
      <c r="AH151" s="68"/>
      <c r="AI151" s="68"/>
      <c r="AJ151" s="345"/>
      <c r="AK151" s="43"/>
      <c r="AL151" s="68"/>
      <c r="AM151" s="68"/>
      <c r="AN151" s="68"/>
      <c r="AO151" s="289"/>
      <c r="AP151" s="289"/>
      <c r="AQ151" s="290"/>
      <c r="AR151" s="290"/>
      <c r="AS151" s="31"/>
      <c r="AT151" s="291"/>
      <c r="AU151" s="25" t="s">
        <v>213</v>
      </c>
      <c r="AV151" s="43"/>
      <c r="AW151" s="5" t="s">
        <v>71</v>
      </c>
      <c r="AX151" s="5"/>
      <c r="AY151" s="31"/>
    </row>
    <row r="152" spans="1:51" ht="21.75" customHeight="1">
      <c r="A152" s="5" t="s">
        <v>839</v>
      </c>
      <c r="B152" s="26" t="s">
        <v>840</v>
      </c>
      <c r="C152" s="31" t="s">
        <v>841</v>
      </c>
      <c r="D152" s="5" t="s">
        <v>842</v>
      </c>
      <c r="E152" s="31" t="s">
        <v>126</v>
      </c>
      <c r="F152" s="31" t="s">
        <v>315</v>
      </c>
      <c r="G152" s="6" t="s">
        <v>76</v>
      </c>
      <c r="H152" s="6"/>
      <c r="I152" s="292">
        <v>43236</v>
      </c>
      <c r="J152" s="5"/>
      <c r="K152" s="26">
        <f t="shared" si="11"/>
        <v>118914</v>
      </c>
      <c r="L152" s="238">
        <f>SUM(M152:R152)</f>
        <v>118914</v>
      </c>
      <c r="M152" s="6"/>
      <c r="N152" s="68"/>
      <c r="O152" s="68"/>
      <c r="P152" s="68">
        <v>118914</v>
      </c>
      <c r="Q152" s="68"/>
      <c r="R152" s="68"/>
      <c r="S152" s="5"/>
      <c r="T152" s="5"/>
      <c r="U152" s="262"/>
      <c r="V152" s="261">
        <v>0.15</v>
      </c>
      <c r="W152" s="5"/>
      <c r="X152" s="5"/>
      <c r="Y152" s="5"/>
      <c r="Z152" s="5">
        <v>101077.04</v>
      </c>
      <c r="AA152" s="5"/>
      <c r="AB152" s="5"/>
      <c r="AC152" s="5"/>
      <c r="AD152" s="5"/>
      <c r="AE152" s="238">
        <f t="shared" si="14"/>
        <v>101077.04</v>
      </c>
      <c r="AF152" s="31" t="s">
        <v>145</v>
      </c>
      <c r="AG152" s="68"/>
      <c r="AH152" s="68"/>
      <c r="AI152" s="68"/>
      <c r="AJ152" s="345"/>
      <c r="AK152" s="43" t="s">
        <v>66</v>
      </c>
      <c r="AL152" s="68"/>
      <c r="AM152" s="68"/>
      <c r="AN152" s="68"/>
      <c r="AO152" s="289" t="s">
        <v>86</v>
      </c>
      <c r="AP152" s="289"/>
      <c r="AQ152" s="290">
        <v>43240</v>
      </c>
      <c r="AR152" s="290">
        <v>43285</v>
      </c>
      <c r="AS152" s="25" t="s">
        <v>78</v>
      </c>
      <c r="AT152" s="291">
        <v>43604</v>
      </c>
      <c r="AU152" s="25" t="s">
        <v>88</v>
      </c>
      <c r="AV152" s="43" t="s">
        <v>66</v>
      </c>
      <c r="AW152" s="26" t="s">
        <v>71</v>
      </c>
      <c r="AX152" s="26"/>
      <c r="AY152" s="31"/>
    </row>
    <row r="153" spans="1:51" ht="21.75" customHeight="1">
      <c r="A153" s="5" t="s">
        <v>843</v>
      </c>
      <c r="B153" s="26" t="s">
        <v>844</v>
      </c>
      <c r="C153" s="31" t="s">
        <v>845</v>
      </c>
      <c r="D153" s="5" t="s">
        <v>846</v>
      </c>
      <c r="E153" s="31" t="s">
        <v>576</v>
      </c>
      <c r="F153" s="31" t="s">
        <v>315</v>
      </c>
      <c r="G153" s="6" t="s">
        <v>795</v>
      </c>
      <c r="H153" s="6"/>
      <c r="I153" s="292">
        <v>43236</v>
      </c>
      <c r="J153" s="5"/>
      <c r="K153" s="26">
        <f t="shared" si="11"/>
        <v>216877.35</v>
      </c>
      <c r="L153" s="238">
        <f>SUM(M153:R153)</f>
        <v>216877.35</v>
      </c>
      <c r="M153" s="6"/>
      <c r="N153" s="68"/>
      <c r="O153" s="68"/>
      <c r="P153" s="68">
        <v>216877.35</v>
      </c>
      <c r="Q153" s="68"/>
      <c r="R153" s="68"/>
      <c r="S153" s="5"/>
      <c r="T153" s="5"/>
      <c r="U153" s="261"/>
      <c r="V153" s="261">
        <v>0.15</v>
      </c>
      <c r="W153" s="5"/>
      <c r="X153" s="5"/>
      <c r="Y153" s="5"/>
      <c r="Z153" s="5">
        <v>184345.75</v>
      </c>
      <c r="AA153" s="5"/>
      <c r="AB153" s="5"/>
      <c r="AC153" s="5"/>
      <c r="AD153" s="5"/>
      <c r="AE153" s="238">
        <f t="shared" si="14"/>
        <v>184345.75</v>
      </c>
      <c r="AF153" s="31" t="s">
        <v>114</v>
      </c>
      <c r="AG153" s="68"/>
      <c r="AH153" s="68"/>
      <c r="AI153" s="68"/>
      <c r="AJ153" s="345"/>
      <c r="AK153" s="43">
        <v>2018.11</v>
      </c>
      <c r="AL153" s="68"/>
      <c r="AM153" s="68"/>
      <c r="AN153" s="68"/>
      <c r="AO153" s="289"/>
      <c r="AP153" s="289"/>
      <c r="AQ153" s="290"/>
      <c r="AR153" s="290"/>
      <c r="AS153" s="31"/>
      <c r="AT153" s="291"/>
      <c r="AU153" s="25" t="s">
        <v>213</v>
      </c>
      <c r="AV153" s="43">
        <v>2018.11</v>
      </c>
      <c r="AW153" s="5" t="s">
        <v>71</v>
      </c>
      <c r="AX153" s="5"/>
      <c r="AY153" s="31"/>
    </row>
    <row r="154" spans="1:51" ht="21.75" customHeight="1">
      <c r="A154" s="5" t="s">
        <v>847</v>
      </c>
      <c r="B154" s="26" t="s">
        <v>848</v>
      </c>
      <c r="C154" s="31" t="s">
        <v>849</v>
      </c>
      <c r="D154" s="5" t="s">
        <v>850</v>
      </c>
      <c r="E154" s="31" t="s">
        <v>224</v>
      </c>
      <c r="F154" s="31" t="s">
        <v>315</v>
      </c>
      <c r="G154" s="6" t="s">
        <v>150</v>
      </c>
      <c r="H154" s="6" t="s">
        <v>84</v>
      </c>
      <c r="I154" s="292">
        <v>43237</v>
      </c>
      <c r="J154" s="5"/>
      <c r="K154" s="26"/>
      <c r="L154" s="238">
        <f t="shared" si="12"/>
        <v>242333.57</v>
      </c>
      <c r="M154" s="6"/>
      <c r="N154" s="68">
        <v>36091.67</v>
      </c>
      <c r="O154" s="68"/>
      <c r="P154" s="68">
        <v>206241.9</v>
      </c>
      <c r="Q154" s="68"/>
      <c r="R154" s="68"/>
      <c r="S154" s="5"/>
      <c r="T154" s="5"/>
      <c r="U154" s="261"/>
      <c r="V154" s="261">
        <v>0.1</v>
      </c>
      <c r="W154" s="5"/>
      <c r="X154" s="5">
        <v>32482.503000000001</v>
      </c>
      <c r="Y154" s="5"/>
      <c r="Z154" s="5">
        <v>185617.71</v>
      </c>
      <c r="AA154" s="5"/>
      <c r="AB154" s="5"/>
      <c r="AC154" s="5"/>
      <c r="AD154" s="5"/>
      <c r="AE154" s="238">
        <f t="shared" si="10"/>
        <v>218100.21299999999</v>
      </c>
      <c r="AF154" s="31" t="s">
        <v>93</v>
      </c>
      <c r="AG154" s="68"/>
      <c r="AH154" s="68"/>
      <c r="AI154" s="68"/>
      <c r="AJ154" s="345"/>
      <c r="AK154" s="43" t="s">
        <v>66</v>
      </c>
      <c r="AL154" s="68"/>
      <c r="AM154" s="68"/>
      <c r="AN154" s="68"/>
      <c r="AO154" s="289" t="s">
        <v>86</v>
      </c>
      <c r="AP154" s="289"/>
      <c r="AQ154" s="290">
        <v>43061</v>
      </c>
      <c r="AR154" s="290">
        <v>43338</v>
      </c>
      <c r="AS154" s="25" t="s">
        <v>78</v>
      </c>
      <c r="AT154" s="291">
        <v>43405</v>
      </c>
      <c r="AU154" s="25" t="s">
        <v>122</v>
      </c>
      <c r="AV154" s="43" t="s">
        <v>66</v>
      </c>
      <c r="AW154" s="26" t="s">
        <v>71</v>
      </c>
      <c r="AX154" s="26"/>
      <c r="AY154" s="31"/>
    </row>
    <row r="155" spans="1:51" ht="21.75" customHeight="1">
      <c r="A155" s="5" t="s">
        <v>851</v>
      </c>
      <c r="B155" s="26" t="s">
        <v>852</v>
      </c>
      <c r="C155" s="31" t="s">
        <v>853</v>
      </c>
      <c r="D155" s="5" t="s">
        <v>854</v>
      </c>
      <c r="E155" s="31" t="s">
        <v>224</v>
      </c>
      <c r="F155" s="31" t="s">
        <v>315</v>
      </c>
      <c r="G155" s="6" t="s">
        <v>150</v>
      </c>
      <c r="H155" s="6"/>
      <c r="I155" s="292">
        <v>43237</v>
      </c>
      <c r="J155" s="5"/>
      <c r="K155" s="26">
        <f t="shared" si="11"/>
        <v>42787.7</v>
      </c>
      <c r="L155" s="238">
        <f t="shared" si="12"/>
        <v>42787.7</v>
      </c>
      <c r="M155" s="6"/>
      <c r="N155" s="68">
        <v>30724.1</v>
      </c>
      <c r="O155" s="68"/>
      <c r="P155" s="68">
        <v>12063.6</v>
      </c>
      <c r="Q155" s="68"/>
      <c r="R155" s="68"/>
      <c r="S155" s="5"/>
      <c r="T155" s="5"/>
      <c r="U155" s="261"/>
      <c r="V155" s="261">
        <v>0.15</v>
      </c>
      <c r="W155" s="5"/>
      <c r="X155" s="5">
        <v>205213.23689999999</v>
      </c>
      <c r="Y155" s="5"/>
      <c r="Z155" s="5">
        <v>12858</v>
      </c>
      <c r="AA155" s="5"/>
      <c r="AB155" s="5"/>
      <c r="AC155" s="5"/>
      <c r="AD155" s="5"/>
      <c r="AE155" s="238">
        <f t="shared" si="10"/>
        <v>218071.23689999999</v>
      </c>
      <c r="AF155" s="31" t="s">
        <v>93</v>
      </c>
      <c r="AG155" s="68"/>
      <c r="AH155" s="68"/>
      <c r="AI155" s="68"/>
      <c r="AJ155" s="345"/>
      <c r="AK155" s="43" t="s">
        <v>66</v>
      </c>
      <c r="AL155" s="68"/>
      <c r="AM155" s="68"/>
      <c r="AN155" s="68"/>
      <c r="AO155" s="289" t="s">
        <v>86</v>
      </c>
      <c r="AP155" s="289"/>
      <c r="AQ155" s="290">
        <v>43381</v>
      </c>
      <c r="AR155" s="290">
        <v>43381</v>
      </c>
      <c r="AS155" s="25" t="s">
        <v>78</v>
      </c>
      <c r="AT155" s="291">
        <v>43745</v>
      </c>
      <c r="AU155" s="25" t="s">
        <v>88</v>
      </c>
      <c r="AV155" s="43" t="s">
        <v>66</v>
      </c>
      <c r="AW155" s="26" t="s">
        <v>71</v>
      </c>
      <c r="AX155" s="26"/>
      <c r="AY155" s="31"/>
    </row>
    <row r="156" spans="1:51" ht="21.75" customHeight="1">
      <c r="A156" s="5" t="s">
        <v>855</v>
      </c>
      <c r="B156" s="26" t="s">
        <v>856</v>
      </c>
      <c r="C156" s="31" t="s">
        <v>857</v>
      </c>
      <c r="D156" s="5" t="s">
        <v>858</v>
      </c>
      <c r="E156" s="31" t="s">
        <v>126</v>
      </c>
      <c r="F156" s="31" t="s">
        <v>315</v>
      </c>
      <c r="G156" s="6" t="s">
        <v>76</v>
      </c>
      <c r="H156" s="6"/>
      <c r="I156" s="292">
        <v>43237</v>
      </c>
      <c r="J156" s="5"/>
      <c r="K156" s="26">
        <f t="shared" si="11"/>
        <v>27602</v>
      </c>
      <c r="L156" s="238">
        <f t="shared" si="12"/>
        <v>27602</v>
      </c>
      <c r="M156" s="6"/>
      <c r="N156" s="68">
        <v>19170</v>
      </c>
      <c r="O156" s="68"/>
      <c r="P156" s="68">
        <v>8432</v>
      </c>
      <c r="Q156" s="68"/>
      <c r="R156" s="68"/>
      <c r="S156" s="5"/>
      <c r="T156" s="5"/>
      <c r="U156" s="261"/>
      <c r="V156" s="261">
        <v>0.15</v>
      </c>
      <c r="W156" s="5"/>
      <c r="X156" s="5">
        <v>16294.5</v>
      </c>
      <c r="Y156" s="5"/>
      <c r="Z156" s="5">
        <v>7167.2</v>
      </c>
      <c r="AA156" s="5"/>
      <c r="AB156" s="5"/>
      <c r="AC156" s="5"/>
      <c r="AD156" s="5"/>
      <c r="AE156" s="238">
        <f t="shared" si="10"/>
        <v>23461.7</v>
      </c>
      <c r="AF156" s="31" t="s">
        <v>93</v>
      </c>
      <c r="AG156" s="68"/>
      <c r="AH156" s="68"/>
      <c r="AI156" s="68"/>
      <c r="AJ156" s="345"/>
      <c r="AK156" s="43" t="s">
        <v>66</v>
      </c>
      <c r="AL156" s="68"/>
      <c r="AM156" s="68"/>
      <c r="AN156" s="68"/>
      <c r="AO156" s="289" t="s">
        <v>86</v>
      </c>
      <c r="AP156" s="289"/>
      <c r="AQ156" s="290">
        <v>43282</v>
      </c>
      <c r="AR156" s="290">
        <v>43344</v>
      </c>
      <c r="AS156" s="25" t="s">
        <v>78</v>
      </c>
      <c r="AT156" s="291">
        <v>43646</v>
      </c>
      <c r="AU156" s="25" t="s">
        <v>88</v>
      </c>
      <c r="AV156" s="43" t="s">
        <v>66</v>
      </c>
      <c r="AW156" s="26" t="s">
        <v>71</v>
      </c>
      <c r="AX156" s="26"/>
      <c r="AY156" s="31"/>
    </row>
    <row r="157" spans="1:51" ht="21.75" customHeight="1">
      <c r="A157" s="5" t="s">
        <v>859</v>
      </c>
      <c r="B157" s="26" t="s">
        <v>860</v>
      </c>
      <c r="C157" s="31" t="s">
        <v>861</v>
      </c>
      <c r="D157" s="5" t="s">
        <v>862</v>
      </c>
      <c r="E157" s="31" t="s">
        <v>126</v>
      </c>
      <c r="F157" s="31" t="s">
        <v>315</v>
      </c>
      <c r="G157" s="6" t="s">
        <v>76</v>
      </c>
      <c r="H157" s="6"/>
      <c r="I157" s="292">
        <v>43237</v>
      </c>
      <c r="J157" s="5"/>
      <c r="K157" s="26">
        <f t="shared" si="11"/>
        <v>181606</v>
      </c>
      <c r="L157" s="238">
        <f t="shared" si="12"/>
        <v>181606</v>
      </c>
      <c r="M157" s="6"/>
      <c r="N157" s="68">
        <v>86302</v>
      </c>
      <c r="O157" s="68"/>
      <c r="P157" s="68">
        <v>95304</v>
      </c>
      <c r="Q157" s="68"/>
      <c r="R157" s="68"/>
      <c r="S157" s="5"/>
      <c r="T157" s="5"/>
      <c r="U157" s="261"/>
      <c r="V157" s="261">
        <v>0.15</v>
      </c>
      <c r="W157" s="5"/>
      <c r="X157" s="5">
        <v>73356.7</v>
      </c>
      <c r="Y157" s="5"/>
      <c r="Z157" s="5">
        <v>81008.399999999994</v>
      </c>
      <c r="AA157" s="5"/>
      <c r="AB157" s="5"/>
      <c r="AC157" s="5"/>
      <c r="AD157" s="5"/>
      <c r="AE157" s="238">
        <f t="shared" si="10"/>
        <v>154365.09999999998</v>
      </c>
      <c r="AF157" s="31" t="s">
        <v>93</v>
      </c>
      <c r="AG157" s="68"/>
      <c r="AH157" s="68"/>
      <c r="AI157" s="68"/>
      <c r="AJ157" s="345"/>
      <c r="AK157" s="43" t="s">
        <v>66</v>
      </c>
      <c r="AL157" s="68"/>
      <c r="AM157" s="68"/>
      <c r="AN157" s="68"/>
      <c r="AO157" s="289" t="s">
        <v>86</v>
      </c>
      <c r="AP157" s="289"/>
      <c r="AQ157" s="290">
        <v>43282</v>
      </c>
      <c r="AR157" s="290">
        <v>43344</v>
      </c>
      <c r="AS157" s="25" t="s">
        <v>78</v>
      </c>
      <c r="AT157" s="291">
        <v>43646</v>
      </c>
      <c r="AU157" s="25" t="s">
        <v>88</v>
      </c>
      <c r="AV157" s="43" t="s">
        <v>66</v>
      </c>
      <c r="AW157" s="26" t="s">
        <v>71</v>
      </c>
      <c r="AX157" s="26"/>
      <c r="AY157" s="31"/>
    </row>
    <row r="158" spans="1:51" ht="21.75" customHeight="1">
      <c r="A158" s="5" t="s">
        <v>863</v>
      </c>
      <c r="B158" s="26"/>
      <c r="C158" s="31" t="s">
        <v>864</v>
      </c>
      <c r="D158" s="5" t="s">
        <v>865</v>
      </c>
      <c r="E158" s="31" t="s">
        <v>294</v>
      </c>
      <c r="F158" s="31" t="s">
        <v>315</v>
      </c>
      <c r="G158" s="6" t="s">
        <v>76</v>
      </c>
      <c r="H158" s="6"/>
      <c r="I158" s="292">
        <v>43238</v>
      </c>
      <c r="J158" s="5" t="s">
        <v>866</v>
      </c>
      <c r="K158" s="26">
        <f t="shared" si="11"/>
        <v>329000</v>
      </c>
      <c r="L158" s="238">
        <f t="shared" si="12"/>
        <v>329000</v>
      </c>
      <c r="M158" s="6"/>
      <c r="N158" s="68">
        <v>225260</v>
      </c>
      <c r="O158" s="68"/>
      <c r="P158" s="68">
        <v>103740</v>
      </c>
      <c r="Q158" s="68"/>
      <c r="R158" s="68"/>
      <c r="S158" s="5"/>
      <c r="T158" s="5"/>
      <c r="U158" s="261"/>
      <c r="V158" s="261">
        <v>0.15</v>
      </c>
      <c r="W158" s="5"/>
      <c r="X158" s="5">
        <v>191471</v>
      </c>
      <c r="Y158" s="5"/>
      <c r="Z158" s="5">
        <v>88179</v>
      </c>
      <c r="AA158" s="5"/>
      <c r="AB158" s="5"/>
      <c r="AC158" s="5"/>
      <c r="AD158" s="5"/>
      <c r="AE158" s="238">
        <f t="shared" si="10"/>
        <v>279650</v>
      </c>
      <c r="AF158" s="31" t="s">
        <v>62</v>
      </c>
      <c r="AG158" s="68"/>
      <c r="AH158" s="68"/>
      <c r="AI158" s="68"/>
      <c r="AJ158" s="345"/>
      <c r="AK158" s="43" t="s">
        <v>66</v>
      </c>
      <c r="AL158" s="68"/>
      <c r="AM158" s="68"/>
      <c r="AN158" s="68"/>
      <c r="AO158" s="289" t="s">
        <v>86</v>
      </c>
      <c r="AP158" s="289"/>
      <c r="AQ158" s="290" t="s">
        <v>867</v>
      </c>
      <c r="AR158" s="290" t="s">
        <v>868</v>
      </c>
      <c r="AS158" s="31"/>
      <c r="AT158" s="291" t="s">
        <v>869</v>
      </c>
      <c r="AU158" s="31" t="s">
        <v>88</v>
      </c>
      <c r="AV158" s="43" t="s">
        <v>66</v>
      </c>
      <c r="AW158" s="5" t="s">
        <v>71</v>
      </c>
      <c r="AX158" s="5"/>
      <c r="AY158" s="31"/>
    </row>
    <row r="159" spans="1:51" ht="21.75" customHeight="1">
      <c r="A159" s="5" t="s">
        <v>740</v>
      </c>
      <c r="B159" s="26" t="s">
        <v>741</v>
      </c>
      <c r="C159" s="31" t="s">
        <v>742</v>
      </c>
      <c r="D159" s="5" t="s">
        <v>870</v>
      </c>
      <c r="E159" s="31" t="s">
        <v>249</v>
      </c>
      <c r="F159" s="31" t="s">
        <v>309</v>
      </c>
      <c r="G159" s="6" t="s">
        <v>107</v>
      </c>
      <c r="H159" s="6" t="s">
        <v>63</v>
      </c>
      <c r="I159" s="292">
        <v>43238</v>
      </c>
      <c r="J159" s="5"/>
      <c r="K159" s="26">
        <f t="shared" si="11"/>
        <v>150228</v>
      </c>
      <c r="L159" s="238">
        <f t="shared" si="12"/>
        <v>150228</v>
      </c>
      <c r="M159" s="6"/>
      <c r="N159" s="68">
        <v>150228</v>
      </c>
      <c r="O159" s="68"/>
      <c r="P159" s="68"/>
      <c r="Q159" s="68"/>
      <c r="R159" s="68"/>
      <c r="S159" s="5"/>
      <c r="T159" s="5"/>
      <c r="U159" s="261"/>
      <c r="V159" s="261">
        <v>0.1</v>
      </c>
      <c r="W159" s="5"/>
      <c r="X159" s="5"/>
      <c r="Y159" s="5"/>
      <c r="Z159" s="5">
        <v>135205</v>
      </c>
      <c r="AA159" s="5"/>
      <c r="AB159" s="5"/>
      <c r="AC159" s="5"/>
      <c r="AD159" s="5"/>
      <c r="AE159" s="238">
        <f t="shared" si="10"/>
        <v>135205</v>
      </c>
      <c r="AF159" s="31" t="s">
        <v>871</v>
      </c>
      <c r="AG159" s="68"/>
      <c r="AH159" s="68"/>
      <c r="AI159" s="68"/>
      <c r="AJ159" s="345"/>
      <c r="AK159" s="43" t="s">
        <v>66</v>
      </c>
      <c r="AL159" s="68"/>
      <c r="AM159" s="68"/>
      <c r="AN159" s="68"/>
      <c r="AO159" s="289"/>
      <c r="AP159" s="289"/>
      <c r="AQ159" s="290"/>
      <c r="AR159" s="290"/>
      <c r="AS159" s="31"/>
      <c r="AT159" s="291">
        <v>43466</v>
      </c>
      <c r="AU159" s="25" t="s">
        <v>122</v>
      </c>
      <c r="AV159" s="43" t="s">
        <v>66</v>
      </c>
      <c r="AW159" s="5"/>
      <c r="AX159" s="5"/>
      <c r="AY159" s="31"/>
    </row>
    <row r="160" spans="1:51" ht="21.75" customHeight="1">
      <c r="A160" s="5" t="s">
        <v>872</v>
      </c>
      <c r="B160" s="26" t="s">
        <v>873</v>
      </c>
      <c r="C160" s="31" t="s">
        <v>874</v>
      </c>
      <c r="D160" s="5" t="s">
        <v>875</v>
      </c>
      <c r="E160" s="31" t="s">
        <v>249</v>
      </c>
      <c r="F160" s="31" t="s">
        <v>315</v>
      </c>
      <c r="G160" s="6" t="s">
        <v>602</v>
      </c>
      <c r="H160" s="6" t="s">
        <v>128</v>
      </c>
      <c r="I160" s="292">
        <v>2018</v>
      </c>
      <c r="J160" s="5"/>
      <c r="K160" s="26">
        <f t="shared" si="11"/>
        <v>91590</v>
      </c>
      <c r="L160" s="238">
        <f t="shared" si="12"/>
        <v>91590</v>
      </c>
      <c r="M160" s="6"/>
      <c r="N160" s="68">
        <v>67960</v>
      </c>
      <c r="O160" s="68"/>
      <c r="P160" s="68">
        <v>23630</v>
      </c>
      <c r="Q160" s="68"/>
      <c r="R160" s="68"/>
      <c r="S160" s="5"/>
      <c r="T160" s="5"/>
      <c r="U160" s="261"/>
      <c r="V160" s="261">
        <v>0.15</v>
      </c>
      <c r="W160" s="5"/>
      <c r="X160" s="5">
        <v>57766</v>
      </c>
      <c r="Y160" s="5"/>
      <c r="Z160" s="5">
        <v>20086</v>
      </c>
      <c r="AA160" s="5"/>
      <c r="AB160" s="5"/>
      <c r="AC160" s="5"/>
      <c r="AD160" s="5"/>
      <c r="AE160" s="238">
        <f t="shared" si="10"/>
        <v>77852</v>
      </c>
      <c r="AF160" s="31" t="s">
        <v>108</v>
      </c>
      <c r="AG160" s="68"/>
      <c r="AH160" s="68"/>
      <c r="AI160" s="68"/>
      <c r="AJ160" s="345"/>
      <c r="AK160" s="43" t="s">
        <v>66</v>
      </c>
      <c r="AL160" s="68"/>
      <c r="AM160" s="68"/>
      <c r="AN160" s="68"/>
      <c r="AO160" s="289" t="s">
        <v>607</v>
      </c>
      <c r="AP160" s="289"/>
      <c r="AQ160" s="290">
        <v>43343</v>
      </c>
      <c r="AR160" s="290">
        <v>43392</v>
      </c>
      <c r="AS160" s="31" t="s">
        <v>78</v>
      </c>
      <c r="AT160" s="291">
        <v>43707</v>
      </c>
      <c r="AU160" s="25" t="s">
        <v>88</v>
      </c>
      <c r="AV160" s="43" t="s">
        <v>66</v>
      </c>
      <c r="AW160" s="5" t="s">
        <v>71</v>
      </c>
      <c r="AX160" s="60">
        <v>43312</v>
      </c>
      <c r="AY160" s="31"/>
    </row>
    <row r="161" spans="1:110" ht="21.75" customHeight="1">
      <c r="A161" s="5"/>
      <c r="B161" s="26"/>
      <c r="C161" s="31" t="s">
        <v>876</v>
      </c>
      <c r="D161" s="5" t="s">
        <v>877</v>
      </c>
      <c r="E161" s="31" t="s">
        <v>294</v>
      </c>
      <c r="F161" s="31" t="s">
        <v>315</v>
      </c>
      <c r="G161" s="6" t="s">
        <v>76</v>
      </c>
      <c r="H161" s="6"/>
      <c r="I161" s="292">
        <v>2018</v>
      </c>
      <c r="J161" s="5"/>
      <c r="K161" s="26">
        <f t="shared" si="11"/>
        <v>3727599</v>
      </c>
      <c r="L161" s="238">
        <f t="shared" si="12"/>
        <v>3727599</v>
      </c>
      <c r="M161" s="6"/>
      <c r="N161" s="68"/>
      <c r="O161" s="68"/>
      <c r="P161" s="68">
        <v>3025411</v>
      </c>
      <c r="Q161" s="68">
        <v>702188</v>
      </c>
      <c r="R161" s="68"/>
      <c r="S161" s="5"/>
      <c r="T161" s="5"/>
      <c r="U161" s="261"/>
      <c r="V161" s="261">
        <v>0.1</v>
      </c>
      <c r="W161" s="5"/>
      <c r="X161" s="5"/>
      <c r="Y161" s="5"/>
      <c r="Z161" s="5">
        <v>2722869.9</v>
      </c>
      <c r="AA161" s="5">
        <v>631969.19999999995</v>
      </c>
      <c r="AB161" s="5"/>
      <c r="AC161" s="5"/>
      <c r="AD161" s="5"/>
      <c r="AE161" s="238">
        <f t="shared" si="10"/>
        <v>3354839.0999999996</v>
      </c>
      <c r="AF161" s="31" t="s">
        <v>62</v>
      </c>
      <c r="AG161" s="68"/>
      <c r="AH161" s="68"/>
      <c r="AI161" s="68"/>
      <c r="AJ161" s="345"/>
      <c r="AK161" s="43">
        <v>2018.12</v>
      </c>
      <c r="AL161" s="68"/>
      <c r="AM161" s="68"/>
      <c r="AN161" s="68"/>
      <c r="AO161" s="289"/>
      <c r="AP161" s="289"/>
      <c r="AQ161" s="290"/>
      <c r="AR161" s="290"/>
      <c r="AS161" s="31"/>
      <c r="AT161" s="291"/>
      <c r="AU161" s="31" t="s">
        <v>878</v>
      </c>
      <c r="AV161" s="43">
        <v>2018.12</v>
      </c>
      <c r="AW161" s="5" t="s">
        <v>71</v>
      </c>
      <c r="AX161" s="5"/>
      <c r="AY161" s="31"/>
    </row>
    <row r="162" spans="1:110" s="28" customFormat="1" ht="21.75" customHeight="1">
      <c r="A162" s="26" t="s">
        <v>879</v>
      </c>
      <c r="B162" s="26" t="s">
        <v>880</v>
      </c>
      <c r="C162" s="25" t="s">
        <v>881</v>
      </c>
      <c r="D162" s="26" t="s">
        <v>882</v>
      </c>
      <c r="E162" s="25" t="s">
        <v>883</v>
      </c>
      <c r="F162" s="25" t="s">
        <v>315</v>
      </c>
      <c r="G162" s="53" t="s">
        <v>76</v>
      </c>
      <c r="H162" s="53" t="s">
        <v>128</v>
      </c>
      <c r="I162" s="295">
        <v>43294</v>
      </c>
      <c r="J162" s="25" t="s">
        <v>884</v>
      </c>
      <c r="K162" s="26">
        <f t="shared" si="11"/>
        <v>740287</v>
      </c>
      <c r="L162" s="238">
        <f t="shared" si="12"/>
        <v>740287</v>
      </c>
      <c r="M162" s="53"/>
      <c r="N162" s="245">
        <v>545360</v>
      </c>
      <c r="O162" s="245"/>
      <c r="P162" s="245">
        <v>194927</v>
      </c>
      <c r="Q162" s="245"/>
      <c r="R162" s="245"/>
      <c r="S162" s="26"/>
      <c r="T162" s="26"/>
      <c r="U162" s="263"/>
      <c r="V162" s="263">
        <v>0.15</v>
      </c>
      <c r="W162" s="26"/>
      <c r="X162" s="26">
        <v>463856</v>
      </c>
      <c r="Y162" s="26"/>
      <c r="Z162" s="26">
        <v>165387.95000000001</v>
      </c>
      <c r="AA162" s="26"/>
      <c r="AB162" s="26"/>
      <c r="AC162" s="26"/>
      <c r="AD162" s="26"/>
      <c r="AE162" s="243">
        <f t="shared" si="10"/>
        <v>629243.94999999995</v>
      </c>
      <c r="AF162" s="25" t="s">
        <v>145</v>
      </c>
      <c r="AG162" s="245"/>
      <c r="AH162" s="245"/>
      <c r="AI162" s="245"/>
      <c r="AJ162" s="345"/>
      <c r="AK162" s="43" t="s">
        <v>66</v>
      </c>
      <c r="AL162" s="245"/>
      <c r="AM162" s="245"/>
      <c r="AN162" s="245"/>
      <c r="AO162" s="289" t="s">
        <v>86</v>
      </c>
      <c r="AP162" s="289"/>
      <c r="AQ162" s="290"/>
      <c r="AR162" s="290">
        <v>43373</v>
      </c>
      <c r="AS162" s="25"/>
      <c r="AT162" s="291">
        <v>43707</v>
      </c>
      <c r="AU162" s="31" t="s">
        <v>88</v>
      </c>
      <c r="AV162" s="43" t="s">
        <v>66</v>
      </c>
      <c r="AW162" s="26" t="s">
        <v>71</v>
      </c>
      <c r="AX162" s="26"/>
      <c r="AY162" s="25"/>
      <c r="AZ162" s="297"/>
      <c r="BA162" s="297"/>
      <c r="BB162" s="297"/>
      <c r="BC162" s="297"/>
      <c r="BD162" s="297"/>
      <c r="BE162" s="297"/>
      <c r="BF162" s="297"/>
      <c r="BG162" s="297"/>
      <c r="BH162" s="297"/>
      <c r="BI162" s="297"/>
      <c r="BJ162" s="297"/>
      <c r="BK162" s="297"/>
      <c r="BL162" s="297"/>
      <c r="BM162" s="297"/>
      <c r="BN162" s="297"/>
      <c r="BO162" s="297"/>
      <c r="BP162" s="297"/>
      <c r="BQ162" s="297"/>
      <c r="BR162" s="297"/>
      <c r="BS162" s="297"/>
      <c r="BT162" s="297"/>
      <c r="BU162" s="297"/>
      <c r="BV162" s="297"/>
      <c r="BW162" s="297"/>
      <c r="BX162" s="297"/>
      <c r="BY162" s="297"/>
      <c r="BZ162" s="297"/>
      <c r="CA162" s="297"/>
      <c r="CB162" s="297"/>
      <c r="CC162" s="297"/>
      <c r="CD162" s="297"/>
      <c r="CE162" s="297"/>
      <c r="CF162" s="297"/>
      <c r="CG162" s="297"/>
      <c r="CH162" s="297"/>
      <c r="CI162" s="297"/>
      <c r="CJ162" s="297"/>
      <c r="CK162" s="297"/>
      <c r="CL162" s="297"/>
      <c r="CM162" s="297"/>
      <c r="CN162" s="297"/>
      <c r="CO162" s="297"/>
      <c r="CP162" s="297"/>
      <c r="CQ162" s="297"/>
      <c r="CR162" s="297"/>
      <c r="CS162" s="297"/>
      <c r="CT162" s="297"/>
      <c r="CU162" s="297"/>
      <c r="CV162" s="297"/>
      <c r="CW162" s="297"/>
      <c r="CX162" s="297"/>
      <c r="CY162" s="297"/>
      <c r="CZ162" s="297"/>
      <c r="DA162" s="297"/>
      <c r="DB162" s="297"/>
      <c r="DC162" s="297"/>
      <c r="DD162" s="297"/>
      <c r="DE162" s="297"/>
      <c r="DF162" s="297"/>
    </row>
    <row r="163" spans="1:110" ht="21.75" customHeight="1">
      <c r="A163" s="5" t="s">
        <v>885</v>
      </c>
      <c r="B163" s="26" t="s">
        <v>886</v>
      </c>
      <c r="C163" s="31" t="s">
        <v>721</v>
      </c>
      <c r="D163" s="5" t="s">
        <v>887</v>
      </c>
      <c r="E163" s="31" t="s">
        <v>83</v>
      </c>
      <c r="F163" s="31" t="s">
        <v>315</v>
      </c>
      <c r="G163" s="6" t="s">
        <v>107</v>
      </c>
      <c r="H163" s="6" t="s">
        <v>84</v>
      </c>
      <c r="I163" s="292">
        <v>43238</v>
      </c>
      <c r="J163" s="5" t="s">
        <v>888</v>
      </c>
      <c r="K163" s="26">
        <f t="shared" si="11"/>
        <v>1764800</v>
      </c>
      <c r="L163" s="238">
        <f t="shared" si="12"/>
        <v>1764800</v>
      </c>
      <c r="M163" s="6"/>
      <c r="N163" s="68"/>
      <c r="O163" s="68">
        <v>1764800</v>
      </c>
      <c r="P163" s="68"/>
      <c r="Q163" s="68"/>
      <c r="R163" s="68"/>
      <c r="S163" s="5"/>
      <c r="T163" s="5"/>
      <c r="U163" s="261"/>
      <c r="V163" s="261">
        <v>11</v>
      </c>
      <c r="W163" s="5">
        <v>938448.54</v>
      </c>
      <c r="X163" s="5"/>
      <c r="Y163" s="5">
        <v>2315144</v>
      </c>
      <c r="Z163" s="5"/>
      <c r="AA163" s="5">
        <f>6939000-6907757.39+6180200-5412442.61</f>
        <v>799000</v>
      </c>
      <c r="AB163" s="5"/>
      <c r="AC163" s="5"/>
      <c r="AD163" s="5"/>
      <c r="AE163" s="238">
        <f t="shared" si="10"/>
        <v>4052592.54</v>
      </c>
      <c r="AF163" s="31" t="s">
        <v>132</v>
      </c>
      <c r="AG163" s="68"/>
      <c r="AH163" s="68"/>
      <c r="AI163" s="68"/>
      <c r="AJ163" s="345"/>
      <c r="AK163" s="43" t="s">
        <v>66</v>
      </c>
      <c r="AL163" s="68"/>
      <c r="AM163" s="68"/>
      <c r="AN163" s="68"/>
      <c r="AO163" s="289"/>
      <c r="AP163" s="289"/>
      <c r="AQ163" s="290"/>
      <c r="AR163" s="290"/>
      <c r="AS163" s="31"/>
      <c r="AT163" s="291">
        <v>43008</v>
      </c>
      <c r="AU163" s="31" t="s">
        <v>219</v>
      </c>
      <c r="AV163" s="43" t="s">
        <v>66</v>
      </c>
      <c r="AW163" s="5"/>
      <c r="AX163" s="5"/>
      <c r="AY163" s="31"/>
    </row>
    <row r="164" spans="1:110" ht="21.75" customHeight="1">
      <c r="A164" s="5" t="s">
        <v>889</v>
      </c>
      <c r="B164" s="26" t="s">
        <v>890</v>
      </c>
      <c r="C164" s="31" t="s">
        <v>891</v>
      </c>
      <c r="D164" s="299" t="s">
        <v>892</v>
      </c>
      <c r="E164" s="31" t="s">
        <v>261</v>
      </c>
      <c r="F164" s="31" t="s">
        <v>300</v>
      </c>
      <c r="G164" s="6" t="s">
        <v>107</v>
      </c>
      <c r="H164" s="6" t="s">
        <v>63</v>
      </c>
      <c r="I164" s="292">
        <v>43244</v>
      </c>
      <c r="J164" s="5"/>
      <c r="K164" s="26">
        <f t="shared" si="11"/>
        <v>580000</v>
      </c>
      <c r="L164" s="238">
        <f t="shared" si="12"/>
        <v>580000</v>
      </c>
      <c r="M164" s="6"/>
      <c r="N164" s="68"/>
      <c r="O164" s="68"/>
      <c r="P164" s="68">
        <v>37100</v>
      </c>
      <c r="Q164" s="68">
        <v>542900</v>
      </c>
      <c r="R164" s="68"/>
      <c r="S164" s="5"/>
      <c r="T164" s="5"/>
      <c r="U164" s="261"/>
      <c r="V164" s="261">
        <v>15</v>
      </c>
      <c r="W164" s="5"/>
      <c r="X164" s="5"/>
      <c r="Y164" s="5"/>
      <c r="Z164" s="5">
        <v>37100</v>
      </c>
      <c r="AA164" s="5">
        <v>461000</v>
      </c>
      <c r="AB164" s="5"/>
      <c r="AC164" s="5"/>
      <c r="AD164" s="5"/>
      <c r="AE164" s="238">
        <f t="shared" si="10"/>
        <v>498100</v>
      </c>
      <c r="AF164" s="31" t="s">
        <v>455</v>
      </c>
      <c r="AG164" s="68"/>
      <c r="AH164" s="68"/>
      <c r="AI164" s="68"/>
      <c r="AJ164" s="345"/>
      <c r="AK164" s="43" t="s">
        <v>190</v>
      </c>
      <c r="AL164" s="68"/>
      <c r="AM164" s="68"/>
      <c r="AN164" s="68"/>
      <c r="AO164" s="289"/>
      <c r="AP164" s="289"/>
      <c r="AQ164" s="290"/>
      <c r="AR164" s="290"/>
      <c r="AS164" s="31"/>
      <c r="AT164" s="291">
        <v>43582</v>
      </c>
      <c r="AU164" s="31" t="s">
        <v>190</v>
      </c>
      <c r="AV164" s="43" t="s">
        <v>190</v>
      </c>
      <c r="AW164" s="5"/>
      <c r="AX164" s="5"/>
      <c r="AY164" s="31"/>
    </row>
    <row r="165" spans="1:110" ht="21.75" customHeight="1">
      <c r="A165" s="5" t="s">
        <v>893</v>
      </c>
      <c r="B165" s="26" t="s">
        <v>894</v>
      </c>
      <c r="C165" s="31" t="s">
        <v>895</v>
      </c>
      <c r="D165" s="5" t="s">
        <v>896</v>
      </c>
      <c r="E165" s="31" t="s">
        <v>113</v>
      </c>
      <c r="F165" s="31" t="s">
        <v>309</v>
      </c>
      <c r="G165" s="6" t="s">
        <v>76</v>
      </c>
      <c r="H165" s="6"/>
      <c r="I165" s="292">
        <v>43278</v>
      </c>
      <c r="J165" s="5"/>
      <c r="K165" s="26">
        <f t="shared" si="11"/>
        <v>414948</v>
      </c>
      <c r="L165" s="238">
        <f t="shared" si="12"/>
        <v>414948</v>
      </c>
      <c r="M165" s="6"/>
      <c r="N165" s="68">
        <v>110181</v>
      </c>
      <c r="O165" s="68"/>
      <c r="P165" s="68">
        <v>304767</v>
      </c>
      <c r="Q165" s="68"/>
      <c r="R165" s="68"/>
      <c r="S165" s="5"/>
      <c r="T165" s="5"/>
      <c r="U165" s="261"/>
      <c r="V165" s="261">
        <v>0.15</v>
      </c>
      <c r="W165" s="5"/>
      <c r="X165" s="5">
        <v>93653.85</v>
      </c>
      <c r="Y165" s="5"/>
      <c r="Z165" s="5">
        <v>259051.95</v>
      </c>
      <c r="AA165" s="5"/>
      <c r="AB165" s="5"/>
      <c r="AC165" s="5"/>
      <c r="AD165" s="5"/>
      <c r="AE165" s="238">
        <f t="shared" si="10"/>
        <v>352705.80000000005</v>
      </c>
      <c r="AF165" s="31" t="s">
        <v>114</v>
      </c>
      <c r="AG165" s="68"/>
      <c r="AH165" s="68"/>
      <c r="AI165" s="68"/>
      <c r="AJ165" s="345"/>
      <c r="AK165" s="43" t="s">
        <v>66</v>
      </c>
      <c r="AL165" s="68"/>
      <c r="AM165" s="68"/>
      <c r="AN165" s="68"/>
      <c r="AO165" s="289" t="s">
        <v>86</v>
      </c>
      <c r="AP165" s="289"/>
      <c r="AQ165" s="290">
        <v>43241</v>
      </c>
      <c r="AR165" s="290">
        <v>39655</v>
      </c>
      <c r="AS165" s="25" t="s">
        <v>78</v>
      </c>
      <c r="AT165" s="291">
        <v>43605</v>
      </c>
      <c r="AU165" s="25" t="s">
        <v>88</v>
      </c>
      <c r="AV165" s="43" t="s">
        <v>66</v>
      </c>
      <c r="AW165" s="5" t="s">
        <v>71</v>
      </c>
      <c r="AX165" s="5"/>
      <c r="AY165" s="31"/>
    </row>
    <row r="166" spans="1:110" ht="21.75" customHeight="1">
      <c r="A166" s="5" t="s">
        <v>897</v>
      </c>
      <c r="B166" s="26" t="s">
        <v>898</v>
      </c>
      <c r="C166" s="37" t="s">
        <v>899</v>
      </c>
      <c r="D166" s="38" t="s">
        <v>900</v>
      </c>
      <c r="E166" s="37" t="s">
        <v>83</v>
      </c>
      <c r="F166" s="31" t="s">
        <v>315</v>
      </c>
      <c r="G166" s="217" t="s">
        <v>76</v>
      </c>
      <c r="H166" s="217" t="s">
        <v>128</v>
      </c>
      <c r="I166" s="237">
        <v>43282</v>
      </c>
      <c r="J166" s="38"/>
      <c r="K166" s="26">
        <f t="shared" si="11"/>
        <v>1408036</v>
      </c>
      <c r="L166" s="238">
        <f t="shared" si="12"/>
        <v>1216536</v>
      </c>
      <c r="M166" s="217"/>
      <c r="N166" s="68">
        <v>1072600</v>
      </c>
      <c r="O166" s="68"/>
      <c r="P166" s="68"/>
      <c r="Q166" s="68">
        <v>143936</v>
      </c>
      <c r="R166" s="68"/>
      <c r="S166" s="26">
        <v>191500</v>
      </c>
      <c r="T166" s="26">
        <v>191500</v>
      </c>
      <c r="U166" s="415">
        <v>0.06</v>
      </c>
      <c r="V166" s="416">
        <v>10</v>
      </c>
      <c r="W166" s="38"/>
      <c r="X166" s="38">
        <v>1003400</v>
      </c>
      <c r="Y166" s="38"/>
      <c r="Z166" s="38"/>
      <c r="AA166" s="38">
        <v>88688</v>
      </c>
      <c r="AB166" s="38"/>
      <c r="AC166" s="38">
        <v>191500</v>
      </c>
      <c r="AD166" s="38"/>
      <c r="AE166" s="238">
        <f>SUM(W166:AD166)</f>
        <v>1283588</v>
      </c>
      <c r="AF166" s="37" t="s">
        <v>132</v>
      </c>
      <c r="AG166" s="275"/>
      <c r="AH166" s="275"/>
      <c r="AI166" s="275"/>
      <c r="AJ166" s="345" t="s">
        <v>636</v>
      </c>
      <c r="AK166" s="43" t="s">
        <v>901</v>
      </c>
      <c r="AL166" s="275"/>
      <c r="AM166" s="275"/>
      <c r="AN166" s="275"/>
      <c r="AO166" s="294" t="s">
        <v>86</v>
      </c>
      <c r="AP166" s="294"/>
      <c r="AQ166" s="279">
        <v>43435</v>
      </c>
      <c r="AR166" s="279">
        <v>43443</v>
      </c>
      <c r="AS166" s="25" t="s">
        <v>78</v>
      </c>
      <c r="AT166" s="291"/>
      <c r="AU166" s="25" t="s">
        <v>88</v>
      </c>
      <c r="AV166" s="43" t="s">
        <v>901</v>
      </c>
      <c r="AW166" s="5" t="s">
        <v>71</v>
      </c>
      <c r="AX166" s="5"/>
      <c r="AY166" s="31"/>
    </row>
    <row r="167" spans="1:110" ht="21.75" customHeight="1">
      <c r="A167" s="5" t="s">
        <v>902</v>
      </c>
      <c r="B167" s="26" t="s">
        <v>903</v>
      </c>
      <c r="C167" s="31" t="s">
        <v>904</v>
      </c>
      <c r="D167" s="5" t="s">
        <v>905</v>
      </c>
      <c r="E167" s="31" t="s">
        <v>374</v>
      </c>
      <c r="F167" s="31" t="s">
        <v>315</v>
      </c>
      <c r="G167" s="6" t="s">
        <v>286</v>
      </c>
      <c r="H167" s="6" t="s">
        <v>766</v>
      </c>
      <c r="I167" s="292">
        <v>43287</v>
      </c>
      <c r="J167" s="5"/>
      <c r="K167" s="26">
        <f t="shared" si="11"/>
        <v>1980000</v>
      </c>
      <c r="L167" s="238">
        <f t="shared" si="12"/>
        <v>1980000</v>
      </c>
      <c r="M167" s="6"/>
      <c r="N167" s="68">
        <v>1600000</v>
      </c>
      <c r="O167" s="68"/>
      <c r="P167" s="68"/>
      <c r="Q167" s="68">
        <v>380000</v>
      </c>
      <c r="R167" s="68"/>
      <c r="S167" s="5"/>
      <c r="T167" s="5"/>
      <c r="U167" s="261"/>
      <c r="V167" s="261"/>
      <c r="W167" s="5"/>
      <c r="X167" s="5">
        <v>1546000</v>
      </c>
      <c r="Y167" s="5"/>
      <c r="Z167" s="5"/>
      <c r="AA167" s="5">
        <v>204000</v>
      </c>
      <c r="AB167" s="5"/>
      <c r="AC167" s="5"/>
      <c r="AD167" s="5"/>
      <c r="AE167" s="238">
        <f>SUM(W167:AD167)</f>
        <v>1750000</v>
      </c>
      <c r="AF167" s="31" t="s">
        <v>77</v>
      </c>
      <c r="AG167" s="68"/>
      <c r="AH167" s="68"/>
      <c r="AI167" s="68"/>
      <c r="AJ167" s="43" t="s">
        <v>906</v>
      </c>
      <c r="AK167" s="43">
        <v>2018.12</v>
      </c>
      <c r="AL167" s="68"/>
      <c r="AM167" s="68"/>
      <c r="AN167" s="68"/>
      <c r="AO167" s="289"/>
      <c r="AP167" s="289"/>
      <c r="AQ167" s="290"/>
      <c r="AR167" s="290"/>
      <c r="AS167" s="31"/>
      <c r="AT167" s="291"/>
      <c r="AU167" s="25" t="s">
        <v>213</v>
      </c>
      <c r="AV167" s="43">
        <v>2018.12</v>
      </c>
      <c r="AW167" s="26" t="s">
        <v>71</v>
      </c>
      <c r="AX167" s="5"/>
      <c r="AY167" s="31"/>
    </row>
    <row r="168" spans="1:110" ht="21.75" customHeight="1">
      <c r="A168" s="5" t="s">
        <v>907</v>
      </c>
      <c r="B168" s="26" t="s">
        <v>908</v>
      </c>
      <c r="C168" s="31" t="s">
        <v>909</v>
      </c>
      <c r="D168" s="5" t="s">
        <v>910</v>
      </c>
      <c r="E168" s="31" t="s">
        <v>126</v>
      </c>
      <c r="F168" s="31" t="s">
        <v>315</v>
      </c>
      <c r="G168" s="217" t="s">
        <v>76</v>
      </c>
      <c r="H168" s="217" t="s">
        <v>128</v>
      </c>
      <c r="I168" s="292">
        <v>43312</v>
      </c>
      <c r="J168" s="5"/>
      <c r="K168" s="26">
        <f t="shared" si="11"/>
        <v>30370</v>
      </c>
      <c r="L168" s="238">
        <f t="shared" si="12"/>
        <v>30370</v>
      </c>
      <c r="M168" s="6"/>
      <c r="N168" s="68">
        <v>14152</v>
      </c>
      <c r="O168" s="68"/>
      <c r="P168" s="68">
        <v>10600</v>
      </c>
      <c r="Q168" s="68">
        <v>5618</v>
      </c>
      <c r="R168" s="68"/>
      <c r="S168" s="5"/>
      <c r="T168" s="5"/>
      <c r="U168" s="261"/>
      <c r="V168" s="261">
        <v>15</v>
      </c>
      <c r="W168" s="5"/>
      <c r="X168" s="5">
        <v>12029.2</v>
      </c>
      <c r="Y168" s="5"/>
      <c r="Z168" s="5">
        <v>9010</v>
      </c>
      <c r="AA168" s="5">
        <v>4775.3</v>
      </c>
      <c r="AB168" s="5"/>
      <c r="AC168" s="5"/>
      <c r="AD168" s="5"/>
      <c r="AE168" s="238">
        <f t="shared" ref="AE168:AE172" si="16">SUM(W168:AD168)</f>
        <v>25814.5</v>
      </c>
      <c r="AF168" s="31" t="s">
        <v>114</v>
      </c>
      <c r="AG168" s="68"/>
      <c r="AH168" s="68"/>
      <c r="AI168" s="68"/>
      <c r="AJ168" s="345"/>
      <c r="AK168" s="43" t="s">
        <v>66</v>
      </c>
      <c r="AL168" s="68"/>
      <c r="AM168" s="68"/>
      <c r="AN168" s="68"/>
      <c r="AO168" s="289" t="s">
        <v>86</v>
      </c>
      <c r="AP168" s="289"/>
      <c r="AQ168" s="290"/>
      <c r="AR168" s="290">
        <v>43338</v>
      </c>
      <c r="AS168" s="25" t="s">
        <v>78</v>
      </c>
      <c r="AT168" s="291">
        <v>43678</v>
      </c>
      <c r="AU168" s="25" t="s">
        <v>88</v>
      </c>
      <c r="AV168" s="43" t="s">
        <v>66</v>
      </c>
      <c r="AW168" s="5" t="s">
        <v>71</v>
      </c>
      <c r="AX168" s="5"/>
      <c r="AY168" s="31"/>
    </row>
    <row r="169" spans="1:110" ht="21.75" customHeight="1">
      <c r="A169" s="5" t="s">
        <v>911</v>
      </c>
      <c r="B169" s="26" t="s">
        <v>912</v>
      </c>
      <c r="C169" s="31" t="s">
        <v>913</v>
      </c>
      <c r="D169" s="5" t="s">
        <v>914</v>
      </c>
      <c r="E169" s="31" t="s">
        <v>126</v>
      </c>
      <c r="F169" s="31" t="s">
        <v>315</v>
      </c>
      <c r="G169" s="217" t="s">
        <v>76</v>
      </c>
      <c r="H169" s="217" t="s">
        <v>128</v>
      </c>
      <c r="I169" s="292">
        <v>43312</v>
      </c>
      <c r="J169" s="5"/>
      <c r="K169" s="26">
        <f t="shared" si="11"/>
        <v>30555.5</v>
      </c>
      <c r="L169" s="238">
        <f t="shared" si="12"/>
        <v>30555.5</v>
      </c>
      <c r="M169" s="6"/>
      <c r="N169" s="68">
        <v>14152</v>
      </c>
      <c r="O169" s="68"/>
      <c r="P169" s="68">
        <v>9540</v>
      </c>
      <c r="Q169" s="68">
        <v>6863.5</v>
      </c>
      <c r="R169" s="68"/>
      <c r="S169" s="5"/>
      <c r="T169" s="5"/>
      <c r="U169" s="261"/>
      <c r="V169" s="261">
        <v>15</v>
      </c>
      <c r="W169" s="5"/>
      <c r="X169" s="5">
        <v>12029.2</v>
      </c>
      <c r="Y169" s="5"/>
      <c r="Z169" s="5">
        <v>8109</v>
      </c>
      <c r="AA169" s="5">
        <v>5833.98</v>
      </c>
      <c r="AB169" s="5"/>
      <c r="AC169" s="5"/>
      <c r="AD169" s="5"/>
      <c r="AE169" s="238">
        <f t="shared" si="16"/>
        <v>25972.18</v>
      </c>
      <c r="AF169" s="31" t="s">
        <v>114</v>
      </c>
      <c r="AG169" s="68"/>
      <c r="AH169" s="68"/>
      <c r="AI169" s="68"/>
      <c r="AJ169" s="345"/>
      <c r="AK169" s="43" t="s">
        <v>66</v>
      </c>
      <c r="AL169" s="68"/>
      <c r="AM169" s="68"/>
      <c r="AN169" s="68"/>
      <c r="AO169" s="289" t="s">
        <v>86</v>
      </c>
      <c r="AP169" s="289"/>
      <c r="AQ169" s="290"/>
      <c r="AR169" s="290">
        <v>43338</v>
      </c>
      <c r="AS169" s="25" t="s">
        <v>78</v>
      </c>
      <c r="AT169" s="291">
        <v>43678</v>
      </c>
      <c r="AU169" s="25" t="s">
        <v>88</v>
      </c>
      <c r="AV169" s="43" t="s">
        <v>66</v>
      </c>
      <c r="AW169" s="5" t="s">
        <v>71</v>
      </c>
      <c r="AX169" s="5"/>
      <c r="AY169" s="31"/>
    </row>
    <row r="170" spans="1:110" ht="21.75" customHeight="1">
      <c r="A170" s="5" t="s">
        <v>915</v>
      </c>
      <c r="B170" s="26" t="s">
        <v>916</v>
      </c>
      <c r="C170" s="31" t="s">
        <v>917</v>
      </c>
      <c r="D170" s="5" t="s">
        <v>918</v>
      </c>
      <c r="E170" s="31" t="s">
        <v>126</v>
      </c>
      <c r="F170" s="31" t="s">
        <v>315</v>
      </c>
      <c r="G170" s="217" t="s">
        <v>76</v>
      </c>
      <c r="H170" s="217" t="s">
        <v>128</v>
      </c>
      <c r="I170" s="292">
        <v>43312</v>
      </c>
      <c r="J170" s="5"/>
      <c r="K170" s="26">
        <f t="shared" si="11"/>
        <v>152000</v>
      </c>
      <c r="L170" s="238">
        <f t="shared" si="12"/>
        <v>152000</v>
      </c>
      <c r="M170" s="6"/>
      <c r="N170" s="68">
        <v>82900</v>
      </c>
      <c r="O170" s="68"/>
      <c r="P170" s="68">
        <v>69100</v>
      </c>
      <c r="Q170" s="68"/>
      <c r="R170" s="68"/>
      <c r="S170" s="5"/>
      <c r="T170" s="5"/>
      <c r="U170" s="261"/>
      <c r="V170" s="261">
        <v>15</v>
      </c>
      <c r="W170" s="5"/>
      <c r="X170" s="5">
        <v>70465</v>
      </c>
      <c r="Y170" s="5"/>
      <c r="Z170" s="5">
        <v>58735</v>
      </c>
      <c r="AA170" s="5"/>
      <c r="AB170" s="5"/>
      <c r="AC170" s="5"/>
      <c r="AD170" s="5"/>
      <c r="AE170" s="238">
        <f t="shared" si="16"/>
        <v>129200</v>
      </c>
      <c r="AF170" s="31" t="s">
        <v>114</v>
      </c>
      <c r="AG170" s="68"/>
      <c r="AH170" s="68"/>
      <c r="AI170" s="68"/>
      <c r="AJ170" s="345"/>
      <c r="AK170" s="43">
        <v>2018.12</v>
      </c>
      <c r="AL170" s="68"/>
      <c r="AM170" s="68"/>
      <c r="AN170" s="68"/>
      <c r="AO170" s="289" t="s">
        <v>86</v>
      </c>
      <c r="AP170" s="289"/>
      <c r="AQ170" s="290">
        <v>43459</v>
      </c>
      <c r="AR170" s="290">
        <v>43459</v>
      </c>
      <c r="AS170" s="25" t="s">
        <v>78</v>
      </c>
      <c r="AT170" s="291">
        <v>43823</v>
      </c>
      <c r="AU170" s="25" t="s">
        <v>88</v>
      </c>
      <c r="AV170" s="43">
        <v>2018.12</v>
      </c>
      <c r="AW170" s="5" t="s">
        <v>71</v>
      </c>
      <c r="AX170" s="5"/>
      <c r="AY170" s="31"/>
    </row>
    <row r="171" spans="1:110" ht="21.75" customHeight="1">
      <c r="A171" s="5" t="s">
        <v>919</v>
      </c>
      <c r="B171" s="26" t="s">
        <v>920</v>
      </c>
      <c r="C171" s="31" t="s">
        <v>921</v>
      </c>
      <c r="D171" s="5" t="s">
        <v>922</v>
      </c>
      <c r="E171" s="31" t="s">
        <v>126</v>
      </c>
      <c r="F171" s="31" t="s">
        <v>315</v>
      </c>
      <c r="G171" s="6" t="s">
        <v>76</v>
      </c>
      <c r="H171" s="6" t="s">
        <v>128</v>
      </c>
      <c r="I171" s="292">
        <v>43314</v>
      </c>
      <c r="J171" s="5"/>
      <c r="K171" s="26">
        <f t="shared" si="11"/>
        <v>47000</v>
      </c>
      <c r="L171" s="238">
        <f t="shared" si="12"/>
        <v>47000</v>
      </c>
      <c r="M171" s="6"/>
      <c r="N171" s="68">
        <v>17500</v>
      </c>
      <c r="O171" s="68"/>
      <c r="P171" s="68">
        <v>29500</v>
      </c>
      <c r="Q171" s="68"/>
      <c r="R171" s="68"/>
      <c r="S171" s="5"/>
      <c r="T171" s="5"/>
      <c r="U171" s="261"/>
      <c r="V171" s="262">
        <v>0.15</v>
      </c>
      <c r="W171" s="5"/>
      <c r="X171" s="5">
        <v>14875</v>
      </c>
      <c r="Y171" s="5"/>
      <c r="Z171" s="5"/>
      <c r="AA171" s="5">
        <v>25075</v>
      </c>
      <c r="AB171" s="5"/>
      <c r="AC171" s="5"/>
      <c r="AD171" s="5"/>
      <c r="AE171" s="238">
        <f t="shared" si="16"/>
        <v>39950</v>
      </c>
      <c r="AF171" s="31" t="s">
        <v>93</v>
      </c>
      <c r="AG171" s="68"/>
      <c r="AH171" s="68"/>
      <c r="AI171" s="68"/>
      <c r="AJ171" s="345"/>
      <c r="AK171" s="43" t="s">
        <v>66</v>
      </c>
      <c r="AL171" s="68"/>
      <c r="AM171" s="68"/>
      <c r="AN171" s="68"/>
      <c r="AO171" s="289" t="s">
        <v>86</v>
      </c>
      <c r="AP171" s="289"/>
      <c r="AQ171" s="290" t="s">
        <v>923</v>
      </c>
      <c r="AR171" s="290">
        <v>43406</v>
      </c>
      <c r="AS171" s="25" t="s">
        <v>78</v>
      </c>
      <c r="AT171" s="291">
        <v>43770</v>
      </c>
      <c r="AU171" s="25" t="s">
        <v>88</v>
      </c>
      <c r="AV171" s="43" t="s">
        <v>66</v>
      </c>
      <c r="AW171" s="26" t="s">
        <v>71</v>
      </c>
      <c r="AX171" s="5"/>
      <c r="AY171" s="31"/>
    </row>
    <row r="172" spans="1:110" ht="21.75" customHeight="1">
      <c r="A172" s="5" t="s">
        <v>924</v>
      </c>
      <c r="B172" s="26" t="s">
        <v>925</v>
      </c>
      <c r="C172" s="31" t="s">
        <v>926</v>
      </c>
      <c r="D172" s="5" t="s">
        <v>927</v>
      </c>
      <c r="E172" s="31" t="s">
        <v>576</v>
      </c>
      <c r="F172" s="31" t="s">
        <v>315</v>
      </c>
      <c r="G172" s="6" t="s">
        <v>76</v>
      </c>
      <c r="H172" s="6" t="s">
        <v>128</v>
      </c>
      <c r="I172" s="292">
        <v>43314</v>
      </c>
      <c r="J172" s="5"/>
      <c r="K172" s="26">
        <f t="shared" si="11"/>
        <v>118579</v>
      </c>
      <c r="L172" s="238">
        <f t="shared" si="12"/>
        <v>118579</v>
      </c>
      <c r="M172" s="6"/>
      <c r="N172" s="68"/>
      <c r="O172" s="68"/>
      <c r="P172" s="68"/>
      <c r="Q172" s="68">
        <v>118579</v>
      </c>
      <c r="R172" s="68"/>
      <c r="S172" s="5"/>
      <c r="T172" s="5"/>
      <c r="U172" s="261"/>
      <c r="V172" s="262">
        <v>0.1</v>
      </c>
      <c r="W172" s="5"/>
      <c r="X172" s="5"/>
      <c r="Y172" s="5"/>
      <c r="Z172" s="5">
        <v>106721.1</v>
      </c>
      <c r="AA172" s="5"/>
      <c r="AB172" s="5"/>
      <c r="AC172" s="5"/>
      <c r="AD172" s="5"/>
      <c r="AE172" s="238">
        <f t="shared" si="16"/>
        <v>106721.1</v>
      </c>
      <c r="AF172" s="31" t="s">
        <v>114</v>
      </c>
      <c r="AG172" s="68"/>
      <c r="AH172" s="68"/>
      <c r="AI172" s="68"/>
      <c r="AJ172" s="345"/>
      <c r="AK172" s="43"/>
      <c r="AL172" s="68"/>
      <c r="AM172" s="68"/>
      <c r="AN172" s="68"/>
      <c r="AO172" s="289"/>
      <c r="AP172" s="289"/>
      <c r="AQ172" s="290"/>
      <c r="AR172" s="290"/>
      <c r="AS172" s="31"/>
      <c r="AT172" s="291"/>
      <c r="AU172" s="25" t="s">
        <v>213</v>
      </c>
      <c r="AV172" s="43"/>
      <c r="AW172" s="5" t="s">
        <v>71</v>
      </c>
      <c r="AX172" s="5"/>
      <c r="AY172" s="31"/>
    </row>
    <row r="173" spans="1:110" s="376" customFormat="1" ht="21.75" customHeight="1">
      <c r="A173" s="35"/>
      <c r="B173" s="26" t="s">
        <v>928</v>
      </c>
      <c r="C173" s="18" t="s">
        <v>929</v>
      </c>
      <c r="D173" s="35" t="s">
        <v>930</v>
      </c>
      <c r="E173" s="391" t="s">
        <v>652</v>
      </c>
      <c r="F173" s="392"/>
      <c r="G173" s="392"/>
      <c r="H173" s="393"/>
      <c r="I173" s="414" t="s">
        <v>653</v>
      </c>
      <c r="J173" s="35"/>
      <c r="K173" s="35">
        <f t="shared" ref="K173:K207" si="17">L173+S173</f>
        <v>0</v>
      </c>
      <c r="L173" s="398">
        <f t="shared" si="12"/>
        <v>0</v>
      </c>
      <c r="M173" s="399"/>
      <c r="N173" s="405"/>
      <c r="O173" s="405"/>
      <c r="P173" s="405"/>
      <c r="Q173" s="405"/>
      <c r="R173" s="405"/>
      <c r="S173" s="35"/>
      <c r="T173" s="35"/>
      <c r="U173" s="402"/>
      <c r="V173" s="415"/>
      <c r="W173" s="35"/>
      <c r="X173" s="35"/>
      <c r="Y173" s="35"/>
      <c r="Z173" s="35"/>
      <c r="AA173" s="35"/>
      <c r="AB173" s="35"/>
      <c r="AC173" s="35"/>
      <c r="AD173" s="35"/>
      <c r="AE173" s="398">
        <f t="shared" ref="AE173:AE236" si="18">SUM(W173:AD173)</f>
        <v>0</v>
      </c>
      <c r="AF173" s="34" t="s">
        <v>145</v>
      </c>
      <c r="AG173" s="405"/>
      <c r="AH173" s="405"/>
      <c r="AI173" s="405"/>
      <c r="AJ173" s="345"/>
      <c r="AK173" s="43" t="s">
        <v>66</v>
      </c>
      <c r="AL173" s="405"/>
      <c r="AM173" s="405"/>
      <c r="AN173" s="405"/>
      <c r="AO173" s="409" t="s">
        <v>86</v>
      </c>
      <c r="AP173" s="409"/>
      <c r="AQ173" s="290">
        <v>42979</v>
      </c>
      <c r="AR173" s="410">
        <v>43328</v>
      </c>
      <c r="AS173" s="34"/>
      <c r="AT173" s="291">
        <v>44805</v>
      </c>
      <c r="AU173" s="34" t="s">
        <v>931</v>
      </c>
      <c r="AV173" s="43" t="s">
        <v>66</v>
      </c>
      <c r="AW173" s="26" t="s">
        <v>71</v>
      </c>
      <c r="AX173" s="26"/>
      <c r="AY173" s="34"/>
      <c r="AZ173" s="412"/>
      <c r="BA173" s="412"/>
      <c r="BB173" s="412"/>
      <c r="BC173" s="412"/>
      <c r="BD173" s="412"/>
      <c r="BE173" s="412"/>
      <c r="BF173" s="412"/>
      <c r="BG173" s="412"/>
      <c r="BH173" s="412"/>
      <c r="BI173" s="412"/>
      <c r="BJ173" s="412"/>
      <c r="BK173" s="412"/>
      <c r="BL173" s="412"/>
      <c r="BM173" s="412"/>
      <c r="BN173" s="412"/>
      <c r="BO173" s="412"/>
      <c r="BP173" s="412"/>
      <c r="BQ173" s="412"/>
      <c r="BR173" s="412"/>
      <c r="BS173" s="412"/>
      <c r="BT173" s="412"/>
      <c r="BU173" s="412"/>
      <c r="BV173" s="412"/>
      <c r="BW173" s="412"/>
      <c r="BX173" s="412"/>
      <c r="BY173" s="412"/>
      <c r="BZ173" s="412"/>
      <c r="CA173" s="412"/>
      <c r="CB173" s="412"/>
      <c r="CC173" s="412"/>
      <c r="CD173" s="412"/>
      <c r="CE173" s="412"/>
      <c r="CF173" s="412"/>
      <c r="CG173" s="412"/>
      <c r="CH173" s="412"/>
      <c r="CI173" s="412"/>
      <c r="CJ173" s="412"/>
      <c r="CK173" s="412"/>
      <c r="CL173" s="412"/>
      <c r="CM173" s="412"/>
      <c r="CN173" s="412"/>
      <c r="CO173" s="412"/>
      <c r="CP173" s="412"/>
      <c r="CQ173" s="412"/>
      <c r="CR173" s="412"/>
      <c r="CS173" s="412"/>
      <c r="CT173" s="412"/>
      <c r="CU173" s="412"/>
      <c r="CV173" s="412"/>
      <c r="CW173" s="412"/>
      <c r="CX173" s="412"/>
      <c r="CY173" s="412"/>
      <c r="CZ173" s="412"/>
      <c r="DA173" s="412"/>
      <c r="DB173" s="412"/>
      <c r="DC173" s="412"/>
      <c r="DD173" s="412"/>
      <c r="DE173" s="412"/>
      <c r="DF173" s="412"/>
    </row>
    <row r="174" spans="1:110" s="376" customFormat="1" ht="21.75" customHeight="1">
      <c r="A174" s="35"/>
      <c r="B174" s="26" t="s">
        <v>928</v>
      </c>
      <c r="C174" s="18" t="s">
        <v>929</v>
      </c>
      <c r="D174" s="35" t="s">
        <v>930</v>
      </c>
      <c r="E174" s="391" t="s">
        <v>652</v>
      </c>
      <c r="F174" s="392"/>
      <c r="G174" s="392"/>
      <c r="H174" s="393"/>
      <c r="I174" s="414" t="s">
        <v>653</v>
      </c>
      <c r="J174" s="35"/>
      <c r="K174" s="35">
        <f t="shared" si="17"/>
        <v>0</v>
      </c>
      <c r="L174" s="398">
        <f t="shared" si="12"/>
        <v>0</v>
      </c>
      <c r="M174" s="399"/>
      <c r="N174" s="405"/>
      <c r="O174" s="405"/>
      <c r="P174" s="405"/>
      <c r="Q174" s="405"/>
      <c r="R174" s="405"/>
      <c r="S174" s="35"/>
      <c r="T174" s="35"/>
      <c r="U174" s="402"/>
      <c r="V174" s="415"/>
      <c r="W174" s="35"/>
      <c r="X174" s="35"/>
      <c r="Y174" s="35"/>
      <c r="Z174" s="35"/>
      <c r="AA174" s="35"/>
      <c r="AB174" s="35"/>
      <c r="AC174" s="35"/>
      <c r="AD174" s="35"/>
      <c r="AE174" s="398">
        <f t="shared" si="18"/>
        <v>0</v>
      </c>
      <c r="AF174" s="34" t="s">
        <v>145</v>
      </c>
      <c r="AG174" s="405"/>
      <c r="AH174" s="405"/>
      <c r="AI174" s="405"/>
      <c r="AJ174" s="345"/>
      <c r="AK174" s="43" t="s">
        <v>66</v>
      </c>
      <c r="AL174" s="405"/>
      <c r="AM174" s="405"/>
      <c r="AN174" s="405"/>
      <c r="AO174" s="409" t="s">
        <v>86</v>
      </c>
      <c r="AP174" s="409" t="s">
        <v>932</v>
      </c>
      <c r="AQ174" s="290">
        <v>42712</v>
      </c>
      <c r="AR174" s="410">
        <v>43328</v>
      </c>
      <c r="AS174" s="34"/>
      <c r="AT174" s="291" t="s">
        <v>933</v>
      </c>
      <c r="AU174" s="34" t="s">
        <v>933</v>
      </c>
      <c r="AV174" s="43" t="s">
        <v>66</v>
      </c>
      <c r="AW174" s="26" t="s">
        <v>71</v>
      </c>
      <c r="AX174" s="26"/>
      <c r="AY174" s="34"/>
      <c r="AZ174" s="412"/>
      <c r="BA174" s="412"/>
      <c r="BB174" s="412"/>
      <c r="BC174" s="412"/>
      <c r="BD174" s="412"/>
      <c r="BE174" s="412"/>
      <c r="BF174" s="412"/>
      <c r="BG174" s="412"/>
      <c r="BH174" s="412"/>
      <c r="BI174" s="412"/>
      <c r="BJ174" s="412"/>
      <c r="BK174" s="412"/>
      <c r="BL174" s="412"/>
      <c r="BM174" s="412"/>
      <c r="BN174" s="412"/>
      <c r="BO174" s="412"/>
      <c r="BP174" s="412"/>
      <c r="BQ174" s="412"/>
      <c r="BR174" s="412"/>
      <c r="BS174" s="412"/>
      <c r="BT174" s="412"/>
      <c r="BU174" s="412"/>
      <c r="BV174" s="412"/>
      <c r="BW174" s="412"/>
      <c r="BX174" s="412"/>
      <c r="BY174" s="412"/>
      <c r="BZ174" s="412"/>
      <c r="CA174" s="412"/>
      <c r="CB174" s="412"/>
      <c r="CC174" s="412"/>
      <c r="CD174" s="412"/>
      <c r="CE174" s="412"/>
      <c r="CF174" s="412"/>
      <c r="CG174" s="412"/>
      <c r="CH174" s="412"/>
      <c r="CI174" s="412"/>
      <c r="CJ174" s="412"/>
      <c r="CK174" s="412"/>
      <c r="CL174" s="412"/>
      <c r="CM174" s="412"/>
      <c r="CN174" s="412"/>
      <c r="CO174" s="412"/>
      <c r="CP174" s="412"/>
      <c r="CQ174" s="412"/>
      <c r="CR174" s="412"/>
      <c r="CS174" s="412"/>
      <c r="CT174" s="412"/>
      <c r="CU174" s="412"/>
      <c r="CV174" s="412"/>
      <c r="CW174" s="412"/>
      <c r="CX174" s="412"/>
      <c r="CY174" s="412"/>
      <c r="CZ174" s="412"/>
      <c r="DA174" s="412"/>
      <c r="DB174" s="412"/>
      <c r="DC174" s="412"/>
      <c r="DD174" s="412"/>
      <c r="DE174" s="412"/>
      <c r="DF174" s="412"/>
    </row>
    <row r="175" spans="1:110" s="376" customFormat="1" ht="21.75" customHeight="1">
      <c r="A175" s="35"/>
      <c r="B175" s="26" t="s">
        <v>934</v>
      </c>
      <c r="C175" s="18" t="s">
        <v>935</v>
      </c>
      <c r="D175" s="35" t="s">
        <v>936</v>
      </c>
      <c r="E175" s="391" t="s">
        <v>652</v>
      </c>
      <c r="F175" s="392"/>
      <c r="G175" s="392"/>
      <c r="H175" s="393"/>
      <c r="I175" s="414" t="s">
        <v>653</v>
      </c>
      <c r="J175" s="35"/>
      <c r="K175" s="35">
        <f t="shared" si="17"/>
        <v>0</v>
      </c>
      <c r="L175" s="398">
        <f t="shared" si="12"/>
        <v>0</v>
      </c>
      <c r="M175" s="399"/>
      <c r="N175" s="405"/>
      <c r="O175" s="405"/>
      <c r="P175" s="405"/>
      <c r="Q175" s="405"/>
      <c r="R175" s="405"/>
      <c r="S175" s="35"/>
      <c r="T175" s="35"/>
      <c r="U175" s="402"/>
      <c r="V175" s="415"/>
      <c r="W175" s="35"/>
      <c r="X175" s="35"/>
      <c r="Y175" s="35"/>
      <c r="Z175" s="35"/>
      <c r="AA175" s="35"/>
      <c r="AB175" s="35"/>
      <c r="AC175" s="35"/>
      <c r="AD175" s="35"/>
      <c r="AE175" s="398">
        <f t="shared" si="18"/>
        <v>0</v>
      </c>
      <c r="AF175" s="34" t="s">
        <v>77</v>
      </c>
      <c r="AG175" s="405"/>
      <c r="AH175" s="405"/>
      <c r="AI175" s="405"/>
      <c r="AJ175" s="345"/>
      <c r="AK175" s="43" t="s">
        <v>66</v>
      </c>
      <c r="AL175" s="405"/>
      <c r="AM175" s="405"/>
      <c r="AN175" s="405"/>
      <c r="AO175" s="409" t="s">
        <v>86</v>
      </c>
      <c r="AP175" s="409"/>
      <c r="AQ175" s="290">
        <v>43263</v>
      </c>
      <c r="AR175" s="410">
        <v>43329</v>
      </c>
      <c r="AS175" s="34" t="s">
        <v>78</v>
      </c>
      <c r="AT175" s="291">
        <v>43627</v>
      </c>
      <c r="AU175" s="34" t="s">
        <v>88</v>
      </c>
      <c r="AV175" s="43" t="s">
        <v>66</v>
      </c>
      <c r="AW175" s="26" t="s">
        <v>71</v>
      </c>
      <c r="AX175" s="26"/>
      <c r="AY175" s="34"/>
      <c r="AZ175" s="412"/>
      <c r="BA175" s="412"/>
      <c r="BB175" s="412"/>
      <c r="BC175" s="412"/>
      <c r="BD175" s="412"/>
      <c r="BE175" s="412"/>
      <c r="BF175" s="412"/>
      <c r="BG175" s="412"/>
      <c r="BH175" s="412"/>
      <c r="BI175" s="412"/>
      <c r="BJ175" s="412"/>
      <c r="BK175" s="412"/>
      <c r="BL175" s="412"/>
      <c r="BM175" s="412"/>
      <c r="BN175" s="412"/>
      <c r="BO175" s="412"/>
      <c r="BP175" s="412"/>
      <c r="BQ175" s="412"/>
      <c r="BR175" s="412"/>
      <c r="BS175" s="412"/>
      <c r="BT175" s="412"/>
      <c r="BU175" s="412"/>
      <c r="BV175" s="412"/>
      <c r="BW175" s="412"/>
      <c r="BX175" s="412"/>
      <c r="BY175" s="412"/>
      <c r="BZ175" s="412"/>
      <c r="CA175" s="412"/>
      <c r="CB175" s="412"/>
      <c r="CC175" s="412"/>
      <c r="CD175" s="412"/>
      <c r="CE175" s="412"/>
      <c r="CF175" s="412"/>
      <c r="CG175" s="412"/>
      <c r="CH175" s="412"/>
      <c r="CI175" s="412"/>
      <c r="CJ175" s="412"/>
      <c r="CK175" s="412"/>
      <c r="CL175" s="412"/>
      <c r="CM175" s="412"/>
      <c r="CN175" s="412"/>
      <c r="CO175" s="412"/>
      <c r="CP175" s="412"/>
      <c r="CQ175" s="412"/>
      <c r="CR175" s="412"/>
      <c r="CS175" s="412"/>
      <c r="CT175" s="412"/>
      <c r="CU175" s="412"/>
      <c r="CV175" s="412"/>
      <c r="CW175" s="412"/>
      <c r="CX175" s="412"/>
      <c r="CY175" s="412"/>
      <c r="CZ175" s="412"/>
      <c r="DA175" s="412"/>
      <c r="DB175" s="412"/>
      <c r="DC175" s="412"/>
      <c r="DD175" s="412"/>
      <c r="DE175" s="412"/>
      <c r="DF175" s="412"/>
    </row>
    <row r="176" spans="1:110" s="376" customFormat="1" ht="21.75" customHeight="1">
      <c r="A176" s="35"/>
      <c r="B176" s="26" t="s">
        <v>937</v>
      </c>
      <c r="C176" s="18" t="s">
        <v>938</v>
      </c>
      <c r="D176" s="35" t="s">
        <v>939</v>
      </c>
      <c r="E176" s="391" t="s">
        <v>652</v>
      </c>
      <c r="F176" s="392"/>
      <c r="G176" s="392"/>
      <c r="H176" s="393"/>
      <c r="I176" s="414" t="s">
        <v>653</v>
      </c>
      <c r="J176" s="35"/>
      <c r="K176" s="35">
        <f t="shared" si="17"/>
        <v>0</v>
      </c>
      <c r="L176" s="398">
        <f t="shared" si="12"/>
        <v>0</v>
      </c>
      <c r="M176" s="399"/>
      <c r="N176" s="405"/>
      <c r="O176" s="405"/>
      <c r="P176" s="405"/>
      <c r="Q176" s="405"/>
      <c r="R176" s="405"/>
      <c r="S176" s="35"/>
      <c r="T176" s="35"/>
      <c r="U176" s="402"/>
      <c r="V176" s="415"/>
      <c r="W176" s="35"/>
      <c r="X176" s="35"/>
      <c r="Y176" s="35"/>
      <c r="Z176" s="35"/>
      <c r="AA176" s="35"/>
      <c r="AB176" s="35"/>
      <c r="AC176" s="35"/>
      <c r="AD176" s="35"/>
      <c r="AE176" s="398">
        <f t="shared" si="18"/>
        <v>0</v>
      </c>
      <c r="AF176" s="34" t="s">
        <v>145</v>
      </c>
      <c r="AG176" s="405"/>
      <c r="AH176" s="405"/>
      <c r="AI176" s="405"/>
      <c r="AJ176" s="345"/>
      <c r="AK176" s="43" t="s">
        <v>66</v>
      </c>
      <c r="AL176" s="405"/>
      <c r="AM176" s="405"/>
      <c r="AN176" s="405"/>
      <c r="AO176" s="409" t="s">
        <v>86</v>
      </c>
      <c r="AP176" s="409"/>
      <c r="AQ176" s="290">
        <v>43320</v>
      </c>
      <c r="AR176" s="410">
        <v>43328</v>
      </c>
      <c r="AS176" s="34" t="s">
        <v>940</v>
      </c>
      <c r="AT176" s="291" t="s">
        <v>941</v>
      </c>
      <c r="AU176" s="34" t="s">
        <v>931</v>
      </c>
      <c r="AV176" s="43" t="s">
        <v>66</v>
      </c>
      <c r="AW176" s="26" t="s">
        <v>71</v>
      </c>
      <c r="AX176" s="26"/>
      <c r="AY176" s="34"/>
      <c r="AZ176" s="412"/>
      <c r="BA176" s="412"/>
      <c r="BB176" s="412"/>
      <c r="BC176" s="412"/>
      <c r="BD176" s="412"/>
      <c r="BE176" s="412"/>
      <c r="BF176" s="412"/>
      <c r="BG176" s="412"/>
      <c r="BH176" s="412"/>
      <c r="BI176" s="412"/>
      <c r="BJ176" s="412"/>
      <c r="BK176" s="412"/>
      <c r="BL176" s="412"/>
      <c r="BM176" s="412"/>
      <c r="BN176" s="412"/>
      <c r="BO176" s="412"/>
      <c r="BP176" s="412"/>
      <c r="BQ176" s="412"/>
      <c r="BR176" s="412"/>
      <c r="BS176" s="412"/>
      <c r="BT176" s="412"/>
      <c r="BU176" s="412"/>
      <c r="BV176" s="412"/>
      <c r="BW176" s="412"/>
      <c r="BX176" s="412"/>
      <c r="BY176" s="412"/>
      <c r="BZ176" s="412"/>
      <c r="CA176" s="412"/>
      <c r="CB176" s="412"/>
      <c r="CC176" s="412"/>
      <c r="CD176" s="412"/>
      <c r="CE176" s="412"/>
      <c r="CF176" s="412"/>
      <c r="CG176" s="412"/>
      <c r="CH176" s="412"/>
      <c r="CI176" s="412"/>
      <c r="CJ176" s="412"/>
      <c r="CK176" s="412"/>
      <c r="CL176" s="412"/>
      <c r="CM176" s="412"/>
      <c r="CN176" s="412"/>
      <c r="CO176" s="412"/>
      <c r="CP176" s="412"/>
      <c r="CQ176" s="412"/>
      <c r="CR176" s="412"/>
      <c r="CS176" s="412"/>
      <c r="CT176" s="412"/>
      <c r="CU176" s="412"/>
      <c r="CV176" s="412"/>
      <c r="CW176" s="412"/>
      <c r="CX176" s="412"/>
      <c r="CY176" s="412"/>
      <c r="CZ176" s="412"/>
      <c r="DA176" s="412"/>
      <c r="DB176" s="412"/>
      <c r="DC176" s="412"/>
      <c r="DD176" s="412"/>
      <c r="DE176" s="412"/>
      <c r="DF176" s="412"/>
    </row>
    <row r="177" spans="1:51" ht="21.75" customHeight="1">
      <c r="A177" s="5" t="s">
        <v>942</v>
      </c>
      <c r="B177" s="26" t="s">
        <v>943</v>
      </c>
      <c r="C177" s="31" t="s">
        <v>917</v>
      </c>
      <c r="D177" s="5" t="s">
        <v>944</v>
      </c>
      <c r="E177" s="31" t="s">
        <v>75</v>
      </c>
      <c r="F177" s="31" t="s">
        <v>315</v>
      </c>
      <c r="G177" s="6" t="s">
        <v>76</v>
      </c>
      <c r="H177" s="6" t="s">
        <v>128</v>
      </c>
      <c r="I177" s="292">
        <v>43336</v>
      </c>
      <c r="J177" s="5"/>
      <c r="K177" s="26">
        <f t="shared" si="17"/>
        <v>25230</v>
      </c>
      <c r="L177" s="238">
        <f t="shared" si="12"/>
        <v>25230</v>
      </c>
      <c r="M177" s="324"/>
      <c r="N177" s="324">
        <v>9890</v>
      </c>
      <c r="O177" s="324"/>
      <c r="P177" s="324">
        <v>15340</v>
      </c>
      <c r="Q177" s="324"/>
      <c r="R177" s="324"/>
      <c r="S177" s="5"/>
      <c r="T177" s="5"/>
      <c r="U177" s="261"/>
      <c r="V177" s="262">
        <v>0.15</v>
      </c>
      <c r="W177" s="5"/>
      <c r="X177" s="5">
        <v>8406.5</v>
      </c>
      <c r="Y177" s="5"/>
      <c r="Z177" s="5">
        <v>13039</v>
      </c>
      <c r="AA177" s="5"/>
      <c r="AB177" s="5"/>
      <c r="AC177" s="5"/>
      <c r="AD177" s="5"/>
      <c r="AE177" s="238">
        <f t="shared" si="18"/>
        <v>21445.5</v>
      </c>
      <c r="AF177" s="31" t="s">
        <v>93</v>
      </c>
      <c r="AG177" s="68"/>
      <c r="AH177" s="68"/>
      <c r="AI177" s="68"/>
      <c r="AJ177" s="345"/>
      <c r="AK177" s="43">
        <v>2018.5</v>
      </c>
      <c r="AL177" s="68"/>
      <c r="AM177" s="68"/>
      <c r="AN177" s="68"/>
      <c r="AO177" s="289"/>
      <c r="AP177" s="289"/>
      <c r="AQ177" s="290"/>
      <c r="AR177" s="290"/>
      <c r="AS177" s="25" t="s">
        <v>78</v>
      </c>
      <c r="AT177" s="291"/>
      <c r="AU177" s="31" t="s">
        <v>213</v>
      </c>
      <c r="AV177" s="43">
        <v>2018.5</v>
      </c>
      <c r="AW177" s="26" t="s">
        <v>71</v>
      </c>
      <c r="AX177" s="5"/>
      <c r="AY177" s="31"/>
    </row>
    <row r="178" spans="1:51" ht="21.75" customHeight="1">
      <c r="A178" s="5" t="s">
        <v>945</v>
      </c>
      <c r="B178" s="26"/>
      <c r="C178" s="31" t="s">
        <v>946</v>
      </c>
      <c r="D178" s="5" t="s">
        <v>947</v>
      </c>
      <c r="E178" s="31" t="s">
        <v>83</v>
      </c>
      <c r="F178" s="31" t="s">
        <v>315</v>
      </c>
      <c r="G178" s="6" t="s">
        <v>602</v>
      </c>
      <c r="H178" s="6" t="s">
        <v>63</v>
      </c>
      <c r="I178" s="292">
        <v>43343</v>
      </c>
      <c r="J178" s="5"/>
      <c r="K178" s="26">
        <f t="shared" si="17"/>
        <v>629800</v>
      </c>
      <c r="L178" s="238">
        <f t="shared" si="12"/>
        <v>629800</v>
      </c>
      <c r="M178" s="324"/>
      <c r="N178" s="324"/>
      <c r="O178" s="324"/>
      <c r="P178" s="324"/>
      <c r="Q178" s="324">
        <v>629800</v>
      </c>
      <c r="R178" s="324"/>
      <c r="S178" s="5"/>
      <c r="T178" s="5"/>
      <c r="U178" s="261"/>
      <c r="V178" s="262">
        <v>0.1585</v>
      </c>
      <c r="W178" s="5"/>
      <c r="X178" s="5">
        <f>475000+40000</f>
        <v>515000</v>
      </c>
      <c r="Y178" s="5"/>
      <c r="Z178" s="5"/>
      <c r="AA178" s="5"/>
      <c r="AB178" s="5"/>
      <c r="AC178" s="5"/>
      <c r="AD178" s="5"/>
      <c r="AE178" s="238">
        <f t="shared" si="18"/>
        <v>515000</v>
      </c>
      <c r="AF178" s="31" t="s">
        <v>948</v>
      </c>
      <c r="AG178" s="68"/>
      <c r="AH178" s="68"/>
      <c r="AI178" s="68"/>
      <c r="AJ178" s="345"/>
      <c r="AK178" s="43">
        <v>2018.12</v>
      </c>
      <c r="AL178" s="68"/>
      <c r="AM178" s="68"/>
      <c r="AN178" s="68"/>
      <c r="AO178" s="289"/>
      <c r="AP178" s="289"/>
      <c r="AQ178" s="290"/>
      <c r="AR178" s="290"/>
      <c r="AS178" s="31"/>
      <c r="AT178" s="291"/>
      <c r="AU178" s="31" t="s">
        <v>213</v>
      </c>
      <c r="AV178" s="43">
        <v>2018.12</v>
      </c>
      <c r="AW178" s="5" t="s">
        <v>71</v>
      </c>
      <c r="AX178" s="5"/>
      <c r="AY178" s="31"/>
    </row>
    <row r="179" spans="1:51" ht="21.75" customHeight="1">
      <c r="A179" s="5" t="s">
        <v>949</v>
      </c>
      <c r="B179" s="26" t="s">
        <v>950</v>
      </c>
      <c r="C179" s="31" t="s">
        <v>951</v>
      </c>
      <c r="D179" s="5" t="s">
        <v>952</v>
      </c>
      <c r="E179" s="31" t="s">
        <v>126</v>
      </c>
      <c r="F179" s="31" t="s">
        <v>315</v>
      </c>
      <c r="G179" s="6" t="s">
        <v>76</v>
      </c>
      <c r="H179" s="6" t="s">
        <v>128</v>
      </c>
      <c r="I179" s="292">
        <v>43356</v>
      </c>
      <c r="J179" s="5"/>
      <c r="K179" s="26">
        <f t="shared" si="17"/>
        <v>380440</v>
      </c>
      <c r="L179" s="238">
        <f t="shared" si="12"/>
        <v>380440</v>
      </c>
      <c r="M179" s="324"/>
      <c r="N179" s="324">
        <v>194590</v>
      </c>
      <c r="O179" s="324"/>
      <c r="P179" s="324">
        <v>82500</v>
      </c>
      <c r="Q179" s="324">
        <v>103350</v>
      </c>
      <c r="R179" s="324"/>
      <c r="S179" s="5"/>
      <c r="T179" s="5"/>
      <c r="U179" s="261"/>
      <c r="V179" s="262">
        <v>0.15</v>
      </c>
      <c r="W179" s="5"/>
      <c r="X179" s="5">
        <v>194589</v>
      </c>
      <c r="Y179" s="5"/>
      <c r="Z179" s="5">
        <v>55410</v>
      </c>
      <c r="AA179" s="5">
        <v>68524.39</v>
      </c>
      <c r="AB179" s="5"/>
      <c r="AC179" s="5"/>
      <c r="AD179" s="5"/>
      <c r="AE179" s="238">
        <f t="shared" si="18"/>
        <v>318523.39</v>
      </c>
      <c r="AF179" s="31" t="s">
        <v>85</v>
      </c>
      <c r="AG179" s="68"/>
      <c r="AH179" s="68"/>
      <c r="AI179" s="68"/>
      <c r="AJ179" s="345"/>
      <c r="AK179" s="43" t="s">
        <v>66</v>
      </c>
      <c r="AL179" s="68"/>
      <c r="AM179" s="68"/>
      <c r="AN179" s="68"/>
      <c r="AO179" s="289" t="s">
        <v>86</v>
      </c>
      <c r="AP179" s="289"/>
      <c r="AQ179" s="290">
        <v>43390</v>
      </c>
      <c r="AR179" s="290">
        <v>43390</v>
      </c>
      <c r="AS179" s="31" t="s">
        <v>78</v>
      </c>
      <c r="AT179" s="291">
        <v>43389</v>
      </c>
      <c r="AU179" s="31" t="s">
        <v>88</v>
      </c>
      <c r="AV179" s="43" t="s">
        <v>66</v>
      </c>
      <c r="AW179" s="5" t="s">
        <v>71</v>
      </c>
      <c r="AX179" s="60">
        <v>43385</v>
      </c>
      <c r="AY179" s="31"/>
    </row>
    <row r="180" spans="1:51" ht="21.75" customHeight="1">
      <c r="A180" s="5" t="s">
        <v>953</v>
      </c>
      <c r="B180" s="26" t="s">
        <v>954</v>
      </c>
      <c r="C180" s="40" t="s">
        <v>955</v>
      </c>
      <c r="D180" s="299" t="s">
        <v>956</v>
      </c>
      <c r="E180" s="31" t="s">
        <v>106</v>
      </c>
      <c r="F180" s="31" t="s">
        <v>300</v>
      </c>
      <c r="G180" s="6" t="s">
        <v>107</v>
      </c>
      <c r="H180" s="6" t="s">
        <v>63</v>
      </c>
      <c r="I180" s="292">
        <v>43357</v>
      </c>
      <c r="J180" s="5"/>
      <c r="K180" s="26">
        <f t="shared" si="17"/>
        <v>670805</v>
      </c>
      <c r="L180" s="238">
        <f t="shared" si="12"/>
        <v>670805</v>
      </c>
      <c r="M180" s="324"/>
      <c r="N180" s="324"/>
      <c r="O180" s="324"/>
      <c r="P180" s="324"/>
      <c r="Q180" s="324">
        <v>670805</v>
      </c>
      <c r="R180" s="324"/>
      <c r="S180" s="5"/>
      <c r="T180" s="5"/>
      <c r="U180" s="261"/>
      <c r="V180" s="262">
        <v>0.15</v>
      </c>
      <c r="W180" s="5"/>
      <c r="X180" s="5"/>
      <c r="Y180" s="5"/>
      <c r="Z180" s="5"/>
      <c r="AA180" s="5">
        <v>570100</v>
      </c>
      <c r="AB180" s="5"/>
      <c r="AC180" s="5"/>
      <c r="AD180" s="5"/>
      <c r="AE180" s="238">
        <f t="shared" si="18"/>
        <v>570100</v>
      </c>
      <c r="AF180" s="31" t="s">
        <v>957</v>
      </c>
      <c r="AG180" s="68"/>
      <c r="AH180" s="68"/>
      <c r="AI180" s="68"/>
      <c r="AJ180" s="345"/>
      <c r="AK180" s="43" t="s">
        <v>190</v>
      </c>
      <c r="AL180" s="68"/>
      <c r="AM180" s="68"/>
      <c r="AN180" s="68"/>
      <c r="AO180" s="289"/>
      <c r="AP180" s="289"/>
      <c r="AQ180" s="290"/>
      <c r="AR180" s="290"/>
      <c r="AS180" s="31"/>
      <c r="AT180" s="291"/>
      <c r="AU180" s="31" t="s">
        <v>190</v>
      </c>
      <c r="AV180" s="43" t="s">
        <v>190</v>
      </c>
      <c r="AW180" s="5" t="s">
        <v>71</v>
      </c>
      <c r="AX180" s="60">
        <v>43357</v>
      </c>
      <c r="AY180" s="31"/>
    </row>
    <row r="181" spans="1:51" ht="21.75" customHeight="1">
      <c r="A181" s="5" t="s">
        <v>958</v>
      </c>
      <c r="B181" s="26" t="s">
        <v>959</v>
      </c>
      <c r="C181" s="31" t="s">
        <v>960</v>
      </c>
      <c r="D181" s="5" t="s">
        <v>961</v>
      </c>
      <c r="E181" s="31" t="s">
        <v>224</v>
      </c>
      <c r="F181" s="31" t="s">
        <v>315</v>
      </c>
      <c r="G181" s="6" t="s">
        <v>150</v>
      </c>
      <c r="H181" s="6" t="s">
        <v>806</v>
      </c>
      <c r="I181" s="292">
        <v>43360</v>
      </c>
      <c r="J181" s="5"/>
      <c r="K181" s="26">
        <f t="shared" si="17"/>
        <v>192352.94</v>
      </c>
      <c r="L181" s="238">
        <f t="shared" si="12"/>
        <v>192352.94</v>
      </c>
      <c r="M181" s="324"/>
      <c r="N181" s="324">
        <v>192352.94</v>
      </c>
      <c r="O181" s="324"/>
      <c r="P181" s="324"/>
      <c r="Q181" s="324"/>
      <c r="R181" s="324"/>
      <c r="S181" s="5"/>
      <c r="T181" s="5"/>
      <c r="U181" s="261"/>
      <c r="V181" s="262">
        <v>0.15</v>
      </c>
      <c r="W181" s="5"/>
      <c r="X181" s="5">
        <v>163500</v>
      </c>
      <c r="Y181" s="5"/>
      <c r="Z181" s="5"/>
      <c r="AA181" s="5"/>
      <c r="AB181" s="5"/>
      <c r="AC181" s="5"/>
      <c r="AD181" s="5"/>
      <c r="AE181" s="238">
        <f t="shared" si="18"/>
        <v>163500</v>
      </c>
      <c r="AF181" s="31" t="s">
        <v>93</v>
      </c>
      <c r="AG181" s="68"/>
      <c r="AH181" s="68"/>
      <c r="AI181" s="68"/>
      <c r="AJ181" s="345"/>
      <c r="AK181" s="43" t="s">
        <v>962</v>
      </c>
      <c r="AL181" s="68"/>
      <c r="AM181" s="68"/>
      <c r="AN181" s="68"/>
      <c r="AO181" s="289" t="s">
        <v>86</v>
      </c>
      <c r="AP181" s="289"/>
      <c r="AQ181" s="290">
        <v>43405</v>
      </c>
      <c r="AR181" s="290">
        <v>43426</v>
      </c>
      <c r="AS181" s="25" t="s">
        <v>78</v>
      </c>
      <c r="AT181" s="291">
        <v>2019.11</v>
      </c>
      <c r="AU181" s="31" t="s">
        <v>88</v>
      </c>
      <c r="AV181" s="43" t="s">
        <v>962</v>
      </c>
      <c r="AW181" s="26" t="s">
        <v>71</v>
      </c>
      <c r="AX181" s="5"/>
      <c r="AY181" s="31"/>
    </row>
    <row r="182" spans="1:51" ht="21.75" customHeight="1">
      <c r="A182" s="5" t="s">
        <v>963</v>
      </c>
      <c r="B182" s="26" t="s">
        <v>964</v>
      </c>
      <c r="C182" s="31" t="s">
        <v>965</v>
      </c>
      <c r="D182" s="5" t="s">
        <v>966</v>
      </c>
      <c r="E182" s="31" t="s">
        <v>224</v>
      </c>
      <c r="F182" s="31" t="s">
        <v>315</v>
      </c>
      <c r="G182" s="6" t="s">
        <v>150</v>
      </c>
      <c r="H182" s="6" t="s">
        <v>806</v>
      </c>
      <c r="I182" s="292">
        <v>43360</v>
      </c>
      <c r="J182" s="5"/>
      <c r="K182" s="26">
        <f t="shared" si="17"/>
        <v>176399</v>
      </c>
      <c r="L182" s="238">
        <f t="shared" si="12"/>
        <v>176399</v>
      </c>
      <c r="M182" s="324"/>
      <c r="N182" s="324">
        <v>73152.36</v>
      </c>
      <c r="O182" s="324"/>
      <c r="P182" s="324">
        <v>103246.64</v>
      </c>
      <c r="Q182" s="324"/>
      <c r="R182" s="324"/>
      <c r="S182" s="5"/>
      <c r="T182" s="5"/>
      <c r="U182" s="261"/>
      <c r="V182" s="262">
        <v>0.15</v>
      </c>
      <c r="W182" s="5"/>
      <c r="X182" s="5">
        <v>72428.08</v>
      </c>
      <c r="Y182" s="5"/>
      <c r="Z182" s="5">
        <v>77510.399999999994</v>
      </c>
      <c r="AA182" s="5"/>
      <c r="AB182" s="5"/>
      <c r="AC182" s="5"/>
      <c r="AD182" s="5"/>
      <c r="AE182" s="238">
        <f t="shared" si="18"/>
        <v>149938.47999999998</v>
      </c>
      <c r="AF182" s="31" t="s">
        <v>93</v>
      </c>
      <c r="AG182" s="68"/>
      <c r="AH182" s="68"/>
      <c r="AI182" s="68"/>
      <c r="AJ182" s="345"/>
      <c r="AK182" s="43" t="s">
        <v>962</v>
      </c>
      <c r="AL182" s="68"/>
      <c r="AM182" s="68"/>
      <c r="AN182" s="68"/>
      <c r="AO182" s="289"/>
      <c r="AP182" s="289"/>
      <c r="AQ182" s="290"/>
      <c r="AR182" s="290"/>
      <c r="AS182" s="25" t="s">
        <v>78</v>
      </c>
      <c r="AT182" s="291"/>
      <c r="AU182" s="31" t="s">
        <v>213</v>
      </c>
      <c r="AV182" s="43" t="s">
        <v>962</v>
      </c>
      <c r="AW182" s="26" t="s">
        <v>71</v>
      </c>
      <c r="AX182" s="5"/>
      <c r="AY182" s="31"/>
    </row>
    <row r="183" spans="1:51" ht="21.75" customHeight="1">
      <c r="A183" s="5" t="s">
        <v>967</v>
      </c>
      <c r="B183" s="26" t="s">
        <v>968</v>
      </c>
      <c r="C183" s="31" t="s">
        <v>969</v>
      </c>
      <c r="D183" s="5" t="s">
        <v>970</v>
      </c>
      <c r="E183" s="31" t="s">
        <v>126</v>
      </c>
      <c r="F183" s="31" t="s">
        <v>315</v>
      </c>
      <c r="G183" s="6" t="s">
        <v>76</v>
      </c>
      <c r="H183" s="6" t="s">
        <v>128</v>
      </c>
      <c r="I183" s="292">
        <v>43361</v>
      </c>
      <c r="J183" s="5"/>
      <c r="K183" s="26">
        <f t="shared" si="17"/>
        <v>147323</v>
      </c>
      <c r="L183" s="238">
        <f t="shared" si="12"/>
        <v>147323</v>
      </c>
      <c r="M183" s="324"/>
      <c r="N183" s="324"/>
      <c r="O183" s="324"/>
      <c r="P183" s="324"/>
      <c r="Q183" s="324">
        <v>147323</v>
      </c>
      <c r="R183" s="324"/>
      <c r="S183" s="5"/>
      <c r="T183" s="5"/>
      <c r="U183" s="261"/>
      <c r="V183" s="262">
        <v>0.15</v>
      </c>
      <c r="W183" s="5"/>
      <c r="X183" s="5"/>
      <c r="Y183" s="5"/>
      <c r="Z183" s="5"/>
      <c r="AA183" s="5">
        <v>125224.55</v>
      </c>
      <c r="AB183" s="5"/>
      <c r="AC183" s="5"/>
      <c r="AD183" s="5"/>
      <c r="AE183" s="238">
        <f t="shared" si="18"/>
        <v>125224.55</v>
      </c>
      <c r="AF183" s="31" t="s">
        <v>93</v>
      </c>
      <c r="AG183" s="68"/>
      <c r="AH183" s="68"/>
      <c r="AI183" s="68"/>
      <c r="AJ183" s="345"/>
      <c r="AK183" s="43">
        <v>2019.1</v>
      </c>
      <c r="AL183" s="68"/>
      <c r="AM183" s="68"/>
      <c r="AN183" s="68"/>
      <c r="AO183" s="289"/>
      <c r="AP183" s="289"/>
      <c r="AQ183" s="290"/>
      <c r="AR183" s="290"/>
      <c r="AS183" s="25" t="s">
        <v>78</v>
      </c>
      <c r="AT183" s="291"/>
      <c r="AU183" s="31" t="s">
        <v>213</v>
      </c>
      <c r="AV183" s="43">
        <v>2019.1</v>
      </c>
      <c r="AW183" s="26" t="s">
        <v>71</v>
      </c>
      <c r="AX183" s="5"/>
      <c r="AY183" s="31"/>
    </row>
    <row r="184" spans="1:51" ht="21.75" customHeight="1">
      <c r="A184" s="5" t="s">
        <v>971</v>
      </c>
      <c r="B184" s="26" t="s">
        <v>972</v>
      </c>
      <c r="C184" s="31" t="s">
        <v>973</v>
      </c>
      <c r="D184" s="5" t="s">
        <v>974</v>
      </c>
      <c r="E184" s="31" t="s">
        <v>126</v>
      </c>
      <c r="F184" s="31" t="s">
        <v>315</v>
      </c>
      <c r="G184" s="6" t="s">
        <v>76</v>
      </c>
      <c r="H184" s="6" t="s">
        <v>128</v>
      </c>
      <c r="I184" s="292">
        <v>43362</v>
      </c>
      <c r="J184" s="5"/>
      <c r="K184" s="26">
        <f t="shared" si="17"/>
        <v>1645227.3</v>
      </c>
      <c r="L184" s="238">
        <f t="shared" si="12"/>
        <v>1645227.3</v>
      </c>
      <c r="M184" s="324"/>
      <c r="N184" s="324">
        <v>851605</v>
      </c>
      <c r="O184" s="324"/>
      <c r="P184" s="324">
        <v>793622.3</v>
      </c>
      <c r="Q184" s="324"/>
      <c r="R184" s="324"/>
      <c r="S184" s="5"/>
      <c r="T184" s="5"/>
      <c r="U184" s="261"/>
      <c r="V184" s="262">
        <v>0.15</v>
      </c>
      <c r="W184" s="5"/>
      <c r="X184" s="5">
        <v>849877</v>
      </c>
      <c r="Y184" s="5"/>
      <c r="Z184" s="5">
        <v>529781.22</v>
      </c>
      <c r="AA184" s="5"/>
      <c r="AB184" s="5"/>
      <c r="AC184" s="5"/>
      <c r="AD184" s="5"/>
      <c r="AE184" s="238">
        <f t="shared" si="18"/>
        <v>1379658.22</v>
      </c>
      <c r="AF184" s="31" t="s">
        <v>975</v>
      </c>
      <c r="AG184" s="68"/>
      <c r="AH184" s="68"/>
      <c r="AI184" s="68"/>
      <c r="AJ184" s="345"/>
      <c r="AK184" s="43" t="s">
        <v>66</v>
      </c>
      <c r="AL184" s="68"/>
      <c r="AM184" s="68"/>
      <c r="AN184" s="68"/>
      <c r="AO184" s="289" t="s">
        <v>86</v>
      </c>
      <c r="AP184" s="289"/>
      <c r="AQ184" s="290">
        <v>43390</v>
      </c>
      <c r="AR184" s="290">
        <v>43390</v>
      </c>
      <c r="AS184" s="31" t="s">
        <v>78</v>
      </c>
      <c r="AT184" s="291">
        <v>43754</v>
      </c>
      <c r="AU184" s="31" t="s">
        <v>88</v>
      </c>
      <c r="AV184" s="43" t="s">
        <v>66</v>
      </c>
      <c r="AW184" s="5" t="s">
        <v>71</v>
      </c>
      <c r="AX184" s="5"/>
      <c r="AY184" s="31"/>
    </row>
    <row r="185" spans="1:51" ht="58.5" customHeight="1">
      <c r="A185" s="5" t="s">
        <v>976</v>
      </c>
      <c r="B185" s="26" t="s">
        <v>977</v>
      </c>
      <c r="C185" s="31" t="s">
        <v>978</v>
      </c>
      <c r="D185" s="5" t="s">
        <v>979</v>
      </c>
      <c r="E185" s="31" t="s">
        <v>83</v>
      </c>
      <c r="F185" s="31" t="s">
        <v>315</v>
      </c>
      <c r="G185" s="6" t="s">
        <v>76</v>
      </c>
      <c r="H185" s="6" t="s">
        <v>128</v>
      </c>
      <c r="I185" s="292">
        <v>43363</v>
      </c>
      <c r="J185" s="5" t="s">
        <v>980</v>
      </c>
      <c r="K185" s="26">
        <f t="shared" si="17"/>
        <v>6374847</v>
      </c>
      <c r="L185" s="238">
        <f t="shared" si="12"/>
        <v>6297147</v>
      </c>
      <c r="M185" s="324"/>
      <c r="N185" s="324">
        <v>5277147</v>
      </c>
      <c r="O185" s="324"/>
      <c r="P185" s="324">
        <v>1020000</v>
      </c>
      <c r="Q185" s="324"/>
      <c r="R185" s="324"/>
      <c r="S185" s="26">
        <f>12000+65700</f>
        <v>77700</v>
      </c>
      <c r="T185" s="26" t="s">
        <v>981</v>
      </c>
      <c r="U185" s="263"/>
      <c r="V185" s="262">
        <v>0.1</v>
      </c>
      <c r="W185" s="5"/>
      <c r="X185" s="5">
        <v>5277047</v>
      </c>
      <c r="Y185" s="5"/>
      <c r="Z185" s="5">
        <v>336515</v>
      </c>
      <c r="AA185" s="5"/>
      <c r="AB185" s="5">
        <v>12000</v>
      </c>
      <c r="AC185" s="5">
        <v>65700</v>
      </c>
      <c r="AD185" s="5"/>
      <c r="AE185" s="238">
        <f t="shared" si="18"/>
        <v>5691262</v>
      </c>
      <c r="AF185" s="31" t="s">
        <v>132</v>
      </c>
      <c r="AG185" s="68"/>
      <c r="AH185" s="68"/>
      <c r="AI185" s="68"/>
      <c r="AJ185" s="345"/>
      <c r="AK185" s="43" t="s">
        <v>982</v>
      </c>
      <c r="AL185" s="68"/>
      <c r="AM185" s="68"/>
      <c r="AN185" s="68"/>
      <c r="AO185" s="289"/>
      <c r="AP185" s="289"/>
      <c r="AQ185" s="290"/>
      <c r="AR185" s="290"/>
      <c r="AS185" s="31"/>
      <c r="AT185" s="291"/>
      <c r="AU185" s="31" t="s">
        <v>213</v>
      </c>
      <c r="AV185" s="43" t="s">
        <v>982</v>
      </c>
      <c r="AW185" s="5"/>
      <c r="AX185" s="5"/>
      <c r="AY185" s="31"/>
    </row>
    <row r="186" spans="1:51" ht="21.75" customHeight="1">
      <c r="A186" s="413" t="s">
        <v>983</v>
      </c>
      <c r="B186" s="26" t="s">
        <v>984</v>
      </c>
      <c r="C186" s="31" t="s">
        <v>985</v>
      </c>
      <c r="D186" s="207" t="s">
        <v>986</v>
      </c>
      <c r="E186" s="31" t="s">
        <v>75</v>
      </c>
      <c r="F186" s="31" t="s">
        <v>315</v>
      </c>
      <c r="G186" s="6" t="s">
        <v>175</v>
      </c>
      <c r="H186" s="6" t="s">
        <v>128</v>
      </c>
      <c r="I186" s="292">
        <v>43363</v>
      </c>
      <c r="J186" s="5" t="s">
        <v>987</v>
      </c>
      <c r="K186" s="26">
        <f t="shared" si="17"/>
        <v>1195258</v>
      </c>
      <c r="L186" s="238">
        <f t="shared" si="12"/>
        <v>1195258</v>
      </c>
      <c r="M186" s="324"/>
      <c r="N186" s="324">
        <v>747508</v>
      </c>
      <c r="O186" s="324"/>
      <c r="P186" s="324">
        <v>447750</v>
      </c>
      <c r="Q186" s="324"/>
      <c r="R186" s="324"/>
      <c r="S186" s="26"/>
      <c r="T186" s="5"/>
      <c r="U186" s="261"/>
      <c r="V186" s="262">
        <v>0.1</v>
      </c>
      <c r="W186" s="5"/>
      <c r="X186" s="5">
        <v>747500</v>
      </c>
      <c r="Y186" s="5"/>
      <c r="Z186" s="5">
        <v>314910</v>
      </c>
      <c r="AA186" s="5"/>
      <c r="AB186" s="5"/>
      <c r="AC186" s="5"/>
      <c r="AD186" s="5"/>
      <c r="AE186" s="238">
        <f t="shared" si="18"/>
        <v>1062410</v>
      </c>
      <c r="AF186" s="31" t="s">
        <v>85</v>
      </c>
      <c r="AG186" s="68"/>
      <c r="AH186" s="68"/>
      <c r="AI186" s="68"/>
      <c r="AJ186" s="345" t="s">
        <v>643</v>
      </c>
      <c r="AK186" s="43">
        <v>2019.2</v>
      </c>
      <c r="AL186" s="68"/>
      <c r="AM186" s="68"/>
      <c r="AN186" s="68"/>
      <c r="AO186" s="289"/>
      <c r="AP186" s="289"/>
      <c r="AQ186" s="290"/>
      <c r="AR186" s="290"/>
      <c r="AS186" s="31"/>
      <c r="AT186" s="291"/>
      <c r="AU186" s="31" t="s">
        <v>213</v>
      </c>
      <c r="AV186" s="43">
        <v>2019.2</v>
      </c>
      <c r="AW186" s="5" t="s">
        <v>71</v>
      </c>
      <c r="AX186" s="60">
        <v>43388</v>
      </c>
      <c r="AY186" s="31"/>
    </row>
    <row r="187" spans="1:51" ht="21.75" customHeight="1">
      <c r="A187" s="5" t="s">
        <v>988</v>
      </c>
      <c r="B187" s="26" t="s">
        <v>989</v>
      </c>
      <c r="C187" s="31" t="s">
        <v>990</v>
      </c>
      <c r="D187" s="5" t="s">
        <v>991</v>
      </c>
      <c r="E187" s="31" t="s">
        <v>265</v>
      </c>
      <c r="F187" s="31" t="s">
        <v>315</v>
      </c>
      <c r="G187" s="6" t="s">
        <v>286</v>
      </c>
      <c r="H187" s="6" t="s">
        <v>702</v>
      </c>
      <c r="I187" s="292" t="s">
        <v>992</v>
      </c>
      <c r="J187" s="5"/>
      <c r="K187" s="26">
        <v>1016580</v>
      </c>
      <c r="L187" s="238">
        <v>1016580</v>
      </c>
      <c r="M187" s="324"/>
      <c r="N187" s="324">
        <v>556045</v>
      </c>
      <c r="O187" s="324"/>
      <c r="P187" s="324">
        <v>61235</v>
      </c>
      <c r="Q187" s="324">
        <v>399300</v>
      </c>
      <c r="R187" s="324"/>
      <c r="S187" s="26"/>
      <c r="T187" s="5"/>
      <c r="U187" s="261"/>
      <c r="V187" s="261"/>
      <c r="W187" s="5"/>
      <c r="X187" s="5">
        <v>539845</v>
      </c>
      <c r="Y187" s="5"/>
      <c r="Z187" s="5">
        <v>40034</v>
      </c>
      <c r="AA187" s="5">
        <v>318000</v>
      </c>
      <c r="AB187" s="5"/>
      <c r="AC187" s="5"/>
      <c r="AD187" s="5"/>
      <c r="AE187" s="238">
        <f t="shared" si="18"/>
        <v>897879</v>
      </c>
      <c r="AF187" s="31" t="s">
        <v>108</v>
      </c>
      <c r="AG187" s="68" t="s">
        <v>992</v>
      </c>
      <c r="AH187" s="68"/>
      <c r="AI187" s="68"/>
      <c r="AJ187" s="43"/>
      <c r="AK187" s="43" t="s">
        <v>808</v>
      </c>
      <c r="AL187" s="68"/>
      <c r="AM187" s="68"/>
      <c r="AN187" s="68"/>
      <c r="AO187" s="289" t="s">
        <v>86</v>
      </c>
      <c r="AP187" s="289"/>
      <c r="AQ187" s="290">
        <v>43466</v>
      </c>
      <c r="AR187" s="290">
        <v>43466</v>
      </c>
      <c r="AS187" s="31" t="s">
        <v>87</v>
      </c>
      <c r="AT187" s="291">
        <v>44560</v>
      </c>
      <c r="AU187" s="31" t="s">
        <v>993</v>
      </c>
      <c r="AV187" s="43" t="s">
        <v>808</v>
      </c>
      <c r="AW187" s="5" t="s">
        <v>71</v>
      </c>
      <c r="AX187" s="60">
        <v>43337</v>
      </c>
      <c r="AY187" s="31"/>
    </row>
    <row r="188" spans="1:51" ht="21.75" customHeight="1">
      <c r="A188" s="5" t="s">
        <v>994</v>
      </c>
      <c r="B188" s="26" t="s">
        <v>995</v>
      </c>
      <c r="C188" s="31" t="s">
        <v>996</v>
      </c>
      <c r="D188" s="5" t="s">
        <v>997</v>
      </c>
      <c r="E188" s="31" t="s">
        <v>998</v>
      </c>
      <c r="F188" s="31" t="s">
        <v>315</v>
      </c>
      <c r="G188" s="6" t="s">
        <v>107</v>
      </c>
      <c r="H188" s="6" t="s">
        <v>702</v>
      </c>
      <c r="I188" s="292" t="s">
        <v>992</v>
      </c>
      <c r="J188" s="5"/>
      <c r="K188" s="26">
        <f t="shared" si="17"/>
        <v>0</v>
      </c>
      <c r="L188" s="238">
        <f t="shared" si="12"/>
        <v>0</v>
      </c>
      <c r="M188" s="324"/>
      <c r="N188" s="324"/>
      <c r="O188" s="324"/>
      <c r="P188" s="324"/>
      <c r="Q188" s="324"/>
      <c r="R188" s="324"/>
      <c r="S188" s="26"/>
      <c r="T188" s="5"/>
      <c r="U188" s="261"/>
      <c r="V188" s="261"/>
      <c r="W188" s="5"/>
      <c r="X188" s="5"/>
      <c r="Y188" s="5"/>
      <c r="Z188" s="5"/>
      <c r="AA188" s="5"/>
      <c r="AB188" s="5"/>
      <c r="AC188" s="5"/>
      <c r="AD188" s="5"/>
      <c r="AE188" s="238">
        <f t="shared" si="18"/>
        <v>0</v>
      </c>
      <c r="AF188" s="31" t="s">
        <v>132</v>
      </c>
      <c r="AG188" s="68" t="s">
        <v>992</v>
      </c>
      <c r="AH188" s="68"/>
      <c r="AI188" s="68"/>
      <c r="AJ188" s="345" t="s">
        <v>636</v>
      </c>
      <c r="AK188" s="43" t="s">
        <v>999</v>
      </c>
      <c r="AL188" s="68"/>
      <c r="AM188" s="68"/>
      <c r="AN188" s="68"/>
      <c r="AO188" s="289"/>
      <c r="AP188" s="289"/>
      <c r="AQ188" s="290"/>
      <c r="AR188" s="290"/>
      <c r="AS188" s="31"/>
      <c r="AT188" s="291"/>
      <c r="AU188" s="31" t="s">
        <v>213</v>
      </c>
      <c r="AV188" s="43" t="s">
        <v>999</v>
      </c>
      <c r="AW188" s="5" t="s">
        <v>71</v>
      </c>
      <c r="AX188" s="417">
        <v>43383</v>
      </c>
      <c r="AY188" s="31"/>
    </row>
    <row r="189" spans="1:51" ht="21.75" customHeight="1">
      <c r="A189" s="5" t="s">
        <v>1000</v>
      </c>
      <c r="B189" s="26" t="s">
        <v>1001</v>
      </c>
      <c r="C189" s="31" t="s">
        <v>1002</v>
      </c>
      <c r="D189" s="299" t="s">
        <v>1003</v>
      </c>
      <c r="E189" s="31" t="s">
        <v>92</v>
      </c>
      <c r="F189" s="31" t="s">
        <v>300</v>
      </c>
      <c r="G189" s="6" t="s">
        <v>1004</v>
      </c>
      <c r="H189" s="6" t="s">
        <v>84</v>
      </c>
      <c r="I189" s="292" t="s">
        <v>1005</v>
      </c>
      <c r="J189" s="5"/>
      <c r="K189" s="26">
        <f t="shared" si="17"/>
        <v>4410000</v>
      </c>
      <c r="L189" s="238">
        <f t="shared" si="12"/>
        <v>1143600</v>
      </c>
      <c r="M189" s="324"/>
      <c r="N189" s="324"/>
      <c r="O189" s="324"/>
      <c r="P189" s="324"/>
      <c r="Q189" s="324">
        <v>1143600</v>
      </c>
      <c r="R189" s="324"/>
      <c r="S189" s="26">
        <v>3266400</v>
      </c>
      <c r="T189" s="26">
        <v>3266400</v>
      </c>
      <c r="U189" s="263">
        <v>0.1</v>
      </c>
      <c r="V189" s="261">
        <v>0.1686</v>
      </c>
      <c r="W189" s="5"/>
      <c r="X189" s="5"/>
      <c r="Y189" s="5"/>
      <c r="Z189" s="5"/>
      <c r="AA189" s="5">
        <v>4217136</v>
      </c>
      <c r="AB189" s="5"/>
      <c r="AC189" s="5"/>
      <c r="AD189" s="5"/>
      <c r="AE189" s="238">
        <f t="shared" si="18"/>
        <v>4217136</v>
      </c>
      <c r="AF189" s="31" t="s">
        <v>93</v>
      </c>
      <c r="AG189" s="68"/>
      <c r="AH189" s="68"/>
      <c r="AI189" s="68"/>
      <c r="AJ189" s="345"/>
      <c r="AK189" s="43" t="s">
        <v>1006</v>
      </c>
      <c r="AL189" s="68"/>
      <c r="AM189" s="68"/>
      <c r="AN189" s="68"/>
      <c r="AO189" s="289" t="s">
        <v>86</v>
      </c>
      <c r="AP189" s="289"/>
      <c r="AQ189" s="290">
        <v>43460</v>
      </c>
      <c r="AR189" s="290">
        <v>43460</v>
      </c>
      <c r="AS189" s="31" t="s">
        <v>78</v>
      </c>
      <c r="AT189" s="291">
        <v>43824</v>
      </c>
      <c r="AU189" s="31" t="s">
        <v>88</v>
      </c>
      <c r="AV189" s="43" t="s">
        <v>1006</v>
      </c>
      <c r="AW189" s="5" t="s">
        <v>1007</v>
      </c>
      <c r="AX189" s="5"/>
      <c r="AY189" s="31"/>
    </row>
    <row r="190" spans="1:51" ht="21.75" customHeight="1">
      <c r="A190" s="5"/>
      <c r="B190" s="26" t="s">
        <v>1008</v>
      </c>
      <c r="C190" s="31" t="s">
        <v>1009</v>
      </c>
      <c r="D190" s="5" t="s">
        <v>1010</v>
      </c>
      <c r="E190" s="31" t="s">
        <v>75</v>
      </c>
      <c r="F190" s="31"/>
      <c r="G190" s="6" t="s">
        <v>175</v>
      </c>
      <c r="H190" s="6" t="s">
        <v>128</v>
      </c>
      <c r="I190" s="292" t="s">
        <v>1011</v>
      </c>
      <c r="J190" s="5"/>
      <c r="K190" s="26">
        <f t="shared" si="17"/>
        <v>152400</v>
      </c>
      <c r="L190" s="238">
        <f t="shared" si="12"/>
        <v>152400</v>
      </c>
      <c r="M190" s="324"/>
      <c r="N190" s="324"/>
      <c r="O190" s="324"/>
      <c r="P190" s="324"/>
      <c r="Q190" s="324">
        <v>152400</v>
      </c>
      <c r="R190" s="324"/>
      <c r="S190" s="5"/>
      <c r="T190" s="5"/>
      <c r="U190" s="261"/>
      <c r="V190" s="261">
        <v>0.15</v>
      </c>
      <c r="W190" s="5"/>
      <c r="X190" s="5"/>
      <c r="Y190" s="5"/>
      <c r="Z190" s="5"/>
      <c r="AA190" s="5">
        <f>114000+15540</f>
        <v>129540</v>
      </c>
      <c r="AB190" s="5"/>
      <c r="AC190" s="5"/>
      <c r="AD190" s="5"/>
      <c r="AE190" s="238">
        <f t="shared" si="18"/>
        <v>129540</v>
      </c>
      <c r="AF190" s="31" t="s">
        <v>85</v>
      </c>
      <c r="AG190" s="68"/>
      <c r="AH190" s="68"/>
      <c r="AI190" s="68"/>
      <c r="AJ190" s="345"/>
      <c r="AK190" s="43" t="s">
        <v>190</v>
      </c>
      <c r="AL190" s="68"/>
      <c r="AM190" s="68"/>
      <c r="AN190" s="68"/>
      <c r="AO190" s="289"/>
      <c r="AP190" s="289"/>
      <c r="AQ190" s="290"/>
      <c r="AR190" s="343"/>
      <c r="AS190" s="292">
        <v>43259</v>
      </c>
      <c r="AT190" s="291" t="s">
        <v>1012</v>
      </c>
      <c r="AU190" s="31" t="s">
        <v>190</v>
      </c>
      <c r="AV190" s="43" t="s">
        <v>190</v>
      </c>
      <c r="AW190" s="5" t="s">
        <v>1013</v>
      </c>
      <c r="AX190" s="5"/>
      <c r="AY190" s="31"/>
    </row>
    <row r="191" spans="1:51" ht="21.75" customHeight="1">
      <c r="A191" s="5" t="s">
        <v>1014</v>
      </c>
      <c r="B191" s="26" t="s">
        <v>1015</v>
      </c>
      <c r="C191" s="31" t="s">
        <v>1016</v>
      </c>
      <c r="D191" s="5" t="s">
        <v>1017</v>
      </c>
      <c r="E191" s="31" t="s">
        <v>1018</v>
      </c>
      <c r="F191" s="31"/>
      <c r="G191" s="6" t="s">
        <v>1019</v>
      </c>
      <c r="H191" s="6" t="s">
        <v>1020</v>
      </c>
      <c r="I191" s="292"/>
      <c r="J191" s="5"/>
      <c r="K191" s="26">
        <f t="shared" si="17"/>
        <v>1698450</v>
      </c>
      <c r="L191" s="238">
        <f t="shared" si="12"/>
        <v>1698450</v>
      </c>
      <c r="M191" s="324"/>
      <c r="N191" s="324">
        <v>115350</v>
      </c>
      <c r="O191" s="324"/>
      <c r="P191" s="324">
        <v>53100</v>
      </c>
      <c r="Q191" s="324">
        <v>1530000</v>
      </c>
      <c r="R191" s="324"/>
      <c r="S191" s="5"/>
      <c r="T191" s="5"/>
      <c r="U191" s="261"/>
      <c r="V191" s="261">
        <v>9.8000000000000004E-2</v>
      </c>
      <c r="W191" s="5"/>
      <c r="X191" s="5">
        <f>55350+60000</f>
        <v>115350</v>
      </c>
      <c r="Y191" s="5"/>
      <c r="Z191" s="5"/>
      <c r="AA191" s="5"/>
      <c r="AB191" s="5">
        <v>53100</v>
      </c>
      <c r="AC191" s="5"/>
      <c r="AD191" s="5"/>
      <c r="AE191" s="238">
        <f t="shared" si="18"/>
        <v>168450</v>
      </c>
      <c r="AF191" s="31" t="s">
        <v>1021</v>
      </c>
      <c r="AG191" s="68"/>
      <c r="AH191" s="68"/>
      <c r="AI191" s="68"/>
      <c r="AJ191" s="345">
        <v>2019.12</v>
      </c>
      <c r="AK191" s="43">
        <v>2019.12</v>
      </c>
      <c r="AL191" s="68"/>
      <c r="AM191" s="68"/>
      <c r="AN191" s="68"/>
      <c r="AO191" s="289"/>
      <c r="AP191" s="289"/>
      <c r="AQ191" s="290"/>
      <c r="AR191" s="343"/>
      <c r="AS191" s="31" t="s">
        <v>78</v>
      </c>
      <c r="AT191" s="291"/>
      <c r="AU191" s="31" t="s">
        <v>213</v>
      </c>
      <c r="AV191" s="43">
        <v>2019.12</v>
      </c>
      <c r="AW191" s="5" t="s">
        <v>71</v>
      </c>
      <c r="AX191" s="5"/>
      <c r="AY191" s="31"/>
    </row>
    <row r="192" spans="1:51" ht="21.75" customHeight="1">
      <c r="A192" s="5" t="s">
        <v>1022</v>
      </c>
      <c r="B192" s="26" t="s">
        <v>1023</v>
      </c>
      <c r="C192" s="31" t="s">
        <v>1024</v>
      </c>
      <c r="D192" s="5" t="s">
        <v>1025</v>
      </c>
      <c r="E192" s="31" t="s">
        <v>126</v>
      </c>
      <c r="F192" s="31" t="s">
        <v>315</v>
      </c>
      <c r="G192" s="6" t="s">
        <v>76</v>
      </c>
      <c r="H192" s="6" t="s">
        <v>128</v>
      </c>
      <c r="I192" s="292">
        <v>43394</v>
      </c>
      <c r="J192" s="5"/>
      <c r="K192" s="26">
        <f t="shared" si="17"/>
        <v>101103.38</v>
      </c>
      <c r="L192" s="238">
        <f t="shared" si="12"/>
        <v>101103.38</v>
      </c>
      <c r="M192" s="324"/>
      <c r="N192" s="324">
        <v>51234.879999999997</v>
      </c>
      <c r="O192" s="324"/>
      <c r="P192" s="324">
        <v>37768.5</v>
      </c>
      <c r="Q192" s="324">
        <v>12100</v>
      </c>
      <c r="R192" s="324"/>
      <c r="S192" s="5"/>
      <c r="T192" s="5"/>
      <c r="U192" s="261"/>
      <c r="V192" s="261">
        <v>0.15</v>
      </c>
      <c r="W192" s="5"/>
      <c r="X192" s="5">
        <v>51134.879999999997</v>
      </c>
      <c r="Y192" s="5"/>
      <c r="Z192" s="5">
        <v>26705.03</v>
      </c>
      <c r="AA192" s="5">
        <v>8555.56</v>
      </c>
      <c r="AB192" s="5"/>
      <c r="AC192" s="5"/>
      <c r="AD192" s="5"/>
      <c r="AE192" s="238">
        <f t="shared" si="18"/>
        <v>86395.47</v>
      </c>
      <c r="AF192" s="31" t="s">
        <v>145</v>
      </c>
      <c r="AG192" s="68"/>
      <c r="AH192" s="68"/>
      <c r="AI192" s="68"/>
      <c r="AJ192" s="345"/>
      <c r="AK192" s="43"/>
      <c r="AL192" s="68"/>
      <c r="AM192" s="68"/>
      <c r="AN192" s="68"/>
      <c r="AO192" s="289" t="s">
        <v>86</v>
      </c>
      <c r="AP192" s="289"/>
      <c r="AQ192" s="290">
        <v>43439</v>
      </c>
      <c r="AR192" s="343">
        <v>43441</v>
      </c>
      <c r="AS192" s="31"/>
      <c r="AT192" s="291">
        <v>43803</v>
      </c>
      <c r="AU192" s="31" t="s">
        <v>88</v>
      </c>
      <c r="AV192" s="43"/>
      <c r="AW192" s="5"/>
      <c r="AX192" s="5"/>
      <c r="AY192" s="31"/>
    </row>
    <row r="193" spans="1:110" ht="21.75" customHeight="1">
      <c r="A193" s="5" t="s">
        <v>1026</v>
      </c>
      <c r="B193" s="26" t="s">
        <v>1027</v>
      </c>
      <c r="C193" s="31" t="s">
        <v>1028</v>
      </c>
      <c r="D193" s="5" t="s">
        <v>1029</v>
      </c>
      <c r="E193" s="31" t="s">
        <v>576</v>
      </c>
      <c r="F193" s="31" t="s">
        <v>1030</v>
      </c>
      <c r="G193" s="6" t="s">
        <v>1004</v>
      </c>
      <c r="H193" s="6" t="s">
        <v>84</v>
      </c>
      <c r="I193" s="292">
        <v>43390</v>
      </c>
      <c r="J193" s="5"/>
      <c r="K193" s="26">
        <f t="shared" si="17"/>
        <v>183000</v>
      </c>
      <c r="L193" s="238">
        <f t="shared" si="12"/>
        <v>183000</v>
      </c>
      <c r="M193" s="324"/>
      <c r="N193" s="324"/>
      <c r="O193" s="324"/>
      <c r="P193" s="324"/>
      <c r="Q193" s="324">
        <v>183000</v>
      </c>
      <c r="R193" s="324"/>
      <c r="S193" s="5"/>
      <c r="T193" s="5"/>
      <c r="U193" s="261"/>
      <c r="V193" s="261">
        <v>0.15</v>
      </c>
      <c r="W193" s="5"/>
      <c r="X193" s="5"/>
      <c r="Y193" s="5"/>
      <c r="Z193" s="5"/>
      <c r="AA193" s="5">
        <v>155550</v>
      </c>
      <c r="AB193" s="5"/>
      <c r="AC193" s="5"/>
      <c r="AD193" s="5"/>
      <c r="AE193" s="238">
        <f t="shared" si="18"/>
        <v>155550</v>
      </c>
      <c r="AF193" s="31" t="s">
        <v>108</v>
      </c>
      <c r="AG193" s="68"/>
      <c r="AH193" s="68"/>
      <c r="AI193" s="68"/>
      <c r="AJ193" s="345"/>
      <c r="AK193" s="82"/>
      <c r="AL193" s="68"/>
      <c r="AM193" s="68"/>
      <c r="AN193" s="68"/>
      <c r="AO193" s="289" t="s">
        <v>86</v>
      </c>
      <c r="AP193" s="289"/>
      <c r="AQ193" s="290">
        <v>43440</v>
      </c>
      <c r="AR193" s="343">
        <v>43441</v>
      </c>
      <c r="AS193" s="292"/>
      <c r="AT193" s="291">
        <v>43803</v>
      </c>
      <c r="AU193" s="31" t="s">
        <v>88</v>
      </c>
      <c r="AV193" s="82"/>
      <c r="AW193" s="5"/>
      <c r="AX193" s="5"/>
      <c r="AY193" s="31"/>
    </row>
    <row r="194" spans="1:110" s="377" customFormat="1" ht="21.75" customHeight="1">
      <c r="A194" s="42" t="s">
        <v>1031</v>
      </c>
      <c r="B194" s="26" t="s">
        <v>1032</v>
      </c>
      <c r="C194" s="41" t="s">
        <v>1033</v>
      </c>
      <c r="D194" s="41" t="s">
        <v>1034</v>
      </c>
      <c r="E194" s="418" t="s">
        <v>83</v>
      </c>
      <c r="F194" s="419" t="s">
        <v>315</v>
      </c>
      <c r="G194" s="420" t="s">
        <v>76</v>
      </c>
      <c r="H194" s="420" t="s">
        <v>128</v>
      </c>
      <c r="I194" s="422">
        <v>43423</v>
      </c>
      <c r="J194" s="423"/>
      <c r="K194" s="42">
        <f t="shared" si="17"/>
        <v>18353.68</v>
      </c>
      <c r="L194" s="424">
        <f t="shared" si="12"/>
        <v>18353.68</v>
      </c>
      <c r="M194" s="420"/>
      <c r="N194" s="420"/>
      <c r="O194" s="420"/>
      <c r="P194" s="425">
        <v>18353.68</v>
      </c>
      <c r="Q194" s="420"/>
      <c r="R194" s="420"/>
      <c r="S194" s="431"/>
      <c r="T194" s="420"/>
      <c r="U194" s="432"/>
      <c r="V194" s="433">
        <v>0.15</v>
      </c>
      <c r="W194" s="431"/>
      <c r="X194" s="431"/>
      <c r="Y194" s="431"/>
      <c r="Z194" s="431">
        <v>15600.63</v>
      </c>
      <c r="AA194" s="431"/>
      <c r="AB194" s="431"/>
      <c r="AC194" s="431"/>
      <c r="AD194" s="431"/>
      <c r="AE194" s="424">
        <f t="shared" si="18"/>
        <v>15600.63</v>
      </c>
      <c r="AF194" s="423" t="s">
        <v>93</v>
      </c>
      <c r="AG194" s="420"/>
      <c r="AH194" s="420"/>
      <c r="AI194" s="420"/>
      <c r="AJ194" s="43"/>
      <c r="AK194" s="43"/>
      <c r="AL194" s="420"/>
      <c r="AM194" s="420"/>
      <c r="AN194" s="420"/>
      <c r="AO194" s="435"/>
      <c r="AP194" s="435"/>
      <c r="AQ194" s="309"/>
      <c r="AR194" s="436"/>
      <c r="AS194" s="419"/>
      <c r="AT194" s="291"/>
      <c r="AU194" s="419"/>
      <c r="AV194" s="43"/>
      <c r="AW194" s="42"/>
      <c r="AX194" s="42"/>
      <c r="AY194" s="419"/>
      <c r="AZ194" s="438"/>
      <c r="BA194" s="438"/>
      <c r="BB194" s="438"/>
      <c r="BC194" s="438"/>
      <c r="BD194" s="438"/>
      <c r="BE194" s="438"/>
      <c r="BF194" s="438"/>
      <c r="BG194" s="438"/>
      <c r="BH194" s="438"/>
      <c r="BI194" s="438"/>
      <c r="BJ194" s="438"/>
      <c r="BK194" s="438"/>
      <c r="BL194" s="438"/>
      <c r="BM194" s="438"/>
      <c r="BN194" s="438"/>
      <c r="BO194" s="438"/>
      <c r="BP194" s="438"/>
      <c r="BQ194" s="438"/>
      <c r="BR194" s="438"/>
      <c r="BS194" s="438"/>
      <c r="BT194" s="438"/>
      <c r="BU194" s="438"/>
      <c r="BV194" s="438"/>
      <c r="BW194" s="438"/>
      <c r="BX194" s="438"/>
      <c r="BY194" s="438"/>
      <c r="BZ194" s="438"/>
      <c r="CA194" s="438"/>
      <c r="CB194" s="438"/>
      <c r="CC194" s="438"/>
      <c r="CD194" s="438"/>
      <c r="CE194" s="438"/>
      <c r="CF194" s="438"/>
      <c r="CG194" s="438"/>
      <c r="CH194" s="438"/>
      <c r="CI194" s="438"/>
      <c r="CJ194" s="438"/>
      <c r="CK194" s="438"/>
      <c r="CL194" s="438"/>
      <c r="CM194" s="438"/>
      <c r="CN194" s="438"/>
      <c r="CO194" s="438"/>
      <c r="CP194" s="438"/>
      <c r="CQ194" s="438"/>
      <c r="CR194" s="438"/>
      <c r="CS194" s="438"/>
      <c r="CT194" s="438"/>
      <c r="CU194" s="438"/>
      <c r="CV194" s="438"/>
      <c r="CW194" s="438"/>
      <c r="CX194" s="438"/>
      <c r="CY194" s="438"/>
      <c r="CZ194" s="438"/>
      <c r="DA194" s="438"/>
      <c r="DB194" s="438"/>
      <c r="DC194" s="438"/>
      <c r="DD194" s="438"/>
      <c r="DE194" s="438"/>
      <c r="DF194" s="438"/>
    </row>
    <row r="195" spans="1:110" ht="21.75" customHeight="1">
      <c r="A195" s="5" t="s">
        <v>1035</v>
      </c>
      <c r="B195" s="26" t="s">
        <v>1036</v>
      </c>
      <c r="C195" s="31" t="s">
        <v>1037</v>
      </c>
      <c r="D195" s="299" t="s">
        <v>1038</v>
      </c>
      <c r="E195" s="31" t="s">
        <v>106</v>
      </c>
      <c r="F195" s="31" t="s">
        <v>1030</v>
      </c>
      <c r="G195" s="6" t="s">
        <v>107</v>
      </c>
      <c r="H195" s="6" t="s">
        <v>63</v>
      </c>
      <c r="I195" s="426"/>
      <c r="J195" s="5" t="s">
        <v>1039</v>
      </c>
      <c r="K195" s="26">
        <f t="shared" si="17"/>
        <v>98000</v>
      </c>
      <c r="L195" s="238">
        <f t="shared" si="12"/>
        <v>98000</v>
      </c>
      <c r="M195" s="324"/>
      <c r="N195" s="324"/>
      <c r="O195" s="324"/>
      <c r="P195" s="324"/>
      <c r="Q195" s="324">
        <v>98000</v>
      </c>
      <c r="R195" s="324"/>
      <c r="S195" s="5"/>
      <c r="T195" s="5"/>
      <c r="U195" s="261"/>
      <c r="V195" s="261">
        <v>0.15</v>
      </c>
      <c r="W195" s="5"/>
      <c r="X195" s="5"/>
      <c r="Y195" s="5"/>
      <c r="Z195" s="5"/>
      <c r="AA195" s="5">
        <v>83300</v>
      </c>
      <c r="AB195" s="5"/>
      <c r="AC195" s="5"/>
      <c r="AD195" s="5"/>
      <c r="AE195" s="238">
        <f t="shared" si="18"/>
        <v>83300</v>
      </c>
      <c r="AF195" s="31" t="s">
        <v>108</v>
      </c>
      <c r="AG195" s="68"/>
      <c r="AH195" s="68"/>
      <c r="AI195" s="68"/>
      <c r="AJ195" s="345"/>
      <c r="AK195" s="341"/>
      <c r="AL195" s="68"/>
      <c r="AM195" s="68"/>
      <c r="AN195" s="68"/>
      <c r="AO195" s="289"/>
      <c r="AP195" s="289"/>
      <c r="AQ195" s="290"/>
      <c r="AR195" s="343"/>
      <c r="AS195" s="31" t="s">
        <v>1040</v>
      </c>
      <c r="AT195" s="291"/>
      <c r="AU195" s="31"/>
      <c r="AV195" s="341"/>
      <c r="AW195" s="72"/>
      <c r="AX195" s="72"/>
      <c r="AY195" s="31"/>
    </row>
    <row r="196" spans="1:110" ht="21.75" customHeight="1">
      <c r="A196" s="5" t="s">
        <v>1041</v>
      </c>
      <c r="B196" s="26" t="s">
        <v>1042</v>
      </c>
      <c r="C196" s="31" t="s">
        <v>1043</v>
      </c>
      <c r="D196" s="5" t="s">
        <v>1044</v>
      </c>
      <c r="E196" s="31" t="s">
        <v>126</v>
      </c>
      <c r="F196" s="31" t="s">
        <v>315</v>
      </c>
      <c r="G196" s="6" t="s">
        <v>76</v>
      </c>
      <c r="H196" s="6" t="s">
        <v>1045</v>
      </c>
      <c r="I196" s="426"/>
      <c r="J196" s="5" t="s">
        <v>1046</v>
      </c>
      <c r="K196" s="26">
        <f t="shared" si="17"/>
        <v>1322410</v>
      </c>
      <c r="L196" s="238">
        <f t="shared" si="12"/>
        <v>1322410</v>
      </c>
      <c r="M196" s="324"/>
      <c r="N196" s="324">
        <v>560817</v>
      </c>
      <c r="O196" s="324"/>
      <c r="P196" s="324">
        <v>761593</v>
      </c>
      <c r="Q196" s="324"/>
      <c r="R196" s="324"/>
      <c r="S196" s="5"/>
      <c r="T196" s="5"/>
      <c r="U196" s="261"/>
      <c r="V196" s="261">
        <v>0.15</v>
      </c>
      <c r="W196" s="5"/>
      <c r="X196" s="5">
        <v>555190</v>
      </c>
      <c r="Y196" s="5"/>
      <c r="Z196" s="5">
        <v>572642</v>
      </c>
      <c r="AA196" s="5"/>
      <c r="AB196" s="5"/>
      <c r="AC196" s="5"/>
      <c r="AD196" s="5"/>
      <c r="AE196" s="238">
        <f t="shared" si="18"/>
        <v>1127832</v>
      </c>
      <c r="AF196" s="31" t="s">
        <v>1021</v>
      </c>
      <c r="AG196" s="68"/>
      <c r="AH196" s="68"/>
      <c r="AI196" s="68"/>
      <c r="AJ196" s="345"/>
      <c r="AK196" s="341"/>
      <c r="AL196" s="68"/>
      <c r="AM196" s="68"/>
      <c r="AN196" s="68"/>
      <c r="AO196" s="289" t="s">
        <v>86</v>
      </c>
      <c r="AP196" s="289"/>
      <c r="AQ196" s="290" t="s">
        <v>1047</v>
      </c>
      <c r="AR196" s="343">
        <v>43435</v>
      </c>
      <c r="AS196" s="31"/>
      <c r="AT196" s="291" t="s">
        <v>1048</v>
      </c>
      <c r="AU196" s="31" t="s">
        <v>88</v>
      </c>
      <c r="AV196" s="341"/>
      <c r="AW196" s="72"/>
      <c r="AX196" s="72"/>
      <c r="AY196" s="31"/>
    </row>
    <row r="197" spans="1:110" ht="21.75" customHeight="1">
      <c r="A197" s="5" t="s">
        <v>1049</v>
      </c>
      <c r="B197" s="26" t="s">
        <v>1050</v>
      </c>
      <c r="C197" s="31" t="s">
        <v>1051</v>
      </c>
      <c r="D197" s="5" t="s">
        <v>1052</v>
      </c>
      <c r="E197" s="31" t="s">
        <v>126</v>
      </c>
      <c r="F197" s="31" t="s">
        <v>315</v>
      </c>
      <c r="G197" s="6" t="s">
        <v>76</v>
      </c>
      <c r="H197" s="6" t="s">
        <v>1045</v>
      </c>
      <c r="I197" s="426"/>
      <c r="J197" s="5" t="s">
        <v>1046</v>
      </c>
      <c r="K197" s="26">
        <f t="shared" si="17"/>
        <v>568282</v>
      </c>
      <c r="L197" s="238">
        <f t="shared" si="12"/>
        <v>568282</v>
      </c>
      <c r="M197" s="324"/>
      <c r="N197" s="324">
        <v>306948</v>
      </c>
      <c r="O197" s="324"/>
      <c r="P197" s="324">
        <v>261334</v>
      </c>
      <c r="Q197" s="324"/>
      <c r="R197" s="324"/>
      <c r="S197" s="5"/>
      <c r="T197" s="5"/>
      <c r="U197" s="261"/>
      <c r="V197" s="261">
        <v>0.15</v>
      </c>
      <c r="W197" s="5"/>
      <c r="X197" s="5">
        <v>303869</v>
      </c>
      <c r="Y197" s="5"/>
      <c r="Z197" s="5">
        <v>180403</v>
      </c>
      <c r="AA197" s="5"/>
      <c r="AB197" s="5"/>
      <c r="AC197" s="5"/>
      <c r="AD197" s="5"/>
      <c r="AE197" s="238">
        <f t="shared" si="18"/>
        <v>484272</v>
      </c>
      <c r="AF197" s="31" t="s">
        <v>1021</v>
      </c>
      <c r="AG197" s="68"/>
      <c r="AH197" s="68"/>
      <c r="AI197" s="68"/>
      <c r="AJ197" s="345"/>
      <c r="AK197" s="341"/>
      <c r="AL197" s="68"/>
      <c r="AM197" s="68"/>
      <c r="AN197" s="68"/>
      <c r="AO197" s="289" t="s">
        <v>86</v>
      </c>
      <c r="AP197" s="289"/>
      <c r="AQ197" s="290" t="s">
        <v>1047</v>
      </c>
      <c r="AR197" s="343">
        <v>43435</v>
      </c>
      <c r="AS197" s="31"/>
      <c r="AT197" s="291" t="s">
        <v>1048</v>
      </c>
      <c r="AU197" s="31" t="s">
        <v>88</v>
      </c>
      <c r="AV197" s="341"/>
      <c r="AW197" s="72"/>
      <c r="AX197" s="72"/>
      <c r="AY197" s="31"/>
    </row>
    <row r="198" spans="1:110" ht="21.75" customHeight="1">
      <c r="A198" s="5" t="s">
        <v>1053</v>
      </c>
      <c r="B198" s="26" t="s">
        <v>1054</v>
      </c>
      <c r="C198" s="31" t="s">
        <v>1055</v>
      </c>
      <c r="D198" s="299" t="s">
        <v>1056</v>
      </c>
      <c r="E198" s="31" t="s">
        <v>126</v>
      </c>
      <c r="F198" s="31" t="s">
        <v>300</v>
      </c>
      <c r="G198" s="6" t="s">
        <v>76</v>
      </c>
      <c r="H198" s="6" t="s">
        <v>128</v>
      </c>
      <c r="I198" s="426"/>
      <c r="J198" s="5" t="s">
        <v>1039</v>
      </c>
      <c r="K198" s="26">
        <f t="shared" si="17"/>
        <v>189000</v>
      </c>
      <c r="L198" s="238">
        <f t="shared" si="12"/>
        <v>189000</v>
      </c>
      <c r="M198" s="324"/>
      <c r="N198" s="324"/>
      <c r="O198" s="324"/>
      <c r="P198" s="324"/>
      <c r="Q198" s="324">
        <v>189000</v>
      </c>
      <c r="R198" s="324"/>
      <c r="S198" s="5"/>
      <c r="T198" s="5"/>
      <c r="U198" s="261"/>
      <c r="V198" s="261">
        <v>0.15</v>
      </c>
      <c r="W198" s="5"/>
      <c r="X198" s="5"/>
      <c r="Y198" s="5"/>
      <c r="Z198" s="5"/>
      <c r="AA198" s="5">
        <v>160650</v>
      </c>
      <c r="AB198" s="5"/>
      <c r="AC198" s="5"/>
      <c r="AD198" s="5"/>
      <c r="AE198" s="238">
        <f t="shared" si="18"/>
        <v>160650</v>
      </c>
      <c r="AF198" s="31" t="s">
        <v>108</v>
      </c>
      <c r="AG198" s="68"/>
      <c r="AH198" s="68"/>
      <c r="AI198" s="68"/>
      <c r="AJ198" s="345"/>
      <c r="AK198" s="341"/>
      <c r="AL198" s="68"/>
      <c r="AM198" s="68"/>
      <c r="AN198" s="68"/>
      <c r="AO198" s="289"/>
      <c r="AP198" s="289"/>
      <c r="AQ198" s="290"/>
      <c r="AR198" s="343"/>
      <c r="AS198" s="31"/>
      <c r="AT198" s="291"/>
      <c r="AU198" s="31"/>
      <c r="AV198" s="341"/>
      <c r="AW198" s="72"/>
      <c r="AX198" s="72"/>
      <c r="AY198" s="31"/>
    </row>
    <row r="199" spans="1:110" ht="21.75" customHeight="1">
      <c r="A199" s="5" t="s">
        <v>1057</v>
      </c>
      <c r="B199" s="26" t="s">
        <v>1058</v>
      </c>
      <c r="C199" s="31" t="s">
        <v>1059</v>
      </c>
      <c r="D199" s="5" t="s">
        <v>1060</v>
      </c>
      <c r="E199" s="31" t="s">
        <v>126</v>
      </c>
      <c r="F199" s="31" t="s">
        <v>315</v>
      </c>
      <c r="G199" s="6" t="s">
        <v>76</v>
      </c>
      <c r="H199" s="6" t="s">
        <v>702</v>
      </c>
      <c r="I199" s="426"/>
      <c r="J199" s="5" t="s">
        <v>1039</v>
      </c>
      <c r="K199" s="26">
        <f t="shared" si="17"/>
        <v>166696.29999999999</v>
      </c>
      <c r="L199" s="238">
        <f t="shared" si="12"/>
        <v>166696.29999999999</v>
      </c>
      <c r="M199" s="324"/>
      <c r="N199" s="324">
        <v>61266.8</v>
      </c>
      <c r="O199" s="324"/>
      <c r="P199" s="324">
        <v>105429.5</v>
      </c>
      <c r="Q199" s="324"/>
      <c r="R199" s="324"/>
      <c r="S199" s="5"/>
      <c r="T199" s="5"/>
      <c r="U199" s="261"/>
      <c r="V199" s="261">
        <v>0.15</v>
      </c>
      <c r="W199" s="5"/>
      <c r="X199" s="5">
        <v>61166.8</v>
      </c>
      <c r="Y199" s="5"/>
      <c r="Z199" s="5">
        <v>80995.23</v>
      </c>
      <c r="AA199" s="5"/>
      <c r="AB199" s="5"/>
      <c r="AC199" s="5"/>
      <c r="AD199" s="5"/>
      <c r="AE199" s="238">
        <f t="shared" si="18"/>
        <v>142162.03</v>
      </c>
      <c r="AF199" s="31" t="s">
        <v>145</v>
      </c>
      <c r="AG199" s="68"/>
      <c r="AH199" s="68"/>
      <c r="AI199" s="68"/>
      <c r="AJ199" s="345"/>
      <c r="AK199" s="341"/>
      <c r="AL199" s="68"/>
      <c r="AM199" s="68"/>
      <c r="AN199" s="68"/>
      <c r="AO199" s="289"/>
      <c r="AP199" s="289"/>
      <c r="AQ199" s="290"/>
      <c r="AR199" s="343"/>
      <c r="AS199" s="31"/>
      <c r="AT199" s="291"/>
      <c r="AU199" s="31"/>
      <c r="AV199" s="341"/>
      <c r="AW199" s="72"/>
      <c r="AX199" s="72"/>
      <c r="AY199" s="31"/>
    </row>
    <row r="200" spans="1:110" ht="21.75" customHeight="1">
      <c r="A200" s="5" t="s">
        <v>1061</v>
      </c>
      <c r="B200" s="26" t="s">
        <v>1062</v>
      </c>
      <c r="C200" s="31" t="s">
        <v>1063</v>
      </c>
      <c r="D200" s="5" t="s">
        <v>1064</v>
      </c>
      <c r="E200" s="31" t="s">
        <v>83</v>
      </c>
      <c r="F200" s="31" t="s">
        <v>315</v>
      </c>
      <c r="G200" s="6" t="s">
        <v>76</v>
      </c>
      <c r="H200" s="6" t="s">
        <v>128</v>
      </c>
      <c r="I200" s="426"/>
      <c r="J200" s="5" t="s">
        <v>1039</v>
      </c>
      <c r="K200" s="26">
        <f t="shared" si="17"/>
        <v>2611304</v>
      </c>
      <c r="L200" s="238">
        <f t="shared" si="12"/>
        <v>2611304</v>
      </c>
      <c r="M200" s="324"/>
      <c r="N200" s="324">
        <v>691304</v>
      </c>
      <c r="O200" s="324"/>
      <c r="P200" s="324">
        <v>1190000</v>
      </c>
      <c r="Q200" s="324">
        <v>730000</v>
      </c>
      <c r="R200" s="324"/>
      <c r="S200" s="5"/>
      <c r="T200" s="5"/>
      <c r="U200" s="261"/>
      <c r="V200" s="261">
        <v>0.1</v>
      </c>
      <c r="W200" s="5"/>
      <c r="X200" s="5">
        <v>684390</v>
      </c>
      <c r="Y200" s="5"/>
      <c r="Z200" s="5">
        <v>1065771</v>
      </c>
      <c r="AA200" s="5">
        <v>600000</v>
      </c>
      <c r="AB200" s="5"/>
      <c r="AC200" s="5">
        <v>307906.45</v>
      </c>
      <c r="AD200" s="5"/>
      <c r="AE200" s="238">
        <f t="shared" si="18"/>
        <v>2658067.4500000002</v>
      </c>
      <c r="AF200" s="31" t="s">
        <v>1021</v>
      </c>
      <c r="AG200" s="68"/>
      <c r="AH200" s="68"/>
      <c r="AI200" s="68"/>
      <c r="AJ200" s="345"/>
      <c r="AK200" s="341"/>
      <c r="AL200" s="68"/>
      <c r="AM200" s="68"/>
      <c r="AN200" s="68"/>
      <c r="AO200" s="289"/>
      <c r="AP200" s="289"/>
      <c r="AQ200" s="290"/>
      <c r="AR200" s="343"/>
      <c r="AS200" s="31"/>
      <c r="AT200" s="291"/>
      <c r="AU200" s="31"/>
      <c r="AV200" s="341"/>
      <c r="AW200" s="72"/>
      <c r="AX200" s="72"/>
      <c r="AY200" s="31"/>
    </row>
    <row r="201" spans="1:110" ht="21.75" customHeight="1">
      <c r="A201" s="5" t="s">
        <v>1065</v>
      </c>
      <c r="B201" s="26" t="s">
        <v>1062</v>
      </c>
      <c r="C201" s="31" t="s">
        <v>1063</v>
      </c>
      <c r="D201" s="5" t="s">
        <v>1066</v>
      </c>
      <c r="E201" s="31" t="s">
        <v>83</v>
      </c>
      <c r="F201" s="31" t="s">
        <v>315</v>
      </c>
      <c r="G201" s="6" t="s">
        <v>76</v>
      </c>
      <c r="H201" s="6" t="s">
        <v>128</v>
      </c>
      <c r="I201" s="426"/>
      <c r="J201" s="5" t="s">
        <v>1039</v>
      </c>
      <c r="K201" s="26">
        <f t="shared" si="17"/>
        <v>2611304</v>
      </c>
      <c r="L201" s="238">
        <f t="shared" si="12"/>
        <v>2611304</v>
      </c>
      <c r="M201" s="324"/>
      <c r="N201" s="324">
        <v>638840</v>
      </c>
      <c r="O201" s="324"/>
      <c r="P201" s="324">
        <v>1242464</v>
      </c>
      <c r="Q201" s="324">
        <v>730000</v>
      </c>
      <c r="R201" s="324"/>
      <c r="S201" s="5"/>
      <c r="T201" s="5"/>
      <c r="U201" s="261"/>
      <c r="V201" s="261">
        <v>0.1</v>
      </c>
      <c r="W201" s="5"/>
      <c r="X201" s="5">
        <v>632457</v>
      </c>
      <c r="Y201" s="5"/>
      <c r="Z201" s="5">
        <v>1117512</v>
      </c>
      <c r="AA201" s="5">
        <v>600000</v>
      </c>
      <c r="AB201" s="5"/>
      <c r="AC201" s="5">
        <v>307906.45</v>
      </c>
      <c r="AD201" s="5"/>
      <c r="AE201" s="238">
        <f t="shared" si="18"/>
        <v>2657875.4500000002</v>
      </c>
      <c r="AF201" s="31" t="s">
        <v>1021</v>
      </c>
      <c r="AG201" s="68"/>
      <c r="AH201" s="68"/>
      <c r="AI201" s="68"/>
      <c r="AJ201" s="345"/>
      <c r="AK201" s="341"/>
      <c r="AL201" s="68"/>
      <c r="AM201" s="68"/>
      <c r="AN201" s="68"/>
      <c r="AO201" s="289"/>
      <c r="AP201" s="289"/>
      <c r="AQ201" s="290"/>
      <c r="AR201" s="343"/>
      <c r="AS201" s="31"/>
      <c r="AT201" s="291"/>
      <c r="AU201" s="31"/>
      <c r="AV201" s="341"/>
      <c r="AW201" s="72"/>
      <c r="AX201" s="72"/>
      <c r="AY201" s="31"/>
    </row>
    <row r="202" spans="1:110" ht="21.75" customHeight="1">
      <c r="A202" s="5" t="s">
        <v>1067</v>
      </c>
      <c r="B202" s="26" t="s">
        <v>1068</v>
      </c>
      <c r="C202" s="31" t="s">
        <v>1069</v>
      </c>
      <c r="D202" s="5" t="s">
        <v>1070</v>
      </c>
      <c r="E202" s="31" t="s">
        <v>261</v>
      </c>
      <c r="F202" s="31" t="s">
        <v>315</v>
      </c>
      <c r="G202" s="6" t="s">
        <v>76</v>
      </c>
      <c r="H202" s="6" t="s">
        <v>63</v>
      </c>
      <c r="I202" s="426"/>
      <c r="J202" s="5" t="s">
        <v>1039</v>
      </c>
      <c r="K202" s="26">
        <f t="shared" si="17"/>
        <v>10589800</v>
      </c>
      <c r="L202" s="238">
        <f t="shared" si="12"/>
        <v>10289800</v>
      </c>
      <c r="M202" s="6"/>
      <c r="N202" s="324">
        <v>7564800</v>
      </c>
      <c r="O202" s="6"/>
      <c r="P202" s="324">
        <v>2725000</v>
      </c>
      <c r="Q202" s="6"/>
      <c r="R202" s="6"/>
      <c r="S202" s="324">
        <f>T202</f>
        <v>300000</v>
      </c>
      <c r="T202" s="324">
        <v>300000</v>
      </c>
      <c r="U202" s="263">
        <v>0.1</v>
      </c>
      <c r="V202" s="261">
        <v>0.1</v>
      </c>
      <c r="W202" s="5"/>
      <c r="X202" s="5">
        <v>7564800</v>
      </c>
      <c r="Y202" s="5"/>
      <c r="Z202" s="5">
        <v>1695000</v>
      </c>
      <c r="AA202" s="5"/>
      <c r="AB202" s="5">
        <v>300000</v>
      </c>
      <c r="AC202" s="5"/>
      <c r="AD202" s="5"/>
      <c r="AE202" s="238">
        <f t="shared" si="18"/>
        <v>9559800</v>
      </c>
      <c r="AF202" s="31" t="s">
        <v>77</v>
      </c>
      <c r="AG202" s="68"/>
      <c r="AH202" s="68"/>
      <c r="AI202" s="68"/>
      <c r="AJ202" s="345"/>
      <c r="AK202" s="341"/>
      <c r="AL202" s="68"/>
      <c r="AM202" s="68"/>
      <c r="AN202" s="68"/>
      <c r="AO202" s="289"/>
      <c r="AP202" s="289"/>
      <c r="AQ202" s="290"/>
      <c r="AR202" s="343"/>
      <c r="AS202" s="31"/>
      <c r="AT202" s="291"/>
      <c r="AU202" s="31"/>
      <c r="AV202" s="341"/>
      <c r="AW202" s="72"/>
      <c r="AX202" s="72"/>
      <c r="AY202" s="31"/>
    </row>
    <row r="203" spans="1:110" ht="21.75" customHeight="1">
      <c r="A203" s="5" t="s">
        <v>1071</v>
      </c>
      <c r="B203" s="26" t="s">
        <v>1072</v>
      </c>
      <c r="C203" s="5" t="s">
        <v>1073</v>
      </c>
      <c r="D203" s="5" t="s">
        <v>1074</v>
      </c>
      <c r="E203" s="31" t="s">
        <v>126</v>
      </c>
      <c r="F203" s="31" t="s">
        <v>315</v>
      </c>
      <c r="G203" s="6" t="s">
        <v>76</v>
      </c>
      <c r="H203" s="6" t="s">
        <v>702</v>
      </c>
      <c r="I203" s="426">
        <v>43432</v>
      </c>
      <c r="J203" s="5"/>
      <c r="K203" s="243">
        <f t="shared" si="17"/>
        <v>30406.07</v>
      </c>
      <c r="L203" s="238">
        <f t="shared" si="12"/>
        <v>30406.07</v>
      </c>
      <c r="M203" s="427"/>
      <c r="N203" s="238">
        <v>15256.32</v>
      </c>
      <c r="O203" s="427"/>
      <c r="P203" s="324">
        <v>15149.75</v>
      </c>
      <c r="Q203" s="427"/>
      <c r="R203" s="427"/>
      <c r="S203" s="238"/>
      <c r="T203" s="238"/>
      <c r="U203" s="263"/>
      <c r="V203" s="261">
        <v>0.15</v>
      </c>
      <c r="W203" s="238"/>
      <c r="X203" s="238">
        <v>15103.76</v>
      </c>
      <c r="Y203" s="238"/>
      <c r="Z203" s="238">
        <v>10851.88</v>
      </c>
      <c r="AA203" s="238"/>
      <c r="AB203" s="238"/>
      <c r="AC203" s="238"/>
      <c r="AD203" s="238"/>
      <c r="AE203" s="238">
        <f t="shared" si="18"/>
        <v>25955.64</v>
      </c>
      <c r="AF203" s="31" t="s">
        <v>145</v>
      </c>
      <c r="AG203" s="68"/>
      <c r="AH203" s="68"/>
      <c r="AI203" s="68"/>
      <c r="AJ203" s="345"/>
      <c r="AK203" s="341"/>
      <c r="AL203" s="68"/>
      <c r="AM203" s="68"/>
      <c r="AN203" s="68"/>
      <c r="AO203" s="289" t="s">
        <v>86</v>
      </c>
      <c r="AP203" s="289"/>
      <c r="AQ203" s="290">
        <v>43433</v>
      </c>
      <c r="AR203" s="343">
        <v>43435</v>
      </c>
      <c r="AS203" s="31"/>
      <c r="AT203" s="291">
        <v>43797</v>
      </c>
      <c r="AU203" s="31" t="s">
        <v>88</v>
      </c>
      <c r="AV203" s="341"/>
      <c r="AW203" s="72"/>
      <c r="AX203" s="72"/>
      <c r="AY203" s="31"/>
    </row>
    <row r="204" spans="1:110" ht="21.75" customHeight="1">
      <c r="A204" s="5" t="s">
        <v>1075</v>
      </c>
      <c r="B204" s="26" t="s">
        <v>1076</v>
      </c>
      <c r="C204" s="31" t="s">
        <v>1077</v>
      </c>
      <c r="D204" s="5" t="s">
        <v>1078</v>
      </c>
      <c r="E204" s="31" t="s">
        <v>883</v>
      </c>
      <c r="F204" s="31" t="s">
        <v>315</v>
      </c>
      <c r="G204" s="6" t="s">
        <v>76</v>
      </c>
      <c r="H204" s="6" t="s">
        <v>63</v>
      </c>
      <c r="I204" s="426"/>
      <c r="J204" s="5"/>
      <c r="K204" s="243">
        <f t="shared" si="17"/>
        <v>800000</v>
      </c>
      <c r="L204" s="238">
        <f t="shared" si="12"/>
        <v>800000</v>
      </c>
      <c r="M204" s="427"/>
      <c r="N204" s="238"/>
      <c r="O204" s="427"/>
      <c r="P204" s="324">
        <v>800000</v>
      </c>
      <c r="Q204" s="427"/>
      <c r="R204" s="427"/>
      <c r="S204" s="238"/>
      <c r="T204" s="238"/>
      <c r="U204" s="261"/>
      <c r="V204" s="261">
        <v>0.12</v>
      </c>
      <c r="W204" s="238"/>
      <c r="X204" s="238"/>
      <c r="Y204" s="238"/>
      <c r="Z204" s="238">
        <v>704000</v>
      </c>
      <c r="AA204" s="238"/>
      <c r="AB204" s="238"/>
      <c r="AC204" s="238"/>
      <c r="AD204" s="238"/>
      <c r="AE204" s="238">
        <f t="shared" si="18"/>
        <v>704000</v>
      </c>
      <c r="AF204" s="31" t="s">
        <v>62</v>
      </c>
      <c r="AG204" s="68"/>
      <c r="AH204" s="68"/>
      <c r="AI204" s="68"/>
      <c r="AJ204" s="345"/>
      <c r="AK204" s="341"/>
      <c r="AL204" s="68"/>
      <c r="AM204" s="68"/>
      <c r="AN204" s="68"/>
      <c r="AO204" s="289"/>
      <c r="AP204" s="289"/>
      <c r="AQ204" s="290"/>
      <c r="AR204" s="343"/>
      <c r="AS204" s="31"/>
      <c r="AT204" s="291"/>
      <c r="AU204" s="31"/>
      <c r="AV204" s="341"/>
      <c r="AW204" s="72"/>
      <c r="AX204" s="72"/>
      <c r="AY204" s="31"/>
    </row>
    <row r="205" spans="1:110" ht="21.75" customHeight="1">
      <c r="A205" s="5" t="s">
        <v>1079</v>
      </c>
      <c r="B205" s="26" t="s">
        <v>1080</v>
      </c>
      <c r="C205" s="31" t="s">
        <v>1081</v>
      </c>
      <c r="D205" s="5" t="s">
        <v>1078</v>
      </c>
      <c r="E205" s="31" t="s">
        <v>294</v>
      </c>
      <c r="F205" s="31" t="s">
        <v>315</v>
      </c>
      <c r="G205" s="6" t="s">
        <v>76</v>
      </c>
      <c r="H205" s="6" t="s">
        <v>63</v>
      </c>
      <c r="I205" s="426"/>
      <c r="J205" s="5"/>
      <c r="K205" s="243">
        <f t="shared" si="17"/>
        <v>7203936</v>
      </c>
      <c r="L205" s="238">
        <f t="shared" si="12"/>
        <v>7203936</v>
      </c>
      <c r="M205" s="427"/>
      <c r="N205" s="238"/>
      <c r="O205" s="427"/>
      <c r="P205" s="324">
        <v>7203936</v>
      </c>
      <c r="Q205" s="427"/>
      <c r="R205" s="427"/>
      <c r="S205" s="238"/>
      <c r="T205" s="238"/>
      <c r="U205" s="261"/>
      <c r="V205" s="261">
        <v>0.12</v>
      </c>
      <c r="W205" s="238"/>
      <c r="X205" s="238"/>
      <c r="Y205" s="238"/>
      <c r="Z205" s="238">
        <v>6339463.6799999997</v>
      </c>
      <c r="AA205" s="238"/>
      <c r="AB205" s="238"/>
      <c r="AC205" s="238"/>
      <c r="AD205" s="238"/>
      <c r="AE205" s="238">
        <f t="shared" si="18"/>
        <v>6339463.6799999997</v>
      </c>
      <c r="AF205" s="31" t="s">
        <v>62</v>
      </c>
      <c r="AG205" s="68"/>
      <c r="AH205" s="68"/>
      <c r="AI205" s="68"/>
      <c r="AJ205" s="345"/>
      <c r="AK205" s="341"/>
      <c r="AL205" s="68"/>
      <c r="AM205" s="68"/>
      <c r="AN205" s="68"/>
      <c r="AO205" s="289"/>
      <c r="AP205" s="289"/>
      <c r="AQ205" s="290"/>
      <c r="AR205" s="343"/>
      <c r="AS205" s="31"/>
      <c r="AT205" s="291"/>
      <c r="AU205" s="31"/>
      <c r="AV205" s="341"/>
      <c r="AW205" s="72"/>
      <c r="AX205" s="72"/>
      <c r="AY205" s="31"/>
    </row>
    <row r="206" spans="1:110" ht="21.75" customHeight="1">
      <c r="A206" s="5" t="s">
        <v>1082</v>
      </c>
      <c r="B206" s="26" t="s">
        <v>1083</v>
      </c>
      <c r="C206" s="31" t="s">
        <v>1084</v>
      </c>
      <c r="D206" s="5" t="s">
        <v>1085</v>
      </c>
      <c r="E206" s="31" t="s">
        <v>126</v>
      </c>
      <c r="F206" s="31" t="s">
        <v>315</v>
      </c>
      <c r="G206" s="6" t="s">
        <v>76</v>
      </c>
      <c r="H206" s="6" t="s">
        <v>128</v>
      </c>
      <c r="I206" s="426">
        <v>43445</v>
      </c>
      <c r="J206" s="5"/>
      <c r="K206" s="243">
        <f t="shared" si="17"/>
        <v>37451.4</v>
      </c>
      <c r="L206" s="238">
        <f t="shared" si="12"/>
        <v>37451.4</v>
      </c>
      <c r="M206" s="427"/>
      <c r="N206" s="238">
        <v>19070.400000000001</v>
      </c>
      <c r="O206" s="427"/>
      <c r="P206" s="324">
        <v>13387</v>
      </c>
      <c r="Q206" s="324">
        <v>4994</v>
      </c>
      <c r="R206" s="427"/>
      <c r="S206" s="238"/>
      <c r="T206" s="238"/>
      <c r="U206" s="261"/>
      <c r="V206" s="261">
        <v>0.15</v>
      </c>
      <c r="W206" s="238"/>
      <c r="X206" s="238">
        <v>18879.7</v>
      </c>
      <c r="Y206" s="238"/>
      <c r="Z206" s="238">
        <v>9370</v>
      </c>
      <c r="AA206" s="238">
        <v>3740.23</v>
      </c>
      <c r="AB206" s="238"/>
      <c r="AC206" s="238"/>
      <c r="AD206" s="238"/>
      <c r="AE206" s="238">
        <f t="shared" si="18"/>
        <v>31989.93</v>
      </c>
      <c r="AF206" s="31" t="s">
        <v>93</v>
      </c>
      <c r="AG206" s="68"/>
      <c r="AH206" s="68"/>
      <c r="AI206" s="68"/>
      <c r="AJ206" s="345"/>
      <c r="AK206" s="341"/>
      <c r="AL206" s="68"/>
      <c r="AM206" s="68"/>
      <c r="AN206" s="68"/>
      <c r="AO206" s="289" t="s">
        <v>86</v>
      </c>
      <c r="AP206" s="289"/>
      <c r="AQ206" s="290">
        <v>43435</v>
      </c>
      <c r="AR206" s="343">
        <v>43449</v>
      </c>
      <c r="AS206" s="31"/>
      <c r="AT206" s="291" t="s">
        <v>1048</v>
      </c>
      <c r="AU206" s="31" t="s">
        <v>88</v>
      </c>
      <c r="AV206" s="341"/>
      <c r="AW206" s="72"/>
      <c r="AX206" s="72"/>
      <c r="AY206" s="31"/>
    </row>
    <row r="207" spans="1:110" ht="21.75" customHeight="1">
      <c r="A207" s="5" t="s">
        <v>1086</v>
      </c>
      <c r="B207" s="26" t="s">
        <v>1087</v>
      </c>
      <c r="C207" s="31" t="s">
        <v>1088</v>
      </c>
      <c r="D207" s="5" t="s">
        <v>1089</v>
      </c>
      <c r="E207" s="31" t="s">
        <v>249</v>
      </c>
      <c r="F207" s="31" t="s">
        <v>315</v>
      </c>
      <c r="G207" s="6" t="s">
        <v>602</v>
      </c>
      <c r="H207" s="6" t="s">
        <v>63</v>
      </c>
      <c r="I207" s="426">
        <v>43485</v>
      </c>
      <c r="J207" s="5"/>
      <c r="K207" s="243">
        <f t="shared" si="17"/>
        <v>965000</v>
      </c>
      <c r="L207" s="238">
        <f t="shared" si="12"/>
        <v>965000</v>
      </c>
      <c r="M207" s="427"/>
      <c r="N207" s="238">
        <v>712200</v>
      </c>
      <c r="O207" s="427"/>
      <c r="P207" s="324">
        <v>41600</v>
      </c>
      <c r="Q207" s="324">
        <v>211200</v>
      </c>
      <c r="R207" s="427"/>
      <c r="S207" s="238"/>
      <c r="T207" s="238"/>
      <c r="U207" s="261"/>
      <c r="V207" s="261">
        <v>0.1</v>
      </c>
      <c r="W207" s="238"/>
      <c r="X207" s="238">
        <v>640980</v>
      </c>
      <c r="Y207" s="238"/>
      <c r="Z207" s="238">
        <v>37440</v>
      </c>
      <c r="AA207" s="238">
        <v>190080</v>
      </c>
      <c r="AB207" s="238"/>
      <c r="AC207" s="238"/>
      <c r="AD207" s="238"/>
      <c r="AE207" s="238">
        <f t="shared" si="18"/>
        <v>868500</v>
      </c>
      <c r="AF207" s="31" t="s">
        <v>108</v>
      </c>
      <c r="AG207" s="68"/>
      <c r="AH207" s="68"/>
      <c r="AI207" s="68"/>
      <c r="AJ207" s="345"/>
      <c r="AK207" s="341"/>
      <c r="AL207" s="68"/>
      <c r="AM207" s="68"/>
      <c r="AN207" s="68"/>
      <c r="AO207" s="289"/>
      <c r="AP207" s="289"/>
      <c r="AQ207" s="290"/>
      <c r="AR207" s="343" t="s">
        <v>215</v>
      </c>
      <c r="AS207" s="31"/>
      <c r="AT207" s="291"/>
      <c r="AU207" s="31"/>
      <c r="AV207" s="341"/>
      <c r="AW207" s="72"/>
      <c r="AX207" s="72"/>
      <c r="AY207" s="31"/>
    </row>
    <row r="208" spans="1:110" ht="21.75" customHeight="1">
      <c r="A208" s="43" t="s">
        <v>1090</v>
      </c>
      <c r="B208" s="26"/>
      <c r="C208" s="43" t="s">
        <v>1091</v>
      </c>
      <c r="D208" s="5" t="s">
        <v>1092</v>
      </c>
      <c r="E208" s="31" t="s">
        <v>1093</v>
      </c>
      <c r="F208" s="31"/>
      <c r="G208" s="6"/>
      <c r="H208" s="6"/>
      <c r="I208" s="426"/>
      <c r="J208" s="5"/>
      <c r="K208" s="243">
        <f t="shared" ref="K208:K215" si="19">L208+S208</f>
        <v>1198000</v>
      </c>
      <c r="L208" s="238">
        <f t="shared" ref="L208:L215" si="20">SUM(M208:R208)</f>
        <v>1198000</v>
      </c>
      <c r="M208" s="238"/>
      <c r="N208" s="238"/>
      <c r="O208" s="238"/>
      <c r="P208" s="238"/>
      <c r="Q208" s="336">
        <v>1198000</v>
      </c>
      <c r="R208" s="238"/>
      <c r="S208" s="238"/>
      <c r="T208" s="238"/>
      <c r="U208" s="261"/>
      <c r="V208" s="261">
        <v>0.15</v>
      </c>
      <c r="W208" s="238"/>
      <c r="X208" s="238"/>
      <c r="Y208" s="238"/>
      <c r="Z208" s="238"/>
      <c r="AA208" s="238"/>
      <c r="AB208" s="238"/>
      <c r="AC208" s="238"/>
      <c r="AD208" s="238"/>
      <c r="AE208" s="238">
        <f t="shared" si="18"/>
        <v>0</v>
      </c>
      <c r="AF208" s="5" t="s">
        <v>93</v>
      </c>
      <c r="AG208" s="68"/>
      <c r="AH208" s="68"/>
      <c r="AI208" s="68"/>
      <c r="AJ208" s="345"/>
      <c r="AK208" s="341"/>
      <c r="AL208" s="68"/>
      <c r="AM208" s="68"/>
      <c r="AN208" s="68"/>
      <c r="AO208" s="5" t="s">
        <v>86</v>
      </c>
      <c r="AP208" s="289"/>
      <c r="AQ208" s="290">
        <v>43440</v>
      </c>
      <c r="AR208" s="343">
        <v>43449</v>
      </c>
      <c r="AS208" s="31"/>
      <c r="AT208" s="291">
        <v>43804</v>
      </c>
      <c r="AU208" s="31" t="s">
        <v>88</v>
      </c>
      <c r="AV208" s="341"/>
      <c r="AW208" s="72"/>
      <c r="AX208" s="72"/>
      <c r="AY208" s="31"/>
    </row>
    <row r="209" spans="1:110" ht="21.75" customHeight="1">
      <c r="A209" s="5" t="s">
        <v>1094</v>
      </c>
      <c r="B209" s="26" t="s">
        <v>1095</v>
      </c>
      <c r="C209" s="5" t="s">
        <v>1096</v>
      </c>
      <c r="D209" s="5" t="s">
        <v>1097</v>
      </c>
      <c r="E209" s="31" t="s">
        <v>224</v>
      </c>
      <c r="F209" s="31" t="s">
        <v>315</v>
      </c>
      <c r="G209" s="6" t="s">
        <v>76</v>
      </c>
      <c r="H209" s="6" t="s">
        <v>128</v>
      </c>
      <c r="I209" s="426">
        <v>43454</v>
      </c>
      <c r="J209" s="5"/>
      <c r="K209" s="243">
        <f t="shared" si="19"/>
        <v>5794786</v>
      </c>
      <c r="L209" s="238">
        <f t="shared" si="20"/>
        <v>5418466</v>
      </c>
      <c r="M209" s="238"/>
      <c r="N209" s="238">
        <v>2854733</v>
      </c>
      <c r="O209" s="238"/>
      <c r="P209" s="238">
        <v>1063733</v>
      </c>
      <c r="Q209" s="238">
        <v>1500000</v>
      </c>
      <c r="R209" s="238"/>
      <c r="S209" s="238">
        <v>376320</v>
      </c>
      <c r="T209" s="238">
        <v>376320</v>
      </c>
      <c r="U209" s="261">
        <v>0.06</v>
      </c>
      <c r="V209" s="261">
        <v>0.08</v>
      </c>
      <c r="W209" s="238"/>
      <c r="X209" s="238">
        <v>2826186</v>
      </c>
      <c r="Y209" s="238"/>
      <c r="Z209" s="238">
        <v>850986.4</v>
      </c>
      <c r="AA209" s="238">
        <v>1200000</v>
      </c>
      <c r="AB209" s="238"/>
      <c r="AC209" s="238">
        <v>376320</v>
      </c>
      <c r="AD209" s="238"/>
      <c r="AE209" s="238">
        <f t="shared" si="18"/>
        <v>5253492.4000000004</v>
      </c>
      <c r="AF209" s="31" t="s">
        <v>145</v>
      </c>
      <c r="AG209" s="68"/>
      <c r="AH209" s="68"/>
      <c r="AI209" s="68"/>
      <c r="AJ209" s="345"/>
      <c r="AK209" s="341"/>
      <c r="AL209" s="68"/>
      <c r="AM209" s="68"/>
      <c r="AN209" s="68"/>
      <c r="AO209" s="289"/>
      <c r="AP209" s="289"/>
      <c r="AQ209" s="290"/>
      <c r="AR209" s="343"/>
      <c r="AS209" s="31"/>
      <c r="AT209" s="291"/>
      <c r="AU209" s="31"/>
      <c r="AV209" s="341"/>
      <c r="AW209" s="72"/>
      <c r="AX209" s="72"/>
      <c r="AY209" s="31"/>
    </row>
    <row r="210" spans="1:110" ht="21.75" customHeight="1">
      <c r="A210" s="5" t="s">
        <v>1098</v>
      </c>
      <c r="B210" s="26" t="s">
        <v>1099</v>
      </c>
      <c r="C210" s="5" t="s">
        <v>1100</v>
      </c>
      <c r="D210" s="5" t="s">
        <v>1101</v>
      </c>
      <c r="E210" s="31" t="s">
        <v>1093</v>
      </c>
      <c r="F210" s="31" t="s">
        <v>315</v>
      </c>
      <c r="G210" s="6" t="s">
        <v>76</v>
      </c>
      <c r="H210" s="6" t="s">
        <v>128</v>
      </c>
      <c r="I210" s="426">
        <v>43458</v>
      </c>
      <c r="J210" s="5"/>
      <c r="K210" s="243">
        <f t="shared" si="19"/>
        <v>658699.6</v>
      </c>
      <c r="L210" s="238">
        <f t="shared" si="20"/>
        <v>658699.6</v>
      </c>
      <c r="M210" s="238"/>
      <c r="N210" s="238">
        <v>482864.6</v>
      </c>
      <c r="O210" s="238"/>
      <c r="P210" s="238">
        <v>142736</v>
      </c>
      <c r="Q210" s="238">
        <v>33099</v>
      </c>
      <c r="R210" s="238"/>
      <c r="S210" s="238"/>
      <c r="T210" s="238"/>
      <c r="U210" s="261"/>
      <c r="V210" s="261">
        <v>0.15</v>
      </c>
      <c r="W210" s="238"/>
      <c r="X210" s="238">
        <v>478035.95400000003</v>
      </c>
      <c r="Y210" s="238"/>
      <c r="Z210" s="238">
        <v>61390.167871960803</v>
      </c>
      <c r="AA210" s="238">
        <v>14235.744075734399</v>
      </c>
      <c r="AB210" s="238"/>
      <c r="AC210" s="238"/>
      <c r="AD210" s="238"/>
      <c r="AE210" s="238">
        <f t="shared" si="18"/>
        <v>553661.86594769522</v>
      </c>
      <c r="AF210" s="31" t="s">
        <v>145</v>
      </c>
      <c r="AG210" s="68"/>
      <c r="AH210" s="68"/>
      <c r="AI210" s="68"/>
      <c r="AJ210" s="345"/>
      <c r="AK210" s="341"/>
      <c r="AL210" s="68"/>
      <c r="AM210" s="68"/>
      <c r="AN210" s="68"/>
      <c r="AO210" s="5" t="s">
        <v>86</v>
      </c>
      <c r="AP210" s="289"/>
      <c r="AQ210" s="290">
        <v>43440</v>
      </c>
      <c r="AR210" s="343">
        <v>43449</v>
      </c>
      <c r="AS210" s="31"/>
      <c r="AT210" s="291">
        <v>43804</v>
      </c>
      <c r="AU210" s="31" t="s">
        <v>88</v>
      </c>
      <c r="AV210" s="341"/>
      <c r="AW210" s="72"/>
      <c r="AX210" s="72"/>
      <c r="AY210" s="31"/>
    </row>
    <row r="211" spans="1:110" ht="21.75" customHeight="1">
      <c r="A211" s="5" t="s">
        <v>1102</v>
      </c>
      <c r="B211" s="26" t="s">
        <v>1103</v>
      </c>
      <c r="C211" s="5" t="s">
        <v>1104</v>
      </c>
      <c r="D211" s="5" t="s">
        <v>1105</v>
      </c>
      <c r="E211" s="31" t="s">
        <v>1093</v>
      </c>
      <c r="F211" s="31" t="s">
        <v>315</v>
      </c>
      <c r="G211" s="6" t="s">
        <v>76</v>
      </c>
      <c r="H211" s="6" t="s">
        <v>128</v>
      </c>
      <c r="I211" s="426">
        <v>43458</v>
      </c>
      <c r="J211" s="5"/>
      <c r="K211" s="243">
        <f t="shared" si="19"/>
        <v>453355.51</v>
      </c>
      <c r="L211" s="238">
        <f t="shared" si="20"/>
        <v>453355.51</v>
      </c>
      <c r="M211" s="238"/>
      <c r="N211" s="238">
        <v>233330.51</v>
      </c>
      <c r="O211" s="238"/>
      <c r="P211" s="238">
        <v>100025</v>
      </c>
      <c r="Q211" s="238">
        <v>120000</v>
      </c>
      <c r="R211" s="238"/>
      <c r="S211" s="238"/>
      <c r="T211" s="238"/>
      <c r="U211" s="261"/>
      <c r="V211" s="261">
        <v>0.15</v>
      </c>
      <c r="W211" s="238"/>
      <c r="X211" s="238">
        <v>230998.2</v>
      </c>
      <c r="Y211" s="238"/>
      <c r="Z211" s="238">
        <v>79521.25</v>
      </c>
      <c r="AA211" s="238">
        <v>70978.83</v>
      </c>
      <c r="AB211" s="238"/>
      <c r="AC211" s="238"/>
      <c r="AD211" s="238"/>
      <c r="AE211" s="238">
        <f t="shared" si="18"/>
        <v>381498.28</v>
      </c>
      <c r="AF211" s="31" t="s">
        <v>145</v>
      </c>
      <c r="AG211" s="68"/>
      <c r="AH211" s="68"/>
      <c r="AI211" s="68"/>
      <c r="AJ211" s="345"/>
      <c r="AK211" s="341"/>
      <c r="AL211" s="68"/>
      <c r="AM211" s="68"/>
      <c r="AN211" s="68"/>
      <c r="AO211" s="5" t="s">
        <v>86</v>
      </c>
      <c r="AP211" s="289"/>
      <c r="AQ211" s="290">
        <v>43468</v>
      </c>
      <c r="AR211" s="290">
        <v>43468</v>
      </c>
      <c r="AS211" s="31"/>
      <c r="AT211" s="291">
        <v>43832</v>
      </c>
      <c r="AU211" s="31" t="s">
        <v>88</v>
      </c>
      <c r="AV211" s="341"/>
      <c r="AW211" s="72"/>
      <c r="AX211" s="72"/>
      <c r="AY211" s="31"/>
    </row>
    <row r="212" spans="1:110" ht="21.75" customHeight="1">
      <c r="A212" s="5" t="s">
        <v>1106</v>
      </c>
      <c r="B212" s="26" t="s">
        <v>1107</v>
      </c>
      <c r="C212" s="5" t="s">
        <v>1104</v>
      </c>
      <c r="D212" s="5" t="s">
        <v>1108</v>
      </c>
      <c r="E212" s="31" t="s">
        <v>1093</v>
      </c>
      <c r="F212" s="31" t="s">
        <v>315</v>
      </c>
      <c r="G212" s="6" t="s">
        <v>76</v>
      </c>
      <c r="H212" s="6" t="s">
        <v>128</v>
      </c>
      <c r="I212" s="426">
        <v>43495</v>
      </c>
      <c r="J212" s="5"/>
      <c r="K212" s="243">
        <f t="shared" si="19"/>
        <v>30455</v>
      </c>
      <c r="L212" s="238">
        <f t="shared" si="20"/>
        <v>30455</v>
      </c>
      <c r="M212" s="238"/>
      <c r="N212" s="238">
        <v>18770</v>
      </c>
      <c r="O212" s="238"/>
      <c r="P212" s="238">
        <v>6685</v>
      </c>
      <c r="Q212" s="238">
        <v>5000</v>
      </c>
      <c r="R212" s="238"/>
      <c r="S212" s="238"/>
      <c r="T212" s="238"/>
      <c r="U212" s="261"/>
      <c r="V212" s="261">
        <v>0.15</v>
      </c>
      <c r="W212" s="238"/>
      <c r="X212" s="238">
        <v>18582.3</v>
      </c>
      <c r="Y212" s="238"/>
      <c r="Z212" s="238">
        <v>4279.3</v>
      </c>
      <c r="AA212" s="238">
        <v>3200.67</v>
      </c>
      <c r="AB212" s="238"/>
      <c r="AC212" s="238"/>
      <c r="AD212" s="238"/>
      <c r="AE212" s="238">
        <f t="shared" si="18"/>
        <v>26062.269999999997</v>
      </c>
      <c r="AF212" s="31" t="s">
        <v>1021</v>
      </c>
      <c r="AG212" s="68"/>
      <c r="AH212" s="68"/>
      <c r="AI212" s="68"/>
      <c r="AJ212" s="345"/>
      <c r="AK212" s="341"/>
      <c r="AL212" s="68"/>
      <c r="AM212" s="68"/>
      <c r="AN212" s="68"/>
      <c r="AO212" s="5"/>
      <c r="AP212" s="289"/>
      <c r="AQ212" s="290"/>
      <c r="AR212" s="343"/>
      <c r="AS212" s="31"/>
      <c r="AT212" s="291"/>
      <c r="AU212" s="31"/>
      <c r="AV212" s="341"/>
      <c r="AW212" s="72"/>
      <c r="AX212" s="72"/>
      <c r="AY212" s="31"/>
    </row>
    <row r="213" spans="1:110" ht="21.75" customHeight="1">
      <c r="A213" s="5" t="s">
        <v>1109</v>
      </c>
      <c r="B213" s="26" t="s">
        <v>1110</v>
      </c>
      <c r="C213" s="5" t="s">
        <v>1111</v>
      </c>
      <c r="D213" s="5" t="s">
        <v>1112</v>
      </c>
      <c r="E213" s="31" t="s">
        <v>883</v>
      </c>
      <c r="F213" s="31" t="s">
        <v>315</v>
      </c>
      <c r="G213" s="6" t="s">
        <v>76</v>
      </c>
      <c r="H213" s="6" t="s">
        <v>128</v>
      </c>
      <c r="I213" s="426"/>
      <c r="J213" s="5"/>
      <c r="K213" s="243">
        <f t="shared" si="19"/>
        <v>24918.81</v>
      </c>
      <c r="L213" s="238">
        <f t="shared" si="20"/>
        <v>24918.81</v>
      </c>
      <c r="M213" s="238"/>
      <c r="N213" s="238">
        <v>19488</v>
      </c>
      <c r="O213" s="238"/>
      <c r="P213" s="238">
        <v>5430.81</v>
      </c>
      <c r="Q213" s="238"/>
      <c r="R213" s="238"/>
      <c r="S213" s="238"/>
      <c r="T213" s="238"/>
      <c r="U213" s="261"/>
      <c r="V213" s="261">
        <v>0.15</v>
      </c>
      <c r="W213" s="238"/>
      <c r="X213" s="238">
        <v>19293.12</v>
      </c>
      <c r="Y213" s="238"/>
      <c r="Z213" s="238">
        <v>2028.9884999999999</v>
      </c>
      <c r="AA213" s="238"/>
      <c r="AB213" s="238"/>
      <c r="AC213" s="238"/>
      <c r="AD213" s="238"/>
      <c r="AE213" s="238">
        <f t="shared" si="18"/>
        <v>21322.108499999998</v>
      </c>
      <c r="AF213" s="31" t="s">
        <v>145</v>
      </c>
      <c r="AG213" s="68"/>
      <c r="AH213" s="68"/>
      <c r="AI213" s="68"/>
      <c r="AJ213" s="345"/>
      <c r="AK213" s="341"/>
      <c r="AL213" s="68"/>
      <c r="AM213" s="68"/>
      <c r="AN213" s="68"/>
      <c r="AO213" s="289"/>
      <c r="AP213" s="289"/>
      <c r="AQ213" s="290"/>
      <c r="AR213" s="343"/>
      <c r="AS213" s="31"/>
      <c r="AT213" s="291"/>
      <c r="AU213" s="31"/>
      <c r="AV213" s="341"/>
      <c r="AW213" s="72"/>
      <c r="AX213" s="72"/>
      <c r="AY213" s="31"/>
    </row>
    <row r="214" spans="1:110" ht="21.75" customHeight="1">
      <c r="A214" s="5" t="s">
        <v>1113</v>
      </c>
      <c r="B214" s="26" t="s">
        <v>1114</v>
      </c>
      <c r="C214" s="5" t="s">
        <v>1115</v>
      </c>
      <c r="D214" s="5" t="s">
        <v>1116</v>
      </c>
      <c r="E214" s="31" t="s">
        <v>883</v>
      </c>
      <c r="F214" s="31" t="s">
        <v>315</v>
      </c>
      <c r="G214" s="6" t="s">
        <v>76</v>
      </c>
      <c r="H214" s="6" t="s">
        <v>128</v>
      </c>
      <c r="I214" s="426"/>
      <c r="J214" s="5"/>
      <c r="K214" s="243">
        <f t="shared" si="19"/>
        <v>24945.21</v>
      </c>
      <c r="L214" s="238">
        <f t="shared" si="20"/>
        <v>24945.21</v>
      </c>
      <c r="M214" s="238"/>
      <c r="N214" s="238">
        <v>19488</v>
      </c>
      <c r="O214" s="238"/>
      <c r="P214" s="238">
        <v>5457.21</v>
      </c>
      <c r="Q214" s="238"/>
      <c r="R214" s="238"/>
      <c r="S214" s="238"/>
      <c r="T214" s="238"/>
      <c r="U214" s="261"/>
      <c r="V214" s="261">
        <v>0.15</v>
      </c>
      <c r="W214" s="238"/>
      <c r="X214" s="238">
        <v>19293.12</v>
      </c>
      <c r="Y214" s="238"/>
      <c r="Z214" s="238">
        <v>2051.4285</v>
      </c>
      <c r="AA214" s="238"/>
      <c r="AB214" s="238"/>
      <c r="AC214" s="238"/>
      <c r="AD214" s="238"/>
      <c r="AE214" s="238">
        <f t="shared" si="18"/>
        <v>21344.548499999997</v>
      </c>
      <c r="AF214" s="31" t="s">
        <v>145</v>
      </c>
      <c r="AG214" s="68"/>
      <c r="AH214" s="68"/>
      <c r="AI214" s="68"/>
      <c r="AJ214" s="345"/>
      <c r="AK214" s="341"/>
      <c r="AL214" s="68"/>
      <c r="AM214" s="68"/>
      <c r="AN214" s="68"/>
      <c r="AO214" s="289"/>
      <c r="AP214" s="289"/>
      <c r="AQ214" s="290"/>
      <c r="AR214" s="343"/>
      <c r="AS214" s="31"/>
      <c r="AT214" s="291"/>
      <c r="AU214" s="31"/>
      <c r="AV214" s="341"/>
      <c r="AW214" s="72"/>
      <c r="AX214" s="72"/>
      <c r="AY214" s="31"/>
    </row>
    <row r="215" spans="1:110" ht="21.75" customHeight="1">
      <c r="A215" s="5" t="s">
        <v>1117</v>
      </c>
      <c r="B215" s="26" t="s">
        <v>1118</v>
      </c>
      <c r="C215" s="5" t="s">
        <v>1119</v>
      </c>
      <c r="D215" s="5" t="s">
        <v>1120</v>
      </c>
      <c r="E215" s="31" t="s">
        <v>883</v>
      </c>
      <c r="F215" s="31" t="s">
        <v>315</v>
      </c>
      <c r="G215" s="6" t="s">
        <v>76</v>
      </c>
      <c r="H215" s="6" t="s">
        <v>128</v>
      </c>
      <c r="I215" s="426"/>
      <c r="J215" s="5"/>
      <c r="K215" s="243">
        <f t="shared" si="19"/>
        <v>24824.65</v>
      </c>
      <c r="L215" s="238">
        <f t="shared" si="20"/>
        <v>24824.65</v>
      </c>
      <c r="M215" s="238"/>
      <c r="N215" s="238">
        <v>19488</v>
      </c>
      <c r="O215" s="238"/>
      <c r="P215" s="238">
        <v>5336.65</v>
      </c>
      <c r="Q215" s="238"/>
      <c r="R215" s="238"/>
      <c r="S215" s="238"/>
      <c r="T215" s="238"/>
      <c r="U215" s="261"/>
      <c r="V215" s="261">
        <v>0.15</v>
      </c>
      <c r="W215" s="238"/>
      <c r="X215" s="238">
        <v>19293.12</v>
      </c>
      <c r="Y215" s="238"/>
      <c r="Z215" s="238">
        <v>1948.9525000000001</v>
      </c>
      <c r="AA215" s="238"/>
      <c r="AB215" s="238"/>
      <c r="AC215" s="238"/>
      <c r="AD215" s="238"/>
      <c r="AE215" s="238">
        <f t="shared" si="18"/>
        <v>21242.072499999998</v>
      </c>
      <c r="AF215" s="31" t="s">
        <v>145</v>
      </c>
      <c r="AG215" s="68"/>
      <c r="AH215" s="68"/>
      <c r="AI215" s="68"/>
      <c r="AJ215" s="345"/>
      <c r="AK215" s="341"/>
      <c r="AL215" s="68"/>
      <c r="AM215" s="68"/>
      <c r="AN215" s="68"/>
      <c r="AO215" s="289"/>
      <c r="AP215" s="289"/>
      <c r="AQ215" s="290"/>
      <c r="AR215" s="343"/>
      <c r="AS215" s="31"/>
      <c r="AT215" s="291"/>
      <c r="AU215" s="31"/>
      <c r="AV215" s="341"/>
      <c r="AW215" s="72"/>
      <c r="AX215" s="72"/>
      <c r="AY215" s="31"/>
    </row>
    <row r="216" spans="1:110" ht="56.25" customHeight="1">
      <c r="A216" s="5" t="s">
        <v>1121</v>
      </c>
      <c r="B216" s="26" t="s">
        <v>1122</v>
      </c>
      <c r="C216" s="31" t="s">
        <v>1123</v>
      </c>
      <c r="D216" s="5" t="s">
        <v>1124</v>
      </c>
      <c r="E216" s="31" t="s">
        <v>106</v>
      </c>
      <c r="F216" s="31" t="s">
        <v>315</v>
      </c>
      <c r="G216" s="6" t="s">
        <v>107</v>
      </c>
      <c r="H216" s="6" t="s">
        <v>63</v>
      </c>
      <c r="I216" s="426">
        <v>43452</v>
      </c>
      <c r="J216" s="5" t="s">
        <v>1125</v>
      </c>
      <c r="K216" s="243">
        <v>7558000</v>
      </c>
      <c r="L216" s="238">
        <v>4388000</v>
      </c>
      <c r="M216" s="238"/>
      <c r="N216" s="238"/>
      <c r="O216" s="238"/>
      <c r="P216" s="238"/>
      <c r="Q216" s="238">
        <v>4338000</v>
      </c>
      <c r="R216" s="238"/>
      <c r="S216" s="238">
        <v>3170000</v>
      </c>
      <c r="T216" s="238">
        <v>3170000</v>
      </c>
      <c r="U216" s="261"/>
      <c r="V216" s="261">
        <v>0.15</v>
      </c>
      <c r="W216" s="238"/>
      <c r="X216" s="238"/>
      <c r="Y216" s="238"/>
      <c r="Z216" s="238"/>
      <c r="AA216" s="238"/>
      <c r="AB216" s="238"/>
      <c r="AC216" s="238">
        <v>3170000</v>
      </c>
      <c r="AD216" s="238"/>
      <c r="AE216" s="238">
        <f t="shared" si="18"/>
        <v>3170000</v>
      </c>
      <c r="AF216" s="31" t="s">
        <v>93</v>
      </c>
      <c r="AG216" s="68"/>
      <c r="AH216" s="68"/>
      <c r="AI216" s="68"/>
      <c r="AJ216" s="345"/>
      <c r="AK216" s="341"/>
      <c r="AL216" s="68"/>
      <c r="AM216" s="68"/>
      <c r="AN216" s="68"/>
      <c r="AO216" s="289"/>
      <c r="AP216" s="289"/>
      <c r="AQ216" s="290"/>
      <c r="AR216" s="343"/>
      <c r="AS216" s="31"/>
      <c r="AT216" s="291"/>
      <c r="AU216" s="31"/>
      <c r="AV216" s="341"/>
      <c r="AW216" s="72"/>
      <c r="AX216" s="72"/>
      <c r="AY216" s="31"/>
    </row>
    <row r="217" spans="1:110" s="201" customFormat="1" ht="33" customHeight="1">
      <c r="A217" s="5" t="s">
        <v>1126</v>
      </c>
      <c r="B217" s="26" t="s">
        <v>1127</v>
      </c>
      <c r="C217" s="44" t="s">
        <v>1128</v>
      </c>
      <c r="D217" s="45" t="s">
        <v>1129</v>
      </c>
      <c r="E217" s="44" t="s">
        <v>374</v>
      </c>
      <c r="F217" s="31" t="s">
        <v>315</v>
      </c>
      <c r="G217" s="421" t="s">
        <v>286</v>
      </c>
      <c r="H217" s="421" t="s">
        <v>702</v>
      </c>
      <c r="I217" s="428"/>
      <c r="J217" s="45"/>
      <c r="K217" s="243">
        <f t="shared" ref="K217" si="21">L217+S217</f>
        <v>3479600</v>
      </c>
      <c r="L217" s="238">
        <f t="shared" ref="L217:L218" si="22">SUM(M217:R217)</f>
        <v>3479600</v>
      </c>
      <c r="M217" s="429"/>
      <c r="N217" s="44">
        <v>2572700</v>
      </c>
      <c r="O217" s="430"/>
      <c r="P217" s="45">
        <v>49400</v>
      </c>
      <c r="Q217" s="429">
        <v>857500</v>
      </c>
      <c r="R217" s="429"/>
      <c r="S217" s="429"/>
      <c r="T217" s="429"/>
      <c r="U217" s="434"/>
      <c r="V217" s="434"/>
      <c r="W217" s="429"/>
      <c r="X217" s="429">
        <v>2521246</v>
      </c>
      <c r="Y217" s="429"/>
      <c r="Z217" s="429">
        <v>37000</v>
      </c>
      <c r="AA217" s="429">
        <v>578736</v>
      </c>
      <c r="AB217" s="429"/>
      <c r="AC217" s="429"/>
      <c r="AD217" s="429"/>
      <c r="AE217" s="238">
        <f t="shared" si="18"/>
        <v>3136982</v>
      </c>
      <c r="AF217" s="44" t="s">
        <v>77</v>
      </c>
      <c r="AG217" s="430"/>
      <c r="AH217" s="430"/>
      <c r="AI217" s="430"/>
      <c r="AJ217" s="345"/>
      <c r="AK217" s="341"/>
      <c r="AL217" s="430"/>
      <c r="AM217" s="430"/>
      <c r="AN217" s="430"/>
      <c r="AO217" s="45" t="s">
        <v>1130</v>
      </c>
      <c r="AP217" s="289"/>
      <c r="AQ217" s="290"/>
      <c r="AR217" s="343"/>
      <c r="AS217" s="44"/>
      <c r="AT217" s="291"/>
      <c r="AU217" s="44"/>
      <c r="AV217" s="341"/>
      <c r="AW217" s="439"/>
      <c r="AX217" s="439"/>
      <c r="AY217" s="44"/>
      <c r="AZ217" s="329"/>
      <c r="BA217" s="329"/>
      <c r="BB217" s="329"/>
      <c r="BC217" s="329"/>
      <c r="BD217" s="329"/>
      <c r="BE217" s="329"/>
      <c r="BF217" s="329"/>
      <c r="BG217" s="329"/>
      <c r="BH217" s="329"/>
      <c r="BI217" s="329"/>
      <c r="BJ217" s="329"/>
      <c r="BK217" s="329"/>
      <c r="BL217" s="329"/>
      <c r="BM217" s="329"/>
      <c r="BN217" s="329"/>
      <c r="BO217" s="329"/>
      <c r="BP217" s="329"/>
      <c r="BQ217" s="329"/>
      <c r="BR217" s="329"/>
      <c r="BS217" s="329"/>
      <c r="BT217" s="329"/>
      <c r="BU217" s="329"/>
      <c r="BV217" s="329"/>
      <c r="BW217" s="329"/>
      <c r="BX217" s="329"/>
      <c r="BY217" s="329"/>
      <c r="BZ217" s="329"/>
      <c r="CA217" s="329"/>
      <c r="CB217" s="329"/>
      <c r="CC217" s="329"/>
      <c r="CD217" s="329"/>
      <c r="CE217" s="329"/>
      <c r="CF217" s="329"/>
      <c r="CG217" s="329"/>
      <c r="CH217" s="329"/>
      <c r="CI217" s="329"/>
      <c r="CJ217" s="329"/>
      <c r="CK217" s="329"/>
      <c r="CL217" s="329"/>
      <c r="CM217" s="329"/>
      <c r="CN217" s="329"/>
      <c r="CO217" s="329"/>
      <c r="CP217" s="329"/>
      <c r="CQ217" s="329"/>
      <c r="CR217" s="329"/>
      <c r="CS217" s="329"/>
      <c r="CT217" s="329"/>
      <c r="CU217" s="329"/>
      <c r="CV217" s="329"/>
      <c r="CW217" s="329"/>
      <c r="CX217" s="329"/>
      <c r="CY217" s="329"/>
      <c r="CZ217" s="329"/>
      <c r="DA217" s="329"/>
      <c r="DB217" s="329"/>
      <c r="DC217" s="329"/>
      <c r="DD217" s="329"/>
      <c r="DE217" s="329"/>
      <c r="DF217" s="329"/>
    </row>
    <row r="218" spans="1:110" ht="30.75" customHeight="1">
      <c r="A218" s="26" t="s">
        <v>1131</v>
      </c>
      <c r="B218" s="26" t="s">
        <v>1132</v>
      </c>
      <c r="C218" s="25" t="s">
        <v>1133</v>
      </c>
      <c r="D218" s="26" t="s">
        <v>1134</v>
      </c>
      <c r="E218" s="25" t="s">
        <v>106</v>
      </c>
      <c r="F218" s="25" t="s">
        <v>309</v>
      </c>
      <c r="G218" s="53" t="s">
        <v>107</v>
      </c>
      <c r="H218" s="53" t="s">
        <v>63</v>
      </c>
      <c r="I218" s="335"/>
      <c r="J218" s="26"/>
      <c r="K218" s="243">
        <v>15799950</v>
      </c>
      <c r="L218" s="243">
        <f t="shared" si="22"/>
        <v>7478550</v>
      </c>
      <c r="M218" s="243"/>
      <c r="N218" s="243">
        <v>3342261</v>
      </c>
      <c r="O218" s="243"/>
      <c r="P218" s="243">
        <v>1011235.96</v>
      </c>
      <c r="Q218" s="243">
        <v>3125053.04</v>
      </c>
      <c r="R218" s="243"/>
      <c r="S218" s="243">
        <v>8321400</v>
      </c>
      <c r="T218" s="243">
        <v>8321400</v>
      </c>
      <c r="U218" s="263">
        <v>6</v>
      </c>
      <c r="V218" s="263">
        <v>0.1</v>
      </c>
      <c r="W218" s="243"/>
      <c r="X218" s="243">
        <v>3340000</v>
      </c>
      <c r="Y218" s="243"/>
      <c r="Z218" s="243">
        <v>910000</v>
      </c>
      <c r="AA218" s="243">
        <v>2810000</v>
      </c>
      <c r="AB218" s="243"/>
      <c r="AC218" s="243">
        <v>8321400</v>
      </c>
      <c r="AD218" s="243"/>
      <c r="AE218" s="243">
        <f t="shared" si="18"/>
        <v>15381400</v>
      </c>
      <c r="AF218" s="25" t="s">
        <v>108</v>
      </c>
      <c r="AG218" s="68"/>
      <c r="AH218" s="68"/>
      <c r="AI218" s="68"/>
      <c r="AJ218" s="345"/>
      <c r="AK218" s="341"/>
      <c r="AL218" s="68"/>
      <c r="AM218" s="68"/>
      <c r="AN218" s="68"/>
      <c r="AO218" s="289"/>
      <c r="AP218" s="289"/>
      <c r="AQ218" s="290"/>
      <c r="AR218" s="343"/>
      <c r="AS218" s="31"/>
      <c r="AT218" s="291"/>
      <c r="AU218" s="31"/>
      <c r="AV218" s="341"/>
      <c r="AW218" s="72"/>
      <c r="AX218" s="72"/>
      <c r="AY218" s="31"/>
    </row>
    <row r="219" spans="1:110" ht="27" customHeight="1">
      <c r="A219" s="26" t="s">
        <v>1135</v>
      </c>
      <c r="B219" s="26" t="s">
        <v>1136</v>
      </c>
      <c r="C219" s="25" t="s">
        <v>1137</v>
      </c>
      <c r="D219" s="26" t="s">
        <v>1138</v>
      </c>
      <c r="E219" s="25" t="s">
        <v>139</v>
      </c>
      <c r="F219" s="25" t="s">
        <v>309</v>
      </c>
      <c r="G219" s="53" t="s">
        <v>150</v>
      </c>
      <c r="H219" s="53" t="s">
        <v>128</v>
      </c>
      <c r="I219" s="335"/>
      <c r="J219" s="26"/>
      <c r="K219" s="243">
        <v>453236</v>
      </c>
      <c r="L219" s="243">
        <v>453236</v>
      </c>
      <c r="M219" s="243"/>
      <c r="N219" s="243"/>
      <c r="O219" s="243"/>
      <c r="P219" s="243">
        <v>453236</v>
      </c>
      <c r="Q219" s="243"/>
      <c r="R219" s="243"/>
      <c r="S219" s="243"/>
      <c r="T219" s="243"/>
      <c r="U219" s="263"/>
      <c r="V219" s="263">
        <v>0.1</v>
      </c>
      <c r="W219" s="243"/>
      <c r="X219" s="243"/>
      <c r="Y219" s="243"/>
      <c r="Z219" s="243">
        <v>407912.4</v>
      </c>
      <c r="AA219" s="243"/>
      <c r="AB219" s="243"/>
      <c r="AC219" s="243"/>
      <c r="AD219" s="243"/>
      <c r="AE219" s="243">
        <f t="shared" si="18"/>
        <v>407912.4</v>
      </c>
      <c r="AF219" s="25" t="s">
        <v>108</v>
      </c>
      <c r="AG219" s="68"/>
      <c r="AH219" s="68"/>
      <c r="AI219" s="68"/>
      <c r="AJ219" s="345"/>
      <c r="AK219" s="341"/>
      <c r="AL219" s="68"/>
      <c r="AM219" s="68"/>
      <c r="AN219" s="68"/>
      <c r="AO219" s="289"/>
      <c r="AP219" s="289"/>
      <c r="AQ219" s="290"/>
      <c r="AR219" s="343"/>
      <c r="AS219" s="31"/>
      <c r="AT219" s="291"/>
      <c r="AU219" s="31"/>
      <c r="AV219" s="341"/>
      <c r="AW219" s="72"/>
      <c r="AX219" s="72"/>
      <c r="AY219" s="31"/>
    </row>
    <row r="220" spans="1:110" ht="41.25" customHeight="1">
      <c r="A220" s="43" t="s">
        <v>1139</v>
      </c>
      <c r="B220" s="26"/>
      <c r="C220" s="43" t="s">
        <v>1140</v>
      </c>
      <c r="D220" s="43" t="s">
        <v>1141</v>
      </c>
      <c r="E220" s="31" t="s">
        <v>1142</v>
      </c>
      <c r="F220" s="31" t="s">
        <v>315</v>
      </c>
      <c r="G220" s="421" t="s">
        <v>795</v>
      </c>
      <c r="H220" s="53" t="s">
        <v>128</v>
      </c>
      <c r="I220" s="426"/>
      <c r="J220" s="5"/>
      <c r="K220" s="243">
        <f t="shared" ref="K220:K222" si="23">L220+S220</f>
        <v>710000</v>
      </c>
      <c r="L220" s="238">
        <f t="shared" ref="L220:L222" si="24">SUM(M220:R220)</f>
        <v>710000</v>
      </c>
      <c r="M220" s="238"/>
      <c r="N220" s="238"/>
      <c r="O220" s="238"/>
      <c r="P220" s="238"/>
      <c r="Q220" s="238">
        <v>710000</v>
      </c>
      <c r="R220" s="238"/>
      <c r="S220" s="238"/>
      <c r="T220" s="238"/>
      <c r="U220" s="261"/>
      <c r="V220" s="263">
        <v>0.1</v>
      </c>
      <c r="W220" s="238"/>
      <c r="X220" s="238"/>
      <c r="Y220" s="238"/>
      <c r="Z220" s="238"/>
      <c r="AA220" s="238">
        <v>625000</v>
      </c>
      <c r="AB220" s="238"/>
      <c r="AC220" s="238"/>
      <c r="AD220" s="238"/>
      <c r="AE220" s="243">
        <f t="shared" si="18"/>
        <v>625000</v>
      </c>
      <c r="AF220" s="31" t="s">
        <v>85</v>
      </c>
      <c r="AG220" s="68"/>
      <c r="AH220" s="68"/>
      <c r="AI220" s="68"/>
      <c r="AJ220" s="345"/>
      <c r="AK220" s="341"/>
      <c r="AL220" s="68"/>
      <c r="AM220" s="68"/>
      <c r="AN220" s="68"/>
      <c r="AO220" s="289"/>
      <c r="AP220" s="289"/>
      <c r="AQ220" s="290"/>
      <c r="AR220" s="343"/>
      <c r="AS220" s="31"/>
      <c r="AT220" s="291"/>
      <c r="AU220" s="31"/>
      <c r="AV220" s="341"/>
      <c r="AW220" s="72"/>
      <c r="AX220" s="72"/>
      <c r="AY220" s="31"/>
    </row>
    <row r="221" spans="1:110" ht="41.25" customHeight="1">
      <c r="A221" s="43" t="s">
        <v>1143</v>
      </c>
      <c r="B221" s="26"/>
      <c r="C221" s="43" t="s">
        <v>1144</v>
      </c>
      <c r="D221" s="43" t="s">
        <v>1145</v>
      </c>
      <c r="E221" s="31" t="s">
        <v>83</v>
      </c>
      <c r="F221" s="31" t="s">
        <v>315</v>
      </c>
      <c r="G221" s="421" t="s">
        <v>795</v>
      </c>
      <c r="H221" s="53" t="s">
        <v>128</v>
      </c>
      <c r="I221" s="426"/>
      <c r="J221" s="5"/>
      <c r="K221" s="243">
        <f t="shared" ref="K221" si="25">L221+S221</f>
        <v>1492699</v>
      </c>
      <c r="L221" s="238">
        <f t="shared" ref="L221" si="26">SUM(M221:R221)</f>
        <v>1391082.23</v>
      </c>
      <c r="M221" s="238"/>
      <c r="N221" s="238">
        <v>621600</v>
      </c>
      <c r="O221" s="238"/>
      <c r="P221" s="238">
        <v>3982.23</v>
      </c>
      <c r="Q221" s="238">
        <v>765500</v>
      </c>
      <c r="R221" s="238"/>
      <c r="S221" s="238">
        <v>101616.77</v>
      </c>
      <c r="T221" s="238">
        <v>101616.77</v>
      </c>
      <c r="U221" s="263">
        <v>6</v>
      </c>
      <c r="V221" s="263">
        <v>0.11</v>
      </c>
      <c r="W221" s="238"/>
      <c r="X221" s="238">
        <v>617000</v>
      </c>
      <c r="Y221" s="238"/>
      <c r="Z221" s="238">
        <v>3584.9070000000002</v>
      </c>
      <c r="AA221" s="238">
        <v>610000</v>
      </c>
      <c r="AB221" s="238"/>
      <c r="AC221" s="238"/>
      <c r="AD221" s="238"/>
      <c r="AE221" s="243">
        <f t="shared" si="18"/>
        <v>1230584.9070000001</v>
      </c>
      <c r="AF221" s="31" t="s">
        <v>85</v>
      </c>
      <c r="AG221" s="68"/>
      <c r="AH221" s="68"/>
      <c r="AI221" s="68"/>
      <c r="AJ221" s="345"/>
      <c r="AK221" s="341"/>
      <c r="AL221" s="68"/>
      <c r="AM221" s="68"/>
      <c r="AN221" s="68"/>
      <c r="AO221" s="289"/>
      <c r="AP221" s="289"/>
      <c r="AQ221" s="290"/>
      <c r="AR221" s="343"/>
      <c r="AS221" s="31"/>
      <c r="AT221" s="291"/>
      <c r="AU221" s="31"/>
      <c r="AV221" s="341"/>
      <c r="AW221" s="72"/>
      <c r="AX221" s="72"/>
      <c r="AY221" s="31"/>
    </row>
    <row r="222" spans="1:110" ht="54" customHeight="1">
      <c r="A222" s="5" t="s">
        <v>1146</v>
      </c>
      <c r="B222" s="26" t="s">
        <v>1147</v>
      </c>
      <c r="C222" s="31" t="s">
        <v>1148</v>
      </c>
      <c r="D222" s="5" t="s">
        <v>1149</v>
      </c>
      <c r="E222" s="31" t="s">
        <v>1093</v>
      </c>
      <c r="F222" s="31" t="s">
        <v>315</v>
      </c>
      <c r="G222" s="6" t="s">
        <v>76</v>
      </c>
      <c r="H222" s="53" t="s">
        <v>128</v>
      </c>
      <c r="I222" s="426"/>
      <c r="J222" s="5"/>
      <c r="K222" s="243">
        <f t="shared" si="23"/>
        <v>1283700</v>
      </c>
      <c r="L222" s="238">
        <f t="shared" si="24"/>
        <v>1283700</v>
      </c>
      <c r="M222" s="238"/>
      <c r="N222" s="238">
        <v>755720</v>
      </c>
      <c r="O222" s="238"/>
      <c r="P222" s="238">
        <v>433480</v>
      </c>
      <c r="Q222" s="238">
        <v>94500</v>
      </c>
      <c r="R222" s="238"/>
      <c r="S222" s="238"/>
      <c r="T222" s="238"/>
      <c r="U222" s="261"/>
      <c r="V222" s="261">
        <v>0.15</v>
      </c>
      <c r="W222" s="238"/>
      <c r="X222" s="238">
        <v>748162.8</v>
      </c>
      <c r="Y222" s="238"/>
      <c r="Z222" s="238">
        <v>271237.11</v>
      </c>
      <c r="AA222" s="238">
        <v>59130.54</v>
      </c>
      <c r="AB222" s="238"/>
      <c r="AC222" s="238"/>
      <c r="AD222" s="238"/>
      <c r="AE222" s="243">
        <f t="shared" si="18"/>
        <v>1078530.45</v>
      </c>
      <c r="AF222" s="31" t="s">
        <v>1021</v>
      </c>
      <c r="AG222" s="68"/>
      <c r="AH222" s="68"/>
      <c r="AI222" s="68"/>
      <c r="AJ222" s="345"/>
      <c r="AK222" s="341"/>
      <c r="AL222" s="68"/>
      <c r="AM222" s="68"/>
      <c r="AN222" s="68"/>
      <c r="AO222" s="289" t="s">
        <v>86</v>
      </c>
      <c r="AP222" s="289"/>
      <c r="AQ222" s="290"/>
      <c r="AR222" s="343">
        <v>43483</v>
      </c>
      <c r="AS222" s="31"/>
      <c r="AT222" s="291" t="s">
        <v>1048</v>
      </c>
      <c r="AU222" s="31" t="s">
        <v>88</v>
      </c>
      <c r="AV222" s="341"/>
      <c r="AW222" s="72"/>
      <c r="AX222" s="72"/>
      <c r="AY222" s="31"/>
    </row>
    <row r="223" spans="1:110" ht="21.75" customHeight="1">
      <c r="A223" s="5" t="s">
        <v>1150</v>
      </c>
      <c r="B223" s="26" t="s">
        <v>1151</v>
      </c>
      <c r="C223" s="31" t="s">
        <v>1152</v>
      </c>
      <c r="D223" s="5" t="s">
        <v>1153</v>
      </c>
      <c r="E223" s="31" t="s">
        <v>1093</v>
      </c>
      <c r="F223" s="31" t="s">
        <v>315</v>
      </c>
      <c r="G223" s="6" t="s">
        <v>76</v>
      </c>
      <c r="H223" s="53" t="s">
        <v>128</v>
      </c>
      <c r="I223" s="426"/>
      <c r="J223" s="5"/>
      <c r="K223" s="243">
        <f t="shared" ref="K223" si="27">L223+S223</f>
        <v>49737</v>
      </c>
      <c r="L223" s="238">
        <f t="shared" ref="L223" si="28">SUM(M223:R223)</f>
        <v>49737</v>
      </c>
      <c r="M223" s="427"/>
      <c r="N223" s="427"/>
      <c r="O223" s="427"/>
      <c r="P223" s="238">
        <v>49737</v>
      </c>
      <c r="Q223" s="427"/>
      <c r="R223" s="427"/>
      <c r="S223" s="238"/>
      <c r="T223" s="238"/>
      <c r="U223" s="261"/>
      <c r="V223" s="261">
        <v>0.15</v>
      </c>
      <c r="W223" s="238"/>
      <c r="X223" s="238"/>
      <c r="Y223" s="238"/>
      <c r="Z223" s="238">
        <v>42276.45</v>
      </c>
      <c r="AA223" s="238"/>
      <c r="AB223" s="238"/>
      <c r="AC223" s="238"/>
      <c r="AD223" s="238"/>
      <c r="AE223" s="243">
        <f t="shared" si="18"/>
        <v>42276.45</v>
      </c>
      <c r="AF223" s="31" t="s">
        <v>1021</v>
      </c>
      <c r="AG223" s="68"/>
      <c r="AH223" s="68"/>
      <c r="AI223" s="68"/>
      <c r="AJ223" s="345"/>
      <c r="AK223" s="341"/>
      <c r="AL223" s="68"/>
      <c r="AM223" s="68"/>
      <c r="AN223" s="68"/>
      <c r="AO223" s="289" t="s">
        <v>86</v>
      </c>
      <c r="AP223" s="289"/>
      <c r="AQ223" s="290" t="s">
        <v>1154</v>
      </c>
      <c r="AR223" s="343">
        <v>43483</v>
      </c>
      <c r="AS223" s="31"/>
      <c r="AT223" s="291" t="s">
        <v>1048</v>
      </c>
      <c r="AU223" s="31" t="s">
        <v>88</v>
      </c>
      <c r="AV223" s="341"/>
      <c r="AW223" s="72"/>
      <c r="AX223" s="72"/>
      <c r="AY223" s="31"/>
    </row>
    <row r="224" spans="1:110" ht="37.5" customHeight="1">
      <c r="A224" s="5" t="s">
        <v>1155</v>
      </c>
      <c r="B224" s="26" t="s">
        <v>1156</v>
      </c>
      <c r="C224" s="31" t="s">
        <v>1157</v>
      </c>
      <c r="D224" s="5" t="s">
        <v>1158</v>
      </c>
      <c r="E224" s="31" t="s">
        <v>1093</v>
      </c>
      <c r="F224" s="31" t="s">
        <v>315</v>
      </c>
      <c r="G224" s="6" t="s">
        <v>76</v>
      </c>
      <c r="H224" s="53" t="s">
        <v>128</v>
      </c>
      <c r="I224" s="426"/>
      <c r="J224" s="5"/>
      <c r="K224" s="243">
        <f t="shared" ref="K224" si="29">L224+S224</f>
        <v>753031</v>
      </c>
      <c r="L224" s="238">
        <f t="shared" ref="L224" si="30">SUM(M224:R224)</f>
        <v>753031</v>
      </c>
      <c r="M224" s="427"/>
      <c r="N224" s="238">
        <v>581374</v>
      </c>
      <c r="O224" s="238"/>
      <c r="P224" s="238">
        <v>157449</v>
      </c>
      <c r="Q224" s="238">
        <v>14208</v>
      </c>
      <c r="R224" s="238"/>
      <c r="S224" s="238"/>
      <c r="T224" s="238"/>
      <c r="U224" s="261"/>
      <c r="V224" s="261">
        <v>0.15</v>
      </c>
      <c r="W224" s="238"/>
      <c r="X224" s="238">
        <v>575560.26</v>
      </c>
      <c r="Y224" s="238"/>
      <c r="Z224" s="238">
        <v>52540.45</v>
      </c>
      <c r="AA224" s="238">
        <v>4741.18</v>
      </c>
      <c r="AB224" s="238"/>
      <c r="AC224" s="238"/>
      <c r="AD224" s="238"/>
      <c r="AE224" s="243">
        <f t="shared" si="18"/>
        <v>632841.89</v>
      </c>
      <c r="AF224" s="31" t="s">
        <v>145</v>
      </c>
      <c r="AG224" s="68"/>
      <c r="AH224" s="68"/>
      <c r="AI224" s="68"/>
      <c r="AJ224" s="345"/>
      <c r="AK224" s="341"/>
      <c r="AL224" s="68"/>
      <c r="AM224" s="68"/>
      <c r="AN224" s="68"/>
      <c r="AO224" s="5"/>
      <c r="AP224" s="5"/>
      <c r="AQ224" s="308"/>
      <c r="AR224" s="437"/>
      <c r="AS224" s="31"/>
      <c r="AT224" s="291"/>
      <c r="AU224" s="31"/>
      <c r="AV224" s="341"/>
      <c r="AW224" s="72"/>
      <c r="AX224" s="72"/>
      <c r="AY224" s="31"/>
    </row>
    <row r="225" spans="1:51" ht="28.5" customHeight="1">
      <c r="A225" s="5" t="s">
        <v>1159</v>
      </c>
      <c r="B225" s="26"/>
      <c r="C225" s="31" t="s">
        <v>1160</v>
      </c>
      <c r="D225" s="5" t="s">
        <v>1161</v>
      </c>
      <c r="E225" s="31" t="s">
        <v>714</v>
      </c>
      <c r="F225" s="31" t="s">
        <v>315</v>
      </c>
      <c r="G225" s="6" t="s">
        <v>157</v>
      </c>
      <c r="H225" s="6" t="s">
        <v>63</v>
      </c>
      <c r="I225" s="426"/>
      <c r="J225" s="5"/>
      <c r="K225" s="243">
        <f t="shared" ref="K225" si="31">L225+S225</f>
        <v>66480</v>
      </c>
      <c r="L225" s="238">
        <f t="shared" ref="L225" si="32">SUM(M225:R225)</f>
        <v>66480</v>
      </c>
      <c r="M225" s="427"/>
      <c r="N225" s="238"/>
      <c r="O225" s="238"/>
      <c r="P225" s="238"/>
      <c r="Q225" s="238">
        <v>66480</v>
      </c>
      <c r="R225" s="238"/>
      <c r="S225" s="238"/>
      <c r="T225" s="238"/>
      <c r="U225" s="261"/>
      <c r="V225" s="261">
        <v>0.15</v>
      </c>
      <c r="W225" s="238"/>
      <c r="X225" s="238"/>
      <c r="Y225" s="238"/>
      <c r="Z225" s="238"/>
      <c r="AA225" s="238">
        <v>56508</v>
      </c>
      <c r="AB225" s="238"/>
      <c r="AC225" s="238"/>
      <c r="AD225" s="238"/>
      <c r="AE225" s="243">
        <f t="shared" si="18"/>
        <v>56508</v>
      </c>
      <c r="AF225" s="31" t="s">
        <v>108</v>
      </c>
      <c r="AG225" s="68"/>
      <c r="AH225" s="68"/>
      <c r="AI225" s="68"/>
      <c r="AJ225" s="345"/>
      <c r="AK225" s="341"/>
      <c r="AL225" s="68"/>
      <c r="AM225" s="68"/>
      <c r="AN225" s="68"/>
      <c r="AO225" s="5"/>
      <c r="AP225" s="5"/>
      <c r="AQ225" s="308"/>
      <c r="AR225" s="437"/>
      <c r="AS225" s="31"/>
      <c r="AT225" s="291"/>
      <c r="AU225" s="31"/>
      <c r="AV225" s="341"/>
      <c r="AW225" s="72"/>
      <c r="AX225" s="72"/>
      <c r="AY225" s="31"/>
    </row>
    <row r="226" spans="1:51" ht="21.75" customHeight="1">
      <c r="A226" s="43" t="s">
        <v>1162</v>
      </c>
      <c r="B226" s="26">
        <v>20190118</v>
      </c>
      <c r="C226" s="43" t="s">
        <v>1163</v>
      </c>
      <c r="D226" s="43" t="s">
        <v>1164</v>
      </c>
      <c r="E226" s="43" t="s">
        <v>1093</v>
      </c>
      <c r="F226" s="31" t="s">
        <v>315</v>
      </c>
      <c r="G226" s="6"/>
      <c r="H226" s="6"/>
      <c r="I226" s="426">
        <v>43458</v>
      </c>
      <c r="J226" s="5"/>
      <c r="K226" s="243">
        <f t="shared" ref="K226" si="33">L226+S226</f>
        <v>674031.2</v>
      </c>
      <c r="L226" s="238">
        <f t="shared" ref="L226" si="34">SUM(M226:R226)</f>
        <v>674031.2</v>
      </c>
      <c r="M226" s="427"/>
      <c r="N226" s="238">
        <v>540040</v>
      </c>
      <c r="O226" s="238"/>
      <c r="P226" s="238">
        <v>133991.20000000001</v>
      </c>
      <c r="Q226" s="238"/>
      <c r="R226" s="238"/>
      <c r="S226" s="238"/>
      <c r="T226" s="238"/>
      <c r="U226" s="261"/>
      <c r="V226" s="261">
        <v>0.15</v>
      </c>
      <c r="W226" s="238"/>
      <c r="X226" s="238"/>
      <c r="Y226" s="238"/>
      <c r="Z226" s="238"/>
      <c r="AA226" s="238"/>
      <c r="AB226" s="238"/>
      <c r="AC226" s="238"/>
      <c r="AD226" s="238"/>
      <c r="AE226" s="243">
        <f t="shared" si="18"/>
        <v>0</v>
      </c>
      <c r="AF226" s="31" t="s">
        <v>145</v>
      </c>
      <c r="AG226" s="68"/>
      <c r="AH226" s="68"/>
      <c r="AI226" s="68"/>
      <c r="AJ226" s="345"/>
      <c r="AK226" s="341"/>
      <c r="AL226" s="68"/>
      <c r="AM226" s="68"/>
      <c r="AN226" s="68"/>
      <c r="AO226" s="289" t="s">
        <v>86</v>
      </c>
      <c r="AP226" s="289"/>
      <c r="AQ226" s="290" t="s">
        <v>1154</v>
      </c>
      <c r="AR226" s="343">
        <v>43483</v>
      </c>
      <c r="AS226" s="31"/>
      <c r="AT226" s="291" t="s">
        <v>1048</v>
      </c>
      <c r="AU226" s="31" t="s">
        <v>88</v>
      </c>
      <c r="AV226" s="341"/>
      <c r="AW226" s="72"/>
      <c r="AX226" s="72"/>
      <c r="AY226" s="31"/>
    </row>
    <row r="227" spans="1:51" ht="21.75" customHeight="1">
      <c r="A227" s="5" t="s">
        <v>1165</v>
      </c>
      <c r="B227" s="26">
        <v>20190118</v>
      </c>
      <c r="C227" s="31" t="s">
        <v>1166</v>
      </c>
      <c r="D227" s="43" t="s">
        <v>1167</v>
      </c>
      <c r="E227" s="31" t="s">
        <v>271</v>
      </c>
      <c r="F227" s="31" t="s">
        <v>315</v>
      </c>
      <c r="G227" s="6"/>
      <c r="H227" s="6"/>
      <c r="I227" s="426"/>
      <c r="J227" s="5"/>
      <c r="K227" s="243">
        <f t="shared" ref="K227" si="35">L227+S227</f>
        <v>150040.79999999999</v>
      </c>
      <c r="L227" s="238">
        <f t="shared" ref="L227:L251" si="36">SUM(M227:R227)</f>
        <v>150040.79999999999</v>
      </c>
      <c r="M227" s="427"/>
      <c r="N227" s="358">
        <v>93929.8</v>
      </c>
      <c r="O227" s="238"/>
      <c r="P227" s="358">
        <v>56111</v>
      </c>
      <c r="Q227" s="238"/>
      <c r="R227" s="238"/>
      <c r="S227" s="238"/>
      <c r="T227" s="238"/>
      <c r="U227" s="261"/>
      <c r="V227" s="261">
        <v>0.15</v>
      </c>
      <c r="W227" s="238"/>
      <c r="X227" s="238"/>
      <c r="Y227" s="238"/>
      <c r="Z227" s="238"/>
      <c r="AA227" s="238"/>
      <c r="AB227" s="238"/>
      <c r="AC227" s="238"/>
      <c r="AD227" s="238"/>
      <c r="AE227" s="243">
        <f t="shared" si="18"/>
        <v>0</v>
      </c>
      <c r="AF227" s="31" t="s">
        <v>1168</v>
      </c>
      <c r="AG227" s="68"/>
      <c r="AH227" s="68"/>
      <c r="AI227" s="68"/>
      <c r="AJ227" s="345"/>
      <c r="AK227" s="341"/>
      <c r="AL227" s="68"/>
      <c r="AM227" s="68"/>
      <c r="AN227" s="68"/>
      <c r="AO227" s="31" t="s">
        <v>86</v>
      </c>
      <c r="AP227" s="5"/>
      <c r="AQ227" s="290" t="s">
        <v>1154</v>
      </c>
      <c r="AR227" s="343">
        <v>43483</v>
      </c>
      <c r="AS227" s="31"/>
      <c r="AT227" s="291" t="s">
        <v>1048</v>
      </c>
      <c r="AU227" s="31" t="s">
        <v>88</v>
      </c>
      <c r="AV227" s="341"/>
      <c r="AW227" s="72"/>
      <c r="AX227" s="72"/>
      <c r="AY227" s="31"/>
    </row>
    <row r="228" spans="1:51" ht="21.75" customHeight="1">
      <c r="A228" s="331" t="s">
        <v>1169</v>
      </c>
      <c r="B228" s="26"/>
      <c r="C228" s="31" t="s">
        <v>1170</v>
      </c>
      <c r="D228" s="31" t="s">
        <v>1171</v>
      </c>
      <c r="E228" s="31" t="s">
        <v>139</v>
      </c>
      <c r="F228" s="31" t="s">
        <v>315</v>
      </c>
      <c r="G228" s="6" t="s">
        <v>150</v>
      </c>
      <c r="H228" s="6" t="s">
        <v>128</v>
      </c>
      <c r="I228" s="426"/>
      <c r="J228" s="5"/>
      <c r="K228" s="336">
        <v>413736</v>
      </c>
      <c r="L228" s="238">
        <f t="shared" si="36"/>
        <v>0</v>
      </c>
      <c r="M228" s="427"/>
      <c r="N228" s="238"/>
      <c r="O228" s="238"/>
      <c r="P228" s="238"/>
      <c r="Q228" s="238"/>
      <c r="R228" s="238"/>
      <c r="S228" s="238"/>
      <c r="T228" s="238"/>
      <c r="U228" s="261"/>
      <c r="V228" s="261"/>
      <c r="W228" s="238"/>
      <c r="X228" s="238"/>
      <c r="Y228" s="238"/>
      <c r="Z228" s="238"/>
      <c r="AA228" s="238"/>
      <c r="AB228" s="238"/>
      <c r="AC228" s="238"/>
      <c r="AD228" s="238"/>
      <c r="AE228" s="243">
        <f t="shared" si="18"/>
        <v>0</v>
      </c>
      <c r="AF228" s="31" t="s">
        <v>85</v>
      </c>
      <c r="AG228" s="68"/>
      <c r="AH228" s="68"/>
      <c r="AI228" s="68"/>
      <c r="AJ228" s="345"/>
      <c r="AK228" s="341"/>
      <c r="AL228" s="68"/>
      <c r="AM228" s="68"/>
      <c r="AN228" s="68"/>
      <c r="AO228" s="31" t="s">
        <v>86</v>
      </c>
      <c r="AP228" s="5"/>
      <c r="AQ228" s="308">
        <v>43469</v>
      </c>
      <c r="AR228" s="72">
        <v>43483</v>
      </c>
      <c r="AS228" s="31"/>
      <c r="AT228" s="291">
        <v>43833</v>
      </c>
      <c r="AU228" s="31" t="s">
        <v>88</v>
      </c>
      <c r="AV228" s="341"/>
      <c r="AW228" s="72"/>
      <c r="AX228" s="72"/>
      <c r="AY228" s="31"/>
    </row>
    <row r="229" spans="1:51" ht="21.75" customHeight="1">
      <c r="A229" s="331" t="s">
        <v>1172</v>
      </c>
      <c r="B229" s="26"/>
      <c r="C229" s="31" t="s">
        <v>1173</v>
      </c>
      <c r="D229" s="31" t="s">
        <v>1174</v>
      </c>
      <c r="E229" s="31" t="s">
        <v>139</v>
      </c>
      <c r="F229" s="31" t="s">
        <v>315</v>
      </c>
      <c r="G229" s="6" t="s">
        <v>150</v>
      </c>
      <c r="H229" s="6" t="s">
        <v>128</v>
      </c>
      <c r="I229" s="426"/>
      <c r="J229" s="5"/>
      <c r="K229" s="336">
        <v>198151</v>
      </c>
      <c r="L229" s="238">
        <f t="shared" si="36"/>
        <v>0</v>
      </c>
      <c r="M229" s="427"/>
      <c r="N229" s="238"/>
      <c r="O229" s="238"/>
      <c r="P229" s="238"/>
      <c r="Q229" s="238"/>
      <c r="R229" s="238"/>
      <c r="S229" s="238"/>
      <c r="T229" s="238"/>
      <c r="U229" s="261"/>
      <c r="V229" s="261"/>
      <c r="W229" s="238"/>
      <c r="X229" s="238"/>
      <c r="Y229" s="238"/>
      <c r="Z229" s="238"/>
      <c r="AA229" s="238"/>
      <c r="AB229" s="238"/>
      <c r="AC229" s="238"/>
      <c r="AD229" s="238"/>
      <c r="AE229" s="243">
        <f t="shared" si="18"/>
        <v>0</v>
      </c>
      <c r="AF229" s="31" t="s">
        <v>85</v>
      </c>
      <c r="AG229" s="68"/>
      <c r="AH229" s="68"/>
      <c r="AI229" s="68"/>
      <c r="AJ229" s="345"/>
      <c r="AK229" s="341"/>
      <c r="AL229" s="68"/>
      <c r="AM229" s="68"/>
      <c r="AN229" s="68"/>
      <c r="AO229" s="31" t="s">
        <v>86</v>
      </c>
      <c r="AP229" s="5"/>
      <c r="AQ229" s="308">
        <v>43469</v>
      </c>
      <c r="AR229" s="72">
        <v>43483</v>
      </c>
      <c r="AS229" s="31"/>
      <c r="AT229" s="291">
        <v>43833</v>
      </c>
      <c r="AU229" s="31" t="s">
        <v>88</v>
      </c>
      <c r="AV229" s="341"/>
      <c r="AW229" s="72"/>
      <c r="AX229" s="72"/>
      <c r="AY229" s="31"/>
    </row>
    <row r="230" spans="1:51" ht="21.75" customHeight="1">
      <c r="A230" s="331" t="s">
        <v>1175</v>
      </c>
      <c r="B230" s="26"/>
      <c r="C230" s="31" t="s">
        <v>1176</v>
      </c>
      <c r="D230" s="31" t="s">
        <v>1177</v>
      </c>
      <c r="E230" s="31" t="s">
        <v>139</v>
      </c>
      <c r="F230" s="31" t="s">
        <v>315</v>
      </c>
      <c r="G230" s="6" t="s">
        <v>150</v>
      </c>
      <c r="H230" s="6" t="s">
        <v>128</v>
      </c>
      <c r="I230" s="426"/>
      <c r="J230" s="5"/>
      <c r="K230" s="336">
        <v>197800</v>
      </c>
      <c r="L230" s="238">
        <f t="shared" si="36"/>
        <v>0</v>
      </c>
      <c r="M230" s="427"/>
      <c r="N230" s="238"/>
      <c r="O230" s="238"/>
      <c r="P230" s="238"/>
      <c r="Q230" s="238"/>
      <c r="R230" s="238"/>
      <c r="S230" s="238"/>
      <c r="T230" s="238"/>
      <c r="U230" s="261"/>
      <c r="V230" s="261"/>
      <c r="W230" s="238"/>
      <c r="X230" s="238"/>
      <c r="Y230" s="238"/>
      <c r="Z230" s="238"/>
      <c r="AA230" s="238"/>
      <c r="AB230" s="238"/>
      <c r="AC230" s="238"/>
      <c r="AD230" s="238"/>
      <c r="AE230" s="243">
        <f t="shared" si="18"/>
        <v>0</v>
      </c>
      <c r="AF230" s="31" t="s">
        <v>85</v>
      </c>
      <c r="AG230" s="68"/>
      <c r="AH230" s="68"/>
      <c r="AI230" s="68"/>
      <c r="AJ230" s="345"/>
      <c r="AK230" s="341"/>
      <c r="AL230" s="68"/>
      <c r="AM230" s="68"/>
      <c r="AN230" s="68"/>
      <c r="AO230" s="31" t="s">
        <v>86</v>
      </c>
      <c r="AP230" s="5"/>
      <c r="AQ230" s="308">
        <v>43469</v>
      </c>
      <c r="AR230" s="72">
        <v>43483</v>
      </c>
      <c r="AS230" s="31"/>
      <c r="AT230" s="291">
        <v>43833</v>
      </c>
      <c r="AU230" s="31" t="s">
        <v>88</v>
      </c>
      <c r="AV230" s="341"/>
      <c r="AW230" s="72"/>
      <c r="AX230" s="72"/>
      <c r="AY230" s="31"/>
    </row>
    <row r="231" spans="1:51" ht="21.75" customHeight="1">
      <c r="A231" s="331" t="s">
        <v>1178</v>
      </c>
      <c r="B231" s="26"/>
      <c r="C231" s="31" t="s">
        <v>1179</v>
      </c>
      <c r="D231" s="31" t="s">
        <v>1180</v>
      </c>
      <c r="E231" s="31" t="s">
        <v>139</v>
      </c>
      <c r="F231" s="31" t="s">
        <v>315</v>
      </c>
      <c r="G231" s="6" t="s">
        <v>150</v>
      </c>
      <c r="H231" s="6" t="s">
        <v>128</v>
      </c>
      <c r="I231" s="426"/>
      <c r="J231" s="5"/>
      <c r="K231" s="336">
        <v>153948</v>
      </c>
      <c r="L231" s="238">
        <f t="shared" si="36"/>
        <v>0</v>
      </c>
      <c r="M231" s="427"/>
      <c r="N231" s="238"/>
      <c r="O231" s="238"/>
      <c r="P231" s="238"/>
      <c r="Q231" s="238"/>
      <c r="R231" s="238"/>
      <c r="S231" s="238"/>
      <c r="T231" s="238"/>
      <c r="U231" s="261"/>
      <c r="V231" s="261"/>
      <c r="W231" s="238"/>
      <c r="X231" s="238"/>
      <c r="Y231" s="238"/>
      <c r="Z231" s="238"/>
      <c r="AA231" s="238"/>
      <c r="AB231" s="238"/>
      <c r="AC231" s="238"/>
      <c r="AD231" s="238"/>
      <c r="AE231" s="243">
        <f t="shared" si="18"/>
        <v>0</v>
      </c>
      <c r="AF231" s="31" t="s">
        <v>85</v>
      </c>
      <c r="AG231" s="68"/>
      <c r="AH231" s="68"/>
      <c r="AI231" s="68"/>
      <c r="AJ231" s="345"/>
      <c r="AK231" s="341"/>
      <c r="AL231" s="68"/>
      <c r="AM231" s="68"/>
      <c r="AN231" s="68"/>
      <c r="AO231" s="31" t="s">
        <v>86</v>
      </c>
      <c r="AP231" s="5"/>
      <c r="AQ231" s="308">
        <v>43469</v>
      </c>
      <c r="AR231" s="72">
        <v>43483</v>
      </c>
      <c r="AS231" s="31"/>
      <c r="AT231" s="291">
        <v>43833</v>
      </c>
      <c r="AU231" s="31" t="s">
        <v>88</v>
      </c>
      <c r="AV231" s="341"/>
      <c r="AW231" s="72"/>
      <c r="AX231" s="72"/>
      <c r="AY231" s="31"/>
    </row>
    <row r="232" spans="1:51" ht="21.75" customHeight="1">
      <c r="A232" s="331" t="s">
        <v>1181</v>
      </c>
      <c r="B232" s="26"/>
      <c r="C232" s="31" t="s">
        <v>1182</v>
      </c>
      <c r="D232" s="31" t="s">
        <v>1183</v>
      </c>
      <c r="E232" s="31" t="s">
        <v>139</v>
      </c>
      <c r="F232" s="31" t="s">
        <v>315</v>
      </c>
      <c r="G232" s="6" t="s">
        <v>150</v>
      </c>
      <c r="H232" s="6" t="s">
        <v>128</v>
      </c>
      <c r="I232" s="426"/>
      <c r="J232" s="5"/>
      <c r="K232" s="336">
        <v>152293</v>
      </c>
      <c r="L232" s="238">
        <f t="shared" si="36"/>
        <v>0</v>
      </c>
      <c r="M232" s="427"/>
      <c r="N232" s="238"/>
      <c r="O232" s="238"/>
      <c r="P232" s="238"/>
      <c r="Q232" s="238"/>
      <c r="R232" s="238"/>
      <c r="S232" s="238"/>
      <c r="T232" s="238"/>
      <c r="U232" s="261"/>
      <c r="V232" s="261"/>
      <c r="W232" s="238"/>
      <c r="X232" s="238"/>
      <c r="Y232" s="238"/>
      <c r="Z232" s="238"/>
      <c r="AA232" s="238"/>
      <c r="AB232" s="238"/>
      <c r="AC232" s="238"/>
      <c r="AD232" s="238"/>
      <c r="AE232" s="243">
        <f t="shared" si="18"/>
        <v>0</v>
      </c>
      <c r="AF232" s="31" t="s">
        <v>85</v>
      </c>
      <c r="AG232" s="68"/>
      <c r="AH232" s="68"/>
      <c r="AI232" s="68"/>
      <c r="AJ232" s="345"/>
      <c r="AK232" s="341"/>
      <c r="AL232" s="68"/>
      <c r="AM232" s="68"/>
      <c r="AN232" s="68"/>
      <c r="AO232" s="31" t="s">
        <v>86</v>
      </c>
      <c r="AP232" s="5"/>
      <c r="AQ232" s="308">
        <v>43469</v>
      </c>
      <c r="AR232" s="72">
        <v>43483</v>
      </c>
      <c r="AS232" s="31"/>
      <c r="AT232" s="291">
        <v>43833</v>
      </c>
      <c r="AU232" s="31" t="s">
        <v>88</v>
      </c>
      <c r="AV232" s="341"/>
      <c r="AW232" s="72"/>
      <c r="AX232" s="72"/>
      <c r="AY232" s="31"/>
    </row>
    <row r="233" spans="1:51" ht="21.75" customHeight="1">
      <c r="A233" s="331" t="s">
        <v>1184</v>
      </c>
      <c r="B233" s="26"/>
      <c r="C233" s="31" t="s">
        <v>1185</v>
      </c>
      <c r="D233" s="31" t="s">
        <v>1186</v>
      </c>
      <c r="E233" s="31" t="s">
        <v>139</v>
      </c>
      <c r="F233" s="31" t="s">
        <v>315</v>
      </c>
      <c r="G233" s="6" t="s">
        <v>150</v>
      </c>
      <c r="H233" s="6" t="s">
        <v>128</v>
      </c>
      <c r="I233" s="426"/>
      <c r="J233" s="5"/>
      <c r="K233" s="336">
        <v>133288</v>
      </c>
      <c r="L233" s="238">
        <f t="shared" si="36"/>
        <v>0</v>
      </c>
      <c r="M233" s="427"/>
      <c r="N233" s="238"/>
      <c r="O233" s="238"/>
      <c r="P233" s="238"/>
      <c r="Q233" s="238"/>
      <c r="R233" s="238"/>
      <c r="S233" s="238"/>
      <c r="T233" s="238"/>
      <c r="U233" s="261"/>
      <c r="V233" s="261"/>
      <c r="W233" s="238"/>
      <c r="X233" s="238"/>
      <c r="Y233" s="238"/>
      <c r="Z233" s="238"/>
      <c r="AA233" s="238"/>
      <c r="AB233" s="238"/>
      <c r="AC233" s="238"/>
      <c r="AD233" s="238"/>
      <c r="AE233" s="243">
        <f t="shared" si="18"/>
        <v>0</v>
      </c>
      <c r="AF233" s="31" t="s">
        <v>85</v>
      </c>
      <c r="AG233" s="68"/>
      <c r="AH233" s="68"/>
      <c r="AI233" s="68"/>
      <c r="AJ233" s="345"/>
      <c r="AK233" s="341"/>
      <c r="AL233" s="68"/>
      <c r="AM233" s="68"/>
      <c r="AN233" s="68"/>
      <c r="AO233" s="31" t="s">
        <v>86</v>
      </c>
      <c r="AP233" s="5"/>
      <c r="AQ233" s="308">
        <v>43469</v>
      </c>
      <c r="AR233" s="72">
        <v>43483</v>
      </c>
      <c r="AS233" s="31"/>
      <c r="AT233" s="291">
        <v>43833</v>
      </c>
      <c r="AU233" s="31" t="s">
        <v>88</v>
      </c>
      <c r="AV233" s="341"/>
      <c r="AW233" s="72"/>
      <c r="AX233" s="72"/>
      <c r="AY233" s="31"/>
    </row>
    <row r="234" spans="1:51" ht="21.75" customHeight="1">
      <c r="A234" s="331" t="s">
        <v>1187</v>
      </c>
      <c r="B234" s="26"/>
      <c r="C234" s="31" t="s">
        <v>1188</v>
      </c>
      <c r="D234" s="31" t="s">
        <v>1189</v>
      </c>
      <c r="E234" s="31" t="s">
        <v>139</v>
      </c>
      <c r="F234" s="31" t="s">
        <v>315</v>
      </c>
      <c r="G234" s="6" t="s">
        <v>150</v>
      </c>
      <c r="H234" s="6" t="s">
        <v>128</v>
      </c>
      <c r="I234" s="426"/>
      <c r="J234" s="5"/>
      <c r="K234" s="336">
        <v>72509</v>
      </c>
      <c r="L234" s="238">
        <f t="shared" si="36"/>
        <v>0</v>
      </c>
      <c r="M234" s="427"/>
      <c r="N234" s="238"/>
      <c r="O234" s="238"/>
      <c r="P234" s="238"/>
      <c r="Q234" s="238"/>
      <c r="R234" s="238"/>
      <c r="S234" s="238"/>
      <c r="T234" s="238"/>
      <c r="U234" s="261"/>
      <c r="V234" s="261"/>
      <c r="W234" s="238"/>
      <c r="X234" s="238"/>
      <c r="Y234" s="238"/>
      <c r="Z234" s="238"/>
      <c r="AA234" s="238"/>
      <c r="AB234" s="238"/>
      <c r="AC234" s="238"/>
      <c r="AD234" s="238"/>
      <c r="AE234" s="243">
        <f t="shared" si="18"/>
        <v>0</v>
      </c>
      <c r="AF234" s="31" t="s">
        <v>85</v>
      </c>
      <c r="AG234" s="68"/>
      <c r="AH234" s="68"/>
      <c r="AI234" s="68"/>
      <c r="AJ234" s="345"/>
      <c r="AK234" s="341"/>
      <c r="AL234" s="68"/>
      <c r="AM234" s="68"/>
      <c r="AN234" s="68"/>
      <c r="AO234" s="31" t="s">
        <v>86</v>
      </c>
      <c r="AP234" s="5"/>
      <c r="AQ234" s="308">
        <v>43469</v>
      </c>
      <c r="AR234" s="72">
        <v>43483</v>
      </c>
      <c r="AS234" s="31"/>
      <c r="AT234" s="291">
        <v>43833</v>
      </c>
      <c r="AU234" s="31" t="s">
        <v>88</v>
      </c>
      <c r="AV234" s="341"/>
      <c r="AW234" s="72"/>
      <c r="AX234" s="72"/>
      <c r="AY234" s="31"/>
    </row>
    <row r="235" spans="1:51" ht="21.75" customHeight="1">
      <c r="A235" s="331" t="s">
        <v>1190</v>
      </c>
      <c r="B235" s="26"/>
      <c r="C235" s="31" t="s">
        <v>1191</v>
      </c>
      <c r="D235" s="31" t="s">
        <v>1192</v>
      </c>
      <c r="E235" s="31" t="s">
        <v>139</v>
      </c>
      <c r="F235" s="31" t="s">
        <v>315</v>
      </c>
      <c r="G235" s="6" t="s">
        <v>150</v>
      </c>
      <c r="H235" s="6" t="s">
        <v>128</v>
      </c>
      <c r="I235" s="426"/>
      <c r="J235" s="5"/>
      <c r="K235" s="336">
        <v>64092</v>
      </c>
      <c r="L235" s="238">
        <f t="shared" si="36"/>
        <v>0</v>
      </c>
      <c r="M235" s="427"/>
      <c r="N235" s="238"/>
      <c r="O235" s="238"/>
      <c r="P235" s="238"/>
      <c r="Q235" s="238"/>
      <c r="R235" s="238"/>
      <c r="S235" s="238"/>
      <c r="T235" s="238"/>
      <c r="U235" s="261"/>
      <c r="V235" s="261"/>
      <c r="W235" s="238"/>
      <c r="X235" s="238"/>
      <c r="Y235" s="238"/>
      <c r="Z235" s="238"/>
      <c r="AA235" s="238"/>
      <c r="AB235" s="238"/>
      <c r="AC235" s="238"/>
      <c r="AD235" s="238"/>
      <c r="AE235" s="243">
        <f t="shared" si="18"/>
        <v>0</v>
      </c>
      <c r="AF235" s="31" t="s">
        <v>85</v>
      </c>
      <c r="AG235" s="68"/>
      <c r="AH235" s="68"/>
      <c r="AI235" s="68"/>
      <c r="AJ235" s="345"/>
      <c r="AK235" s="341"/>
      <c r="AL235" s="68"/>
      <c r="AM235" s="68"/>
      <c r="AN235" s="68"/>
      <c r="AO235" s="31" t="s">
        <v>86</v>
      </c>
      <c r="AP235" s="5"/>
      <c r="AQ235" s="308">
        <v>43469</v>
      </c>
      <c r="AR235" s="72">
        <v>43483</v>
      </c>
      <c r="AS235" s="31"/>
      <c r="AT235" s="291">
        <v>43833</v>
      </c>
      <c r="AU235" s="31" t="s">
        <v>88</v>
      </c>
      <c r="AV235" s="341"/>
      <c r="AW235" s="72"/>
      <c r="AX235" s="72"/>
      <c r="AY235" s="31"/>
    </row>
    <row r="236" spans="1:51" ht="21.75" customHeight="1">
      <c r="A236" s="331" t="s">
        <v>1193</v>
      </c>
      <c r="B236" s="26"/>
      <c r="C236" s="31" t="s">
        <v>1194</v>
      </c>
      <c r="D236" s="31" t="s">
        <v>1195</v>
      </c>
      <c r="E236" s="31" t="s">
        <v>139</v>
      </c>
      <c r="F236" s="31" t="s">
        <v>315</v>
      </c>
      <c r="G236" s="6" t="s">
        <v>150</v>
      </c>
      <c r="H236" s="6" t="s">
        <v>128</v>
      </c>
      <c r="I236" s="426"/>
      <c r="J236" s="5"/>
      <c r="K236" s="336">
        <v>44981</v>
      </c>
      <c r="L236" s="238">
        <f t="shared" si="36"/>
        <v>0</v>
      </c>
      <c r="M236" s="427"/>
      <c r="N236" s="238"/>
      <c r="O236" s="238"/>
      <c r="P236" s="238"/>
      <c r="Q236" s="238"/>
      <c r="R236" s="238"/>
      <c r="S236" s="238"/>
      <c r="T236" s="238"/>
      <c r="U236" s="261"/>
      <c r="V236" s="261"/>
      <c r="W236" s="238"/>
      <c r="X236" s="238"/>
      <c r="Y236" s="238"/>
      <c r="Z236" s="238"/>
      <c r="AA236" s="238"/>
      <c r="AB236" s="238"/>
      <c r="AC236" s="238"/>
      <c r="AD236" s="238"/>
      <c r="AE236" s="243">
        <f t="shared" si="18"/>
        <v>0</v>
      </c>
      <c r="AF236" s="31" t="s">
        <v>85</v>
      </c>
      <c r="AG236" s="68"/>
      <c r="AH236" s="68"/>
      <c r="AI236" s="68"/>
      <c r="AJ236" s="345"/>
      <c r="AK236" s="341"/>
      <c r="AL236" s="68"/>
      <c r="AM236" s="68"/>
      <c r="AN236" s="68"/>
      <c r="AO236" s="31" t="s">
        <v>86</v>
      </c>
      <c r="AP236" s="5"/>
      <c r="AQ236" s="308">
        <v>43469</v>
      </c>
      <c r="AR236" s="72">
        <v>43483</v>
      </c>
      <c r="AS236" s="31"/>
      <c r="AT236" s="291">
        <v>43833</v>
      </c>
      <c r="AU236" s="31" t="s">
        <v>88</v>
      </c>
      <c r="AV236" s="341"/>
      <c r="AW236" s="72"/>
      <c r="AX236" s="72"/>
      <c r="AY236" s="31"/>
    </row>
    <row r="237" spans="1:51" ht="21.75" customHeight="1">
      <c r="A237" s="331" t="s">
        <v>1196</v>
      </c>
      <c r="B237" s="26"/>
      <c r="C237" s="31" t="s">
        <v>1197</v>
      </c>
      <c r="D237" s="31" t="s">
        <v>1198</v>
      </c>
      <c r="E237" s="31" t="s">
        <v>139</v>
      </c>
      <c r="F237" s="31" t="s">
        <v>315</v>
      </c>
      <c r="G237" s="6" t="s">
        <v>150</v>
      </c>
      <c r="H237" s="6" t="s">
        <v>128</v>
      </c>
      <c r="I237" s="426"/>
      <c r="J237" s="5"/>
      <c r="K237" s="336">
        <v>32816</v>
      </c>
      <c r="L237" s="238">
        <f t="shared" si="36"/>
        <v>0</v>
      </c>
      <c r="M237" s="427"/>
      <c r="N237" s="238"/>
      <c r="O237" s="238"/>
      <c r="P237" s="238"/>
      <c r="Q237" s="238"/>
      <c r="R237" s="238"/>
      <c r="S237" s="238"/>
      <c r="T237" s="238"/>
      <c r="U237" s="261"/>
      <c r="V237" s="261"/>
      <c r="W237" s="238"/>
      <c r="X237" s="238"/>
      <c r="Y237" s="238"/>
      <c r="Z237" s="238"/>
      <c r="AA237" s="238"/>
      <c r="AB237" s="238"/>
      <c r="AC237" s="238"/>
      <c r="AD237" s="238"/>
      <c r="AE237" s="243">
        <f t="shared" ref="AE237:AE256" si="37">SUM(W237:AD237)</f>
        <v>0</v>
      </c>
      <c r="AF237" s="31" t="s">
        <v>85</v>
      </c>
      <c r="AG237" s="68"/>
      <c r="AH237" s="68"/>
      <c r="AI237" s="68"/>
      <c r="AJ237" s="345"/>
      <c r="AK237" s="341"/>
      <c r="AL237" s="68"/>
      <c r="AM237" s="68"/>
      <c r="AN237" s="68"/>
      <c r="AO237" s="31" t="s">
        <v>86</v>
      </c>
      <c r="AP237" s="5"/>
      <c r="AQ237" s="308">
        <v>43469</v>
      </c>
      <c r="AR237" s="72">
        <v>43483</v>
      </c>
      <c r="AS237" s="31"/>
      <c r="AT237" s="291">
        <v>43833</v>
      </c>
      <c r="AU237" s="31" t="s">
        <v>88</v>
      </c>
      <c r="AV237" s="341"/>
      <c r="AW237" s="72"/>
      <c r="AX237" s="72"/>
      <c r="AY237" s="31"/>
    </row>
    <row r="238" spans="1:51" ht="21.75" customHeight="1">
      <c r="A238" s="331" t="s">
        <v>1199</v>
      </c>
      <c r="B238" s="26"/>
      <c r="C238" s="31" t="s">
        <v>1200</v>
      </c>
      <c r="D238" s="31" t="s">
        <v>1201</v>
      </c>
      <c r="E238" s="31" t="s">
        <v>139</v>
      </c>
      <c r="F238" s="31" t="s">
        <v>315</v>
      </c>
      <c r="G238" s="6" t="s">
        <v>150</v>
      </c>
      <c r="H238" s="6" t="s">
        <v>128</v>
      </c>
      <c r="I238" s="426"/>
      <c r="J238" s="5"/>
      <c r="K238" s="336">
        <v>26625</v>
      </c>
      <c r="L238" s="238">
        <f t="shared" si="36"/>
        <v>0</v>
      </c>
      <c r="M238" s="427"/>
      <c r="N238" s="238"/>
      <c r="O238" s="238"/>
      <c r="P238" s="238"/>
      <c r="Q238" s="238"/>
      <c r="R238" s="238"/>
      <c r="S238" s="238"/>
      <c r="T238" s="238"/>
      <c r="U238" s="261"/>
      <c r="V238" s="261"/>
      <c r="W238" s="238"/>
      <c r="X238" s="238"/>
      <c r="Y238" s="238"/>
      <c r="Z238" s="238"/>
      <c r="AA238" s="238"/>
      <c r="AB238" s="238"/>
      <c r="AC238" s="238"/>
      <c r="AD238" s="238"/>
      <c r="AE238" s="243">
        <f t="shared" si="37"/>
        <v>0</v>
      </c>
      <c r="AF238" s="31" t="s">
        <v>85</v>
      </c>
      <c r="AG238" s="68"/>
      <c r="AH238" s="68"/>
      <c r="AI238" s="68"/>
      <c r="AJ238" s="345"/>
      <c r="AK238" s="341"/>
      <c r="AL238" s="68"/>
      <c r="AM238" s="68"/>
      <c r="AN238" s="68"/>
      <c r="AO238" s="31" t="s">
        <v>86</v>
      </c>
      <c r="AP238" s="5"/>
      <c r="AQ238" s="308">
        <v>43469</v>
      </c>
      <c r="AR238" s="72">
        <v>43483</v>
      </c>
      <c r="AS238" s="31"/>
      <c r="AT238" s="291">
        <v>43833</v>
      </c>
      <c r="AU238" s="31" t="s">
        <v>88</v>
      </c>
      <c r="AV238" s="341"/>
      <c r="AW238" s="72"/>
      <c r="AX238" s="72"/>
      <c r="AY238" s="31"/>
    </row>
    <row r="239" spans="1:51" ht="21.75" customHeight="1">
      <c r="A239" s="331" t="s">
        <v>1202</v>
      </c>
      <c r="B239" s="26"/>
      <c r="C239" s="31" t="s">
        <v>1203</v>
      </c>
      <c r="D239" s="31" t="s">
        <v>1204</v>
      </c>
      <c r="E239" s="31" t="s">
        <v>139</v>
      </c>
      <c r="F239" s="31" t="s">
        <v>315</v>
      </c>
      <c r="G239" s="6" t="s">
        <v>150</v>
      </c>
      <c r="H239" s="6" t="s">
        <v>128</v>
      </c>
      <c r="I239" s="426"/>
      <c r="J239" s="5"/>
      <c r="K239" s="336">
        <v>39261</v>
      </c>
      <c r="L239" s="238">
        <f t="shared" si="36"/>
        <v>0</v>
      </c>
      <c r="M239" s="427"/>
      <c r="N239" s="238"/>
      <c r="O239" s="238"/>
      <c r="P239" s="238"/>
      <c r="Q239" s="238"/>
      <c r="R239" s="238"/>
      <c r="S239" s="238"/>
      <c r="T239" s="238"/>
      <c r="U239" s="261"/>
      <c r="V239" s="261"/>
      <c r="W239" s="238"/>
      <c r="X239" s="238"/>
      <c r="Y239" s="238"/>
      <c r="Z239" s="238"/>
      <c r="AA239" s="238"/>
      <c r="AB239" s="238"/>
      <c r="AC239" s="238"/>
      <c r="AD239" s="238"/>
      <c r="AE239" s="243">
        <f t="shared" si="37"/>
        <v>0</v>
      </c>
      <c r="AF239" s="31" t="s">
        <v>85</v>
      </c>
      <c r="AG239" s="68"/>
      <c r="AH239" s="68"/>
      <c r="AI239" s="68"/>
      <c r="AJ239" s="345"/>
      <c r="AK239" s="341"/>
      <c r="AL239" s="68"/>
      <c r="AM239" s="68"/>
      <c r="AN239" s="68"/>
      <c r="AO239" s="31" t="s">
        <v>86</v>
      </c>
      <c r="AP239" s="5"/>
      <c r="AQ239" s="308">
        <v>43469</v>
      </c>
      <c r="AR239" s="72">
        <v>43483</v>
      </c>
      <c r="AS239" s="31"/>
      <c r="AT239" s="291">
        <v>43833</v>
      </c>
      <c r="AU239" s="31" t="s">
        <v>88</v>
      </c>
      <c r="AV239" s="341"/>
      <c r="AW239" s="72"/>
      <c r="AX239" s="72"/>
      <c r="AY239" s="31"/>
    </row>
    <row r="240" spans="1:51" ht="21.75" customHeight="1">
      <c r="A240" s="331" t="s">
        <v>1205</v>
      </c>
      <c r="B240" s="26"/>
      <c r="C240" s="31" t="s">
        <v>1206</v>
      </c>
      <c r="D240" s="31" t="s">
        <v>1207</v>
      </c>
      <c r="E240" s="31" t="s">
        <v>139</v>
      </c>
      <c r="F240" s="31" t="s">
        <v>315</v>
      </c>
      <c r="G240" s="6" t="s">
        <v>150</v>
      </c>
      <c r="H240" s="6" t="s">
        <v>128</v>
      </c>
      <c r="I240" s="426"/>
      <c r="J240" s="5"/>
      <c r="K240" s="336">
        <v>5107</v>
      </c>
      <c r="L240" s="238">
        <f t="shared" si="36"/>
        <v>0</v>
      </c>
      <c r="M240" s="427"/>
      <c r="N240" s="238"/>
      <c r="O240" s="238"/>
      <c r="P240" s="238"/>
      <c r="Q240" s="238"/>
      <c r="R240" s="238"/>
      <c r="S240" s="238"/>
      <c r="T240" s="238"/>
      <c r="U240" s="261"/>
      <c r="V240" s="261"/>
      <c r="W240" s="238"/>
      <c r="X240" s="238"/>
      <c r="Y240" s="238"/>
      <c r="Z240" s="238"/>
      <c r="AA240" s="238"/>
      <c r="AB240" s="238"/>
      <c r="AC240" s="238"/>
      <c r="AD240" s="238"/>
      <c r="AE240" s="243">
        <f t="shared" si="37"/>
        <v>0</v>
      </c>
      <c r="AF240" s="31" t="s">
        <v>85</v>
      </c>
      <c r="AG240" s="68"/>
      <c r="AH240" s="68"/>
      <c r="AI240" s="68"/>
      <c r="AJ240" s="345"/>
      <c r="AK240" s="341"/>
      <c r="AL240" s="68"/>
      <c r="AM240" s="68"/>
      <c r="AN240" s="68"/>
      <c r="AO240" s="31" t="s">
        <v>86</v>
      </c>
      <c r="AP240" s="5"/>
      <c r="AQ240" s="308">
        <v>43469</v>
      </c>
      <c r="AR240" s="72">
        <v>43483</v>
      </c>
      <c r="AS240" s="31"/>
      <c r="AT240" s="291">
        <v>43833</v>
      </c>
      <c r="AU240" s="31" t="s">
        <v>88</v>
      </c>
      <c r="AV240" s="341"/>
      <c r="AW240" s="72"/>
      <c r="AX240" s="72"/>
      <c r="AY240" s="31"/>
    </row>
    <row r="241" spans="1:51" ht="21.75" customHeight="1">
      <c r="A241" s="331" t="s">
        <v>1208</v>
      </c>
      <c r="B241" s="26"/>
      <c r="C241" s="31" t="s">
        <v>1209</v>
      </c>
      <c r="D241" s="31" t="s">
        <v>1210</v>
      </c>
      <c r="E241" s="31" t="s">
        <v>139</v>
      </c>
      <c r="F241" s="31" t="s">
        <v>315</v>
      </c>
      <c r="G241" s="6" t="s">
        <v>150</v>
      </c>
      <c r="H241" s="6" t="s">
        <v>128</v>
      </c>
      <c r="I241" s="426"/>
      <c r="J241" s="5"/>
      <c r="K241" s="336">
        <v>15097</v>
      </c>
      <c r="L241" s="238">
        <f t="shared" si="36"/>
        <v>0</v>
      </c>
      <c r="M241" s="427"/>
      <c r="N241" s="238"/>
      <c r="O241" s="238"/>
      <c r="P241" s="238"/>
      <c r="Q241" s="238"/>
      <c r="R241" s="238"/>
      <c r="S241" s="238"/>
      <c r="T241" s="238"/>
      <c r="U241" s="261"/>
      <c r="V241" s="261"/>
      <c r="W241" s="238"/>
      <c r="X241" s="238"/>
      <c r="Y241" s="238"/>
      <c r="Z241" s="238"/>
      <c r="AA241" s="238"/>
      <c r="AB241" s="238"/>
      <c r="AC241" s="238"/>
      <c r="AD241" s="238"/>
      <c r="AE241" s="243">
        <f t="shared" si="37"/>
        <v>0</v>
      </c>
      <c r="AF241" s="31" t="s">
        <v>85</v>
      </c>
      <c r="AG241" s="68"/>
      <c r="AH241" s="68"/>
      <c r="AI241" s="68"/>
      <c r="AJ241" s="345"/>
      <c r="AK241" s="341"/>
      <c r="AL241" s="68"/>
      <c r="AM241" s="68"/>
      <c r="AN241" s="68"/>
      <c r="AO241" s="31" t="s">
        <v>86</v>
      </c>
      <c r="AP241" s="5"/>
      <c r="AQ241" s="308">
        <v>43469</v>
      </c>
      <c r="AR241" s="72">
        <v>43483</v>
      </c>
      <c r="AS241" s="31"/>
      <c r="AT241" s="291">
        <v>43833</v>
      </c>
      <c r="AU241" s="31" t="s">
        <v>88</v>
      </c>
      <c r="AV241" s="341"/>
      <c r="AW241" s="72"/>
      <c r="AX241" s="72"/>
      <c r="AY241" s="31"/>
    </row>
    <row r="242" spans="1:51" ht="21.75" customHeight="1">
      <c r="A242" s="331" t="s">
        <v>1211</v>
      </c>
      <c r="B242" s="26"/>
      <c r="C242" s="31" t="s">
        <v>1212</v>
      </c>
      <c r="D242" s="31" t="s">
        <v>1213</v>
      </c>
      <c r="E242" s="31" t="s">
        <v>139</v>
      </c>
      <c r="F242" s="31" t="s">
        <v>315</v>
      </c>
      <c r="G242" s="6" t="s">
        <v>150</v>
      </c>
      <c r="H242" s="6" t="s">
        <v>128</v>
      </c>
      <c r="I242" s="426"/>
      <c r="J242" s="5"/>
      <c r="K242" s="336">
        <v>15097</v>
      </c>
      <c r="L242" s="238">
        <f t="shared" si="36"/>
        <v>0</v>
      </c>
      <c r="M242" s="427"/>
      <c r="N242" s="238"/>
      <c r="O242" s="238"/>
      <c r="P242" s="238"/>
      <c r="Q242" s="238"/>
      <c r="R242" s="238"/>
      <c r="S242" s="238"/>
      <c r="T242" s="238"/>
      <c r="U242" s="261"/>
      <c r="V242" s="261"/>
      <c r="W242" s="238"/>
      <c r="X242" s="238"/>
      <c r="Y242" s="238"/>
      <c r="Z242" s="238"/>
      <c r="AA242" s="238"/>
      <c r="AB242" s="238"/>
      <c r="AC242" s="238"/>
      <c r="AD242" s="238"/>
      <c r="AE242" s="243">
        <f t="shared" si="37"/>
        <v>0</v>
      </c>
      <c r="AF242" s="31" t="s">
        <v>85</v>
      </c>
      <c r="AG242" s="68"/>
      <c r="AH242" s="68"/>
      <c r="AI242" s="68"/>
      <c r="AJ242" s="345"/>
      <c r="AK242" s="341"/>
      <c r="AL242" s="68"/>
      <c r="AM242" s="68"/>
      <c r="AN242" s="68"/>
      <c r="AO242" s="31" t="s">
        <v>86</v>
      </c>
      <c r="AP242" s="5"/>
      <c r="AQ242" s="308">
        <v>43469</v>
      </c>
      <c r="AR242" s="72">
        <v>43483</v>
      </c>
      <c r="AS242" s="31"/>
      <c r="AT242" s="291">
        <v>43833</v>
      </c>
      <c r="AU242" s="31" t="s">
        <v>88</v>
      </c>
      <c r="AV242" s="341"/>
      <c r="AW242" s="72"/>
      <c r="AX242" s="72"/>
      <c r="AY242" s="31"/>
    </row>
    <row r="243" spans="1:51" ht="21.75" customHeight="1">
      <c r="A243" s="331" t="s">
        <v>1214</v>
      </c>
      <c r="B243" s="26"/>
      <c r="C243" s="31" t="s">
        <v>1215</v>
      </c>
      <c r="D243" s="31" t="s">
        <v>1216</v>
      </c>
      <c r="E243" s="31" t="s">
        <v>139</v>
      </c>
      <c r="F243" s="31" t="s">
        <v>315</v>
      </c>
      <c r="G243" s="6" t="s">
        <v>150</v>
      </c>
      <c r="H243" s="6" t="s">
        <v>128</v>
      </c>
      <c r="I243" s="426"/>
      <c r="J243" s="5"/>
      <c r="K243" s="336">
        <v>14219</v>
      </c>
      <c r="L243" s="238">
        <f t="shared" si="36"/>
        <v>0</v>
      </c>
      <c r="M243" s="427"/>
      <c r="N243" s="238"/>
      <c r="O243" s="238"/>
      <c r="P243" s="238"/>
      <c r="Q243" s="238"/>
      <c r="R243" s="238"/>
      <c r="S243" s="238"/>
      <c r="T243" s="238"/>
      <c r="U243" s="261"/>
      <c r="V243" s="261"/>
      <c r="W243" s="238"/>
      <c r="X243" s="238"/>
      <c r="Y243" s="238"/>
      <c r="Z243" s="238"/>
      <c r="AA243" s="238"/>
      <c r="AB243" s="238"/>
      <c r="AC243" s="238"/>
      <c r="AD243" s="238"/>
      <c r="AE243" s="243">
        <f t="shared" si="37"/>
        <v>0</v>
      </c>
      <c r="AF243" s="31" t="s">
        <v>85</v>
      </c>
      <c r="AG243" s="68"/>
      <c r="AH243" s="68"/>
      <c r="AI243" s="68"/>
      <c r="AJ243" s="345"/>
      <c r="AK243" s="341"/>
      <c r="AL243" s="68"/>
      <c r="AM243" s="68"/>
      <c r="AN243" s="68"/>
      <c r="AO243" s="31" t="s">
        <v>86</v>
      </c>
      <c r="AP243" s="5"/>
      <c r="AQ243" s="308">
        <v>43469</v>
      </c>
      <c r="AR243" s="72">
        <v>43483</v>
      </c>
      <c r="AS243" s="31"/>
      <c r="AT243" s="291">
        <v>43833</v>
      </c>
      <c r="AU243" s="31" t="s">
        <v>88</v>
      </c>
      <c r="AV243" s="341"/>
      <c r="AW243" s="72"/>
      <c r="AX243" s="72"/>
      <c r="AY243" s="31"/>
    </row>
    <row r="244" spans="1:51" ht="21.75" customHeight="1">
      <c r="A244" s="331" t="s">
        <v>1217</v>
      </c>
      <c r="B244" s="26"/>
      <c r="C244" s="31" t="s">
        <v>1218</v>
      </c>
      <c r="D244" s="31" t="s">
        <v>1219</v>
      </c>
      <c r="E244" s="31" t="s">
        <v>139</v>
      </c>
      <c r="F244" s="31" t="s">
        <v>315</v>
      </c>
      <c r="G244" s="6" t="s">
        <v>150</v>
      </c>
      <c r="H244" s="6" t="s">
        <v>128</v>
      </c>
      <c r="I244" s="426"/>
      <c r="J244" s="5"/>
      <c r="K244" s="336">
        <v>14219</v>
      </c>
      <c r="L244" s="238">
        <f t="shared" si="36"/>
        <v>0</v>
      </c>
      <c r="M244" s="427"/>
      <c r="N244" s="238"/>
      <c r="O244" s="238"/>
      <c r="P244" s="238"/>
      <c r="Q244" s="238"/>
      <c r="R244" s="238"/>
      <c r="S244" s="238"/>
      <c r="T244" s="238"/>
      <c r="U244" s="261"/>
      <c r="V244" s="261"/>
      <c r="W244" s="238"/>
      <c r="X244" s="238"/>
      <c r="Y244" s="238"/>
      <c r="Z244" s="238"/>
      <c r="AA244" s="238"/>
      <c r="AB244" s="238"/>
      <c r="AC244" s="238"/>
      <c r="AD244" s="238"/>
      <c r="AE244" s="243">
        <f t="shared" si="37"/>
        <v>0</v>
      </c>
      <c r="AF244" s="31" t="s">
        <v>85</v>
      </c>
      <c r="AG244" s="68"/>
      <c r="AH244" s="68"/>
      <c r="AI244" s="68"/>
      <c r="AJ244" s="345"/>
      <c r="AK244" s="341"/>
      <c r="AL244" s="68"/>
      <c r="AM244" s="68"/>
      <c r="AN244" s="68"/>
      <c r="AO244" s="31" t="s">
        <v>86</v>
      </c>
      <c r="AP244" s="5"/>
      <c r="AQ244" s="308">
        <v>43469</v>
      </c>
      <c r="AR244" s="72">
        <v>43483</v>
      </c>
      <c r="AS244" s="31"/>
      <c r="AT244" s="291">
        <v>43833</v>
      </c>
      <c r="AU244" s="31" t="s">
        <v>88</v>
      </c>
      <c r="AV244" s="341"/>
      <c r="AW244" s="72"/>
      <c r="AX244" s="72"/>
      <c r="AY244" s="31"/>
    </row>
    <row r="245" spans="1:51" ht="21.75" customHeight="1">
      <c r="A245" s="331" t="s">
        <v>1220</v>
      </c>
      <c r="B245" s="26"/>
      <c r="C245" s="31" t="s">
        <v>1221</v>
      </c>
      <c r="D245" s="31" t="s">
        <v>1222</v>
      </c>
      <c r="E245" s="31" t="s">
        <v>139</v>
      </c>
      <c r="F245" s="31" t="s">
        <v>315</v>
      </c>
      <c r="G245" s="6" t="s">
        <v>150</v>
      </c>
      <c r="H245" s="6" t="s">
        <v>128</v>
      </c>
      <c r="I245" s="426"/>
      <c r="J245" s="5"/>
      <c r="K245" s="336">
        <v>24209</v>
      </c>
      <c r="L245" s="238">
        <f t="shared" si="36"/>
        <v>0</v>
      </c>
      <c r="M245" s="427"/>
      <c r="N245" s="238"/>
      <c r="O245" s="238"/>
      <c r="P245" s="238"/>
      <c r="Q245" s="238"/>
      <c r="R245" s="238"/>
      <c r="S245" s="238"/>
      <c r="T245" s="238"/>
      <c r="U245" s="261"/>
      <c r="V245" s="261"/>
      <c r="W245" s="238"/>
      <c r="X245" s="238"/>
      <c r="Y245" s="238"/>
      <c r="Z245" s="238"/>
      <c r="AA245" s="238"/>
      <c r="AB245" s="238"/>
      <c r="AC245" s="238"/>
      <c r="AD245" s="238"/>
      <c r="AE245" s="243">
        <f t="shared" si="37"/>
        <v>0</v>
      </c>
      <c r="AF245" s="31" t="s">
        <v>85</v>
      </c>
      <c r="AG245" s="68"/>
      <c r="AH245" s="68"/>
      <c r="AI245" s="68"/>
      <c r="AJ245" s="345"/>
      <c r="AK245" s="341"/>
      <c r="AL245" s="68"/>
      <c r="AM245" s="68"/>
      <c r="AN245" s="68"/>
      <c r="AO245" s="31" t="s">
        <v>86</v>
      </c>
      <c r="AP245" s="5"/>
      <c r="AQ245" s="308">
        <v>43469</v>
      </c>
      <c r="AR245" s="72">
        <v>43483</v>
      </c>
      <c r="AS245" s="31"/>
      <c r="AT245" s="291">
        <v>43833</v>
      </c>
      <c r="AU245" s="31" t="s">
        <v>88</v>
      </c>
      <c r="AV245" s="341"/>
      <c r="AW245" s="72"/>
      <c r="AX245" s="72"/>
      <c r="AY245" s="31"/>
    </row>
    <row r="246" spans="1:51" ht="21.75" customHeight="1">
      <c r="A246" s="331" t="s">
        <v>1223</v>
      </c>
      <c r="B246" s="26"/>
      <c r="C246" s="31" t="s">
        <v>1224</v>
      </c>
      <c r="D246" s="31" t="s">
        <v>1225</v>
      </c>
      <c r="E246" s="31" t="s">
        <v>139</v>
      </c>
      <c r="F246" s="31" t="s">
        <v>315</v>
      </c>
      <c r="G246" s="6" t="s">
        <v>150</v>
      </c>
      <c r="H246" s="6" t="s">
        <v>128</v>
      </c>
      <c r="I246" s="426"/>
      <c r="J246" s="5"/>
      <c r="K246" s="336">
        <v>5984</v>
      </c>
      <c r="L246" s="238">
        <f t="shared" si="36"/>
        <v>0</v>
      </c>
      <c r="M246" s="427"/>
      <c r="N246" s="238"/>
      <c r="O246" s="238"/>
      <c r="P246" s="238"/>
      <c r="Q246" s="238"/>
      <c r="R246" s="238"/>
      <c r="S246" s="238"/>
      <c r="T246" s="238"/>
      <c r="U246" s="261"/>
      <c r="V246" s="261"/>
      <c r="W246" s="238"/>
      <c r="X246" s="238"/>
      <c r="Y246" s="238"/>
      <c r="Z246" s="238"/>
      <c r="AA246" s="238"/>
      <c r="AB246" s="238"/>
      <c r="AC246" s="238"/>
      <c r="AD246" s="238"/>
      <c r="AE246" s="243">
        <f t="shared" si="37"/>
        <v>0</v>
      </c>
      <c r="AF246" s="31" t="s">
        <v>85</v>
      </c>
      <c r="AG246" s="68"/>
      <c r="AH246" s="68"/>
      <c r="AI246" s="68"/>
      <c r="AJ246" s="345"/>
      <c r="AK246" s="341"/>
      <c r="AL246" s="68"/>
      <c r="AM246" s="68"/>
      <c r="AN246" s="68"/>
      <c r="AO246" s="31" t="s">
        <v>86</v>
      </c>
      <c r="AP246" s="5"/>
      <c r="AQ246" s="308">
        <v>43469</v>
      </c>
      <c r="AR246" s="72">
        <v>43483</v>
      </c>
      <c r="AS246" s="31"/>
      <c r="AT246" s="291">
        <v>43833</v>
      </c>
      <c r="AU246" s="31" t="s">
        <v>88</v>
      </c>
      <c r="AV246" s="341"/>
      <c r="AW246" s="72"/>
      <c r="AX246" s="72"/>
      <c r="AY246" s="31"/>
    </row>
    <row r="247" spans="1:51" ht="21.75" customHeight="1">
      <c r="A247" s="331" t="s">
        <v>1226</v>
      </c>
      <c r="B247" s="26"/>
      <c r="C247" s="31" t="s">
        <v>1227</v>
      </c>
      <c r="D247" s="31" t="s">
        <v>1228</v>
      </c>
      <c r="E247" s="31" t="s">
        <v>139</v>
      </c>
      <c r="F247" s="31" t="s">
        <v>315</v>
      </c>
      <c r="G247" s="6" t="s">
        <v>150</v>
      </c>
      <c r="H247" s="6" t="s">
        <v>128</v>
      </c>
      <c r="I247" s="426"/>
      <c r="J247" s="5"/>
      <c r="K247" s="336">
        <v>10540</v>
      </c>
      <c r="L247" s="238">
        <f t="shared" si="36"/>
        <v>0</v>
      </c>
      <c r="M247" s="427"/>
      <c r="N247" s="238"/>
      <c r="O247" s="238"/>
      <c r="P247" s="238"/>
      <c r="Q247" s="238"/>
      <c r="R247" s="238"/>
      <c r="S247" s="238"/>
      <c r="T247" s="238"/>
      <c r="U247" s="261"/>
      <c r="V247" s="261"/>
      <c r="W247" s="238"/>
      <c r="X247" s="238"/>
      <c r="Y247" s="238"/>
      <c r="Z247" s="238"/>
      <c r="AA247" s="238"/>
      <c r="AB247" s="238"/>
      <c r="AC247" s="238"/>
      <c r="AD247" s="238"/>
      <c r="AE247" s="243">
        <f t="shared" si="37"/>
        <v>0</v>
      </c>
      <c r="AF247" s="31" t="s">
        <v>85</v>
      </c>
      <c r="AG247" s="68"/>
      <c r="AH247" s="68"/>
      <c r="AI247" s="68"/>
      <c r="AJ247" s="345"/>
      <c r="AK247" s="341"/>
      <c r="AL247" s="68"/>
      <c r="AM247" s="68"/>
      <c r="AN247" s="68"/>
      <c r="AO247" s="31" t="s">
        <v>86</v>
      </c>
      <c r="AP247" s="5"/>
      <c r="AQ247" s="308">
        <v>43469</v>
      </c>
      <c r="AR247" s="72">
        <v>43483</v>
      </c>
      <c r="AS247" s="31"/>
      <c r="AT247" s="291">
        <v>43833</v>
      </c>
      <c r="AU247" s="31" t="s">
        <v>88</v>
      </c>
      <c r="AV247" s="341"/>
      <c r="AW247" s="72"/>
      <c r="AX247" s="72"/>
      <c r="AY247" s="31"/>
    </row>
    <row r="248" spans="1:51" ht="21.75" customHeight="1">
      <c r="A248" s="331" t="s">
        <v>1229</v>
      </c>
      <c r="B248" s="26"/>
      <c r="C248" s="31" t="s">
        <v>1230</v>
      </c>
      <c r="D248" s="31" t="s">
        <v>1231</v>
      </c>
      <c r="E248" s="31" t="s">
        <v>139</v>
      </c>
      <c r="F248" s="31" t="s">
        <v>315</v>
      </c>
      <c r="G248" s="6" t="s">
        <v>150</v>
      </c>
      <c r="H248" s="6" t="s">
        <v>128</v>
      </c>
      <c r="I248" s="426"/>
      <c r="J248" s="5"/>
      <c r="K248" s="336">
        <v>10540</v>
      </c>
      <c r="L248" s="238">
        <f t="shared" si="36"/>
        <v>0</v>
      </c>
      <c r="M248" s="427"/>
      <c r="N248" s="238"/>
      <c r="O248" s="238"/>
      <c r="P248" s="238"/>
      <c r="Q248" s="238"/>
      <c r="R248" s="238"/>
      <c r="S248" s="238"/>
      <c r="T248" s="238"/>
      <c r="U248" s="261"/>
      <c r="V248" s="261"/>
      <c r="W248" s="238"/>
      <c r="X248" s="238"/>
      <c r="Y248" s="238"/>
      <c r="Z248" s="238"/>
      <c r="AA248" s="238"/>
      <c r="AB248" s="238"/>
      <c r="AC248" s="238"/>
      <c r="AD248" s="238"/>
      <c r="AE248" s="243">
        <f t="shared" si="37"/>
        <v>0</v>
      </c>
      <c r="AF248" s="31" t="s">
        <v>85</v>
      </c>
      <c r="AG248" s="68"/>
      <c r="AH248" s="68"/>
      <c r="AI248" s="68"/>
      <c r="AJ248" s="345"/>
      <c r="AK248" s="341"/>
      <c r="AL248" s="68"/>
      <c r="AM248" s="68"/>
      <c r="AN248" s="68"/>
      <c r="AO248" s="31" t="s">
        <v>86</v>
      </c>
      <c r="AP248" s="5"/>
      <c r="AQ248" s="308">
        <v>43469</v>
      </c>
      <c r="AR248" s="72">
        <v>43483</v>
      </c>
      <c r="AS248" s="31"/>
      <c r="AT248" s="291">
        <v>43833</v>
      </c>
      <c r="AU248" s="31" t="s">
        <v>88</v>
      </c>
      <c r="AV248" s="341"/>
      <c r="AW248" s="72"/>
      <c r="AX248" s="72"/>
      <c r="AY248" s="31"/>
    </row>
    <row r="249" spans="1:51" ht="21.75" customHeight="1">
      <c r="A249" s="331" t="s">
        <v>1232</v>
      </c>
      <c r="B249" s="26"/>
      <c r="C249" s="31" t="s">
        <v>1233</v>
      </c>
      <c r="D249" s="31" t="s">
        <v>1234</v>
      </c>
      <c r="E249" s="31" t="s">
        <v>139</v>
      </c>
      <c r="F249" s="31" t="s">
        <v>315</v>
      </c>
      <c r="G249" s="6" t="s">
        <v>150</v>
      </c>
      <c r="H249" s="6" t="s">
        <v>128</v>
      </c>
      <c r="I249" s="426"/>
      <c r="J249" s="5"/>
      <c r="K249" s="336">
        <v>9662</v>
      </c>
      <c r="L249" s="238">
        <f t="shared" si="36"/>
        <v>0</v>
      </c>
      <c r="M249" s="427"/>
      <c r="N249" s="238"/>
      <c r="O249" s="238"/>
      <c r="P249" s="238"/>
      <c r="Q249" s="238"/>
      <c r="R249" s="238"/>
      <c r="S249" s="238"/>
      <c r="T249" s="238"/>
      <c r="U249" s="261"/>
      <c r="V249" s="261"/>
      <c r="W249" s="238"/>
      <c r="X249" s="238"/>
      <c r="Y249" s="238"/>
      <c r="Z249" s="238"/>
      <c r="AA249" s="238"/>
      <c r="AB249" s="238"/>
      <c r="AC249" s="238"/>
      <c r="AD249" s="238"/>
      <c r="AE249" s="243">
        <f t="shared" si="37"/>
        <v>0</v>
      </c>
      <c r="AF249" s="31" t="s">
        <v>85</v>
      </c>
      <c r="AG249" s="68"/>
      <c r="AH249" s="68"/>
      <c r="AI249" s="68"/>
      <c r="AJ249" s="345"/>
      <c r="AK249" s="341"/>
      <c r="AL249" s="68"/>
      <c r="AM249" s="68"/>
      <c r="AN249" s="68"/>
      <c r="AO249" s="31" t="s">
        <v>86</v>
      </c>
      <c r="AP249" s="5"/>
      <c r="AQ249" s="308">
        <v>43469</v>
      </c>
      <c r="AR249" s="72">
        <v>43483</v>
      </c>
      <c r="AS249" s="31"/>
      <c r="AT249" s="291">
        <v>43833</v>
      </c>
      <c r="AU249" s="31" t="s">
        <v>88</v>
      </c>
      <c r="AV249" s="341"/>
      <c r="AW249" s="72"/>
      <c r="AX249" s="72"/>
      <c r="AY249" s="31"/>
    </row>
    <row r="250" spans="1:51" ht="21.75" customHeight="1">
      <c r="A250" s="331" t="s">
        <v>1235</v>
      </c>
      <c r="B250" s="26"/>
      <c r="C250" s="31" t="s">
        <v>1236</v>
      </c>
      <c r="D250" s="31" t="s">
        <v>1237</v>
      </c>
      <c r="E250" s="31" t="s">
        <v>139</v>
      </c>
      <c r="F250" s="31" t="s">
        <v>315</v>
      </c>
      <c r="G250" s="6" t="s">
        <v>150</v>
      </c>
      <c r="H250" s="6" t="s">
        <v>128</v>
      </c>
      <c r="I250" s="426"/>
      <c r="J250" s="5"/>
      <c r="K250" s="336">
        <v>9662</v>
      </c>
      <c r="L250" s="238">
        <f t="shared" si="36"/>
        <v>0</v>
      </c>
      <c r="M250" s="427"/>
      <c r="N250" s="238"/>
      <c r="O250" s="238"/>
      <c r="P250" s="238"/>
      <c r="Q250" s="238"/>
      <c r="R250" s="238"/>
      <c r="S250" s="238"/>
      <c r="T250" s="238"/>
      <c r="U250" s="261"/>
      <c r="V250" s="261"/>
      <c r="W250" s="238"/>
      <c r="X250" s="238"/>
      <c r="Y250" s="238"/>
      <c r="Z250" s="238"/>
      <c r="AA250" s="238"/>
      <c r="AB250" s="238"/>
      <c r="AC250" s="238"/>
      <c r="AD250" s="238"/>
      <c r="AE250" s="243">
        <f t="shared" si="37"/>
        <v>0</v>
      </c>
      <c r="AF250" s="31" t="s">
        <v>85</v>
      </c>
      <c r="AG250" s="68"/>
      <c r="AH250" s="68"/>
      <c r="AI250" s="68"/>
      <c r="AJ250" s="345"/>
      <c r="AK250" s="341"/>
      <c r="AL250" s="68"/>
      <c r="AM250" s="68"/>
      <c r="AN250" s="68"/>
      <c r="AO250" s="31" t="s">
        <v>86</v>
      </c>
      <c r="AP250" s="5"/>
      <c r="AQ250" s="308">
        <v>43469</v>
      </c>
      <c r="AR250" s="72">
        <v>43483</v>
      </c>
      <c r="AS250" s="31"/>
      <c r="AT250" s="291">
        <v>43833</v>
      </c>
      <c r="AU250" s="31" t="s">
        <v>88</v>
      </c>
      <c r="AV250" s="341"/>
      <c r="AW250" s="72"/>
      <c r="AX250" s="72"/>
      <c r="AY250" s="31"/>
    </row>
    <row r="251" spans="1:51" ht="21.75" customHeight="1">
      <c r="A251" s="5" t="s">
        <v>1238</v>
      </c>
      <c r="B251" s="26" t="s">
        <v>1239</v>
      </c>
      <c r="C251" s="31" t="s">
        <v>1240</v>
      </c>
      <c r="D251" s="5" t="s">
        <v>1241</v>
      </c>
      <c r="E251" s="31" t="s">
        <v>261</v>
      </c>
      <c r="F251" s="31" t="s">
        <v>315</v>
      </c>
      <c r="G251" s="6" t="s">
        <v>76</v>
      </c>
      <c r="H251" s="6" t="s">
        <v>63</v>
      </c>
      <c r="I251" s="426"/>
      <c r="J251" s="5"/>
      <c r="K251" s="243">
        <f t="shared" ref="K251" si="38">L251+S251</f>
        <v>9220000</v>
      </c>
      <c r="L251" s="238">
        <f t="shared" si="36"/>
        <v>7172350</v>
      </c>
      <c r="M251" s="427"/>
      <c r="N251" s="238"/>
      <c r="O251" s="238"/>
      <c r="P251" s="238"/>
      <c r="Q251" s="238">
        <v>7172350</v>
      </c>
      <c r="R251" s="238"/>
      <c r="S251" s="238">
        <v>2047650</v>
      </c>
      <c r="T251" s="238">
        <v>2047650</v>
      </c>
      <c r="U251" s="261">
        <v>0.1</v>
      </c>
      <c r="V251" s="261">
        <v>0.11</v>
      </c>
      <c r="W251" s="238"/>
      <c r="X251" s="238"/>
      <c r="Y251" s="238"/>
      <c r="Z251" s="238"/>
      <c r="AA251" s="238">
        <v>6303863.875</v>
      </c>
      <c r="AB251" s="238">
        <v>2047650</v>
      </c>
      <c r="AC251" s="238"/>
      <c r="AD251" s="238"/>
      <c r="AE251" s="243">
        <f t="shared" si="37"/>
        <v>8351513.875</v>
      </c>
      <c r="AF251" s="31" t="s">
        <v>77</v>
      </c>
      <c r="AG251" s="68"/>
      <c r="AH251" s="68"/>
      <c r="AI251" s="68"/>
      <c r="AJ251" s="345"/>
      <c r="AK251" s="341"/>
      <c r="AL251" s="68"/>
      <c r="AM251" s="68"/>
      <c r="AN251" s="68"/>
      <c r="AO251" s="5"/>
      <c r="AP251" s="5"/>
      <c r="AQ251" s="308"/>
      <c r="AR251" s="437"/>
      <c r="AS251" s="31"/>
      <c r="AT251" s="291"/>
      <c r="AU251" s="31"/>
      <c r="AV251" s="341"/>
      <c r="AW251" s="72"/>
      <c r="AX251" s="72"/>
      <c r="AY251" s="31"/>
    </row>
    <row r="252" spans="1:51" ht="21.75" customHeight="1">
      <c r="A252" s="5" t="s">
        <v>1242</v>
      </c>
      <c r="B252" s="26" t="s">
        <v>1243</v>
      </c>
      <c r="C252" s="31" t="s">
        <v>1244</v>
      </c>
      <c r="D252" s="5" t="s">
        <v>1245</v>
      </c>
      <c r="E252" s="31" t="s">
        <v>261</v>
      </c>
      <c r="F252" s="31" t="s">
        <v>315</v>
      </c>
      <c r="G252" s="6" t="s">
        <v>76</v>
      </c>
      <c r="H252" s="6" t="s">
        <v>63</v>
      </c>
      <c r="I252" s="426"/>
      <c r="J252" s="5"/>
      <c r="K252" s="243">
        <f t="shared" ref="K252" si="39">L252+S252</f>
        <v>699682.88</v>
      </c>
      <c r="L252" s="238">
        <f t="shared" ref="L252" si="40">SUM(M252:R252)</f>
        <v>656482.89</v>
      </c>
      <c r="M252" s="427"/>
      <c r="N252" s="238">
        <v>528482.89</v>
      </c>
      <c r="O252" s="238"/>
      <c r="P252" s="238">
        <v>128000</v>
      </c>
      <c r="Q252" s="238"/>
      <c r="R252" s="238"/>
      <c r="S252" s="238">
        <v>43199.99</v>
      </c>
      <c r="T252" s="238">
        <v>43199.99</v>
      </c>
      <c r="U252" s="261">
        <v>0.06</v>
      </c>
      <c r="V252" s="261">
        <v>0.05</v>
      </c>
      <c r="W252" s="238"/>
      <c r="X252" s="238">
        <v>523205.89</v>
      </c>
      <c r="Y252" s="238"/>
      <c r="Z252" s="238">
        <v>86147.36</v>
      </c>
      <c r="AA252" s="238"/>
      <c r="AB252" s="238">
        <v>43199.99</v>
      </c>
      <c r="AC252" s="238"/>
      <c r="AD252" s="238"/>
      <c r="AE252" s="243">
        <f t="shared" si="37"/>
        <v>652553.24</v>
      </c>
      <c r="AF252" s="31" t="s">
        <v>77</v>
      </c>
      <c r="AG252" s="68"/>
      <c r="AH252" s="68"/>
      <c r="AI252" s="68"/>
      <c r="AJ252" s="345"/>
      <c r="AK252" s="341"/>
      <c r="AL252" s="68"/>
      <c r="AM252" s="68"/>
      <c r="AN252" s="68"/>
      <c r="AO252" s="5"/>
      <c r="AP252" s="5"/>
      <c r="AQ252" s="308"/>
      <c r="AR252" s="437"/>
      <c r="AS252" s="31"/>
      <c r="AT252" s="291"/>
      <c r="AU252" s="31"/>
      <c r="AV252" s="341"/>
      <c r="AW252" s="72"/>
      <c r="AX252" s="72"/>
      <c r="AY252" s="31"/>
    </row>
    <row r="253" spans="1:51" ht="21.75" customHeight="1">
      <c r="A253" s="5"/>
      <c r="B253" s="26"/>
      <c r="C253" s="31"/>
      <c r="D253" s="299" t="s">
        <v>1246</v>
      </c>
      <c r="E253" s="31"/>
      <c r="F253" s="31" t="s">
        <v>300</v>
      </c>
      <c r="G253" s="6"/>
      <c r="H253" s="6"/>
      <c r="I253" s="426"/>
      <c r="J253" s="5"/>
      <c r="K253" s="243">
        <v>45000</v>
      </c>
      <c r="L253" s="238"/>
      <c r="M253" s="427"/>
      <c r="N253" s="238"/>
      <c r="O253" s="238"/>
      <c r="P253" s="238"/>
      <c r="Q253" s="238"/>
      <c r="R253" s="238"/>
      <c r="S253" s="238"/>
      <c r="T253" s="238"/>
      <c r="U253" s="261"/>
      <c r="V253" s="261"/>
      <c r="W253" s="238"/>
      <c r="X253" s="238"/>
      <c r="Y253" s="238"/>
      <c r="Z253" s="238"/>
      <c r="AA253" s="238"/>
      <c r="AB253" s="238"/>
      <c r="AC253" s="238"/>
      <c r="AD253" s="238"/>
      <c r="AE253" s="243">
        <f t="shared" si="37"/>
        <v>0</v>
      </c>
      <c r="AF253" s="31"/>
      <c r="AG253" s="68"/>
      <c r="AH253" s="68"/>
      <c r="AI253" s="68"/>
      <c r="AJ253" s="345"/>
      <c r="AK253" s="341"/>
      <c r="AL253" s="68"/>
      <c r="AM253" s="68"/>
      <c r="AN253" s="68"/>
      <c r="AO253" s="5"/>
      <c r="AP253" s="5"/>
      <c r="AQ253" s="308"/>
      <c r="AR253" s="437"/>
      <c r="AS253" s="31"/>
      <c r="AT253" s="291"/>
      <c r="AU253" s="31"/>
      <c r="AV253" s="341"/>
      <c r="AW253" s="72"/>
      <c r="AX253" s="72"/>
      <c r="AY253" s="31"/>
    </row>
    <row r="254" spans="1:51" ht="21.75" customHeight="1">
      <c r="A254" s="5"/>
      <c r="B254" s="26"/>
      <c r="C254" s="31" t="s">
        <v>1247</v>
      </c>
      <c r="D254" s="299" t="s">
        <v>1248</v>
      </c>
      <c r="E254" s="31"/>
      <c r="F254" s="31" t="s">
        <v>300</v>
      </c>
      <c r="G254" s="6"/>
      <c r="H254" s="6"/>
      <c r="I254" s="426"/>
      <c r="J254" s="5"/>
      <c r="K254" s="243">
        <v>119000</v>
      </c>
      <c r="L254" s="238"/>
      <c r="M254" s="427"/>
      <c r="N254" s="238"/>
      <c r="O254" s="238"/>
      <c r="P254" s="238"/>
      <c r="Q254" s="238"/>
      <c r="R254" s="238"/>
      <c r="S254" s="238"/>
      <c r="T254" s="238"/>
      <c r="U254" s="261"/>
      <c r="V254" s="261"/>
      <c r="W254" s="238"/>
      <c r="X254" s="238"/>
      <c r="Y254" s="238"/>
      <c r="Z254" s="238"/>
      <c r="AA254" s="238"/>
      <c r="AB254" s="238"/>
      <c r="AC254" s="238"/>
      <c r="AD254" s="238"/>
      <c r="AE254" s="243">
        <f t="shared" si="37"/>
        <v>0</v>
      </c>
      <c r="AF254" s="31"/>
      <c r="AG254" s="68"/>
      <c r="AH254" s="68"/>
      <c r="AI254" s="68"/>
      <c r="AJ254" s="345"/>
      <c r="AK254" s="341"/>
      <c r="AL254" s="68"/>
      <c r="AM254" s="68"/>
      <c r="AN254" s="68"/>
      <c r="AO254" s="5"/>
      <c r="AP254" s="5"/>
      <c r="AQ254" s="308"/>
      <c r="AR254" s="437"/>
      <c r="AS254" s="31"/>
      <c r="AT254" s="291"/>
      <c r="AU254" s="31"/>
      <c r="AV254" s="341"/>
      <c r="AW254" s="72"/>
      <c r="AX254" s="72"/>
      <c r="AY254" s="31"/>
    </row>
    <row r="255" spans="1:51" ht="21.75" customHeight="1">
      <c r="A255" s="5" t="s">
        <v>1249</v>
      </c>
      <c r="B255" s="26" t="s">
        <v>1250</v>
      </c>
      <c r="C255" s="31" t="s">
        <v>1251</v>
      </c>
      <c r="D255" s="5" t="s">
        <v>1252</v>
      </c>
      <c r="E255" s="31" t="s">
        <v>261</v>
      </c>
      <c r="F255" s="31" t="s">
        <v>315</v>
      </c>
      <c r="G255" s="6" t="s">
        <v>76</v>
      </c>
      <c r="H255" s="6" t="s">
        <v>63</v>
      </c>
      <c r="I255" s="426" t="s">
        <v>1253</v>
      </c>
      <c r="J255" s="5"/>
      <c r="K255" s="243">
        <f t="shared" ref="K255" si="41">L255+S255</f>
        <v>663366</v>
      </c>
      <c r="L255" s="238">
        <f t="shared" ref="L255" si="42">SUM(M255:R255)</f>
        <v>663366</v>
      </c>
      <c r="M255" s="427"/>
      <c r="N255" s="238">
        <v>379146</v>
      </c>
      <c r="O255" s="238"/>
      <c r="P255" s="238">
        <v>284220</v>
      </c>
      <c r="Q255" s="238"/>
      <c r="R255" s="238"/>
      <c r="S255" s="238"/>
      <c r="T255" s="238"/>
      <c r="U255" s="261"/>
      <c r="V255" s="261">
        <v>0.1</v>
      </c>
      <c r="W255" s="238"/>
      <c r="X255" s="238">
        <v>379146</v>
      </c>
      <c r="Y255" s="238"/>
      <c r="Z255" s="238">
        <v>207844</v>
      </c>
      <c r="AA255" s="238"/>
      <c r="AB255" s="238"/>
      <c r="AC255" s="238"/>
      <c r="AD255" s="238"/>
      <c r="AE255" s="243">
        <f t="shared" si="37"/>
        <v>586990</v>
      </c>
      <c r="AF255" s="31" t="s">
        <v>77</v>
      </c>
      <c r="AG255" s="68"/>
      <c r="AH255" s="68"/>
      <c r="AI255" s="68"/>
      <c r="AJ255" s="345"/>
      <c r="AK255" s="341"/>
      <c r="AL255" s="68"/>
      <c r="AM255" s="68"/>
      <c r="AN255" s="68"/>
      <c r="AO255" s="5"/>
      <c r="AP255" s="5"/>
      <c r="AQ255" s="308"/>
      <c r="AR255" s="437"/>
      <c r="AS255" s="31"/>
      <c r="AT255" s="291"/>
      <c r="AU255" s="31"/>
      <c r="AV255" s="341"/>
      <c r="AW255" s="72" t="s">
        <v>71</v>
      </c>
      <c r="AX255" s="72" t="s">
        <v>1253</v>
      </c>
      <c r="AY255" s="31"/>
    </row>
    <row r="256" spans="1:51" ht="21.75" customHeight="1">
      <c r="A256" s="5" t="s">
        <v>1254</v>
      </c>
      <c r="B256" s="26" t="s">
        <v>1255</v>
      </c>
      <c r="C256" s="31" t="s">
        <v>1256</v>
      </c>
      <c r="D256" s="5" t="s">
        <v>1257</v>
      </c>
      <c r="E256" s="31" t="s">
        <v>106</v>
      </c>
      <c r="F256" s="31" t="s">
        <v>315</v>
      </c>
      <c r="G256" s="6"/>
      <c r="H256" s="6"/>
      <c r="I256" s="426"/>
      <c r="J256" s="5"/>
      <c r="K256" s="243">
        <f t="shared" ref="K256" si="43">L256+S256</f>
        <v>653774.65</v>
      </c>
      <c r="L256" s="238">
        <f t="shared" ref="L256" si="44">SUM(M256:R256)</f>
        <v>653774.65</v>
      </c>
      <c r="M256" s="427"/>
      <c r="N256" s="238">
        <v>386637</v>
      </c>
      <c r="O256" s="238"/>
      <c r="P256" s="238">
        <v>267137.65000000002</v>
      </c>
      <c r="Q256" s="238"/>
      <c r="R256" s="238"/>
      <c r="S256" s="238"/>
      <c r="T256" s="238"/>
      <c r="U256" s="261"/>
      <c r="V256" s="261">
        <v>0.15</v>
      </c>
      <c r="W256" s="238"/>
      <c r="X256" s="238">
        <v>382742.25</v>
      </c>
      <c r="Y256" s="238"/>
      <c r="Z256" s="238">
        <v>165560.53</v>
      </c>
      <c r="AA256" s="238"/>
      <c r="AB256" s="238"/>
      <c r="AC256" s="238"/>
      <c r="AD256" s="238"/>
      <c r="AE256" s="243">
        <f t="shared" si="37"/>
        <v>548302.78</v>
      </c>
      <c r="AF256" s="31" t="s">
        <v>1258</v>
      </c>
      <c r="AG256" s="68"/>
      <c r="AH256" s="68"/>
      <c r="AI256" s="68"/>
      <c r="AJ256" s="345"/>
      <c r="AK256" s="341"/>
      <c r="AL256" s="68"/>
      <c r="AM256" s="68"/>
      <c r="AN256" s="68"/>
      <c r="AO256" s="5"/>
      <c r="AP256" s="5"/>
      <c r="AQ256" s="308"/>
      <c r="AR256" s="437"/>
      <c r="AS256" s="31"/>
      <c r="AT256" s="291"/>
      <c r="AU256" s="31"/>
      <c r="AV256" s="341"/>
      <c r="AW256" s="72"/>
      <c r="AX256" s="72"/>
      <c r="AY256" s="31"/>
    </row>
    <row r="257" spans="1:110" s="378" customFormat="1" ht="21.75" customHeight="1">
      <c r="A257" s="440" t="s">
        <v>1259</v>
      </c>
      <c r="B257" s="26" t="s">
        <v>1259</v>
      </c>
      <c r="C257" s="440" t="s">
        <v>1259</v>
      </c>
      <c r="D257" s="440" t="s">
        <v>1259</v>
      </c>
      <c r="E257" s="440" t="s">
        <v>1259</v>
      </c>
      <c r="F257" s="440" t="s">
        <v>1259</v>
      </c>
      <c r="G257" s="440" t="s">
        <v>1259</v>
      </c>
      <c r="H257" s="440" t="s">
        <v>1259</v>
      </c>
      <c r="I257" s="440" t="s">
        <v>1259</v>
      </c>
      <c r="J257" s="440" t="s">
        <v>1259</v>
      </c>
      <c r="K257" s="440" t="s">
        <v>1259</v>
      </c>
      <c r="L257" s="440" t="s">
        <v>1259</v>
      </c>
      <c r="M257" s="440" t="s">
        <v>1259</v>
      </c>
      <c r="N257" s="440" t="s">
        <v>1259</v>
      </c>
      <c r="O257" s="440" t="s">
        <v>1259</v>
      </c>
      <c r="P257" s="440" t="s">
        <v>1259</v>
      </c>
      <c r="Q257" s="440" t="s">
        <v>1259</v>
      </c>
      <c r="R257" s="440" t="s">
        <v>1259</v>
      </c>
      <c r="S257" s="440" t="s">
        <v>1259</v>
      </c>
      <c r="T257" s="440" t="s">
        <v>1259</v>
      </c>
      <c r="U257" s="440" t="s">
        <v>1259</v>
      </c>
      <c r="V257" s="440" t="s">
        <v>1259</v>
      </c>
      <c r="W257" s="440" t="s">
        <v>1259</v>
      </c>
      <c r="X257" s="440" t="s">
        <v>1259</v>
      </c>
      <c r="Y257" s="440" t="s">
        <v>1259</v>
      </c>
      <c r="Z257" s="440" t="s">
        <v>1259</v>
      </c>
      <c r="AA257" s="440" t="s">
        <v>1259</v>
      </c>
      <c r="AB257" s="440" t="s">
        <v>1259</v>
      </c>
      <c r="AC257" s="440" t="s">
        <v>1259</v>
      </c>
      <c r="AD257" s="440" t="s">
        <v>1259</v>
      </c>
      <c r="AE257" s="440" t="s">
        <v>1259</v>
      </c>
      <c r="AF257" s="440" t="s">
        <v>1259</v>
      </c>
      <c r="AG257" s="440" t="s">
        <v>1259</v>
      </c>
      <c r="AH257" s="440" t="s">
        <v>1259</v>
      </c>
      <c r="AI257" s="440" t="s">
        <v>1259</v>
      </c>
      <c r="AJ257" s="440" t="s">
        <v>1259</v>
      </c>
      <c r="AK257" s="440" t="s">
        <v>1259</v>
      </c>
      <c r="AL257" s="440" t="s">
        <v>1259</v>
      </c>
      <c r="AM257" s="440" t="s">
        <v>1259</v>
      </c>
      <c r="AN257" s="440" t="s">
        <v>1259</v>
      </c>
      <c r="AO257" s="440" t="s">
        <v>1259</v>
      </c>
      <c r="AP257" s="440" t="s">
        <v>1259</v>
      </c>
      <c r="AQ257" s="26" t="s">
        <v>1259</v>
      </c>
      <c r="AR257" s="440" t="s">
        <v>1259</v>
      </c>
      <c r="AS257" s="440" t="s">
        <v>1259</v>
      </c>
      <c r="AT257" s="440" t="s">
        <v>1259</v>
      </c>
      <c r="AU257" s="440" t="s">
        <v>1259</v>
      </c>
      <c r="AV257" s="440" t="s">
        <v>1259</v>
      </c>
      <c r="AW257" s="440" t="s">
        <v>1259</v>
      </c>
      <c r="AX257" s="440" t="s">
        <v>1259</v>
      </c>
      <c r="AY257" s="441"/>
      <c r="AZ257" s="442"/>
      <c r="BA257" s="442"/>
      <c r="BB257" s="442"/>
      <c r="BC257" s="442"/>
      <c r="BD257" s="442"/>
      <c r="BE257" s="442"/>
      <c r="BF257" s="442"/>
      <c r="BG257" s="442"/>
      <c r="BH257" s="442"/>
      <c r="BI257" s="442"/>
      <c r="BJ257" s="442"/>
      <c r="BK257" s="442"/>
      <c r="BL257" s="442"/>
      <c r="BM257" s="442"/>
      <c r="BN257" s="442"/>
      <c r="BO257" s="442"/>
      <c r="BP257" s="442"/>
      <c r="BQ257" s="442"/>
      <c r="BR257" s="442"/>
      <c r="BS257" s="442"/>
      <c r="BT257" s="442"/>
      <c r="BU257" s="442"/>
      <c r="BV257" s="442"/>
      <c r="BW257" s="442"/>
      <c r="BX257" s="442"/>
      <c r="BY257" s="442"/>
      <c r="BZ257" s="442"/>
      <c r="CA257" s="442"/>
      <c r="CB257" s="442"/>
      <c r="CC257" s="442"/>
      <c r="CD257" s="442"/>
      <c r="CE257" s="442"/>
      <c r="CF257" s="442"/>
      <c r="CG257" s="442"/>
      <c r="CH257" s="442"/>
      <c r="CI257" s="442"/>
      <c r="CJ257" s="442"/>
      <c r="CK257" s="442"/>
      <c r="CL257" s="442"/>
      <c r="CM257" s="442"/>
      <c r="CN257" s="442"/>
      <c r="CO257" s="442"/>
      <c r="CP257" s="442"/>
      <c r="CQ257" s="442"/>
      <c r="CR257" s="442"/>
      <c r="CS257" s="442"/>
      <c r="CT257" s="442"/>
      <c r="CU257" s="442"/>
      <c r="CV257" s="442"/>
      <c r="CW257" s="442"/>
      <c r="CX257" s="442"/>
      <c r="CY257" s="442"/>
      <c r="CZ257" s="442"/>
      <c r="DA257" s="442"/>
      <c r="DB257" s="442"/>
      <c r="DC257" s="442"/>
      <c r="DD257" s="442"/>
      <c r="DE257" s="442"/>
      <c r="DF257" s="442"/>
    </row>
    <row r="258" spans="1:110" s="28" customFormat="1" ht="21.75" customHeight="1">
      <c r="A258" s="297"/>
      <c r="B258" s="297"/>
      <c r="C258" s="297"/>
      <c r="D258" s="297"/>
      <c r="E258" s="297"/>
      <c r="F258" s="297"/>
      <c r="G258" s="297"/>
      <c r="H258" s="297"/>
      <c r="I258" s="297"/>
      <c r="J258" s="297"/>
      <c r="K258" s="297"/>
      <c r="L258" s="297"/>
      <c r="M258" s="297"/>
      <c r="N258" s="297"/>
      <c r="O258" s="297"/>
      <c r="P258" s="297"/>
      <c r="Q258" s="297"/>
      <c r="R258" s="297"/>
      <c r="S258" s="297"/>
      <c r="T258" s="297"/>
      <c r="U258" s="297"/>
      <c r="V258" s="297"/>
      <c r="W258" s="297"/>
      <c r="X258" s="297"/>
      <c r="Y258" s="297"/>
      <c r="Z258" s="297"/>
      <c r="AA258" s="297"/>
      <c r="AB258" s="297"/>
      <c r="AC258" s="297"/>
      <c r="AD258" s="297"/>
      <c r="AE258" s="297"/>
      <c r="AF258" s="297"/>
      <c r="AG258" s="297"/>
      <c r="AH258" s="297"/>
      <c r="AI258" s="297"/>
      <c r="AJ258" s="297"/>
      <c r="AK258" s="297"/>
      <c r="AL258" s="297"/>
      <c r="AM258" s="297"/>
      <c r="AN258" s="297"/>
      <c r="AO258" s="297"/>
      <c r="AP258" s="297"/>
      <c r="AQ258" s="297"/>
      <c r="AR258" s="297"/>
      <c r="AS258" s="297"/>
      <c r="AT258" s="297"/>
      <c r="AU258" s="297"/>
      <c r="AV258" s="297"/>
      <c r="AW258" s="297"/>
      <c r="AX258" s="297"/>
      <c r="AY258" s="443"/>
      <c r="AZ258" s="297"/>
      <c r="BA258" s="297"/>
      <c r="BB258" s="297"/>
      <c r="BC258" s="297"/>
      <c r="BD258" s="297"/>
      <c r="BE258" s="297"/>
      <c r="BF258" s="297"/>
      <c r="BG258" s="297"/>
      <c r="BH258" s="297"/>
      <c r="BI258" s="297"/>
      <c r="BJ258" s="297"/>
      <c r="BK258" s="297"/>
      <c r="BL258" s="297"/>
      <c r="BM258" s="297"/>
      <c r="BN258" s="297"/>
      <c r="BO258" s="297"/>
      <c r="BP258" s="297"/>
      <c r="BQ258" s="297"/>
      <c r="BR258" s="297"/>
      <c r="BS258" s="297"/>
      <c r="BT258" s="297"/>
      <c r="BU258" s="297"/>
      <c r="BV258" s="297"/>
      <c r="BW258" s="297"/>
      <c r="BX258" s="297"/>
      <c r="BY258" s="297"/>
      <c r="BZ258" s="297"/>
      <c r="CA258" s="297"/>
      <c r="CB258" s="297"/>
      <c r="CC258" s="297"/>
      <c r="CD258" s="297"/>
      <c r="CE258" s="297"/>
      <c r="CF258" s="297"/>
      <c r="CG258" s="297"/>
      <c r="CH258" s="297"/>
      <c r="CI258" s="297"/>
      <c r="CJ258" s="297"/>
      <c r="CK258" s="297"/>
      <c r="CL258" s="297"/>
      <c r="CM258" s="297"/>
      <c r="CN258" s="297"/>
      <c r="CO258" s="297"/>
      <c r="CP258" s="297"/>
      <c r="CQ258" s="297"/>
      <c r="CR258" s="297"/>
      <c r="CS258" s="297"/>
      <c r="CT258" s="297"/>
      <c r="CU258" s="297"/>
      <c r="CV258" s="297"/>
      <c r="CW258" s="297"/>
      <c r="CX258" s="297"/>
      <c r="CY258" s="297"/>
      <c r="CZ258" s="297"/>
      <c r="DA258" s="297"/>
      <c r="DB258" s="297"/>
      <c r="DC258" s="297"/>
      <c r="DD258" s="297"/>
      <c r="DE258" s="297"/>
      <c r="DF258" s="297"/>
    </row>
    <row r="259" spans="1:110" s="28" customFormat="1" ht="21.75" customHeight="1">
      <c r="A259" s="297"/>
      <c r="B259" s="297"/>
      <c r="C259" s="297"/>
      <c r="D259" s="297"/>
      <c r="E259" s="297"/>
      <c r="F259" s="297"/>
      <c r="G259" s="297"/>
      <c r="H259" s="297"/>
      <c r="I259" s="297"/>
      <c r="J259" s="297"/>
      <c r="K259" s="297"/>
      <c r="L259" s="297"/>
      <c r="M259" s="297"/>
      <c r="N259" s="297"/>
      <c r="O259" s="297"/>
      <c r="P259" s="297"/>
      <c r="Q259" s="297"/>
      <c r="R259" s="297"/>
      <c r="S259" s="297"/>
      <c r="T259" s="297"/>
      <c r="U259" s="297"/>
      <c r="V259" s="297"/>
      <c r="W259" s="297"/>
      <c r="X259" s="297"/>
      <c r="Y259" s="297"/>
      <c r="Z259" s="297"/>
      <c r="AA259" s="297"/>
      <c r="AB259" s="297"/>
      <c r="AC259" s="297"/>
      <c r="AD259" s="297"/>
      <c r="AE259" s="297"/>
      <c r="AF259" s="297"/>
      <c r="AG259" s="297"/>
      <c r="AH259" s="297"/>
      <c r="AI259" s="297"/>
      <c r="AJ259" s="297"/>
      <c r="AK259" s="297"/>
      <c r="AL259" s="297"/>
      <c r="AM259" s="297"/>
      <c r="AN259" s="297"/>
      <c r="AO259" s="297"/>
      <c r="AP259" s="297"/>
      <c r="AQ259" s="297"/>
      <c r="AR259" s="297"/>
      <c r="AS259" s="297"/>
      <c r="AT259" s="297"/>
      <c r="AU259" s="297"/>
      <c r="AV259" s="297"/>
      <c r="AW259" s="297"/>
      <c r="AX259" s="297"/>
      <c r="AY259" s="443"/>
      <c r="AZ259" s="297"/>
      <c r="BA259" s="297"/>
      <c r="BB259" s="297"/>
      <c r="BC259" s="297"/>
      <c r="BD259" s="297"/>
      <c r="BE259" s="297"/>
      <c r="BF259" s="297"/>
      <c r="BG259" s="297"/>
      <c r="BH259" s="297"/>
      <c r="BI259" s="297"/>
      <c r="BJ259" s="297"/>
      <c r="BK259" s="297"/>
      <c r="BL259" s="297"/>
      <c r="BM259" s="297"/>
      <c r="BN259" s="297"/>
      <c r="BO259" s="297"/>
      <c r="BP259" s="297"/>
      <c r="BQ259" s="297"/>
      <c r="BR259" s="297"/>
      <c r="BS259" s="297"/>
      <c r="BT259" s="297"/>
      <c r="BU259" s="297"/>
      <c r="BV259" s="297"/>
      <c r="BW259" s="297"/>
      <c r="BX259" s="297"/>
      <c r="BY259" s="297"/>
      <c r="BZ259" s="297"/>
      <c r="CA259" s="297"/>
      <c r="CB259" s="297"/>
      <c r="CC259" s="297"/>
      <c r="CD259" s="297"/>
      <c r="CE259" s="297"/>
      <c r="CF259" s="297"/>
      <c r="CG259" s="297"/>
      <c r="CH259" s="297"/>
      <c r="CI259" s="297"/>
      <c r="CJ259" s="297"/>
      <c r="CK259" s="297"/>
      <c r="CL259" s="297"/>
      <c r="CM259" s="297"/>
      <c r="CN259" s="297"/>
      <c r="CO259" s="297"/>
      <c r="CP259" s="297"/>
      <c r="CQ259" s="297"/>
      <c r="CR259" s="297"/>
      <c r="CS259" s="297"/>
      <c r="CT259" s="297"/>
      <c r="CU259" s="297"/>
      <c r="CV259" s="297"/>
      <c r="CW259" s="297"/>
      <c r="CX259" s="297"/>
      <c r="CY259" s="297"/>
      <c r="CZ259" s="297"/>
      <c r="DA259" s="297"/>
      <c r="DB259" s="297"/>
      <c r="DC259" s="297"/>
      <c r="DD259" s="297"/>
      <c r="DE259" s="297"/>
      <c r="DF259" s="297"/>
    </row>
    <row r="260" spans="1:110" s="28" customFormat="1" ht="21.75" customHeight="1">
      <c r="A260" s="297"/>
      <c r="B260" s="297"/>
      <c r="C260" s="297"/>
      <c r="D260" s="297"/>
      <c r="E260" s="297"/>
      <c r="F260" s="297"/>
      <c r="G260" s="297"/>
      <c r="H260" s="297"/>
      <c r="I260" s="297"/>
      <c r="J260" s="297"/>
      <c r="K260" s="297"/>
      <c r="L260" s="297"/>
      <c r="M260" s="297"/>
      <c r="N260" s="297"/>
      <c r="O260" s="297"/>
      <c r="P260" s="297"/>
      <c r="Q260" s="297"/>
      <c r="R260" s="297"/>
      <c r="S260" s="297"/>
      <c r="T260" s="297"/>
      <c r="U260" s="297"/>
      <c r="V260" s="297"/>
      <c r="W260" s="297"/>
      <c r="X260" s="297"/>
      <c r="Y260" s="297"/>
      <c r="Z260" s="297"/>
      <c r="AA260" s="297"/>
      <c r="AB260" s="297"/>
      <c r="AC260" s="297"/>
      <c r="AD260" s="297"/>
      <c r="AE260" s="297"/>
      <c r="AF260" s="297"/>
      <c r="AG260" s="297"/>
      <c r="AH260" s="297"/>
      <c r="AI260" s="297"/>
      <c r="AJ260" s="297"/>
      <c r="AK260" s="297"/>
      <c r="AL260" s="297"/>
      <c r="AM260" s="297"/>
      <c r="AN260" s="297"/>
      <c r="AO260" s="297"/>
      <c r="AP260" s="297"/>
      <c r="AQ260" s="297"/>
      <c r="AR260" s="297"/>
      <c r="AS260" s="297"/>
      <c r="AT260" s="297"/>
      <c r="AU260" s="297"/>
      <c r="AV260" s="297"/>
      <c r="AW260" s="297"/>
      <c r="AX260" s="297"/>
      <c r="AY260" s="443"/>
      <c r="AZ260" s="297"/>
      <c r="BA260" s="297"/>
      <c r="BB260" s="297"/>
      <c r="BC260" s="297"/>
      <c r="BD260" s="297"/>
      <c r="BE260" s="297"/>
      <c r="BF260" s="297"/>
      <c r="BG260" s="297"/>
      <c r="BH260" s="297"/>
      <c r="BI260" s="297"/>
      <c r="BJ260" s="297"/>
      <c r="BK260" s="297"/>
      <c r="BL260" s="297"/>
      <c r="BM260" s="297"/>
      <c r="BN260" s="297"/>
      <c r="BO260" s="297"/>
      <c r="BP260" s="297"/>
      <c r="BQ260" s="297"/>
      <c r="BR260" s="297"/>
      <c r="BS260" s="297"/>
      <c r="BT260" s="297"/>
      <c r="BU260" s="297"/>
      <c r="BV260" s="297"/>
      <c r="BW260" s="297"/>
      <c r="BX260" s="297"/>
      <c r="BY260" s="297"/>
      <c r="BZ260" s="297"/>
      <c r="CA260" s="297"/>
      <c r="CB260" s="297"/>
      <c r="CC260" s="297"/>
      <c r="CD260" s="297"/>
      <c r="CE260" s="297"/>
      <c r="CF260" s="297"/>
      <c r="CG260" s="297"/>
      <c r="CH260" s="297"/>
      <c r="CI260" s="297"/>
      <c r="CJ260" s="297"/>
      <c r="CK260" s="297"/>
      <c r="CL260" s="297"/>
      <c r="CM260" s="297"/>
      <c r="CN260" s="297"/>
      <c r="CO260" s="297"/>
      <c r="CP260" s="297"/>
      <c r="CQ260" s="297"/>
      <c r="CR260" s="297"/>
      <c r="CS260" s="297"/>
      <c r="CT260" s="297"/>
      <c r="CU260" s="297"/>
      <c r="CV260" s="297"/>
      <c r="CW260" s="297"/>
      <c r="CX260" s="297"/>
      <c r="CY260" s="297"/>
      <c r="CZ260" s="297"/>
      <c r="DA260" s="297"/>
      <c r="DB260" s="297"/>
      <c r="DC260" s="297"/>
      <c r="DD260" s="297"/>
      <c r="DE260" s="297"/>
      <c r="DF260" s="297"/>
    </row>
    <row r="261" spans="1:110" s="28" customFormat="1" ht="21.75" customHeight="1">
      <c r="A261" s="297"/>
      <c r="B261" s="297"/>
      <c r="C261" s="297"/>
      <c r="D261" s="297"/>
      <c r="E261" s="297"/>
      <c r="F261" s="297"/>
      <c r="G261" s="297"/>
      <c r="H261" s="297"/>
      <c r="I261" s="297"/>
      <c r="J261" s="297"/>
      <c r="K261" s="297"/>
      <c r="L261" s="297"/>
      <c r="M261" s="297"/>
      <c r="N261" s="297"/>
      <c r="O261" s="297"/>
      <c r="P261" s="297"/>
      <c r="Q261" s="297"/>
      <c r="R261" s="297"/>
      <c r="S261" s="297"/>
      <c r="T261" s="297"/>
      <c r="U261" s="297"/>
      <c r="V261" s="297"/>
      <c r="W261" s="297"/>
      <c r="X261" s="297"/>
      <c r="Y261" s="297"/>
      <c r="Z261" s="297"/>
      <c r="AA261" s="297"/>
      <c r="AB261" s="297"/>
      <c r="AC261" s="297"/>
      <c r="AD261" s="297"/>
      <c r="AE261" s="297"/>
      <c r="AF261" s="297"/>
      <c r="AG261" s="297"/>
      <c r="AH261" s="297"/>
      <c r="AI261" s="297"/>
      <c r="AJ261" s="297"/>
      <c r="AK261" s="297"/>
      <c r="AL261" s="297"/>
      <c r="AM261" s="297"/>
      <c r="AN261" s="297"/>
      <c r="AO261" s="297"/>
      <c r="AP261" s="297"/>
      <c r="AQ261" s="297"/>
      <c r="AR261" s="297"/>
      <c r="AS261" s="297"/>
      <c r="AT261" s="297"/>
      <c r="AU261" s="297"/>
      <c r="AV261" s="297"/>
      <c r="AW261" s="297"/>
      <c r="AX261" s="297"/>
      <c r="AY261" s="443"/>
      <c r="AZ261" s="297"/>
      <c r="BA261" s="297"/>
      <c r="BB261" s="297"/>
      <c r="BC261" s="297"/>
      <c r="BD261" s="297"/>
      <c r="BE261" s="297"/>
      <c r="BF261" s="297"/>
      <c r="BG261" s="297"/>
      <c r="BH261" s="297"/>
      <c r="BI261" s="297"/>
      <c r="BJ261" s="297"/>
      <c r="BK261" s="297"/>
      <c r="BL261" s="297"/>
      <c r="BM261" s="297"/>
      <c r="BN261" s="297"/>
      <c r="BO261" s="297"/>
      <c r="BP261" s="297"/>
      <c r="BQ261" s="297"/>
      <c r="BR261" s="297"/>
      <c r="BS261" s="297"/>
      <c r="BT261" s="297"/>
      <c r="BU261" s="297"/>
      <c r="BV261" s="297"/>
      <c r="BW261" s="297"/>
      <c r="BX261" s="297"/>
      <c r="BY261" s="297"/>
      <c r="BZ261" s="297"/>
      <c r="CA261" s="297"/>
      <c r="CB261" s="297"/>
      <c r="CC261" s="297"/>
      <c r="CD261" s="297"/>
      <c r="CE261" s="297"/>
      <c r="CF261" s="297"/>
      <c r="CG261" s="297"/>
      <c r="CH261" s="297"/>
      <c r="CI261" s="297"/>
      <c r="CJ261" s="297"/>
      <c r="CK261" s="297"/>
      <c r="CL261" s="297"/>
      <c r="CM261" s="297"/>
      <c r="CN261" s="297"/>
      <c r="CO261" s="297"/>
      <c r="CP261" s="297"/>
      <c r="CQ261" s="297"/>
      <c r="CR261" s="297"/>
      <c r="CS261" s="297"/>
      <c r="CT261" s="297"/>
      <c r="CU261" s="297"/>
      <c r="CV261" s="297"/>
      <c r="CW261" s="297"/>
      <c r="CX261" s="297"/>
      <c r="CY261" s="297"/>
      <c r="CZ261" s="297"/>
      <c r="DA261" s="297"/>
      <c r="DB261" s="297"/>
      <c r="DC261" s="297"/>
      <c r="DD261" s="297"/>
      <c r="DE261" s="297"/>
      <c r="DF261" s="297"/>
    </row>
    <row r="262" spans="1:110" s="28" customFormat="1" ht="21.75" customHeight="1">
      <c r="A262" s="297"/>
      <c r="B262" s="297"/>
      <c r="C262" s="297"/>
      <c r="D262" s="297"/>
      <c r="E262" s="297"/>
      <c r="F262" s="297"/>
      <c r="G262" s="297"/>
      <c r="H262" s="297"/>
      <c r="I262" s="297"/>
      <c r="J262" s="297"/>
      <c r="K262" s="297"/>
      <c r="L262" s="297"/>
      <c r="M262" s="297"/>
      <c r="N262" s="297"/>
      <c r="O262" s="297"/>
      <c r="P262" s="297"/>
      <c r="Q262" s="297"/>
      <c r="R262" s="297"/>
      <c r="S262" s="297"/>
      <c r="T262" s="297"/>
      <c r="U262" s="297"/>
      <c r="V262" s="297"/>
      <c r="W262" s="297"/>
      <c r="X262" s="297"/>
      <c r="Y262" s="297"/>
      <c r="Z262" s="297"/>
      <c r="AA262" s="297"/>
      <c r="AB262" s="297"/>
      <c r="AC262" s="297"/>
      <c r="AD262" s="297"/>
      <c r="AE262" s="297"/>
      <c r="AF262" s="297"/>
      <c r="AG262" s="297"/>
      <c r="AH262" s="297"/>
      <c r="AI262" s="297"/>
      <c r="AJ262" s="297"/>
      <c r="AK262" s="297"/>
      <c r="AL262" s="297"/>
      <c r="AM262" s="297"/>
      <c r="AN262" s="297"/>
      <c r="AO262" s="297"/>
      <c r="AP262" s="297"/>
      <c r="AQ262" s="297"/>
      <c r="AR262" s="297"/>
      <c r="AS262" s="297"/>
      <c r="AT262" s="297"/>
      <c r="AU262" s="297"/>
      <c r="AV262" s="297"/>
      <c r="AW262" s="297"/>
      <c r="AX262" s="297"/>
      <c r="AY262" s="443"/>
      <c r="AZ262" s="297"/>
      <c r="BA262" s="297"/>
      <c r="BB262" s="297"/>
      <c r="BC262" s="297"/>
      <c r="BD262" s="297"/>
      <c r="BE262" s="297"/>
      <c r="BF262" s="297"/>
      <c r="BG262" s="297"/>
      <c r="BH262" s="297"/>
      <c r="BI262" s="297"/>
      <c r="BJ262" s="297"/>
      <c r="BK262" s="297"/>
      <c r="BL262" s="297"/>
      <c r="BM262" s="297"/>
      <c r="BN262" s="297"/>
      <c r="BO262" s="297"/>
      <c r="BP262" s="297"/>
      <c r="BQ262" s="297"/>
      <c r="BR262" s="297"/>
      <c r="BS262" s="297"/>
      <c r="BT262" s="297"/>
      <c r="BU262" s="297"/>
      <c r="BV262" s="297"/>
      <c r="BW262" s="297"/>
      <c r="BX262" s="297"/>
      <c r="BY262" s="297"/>
      <c r="BZ262" s="297"/>
      <c r="CA262" s="297"/>
      <c r="CB262" s="297"/>
      <c r="CC262" s="297"/>
      <c r="CD262" s="297"/>
      <c r="CE262" s="297"/>
      <c r="CF262" s="297"/>
      <c r="CG262" s="297"/>
      <c r="CH262" s="297"/>
      <c r="CI262" s="297"/>
      <c r="CJ262" s="297"/>
      <c r="CK262" s="297"/>
      <c r="CL262" s="297"/>
      <c r="CM262" s="297"/>
      <c r="CN262" s="297"/>
      <c r="CO262" s="297"/>
      <c r="CP262" s="297"/>
      <c r="CQ262" s="297"/>
      <c r="CR262" s="297"/>
      <c r="CS262" s="297"/>
      <c r="CT262" s="297"/>
      <c r="CU262" s="297"/>
      <c r="CV262" s="297"/>
      <c r="CW262" s="297"/>
      <c r="CX262" s="297"/>
      <c r="CY262" s="297"/>
      <c r="CZ262" s="297"/>
      <c r="DA262" s="297"/>
      <c r="DB262" s="297"/>
      <c r="DC262" s="297"/>
      <c r="DD262" s="297"/>
      <c r="DE262" s="297"/>
      <c r="DF262" s="297"/>
    </row>
    <row r="263" spans="1:110" s="28" customFormat="1" ht="21.75" customHeight="1">
      <c r="A263" s="297"/>
      <c r="B263" s="297"/>
      <c r="C263" s="297"/>
      <c r="D263" s="297"/>
      <c r="E263" s="297"/>
      <c r="F263" s="297"/>
      <c r="G263" s="297"/>
      <c r="H263" s="297"/>
      <c r="I263" s="297"/>
      <c r="J263" s="297"/>
      <c r="K263" s="297"/>
      <c r="L263" s="297"/>
      <c r="M263" s="297"/>
      <c r="N263" s="297"/>
      <c r="O263" s="297"/>
      <c r="P263" s="297"/>
      <c r="Q263" s="297"/>
      <c r="R263" s="297"/>
      <c r="S263" s="297"/>
      <c r="T263" s="297"/>
      <c r="U263" s="297"/>
      <c r="V263" s="297"/>
      <c r="W263" s="297"/>
      <c r="X263" s="297"/>
      <c r="Y263" s="297"/>
      <c r="Z263" s="297"/>
      <c r="AA263" s="297"/>
      <c r="AB263" s="297"/>
      <c r="AC263" s="297"/>
      <c r="AD263" s="297"/>
      <c r="AE263" s="297"/>
      <c r="AF263" s="297"/>
      <c r="AG263" s="297"/>
      <c r="AH263" s="297"/>
      <c r="AI263" s="297"/>
      <c r="AJ263" s="297"/>
      <c r="AK263" s="297"/>
      <c r="AL263" s="297"/>
      <c r="AM263" s="297"/>
      <c r="AN263" s="297"/>
      <c r="AO263" s="297"/>
      <c r="AP263" s="297"/>
      <c r="AQ263" s="297"/>
      <c r="AR263" s="297"/>
      <c r="AS263" s="297"/>
      <c r="AT263" s="297"/>
      <c r="AU263" s="297"/>
      <c r="AV263" s="297"/>
      <c r="AW263" s="297"/>
      <c r="AX263" s="297"/>
      <c r="AY263" s="443"/>
      <c r="AZ263" s="297"/>
      <c r="BA263" s="297"/>
      <c r="BB263" s="297"/>
      <c r="BC263" s="297"/>
      <c r="BD263" s="297"/>
      <c r="BE263" s="297"/>
      <c r="BF263" s="297"/>
      <c r="BG263" s="297"/>
      <c r="BH263" s="297"/>
      <c r="BI263" s="297"/>
      <c r="BJ263" s="297"/>
      <c r="BK263" s="297"/>
      <c r="BL263" s="297"/>
      <c r="BM263" s="297"/>
      <c r="BN263" s="297"/>
      <c r="BO263" s="297"/>
      <c r="BP263" s="297"/>
      <c r="BQ263" s="297"/>
      <c r="BR263" s="297"/>
      <c r="BS263" s="297"/>
      <c r="BT263" s="297"/>
      <c r="BU263" s="297"/>
      <c r="BV263" s="297"/>
      <c r="BW263" s="297"/>
      <c r="BX263" s="297"/>
      <c r="BY263" s="297"/>
      <c r="BZ263" s="297"/>
      <c r="CA263" s="297"/>
      <c r="CB263" s="297"/>
      <c r="CC263" s="297"/>
      <c r="CD263" s="297"/>
      <c r="CE263" s="297"/>
      <c r="CF263" s="297"/>
      <c r="CG263" s="297"/>
      <c r="CH263" s="297"/>
      <c r="CI263" s="297"/>
      <c r="CJ263" s="297"/>
      <c r="CK263" s="297"/>
      <c r="CL263" s="297"/>
      <c r="CM263" s="297"/>
      <c r="CN263" s="297"/>
      <c r="CO263" s="297"/>
      <c r="CP263" s="297"/>
      <c r="CQ263" s="297"/>
      <c r="CR263" s="297"/>
      <c r="CS263" s="297"/>
      <c r="CT263" s="297"/>
      <c r="CU263" s="297"/>
      <c r="CV263" s="297"/>
      <c r="CW263" s="297"/>
      <c r="CX263" s="297"/>
      <c r="CY263" s="297"/>
      <c r="CZ263" s="297"/>
      <c r="DA263" s="297"/>
      <c r="DB263" s="297"/>
      <c r="DC263" s="297"/>
      <c r="DD263" s="297"/>
      <c r="DE263" s="297"/>
      <c r="DF263" s="297"/>
    </row>
    <row r="264" spans="1:110" s="28" customFormat="1" ht="21.75" customHeight="1">
      <c r="A264" s="297"/>
      <c r="B264" s="297"/>
      <c r="C264" s="297"/>
      <c r="D264" s="297"/>
      <c r="E264" s="297"/>
      <c r="F264" s="297"/>
      <c r="G264" s="297"/>
      <c r="H264" s="297"/>
      <c r="I264" s="297"/>
      <c r="J264" s="297"/>
      <c r="K264" s="297"/>
      <c r="L264" s="297"/>
      <c r="M264" s="297"/>
      <c r="N264" s="297"/>
      <c r="O264" s="297"/>
      <c r="P264" s="297"/>
      <c r="Q264" s="297"/>
      <c r="R264" s="297"/>
      <c r="S264" s="297"/>
      <c r="T264" s="297"/>
      <c r="U264" s="297"/>
      <c r="V264" s="297"/>
      <c r="W264" s="297"/>
      <c r="X264" s="297"/>
      <c r="Y264" s="297"/>
      <c r="Z264" s="297"/>
      <c r="AA264" s="297"/>
      <c r="AB264" s="297"/>
      <c r="AC264" s="297"/>
      <c r="AD264" s="297"/>
      <c r="AE264" s="297"/>
      <c r="AF264" s="297"/>
      <c r="AG264" s="297"/>
      <c r="AH264" s="297"/>
      <c r="AI264" s="297"/>
      <c r="AJ264" s="297"/>
      <c r="AK264" s="297"/>
      <c r="AL264" s="297"/>
      <c r="AM264" s="297"/>
      <c r="AN264" s="297"/>
      <c r="AO264" s="297"/>
      <c r="AP264" s="297"/>
      <c r="AQ264" s="297"/>
      <c r="AR264" s="297"/>
      <c r="AS264" s="297"/>
      <c r="AT264" s="297"/>
      <c r="AU264" s="297"/>
      <c r="AV264" s="297"/>
      <c r="AW264" s="297"/>
      <c r="AX264" s="297"/>
      <c r="AY264" s="443"/>
      <c r="AZ264" s="297"/>
      <c r="BA264" s="297"/>
      <c r="BB264" s="297"/>
      <c r="BC264" s="297"/>
      <c r="BD264" s="297"/>
      <c r="BE264" s="297"/>
      <c r="BF264" s="297"/>
      <c r="BG264" s="297"/>
      <c r="BH264" s="297"/>
      <c r="BI264" s="297"/>
      <c r="BJ264" s="297"/>
      <c r="BK264" s="297"/>
      <c r="BL264" s="297"/>
      <c r="BM264" s="297"/>
      <c r="BN264" s="297"/>
      <c r="BO264" s="297"/>
      <c r="BP264" s="297"/>
      <c r="BQ264" s="297"/>
      <c r="BR264" s="297"/>
      <c r="BS264" s="297"/>
      <c r="BT264" s="297"/>
      <c r="BU264" s="297"/>
      <c r="BV264" s="297"/>
      <c r="BW264" s="297"/>
      <c r="BX264" s="297"/>
      <c r="BY264" s="297"/>
      <c r="BZ264" s="297"/>
      <c r="CA264" s="297"/>
      <c r="CB264" s="297"/>
      <c r="CC264" s="297"/>
      <c r="CD264" s="297"/>
      <c r="CE264" s="297"/>
      <c r="CF264" s="297"/>
      <c r="CG264" s="297"/>
      <c r="CH264" s="297"/>
      <c r="CI264" s="297"/>
      <c r="CJ264" s="297"/>
      <c r="CK264" s="297"/>
      <c r="CL264" s="297"/>
      <c r="CM264" s="297"/>
      <c r="CN264" s="297"/>
      <c r="CO264" s="297"/>
      <c r="CP264" s="297"/>
      <c r="CQ264" s="297"/>
      <c r="CR264" s="297"/>
      <c r="CS264" s="297"/>
      <c r="CT264" s="297"/>
      <c r="CU264" s="297"/>
      <c r="CV264" s="297"/>
      <c r="CW264" s="297"/>
      <c r="CX264" s="297"/>
      <c r="CY264" s="297"/>
      <c r="CZ264" s="297"/>
      <c r="DA264" s="297"/>
      <c r="DB264" s="297"/>
      <c r="DC264" s="297"/>
      <c r="DD264" s="297"/>
      <c r="DE264" s="297"/>
      <c r="DF264" s="297"/>
    </row>
    <row r="265" spans="1:110" s="28" customFormat="1" ht="21.75" customHeight="1">
      <c r="A265" s="297"/>
      <c r="B265" s="297"/>
      <c r="C265" s="297"/>
      <c r="D265" s="297"/>
      <c r="E265" s="297"/>
      <c r="F265" s="297"/>
      <c r="G265" s="297"/>
      <c r="H265" s="297"/>
      <c r="I265" s="297"/>
      <c r="J265" s="297"/>
      <c r="K265" s="297"/>
      <c r="L265" s="297"/>
      <c r="M265" s="297"/>
      <c r="N265" s="297"/>
      <c r="O265" s="297"/>
      <c r="P265" s="297"/>
      <c r="Q265" s="297"/>
      <c r="R265" s="297"/>
      <c r="S265" s="297"/>
      <c r="T265" s="297"/>
      <c r="U265" s="297"/>
      <c r="V265" s="297"/>
      <c r="W265" s="297"/>
      <c r="X265" s="297"/>
      <c r="Y265" s="297"/>
      <c r="Z265" s="297"/>
      <c r="AA265" s="297"/>
      <c r="AB265" s="297"/>
      <c r="AC265" s="297"/>
      <c r="AD265" s="297"/>
      <c r="AE265" s="297"/>
      <c r="AF265" s="297"/>
      <c r="AG265" s="297"/>
      <c r="AH265" s="297"/>
      <c r="AI265" s="297"/>
      <c r="AJ265" s="297"/>
      <c r="AK265" s="297"/>
      <c r="AL265" s="297"/>
      <c r="AM265" s="297"/>
      <c r="AN265" s="297"/>
      <c r="AO265" s="297"/>
      <c r="AP265" s="297"/>
      <c r="AQ265" s="297"/>
      <c r="AR265" s="297"/>
      <c r="AS265" s="297"/>
      <c r="AT265" s="297"/>
      <c r="AU265" s="297"/>
      <c r="AV265" s="297"/>
      <c r="AW265" s="297"/>
      <c r="AX265" s="297"/>
      <c r="AY265" s="443"/>
      <c r="AZ265" s="297"/>
      <c r="BA265" s="297"/>
      <c r="BB265" s="297"/>
      <c r="BC265" s="297"/>
      <c r="BD265" s="297"/>
      <c r="BE265" s="297"/>
      <c r="BF265" s="297"/>
      <c r="BG265" s="297"/>
      <c r="BH265" s="297"/>
      <c r="BI265" s="297"/>
      <c r="BJ265" s="297"/>
      <c r="BK265" s="297"/>
      <c r="BL265" s="297"/>
      <c r="BM265" s="297"/>
      <c r="BN265" s="297"/>
      <c r="BO265" s="297"/>
      <c r="BP265" s="297"/>
      <c r="BQ265" s="297"/>
      <c r="BR265" s="297"/>
      <c r="BS265" s="297"/>
      <c r="BT265" s="297"/>
      <c r="BU265" s="297"/>
      <c r="BV265" s="297"/>
      <c r="BW265" s="297"/>
      <c r="BX265" s="297"/>
      <c r="BY265" s="297"/>
      <c r="BZ265" s="297"/>
      <c r="CA265" s="297"/>
      <c r="CB265" s="297"/>
      <c r="CC265" s="297"/>
      <c r="CD265" s="297"/>
      <c r="CE265" s="297"/>
      <c r="CF265" s="297"/>
      <c r="CG265" s="297"/>
      <c r="CH265" s="297"/>
      <c r="CI265" s="297"/>
      <c r="CJ265" s="297"/>
      <c r="CK265" s="297"/>
      <c r="CL265" s="297"/>
      <c r="CM265" s="297"/>
      <c r="CN265" s="297"/>
      <c r="CO265" s="297"/>
      <c r="CP265" s="297"/>
      <c r="CQ265" s="297"/>
      <c r="CR265" s="297"/>
      <c r="CS265" s="297"/>
      <c r="CT265" s="297"/>
      <c r="CU265" s="297"/>
      <c r="CV265" s="297"/>
      <c r="CW265" s="297"/>
      <c r="CX265" s="297"/>
      <c r="CY265" s="297"/>
      <c r="CZ265" s="297"/>
      <c r="DA265" s="297"/>
      <c r="DB265" s="297"/>
      <c r="DC265" s="297"/>
      <c r="DD265" s="297"/>
      <c r="DE265" s="297"/>
      <c r="DF265" s="297"/>
    </row>
    <row r="266" spans="1:110" s="28" customFormat="1" ht="21.75" customHeight="1">
      <c r="A266" s="297"/>
      <c r="B266" s="297"/>
      <c r="C266" s="297"/>
      <c r="D266" s="297"/>
      <c r="E266" s="297"/>
      <c r="F266" s="297"/>
      <c r="G266" s="297"/>
      <c r="H266" s="297"/>
      <c r="I266" s="297"/>
      <c r="J266" s="297"/>
      <c r="K266" s="297"/>
      <c r="L266" s="297"/>
      <c r="M266" s="297"/>
      <c r="N266" s="297"/>
      <c r="O266" s="297"/>
      <c r="P266" s="297"/>
      <c r="Q266" s="297"/>
      <c r="R266" s="297"/>
      <c r="S266" s="297"/>
      <c r="T266" s="297"/>
      <c r="U266" s="297"/>
      <c r="V266" s="297"/>
      <c r="W266" s="297"/>
      <c r="X266" s="297"/>
      <c r="Y266" s="297"/>
      <c r="Z266" s="297"/>
      <c r="AA266" s="297"/>
      <c r="AB266" s="297"/>
      <c r="AC266" s="297"/>
      <c r="AD266" s="297"/>
      <c r="AE266" s="297"/>
      <c r="AF266" s="297"/>
      <c r="AG266" s="297"/>
      <c r="AH266" s="297"/>
      <c r="AI266" s="297"/>
      <c r="AJ266" s="297"/>
      <c r="AK266" s="297"/>
      <c r="AL266" s="297"/>
      <c r="AM266" s="297"/>
      <c r="AN266" s="297"/>
      <c r="AO266" s="297"/>
      <c r="AP266" s="297"/>
      <c r="AQ266" s="297"/>
      <c r="AR266" s="297"/>
      <c r="AS266" s="297"/>
      <c r="AT266" s="297"/>
      <c r="AU266" s="297"/>
      <c r="AV266" s="297"/>
      <c r="AW266" s="297"/>
      <c r="AX266" s="297"/>
      <c r="AY266" s="443"/>
      <c r="AZ266" s="297"/>
      <c r="BA266" s="297"/>
      <c r="BB266" s="297"/>
      <c r="BC266" s="297"/>
      <c r="BD266" s="297"/>
      <c r="BE266" s="297"/>
      <c r="BF266" s="297"/>
      <c r="BG266" s="297"/>
      <c r="BH266" s="297"/>
      <c r="BI266" s="297"/>
      <c r="BJ266" s="297"/>
      <c r="BK266" s="297"/>
      <c r="BL266" s="297"/>
      <c r="BM266" s="297"/>
      <c r="BN266" s="297"/>
      <c r="BO266" s="297"/>
      <c r="BP266" s="297"/>
      <c r="BQ266" s="297"/>
      <c r="BR266" s="297"/>
      <c r="BS266" s="297"/>
      <c r="BT266" s="297"/>
      <c r="BU266" s="297"/>
      <c r="BV266" s="297"/>
      <c r="BW266" s="297"/>
      <c r="BX266" s="297"/>
      <c r="BY266" s="297"/>
      <c r="BZ266" s="297"/>
      <c r="CA266" s="297"/>
      <c r="CB266" s="297"/>
      <c r="CC266" s="297"/>
      <c r="CD266" s="297"/>
      <c r="CE266" s="297"/>
      <c r="CF266" s="297"/>
      <c r="CG266" s="297"/>
      <c r="CH266" s="297"/>
      <c r="CI266" s="297"/>
      <c r="CJ266" s="297"/>
      <c r="CK266" s="297"/>
      <c r="CL266" s="297"/>
      <c r="CM266" s="297"/>
      <c r="CN266" s="297"/>
      <c r="CO266" s="297"/>
      <c r="CP266" s="297"/>
      <c r="CQ266" s="297"/>
      <c r="CR266" s="297"/>
      <c r="CS266" s="297"/>
      <c r="CT266" s="297"/>
      <c r="CU266" s="297"/>
      <c r="CV266" s="297"/>
      <c r="CW266" s="297"/>
      <c r="CX266" s="297"/>
      <c r="CY266" s="297"/>
      <c r="CZ266" s="297"/>
      <c r="DA266" s="297"/>
      <c r="DB266" s="297"/>
      <c r="DC266" s="297"/>
      <c r="DD266" s="297"/>
      <c r="DE266" s="297"/>
      <c r="DF266" s="297"/>
    </row>
    <row r="267" spans="1:110" s="28" customFormat="1" ht="21.75" customHeight="1">
      <c r="A267" s="297"/>
      <c r="B267" s="297"/>
      <c r="C267" s="297"/>
      <c r="D267" s="297"/>
      <c r="E267" s="297"/>
      <c r="F267" s="297"/>
      <c r="G267" s="297"/>
      <c r="H267" s="297"/>
      <c r="I267" s="297"/>
      <c r="J267" s="297"/>
      <c r="K267" s="297"/>
      <c r="L267" s="297"/>
      <c r="M267" s="297"/>
      <c r="N267" s="297"/>
      <c r="O267" s="297"/>
      <c r="P267" s="297"/>
      <c r="Q267" s="297"/>
      <c r="R267" s="297"/>
      <c r="S267" s="297"/>
      <c r="T267" s="297"/>
      <c r="U267" s="297"/>
      <c r="V267" s="297"/>
      <c r="W267" s="297"/>
      <c r="X267" s="297"/>
      <c r="Y267" s="297"/>
      <c r="Z267" s="297"/>
      <c r="AA267" s="297"/>
      <c r="AB267" s="297"/>
      <c r="AC267" s="297"/>
      <c r="AD267" s="297"/>
      <c r="AE267" s="297"/>
      <c r="AF267" s="297"/>
      <c r="AG267" s="297"/>
      <c r="AH267" s="297"/>
      <c r="AI267" s="297"/>
      <c r="AJ267" s="297"/>
      <c r="AK267" s="297"/>
      <c r="AL267" s="297"/>
      <c r="AM267" s="297"/>
      <c r="AN267" s="297"/>
      <c r="AO267" s="297"/>
      <c r="AP267" s="297"/>
      <c r="AQ267" s="297"/>
      <c r="AR267" s="297"/>
      <c r="AS267" s="297"/>
      <c r="AT267" s="297"/>
      <c r="AU267" s="297"/>
      <c r="AV267" s="297"/>
      <c r="AW267" s="297"/>
      <c r="AX267" s="297"/>
      <c r="AY267" s="443"/>
      <c r="AZ267" s="297"/>
      <c r="BA267" s="297"/>
      <c r="BB267" s="297"/>
      <c r="BC267" s="297"/>
      <c r="BD267" s="297"/>
      <c r="BE267" s="297"/>
      <c r="BF267" s="297"/>
      <c r="BG267" s="297"/>
      <c r="BH267" s="297"/>
      <c r="BI267" s="297"/>
      <c r="BJ267" s="297"/>
      <c r="BK267" s="297"/>
      <c r="BL267" s="297"/>
      <c r="BM267" s="297"/>
      <c r="BN267" s="297"/>
      <c r="BO267" s="297"/>
      <c r="BP267" s="297"/>
      <c r="BQ267" s="297"/>
      <c r="BR267" s="297"/>
      <c r="BS267" s="297"/>
      <c r="BT267" s="297"/>
      <c r="BU267" s="297"/>
      <c r="BV267" s="297"/>
      <c r="BW267" s="297"/>
      <c r="BX267" s="297"/>
      <c r="BY267" s="297"/>
      <c r="BZ267" s="297"/>
      <c r="CA267" s="297"/>
      <c r="CB267" s="297"/>
      <c r="CC267" s="297"/>
      <c r="CD267" s="297"/>
      <c r="CE267" s="297"/>
      <c r="CF267" s="297"/>
      <c r="CG267" s="297"/>
      <c r="CH267" s="297"/>
      <c r="CI267" s="297"/>
      <c r="CJ267" s="297"/>
      <c r="CK267" s="297"/>
      <c r="CL267" s="297"/>
      <c r="CM267" s="297"/>
      <c r="CN267" s="297"/>
      <c r="CO267" s="297"/>
      <c r="CP267" s="297"/>
      <c r="CQ267" s="297"/>
      <c r="CR267" s="297"/>
      <c r="CS267" s="297"/>
      <c r="CT267" s="297"/>
      <c r="CU267" s="297"/>
      <c r="CV267" s="297"/>
      <c r="CW267" s="297"/>
      <c r="CX267" s="297"/>
      <c r="CY267" s="297"/>
      <c r="CZ267" s="297"/>
      <c r="DA267" s="297"/>
      <c r="DB267" s="297"/>
      <c r="DC267" s="297"/>
      <c r="DD267" s="297"/>
      <c r="DE267" s="297"/>
      <c r="DF267" s="297"/>
    </row>
    <row r="268" spans="1:110" s="28" customFormat="1" ht="21.75" customHeight="1">
      <c r="A268" s="297"/>
      <c r="B268" s="297"/>
      <c r="C268" s="297"/>
      <c r="D268" s="297"/>
      <c r="E268" s="297"/>
      <c r="F268" s="297"/>
      <c r="G268" s="297"/>
      <c r="H268" s="297"/>
      <c r="I268" s="297"/>
      <c r="J268" s="297"/>
      <c r="K268" s="297"/>
      <c r="L268" s="297"/>
      <c r="M268" s="297"/>
      <c r="N268" s="297"/>
      <c r="O268" s="297"/>
      <c r="P268" s="297"/>
      <c r="Q268" s="297"/>
      <c r="R268" s="297"/>
      <c r="S268" s="297"/>
      <c r="T268" s="297"/>
      <c r="U268" s="297"/>
      <c r="V268" s="297"/>
      <c r="W268" s="297"/>
      <c r="X268" s="297"/>
      <c r="Y268" s="297"/>
      <c r="Z268" s="297"/>
      <c r="AA268" s="297"/>
      <c r="AB268" s="297"/>
      <c r="AC268" s="297"/>
      <c r="AD268" s="297"/>
      <c r="AE268" s="297"/>
      <c r="AF268" s="297"/>
      <c r="AG268" s="297"/>
      <c r="AH268" s="297"/>
      <c r="AI268" s="297"/>
      <c r="AJ268" s="297"/>
      <c r="AK268" s="297"/>
      <c r="AL268" s="297"/>
      <c r="AM268" s="297"/>
      <c r="AN268" s="297"/>
      <c r="AO268" s="297"/>
      <c r="AP268" s="297"/>
      <c r="AQ268" s="297"/>
      <c r="AR268" s="297"/>
      <c r="AS268" s="297"/>
      <c r="AT268" s="297"/>
      <c r="AU268" s="297"/>
      <c r="AV268" s="297"/>
      <c r="AW268" s="297"/>
      <c r="AX268" s="297"/>
      <c r="AY268" s="443"/>
      <c r="AZ268" s="297"/>
      <c r="BA268" s="297"/>
      <c r="BB268" s="297"/>
      <c r="BC268" s="297"/>
      <c r="BD268" s="297"/>
      <c r="BE268" s="297"/>
      <c r="BF268" s="297"/>
      <c r="BG268" s="297"/>
      <c r="BH268" s="297"/>
      <c r="BI268" s="297"/>
      <c r="BJ268" s="297"/>
      <c r="BK268" s="297"/>
      <c r="BL268" s="297"/>
      <c r="BM268" s="297"/>
      <c r="BN268" s="297"/>
      <c r="BO268" s="297"/>
      <c r="BP268" s="297"/>
      <c r="BQ268" s="297"/>
      <c r="BR268" s="297"/>
      <c r="BS268" s="297"/>
      <c r="BT268" s="297"/>
      <c r="BU268" s="297"/>
      <c r="BV268" s="297"/>
      <c r="BW268" s="297"/>
      <c r="BX268" s="297"/>
      <c r="BY268" s="297"/>
      <c r="BZ268" s="297"/>
      <c r="CA268" s="297"/>
      <c r="CB268" s="297"/>
      <c r="CC268" s="297"/>
      <c r="CD268" s="297"/>
      <c r="CE268" s="297"/>
      <c r="CF268" s="297"/>
      <c r="CG268" s="297"/>
      <c r="CH268" s="297"/>
      <c r="CI268" s="297"/>
      <c r="CJ268" s="297"/>
      <c r="CK268" s="297"/>
      <c r="CL268" s="297"/>
      <c r="CM268" s="297"/>
      <c r="CN268" s="297"/>
      <c r="CO268" s="297"/>
      <c r="CP268" s="297"/>
      <c r="CQ268" s="297"/>
      <c r="CR268" s="297"/>
      <c r="CS268" s="297"/>
      <c r="CT268" s="297"/>
      <c r="CU268" s="297"/>
      <c r="CV268" s="297"/>
      <c r="CW268" s="297"/>
      <c r="CX268" s="297"/>
      <c r="CY268" s="297"/>
      <c r="CZ268" s="297"/>
      <c r="DA268" s="297"/>
      <c r="DB268" s="297"/>
      <c r="DC268" s="297"/>
      <c r="DD268" s="297"/>
      <c r="DE268" s="297"/>
      <c r="DF268" s="297"/>
    </row>
    <row r="269" spans="1:110" s="28" customFormat="1" ht="21.75" customHeight="1">
      <c r="A269" s="297"/>
      <c r="B269" s="297"/>
      <c r="C269" s="297"/>
      <c r="D269" s="297"/>
      <c r="E269" s="297"/>
      <c r="F269" s="297"/>
      <c r="G269" s="297"/>
      <c r="H269" s="297"/>
      <c r="I269" s="297"/>
      <c r="J269" s="297"/>
      <c r="K269" s="297"/>
      <c r="L269" s="297"/>
      <c r="M269" s="297"/>
      <c r="N269" s="297"/>
      <c r="O269" s="297"/>
      <c r="P269" s="297"/>
      <c r="Q269" s="297"/>
      <c r="R269" s="297"/>
      <c r="S269" s="297"/>
      <c r="T269" s="297"/>
      <c r="U269" s="297"/>
      <c r="V269" s="297"/>
      <c r="W269" s="297"/>
      <c r="X269" s="297"/>
      <c r="Y269" s="297"/>
      <c r="Z269" s="297"/>
      <c r="AA269" s="297"/>
      <c r="AB269" s="297"/>
      <c r="AC269" s="297"/>
      <c r="AD269" s="297"/>
      <c r="AE269" s="297"/>
      <c r="AF269" s="297"/>
      <c r="AG269" s="297"/>
      <c r="AH269" s="297"/>
      <c r="AI269" s="297"/>
      <c r="AJ269" s="297"/>
      <c r="AK269" s="297"/>
      <c r="AL269" s="297"/>
      <c r="AM269" s="297"/>
      <c r="AN269" s="297"/>
      <c r="AO269" s="297"/>
      <c r="AP269" s="297"/>
      <c r="AQ269" s="297"/>
      <c r="AR269" s="297"/>
      <c r="AS269" s="297"/>
      <c r="AT269" s="297"/>
      <c r="AU269" s="297"/>
      <c r="AV269" s="297"/>
      <c r="AW269" s="297"/>
      <c r="AX269" s="297"/>
      <c r="AY269" s="443"/>
      <c r="AZ269" s="297"/>
      <c r="BA269" s="297"/>
      <c r="BB269" s="297"/>
      <c r="BC269" s="297"/>
      <c r="BD269" s="297"/>
      <c r="BE269" s="297"/>
      <c r="BF269" s="297"/>
      <c r="BG269" s="297"/>
      <c r="BH269" s="297"/>
      <c r="BI269" s="297"/>
      <c r="BJ269" s="297"/>
      <c r="BK269" s="297"/>
      <c r="BL269" s="297"/>
      <c r="BM269" s="297"/>
      <c r="BN269" s="297"/>
      <c r="BO269" s="297"/>
      <c r="BP269" s="297"/>
      <c r="BQ269" s="297"/>
      <c r="BR269" s="297"/>
      <c r="BS269" s="297"/>
      <c r="BT269" s="297"/>
      <c r="BU269" s="297"/>
      <c r="BV269" s="297"/>
      <c r="BW269" s="297"/>
      <c r="BX269" s="297"/>
      <c r="BY269" s="297"/>
      <c r="BZ269" s="297"/>
      <c r="CA269" s="297"/>
      <c r="CB269" s="297"/>
      <c r="CC269" s="297"/>
      <c r="CD269" s="297"/>
      <c r="CE269" s="297"/>
      <c r="CF269" s="297"/>
      <c r="CG269" s="297"/>
      <c r="CH269" s="297"/>
      <c r="CI269" s="297"/>
      <c r="CJ269" s="297"/>
      <c r="CK269" s="297"/>
      <c r="CL269" s="297"/>
      <c r="CM269" s="297"/>
      <c r="CN269" s="297"/>
      <c r="CO269" s="297"/>
      <c r="CP269" s="297"/>
      <c r="CQ269" s="297"/>
      <c r="CR269" s="297"/>
      <c r="CS269" s="297"/>
      <c r="CT269" s="297"/>
      <c r="CU269" s="297"/>
      <c r="CV269" s="297"/>
      <c r="CW269" s="297"/>
      <c r="CX269" s="297"/>
      <c r="CY269" s="297"/>
      <c r="CZ269" s="297"/>
      <c r="DA269" s="297"/>
      <c r="DB269" s="297"/>
      <c r="DC269" s="297"/>
      <c r="DD269" s="297"/>
      <c r="DE269" s="297"/>
      <c r="DF269" s="297"/>
    </row>
    <row r="270" spans="1:110" s="28" customFormat="1" ht="21.75" customHeight="1">
      <c r="A270" s="297"/>
      <c r="B270" s="297"/>
      <c r="C270" s="297"/>
      <c r="D270" s="297"/>
      <c r="E270" s="297"/>
      <c r="F270" s="297"/>
      <c r="G270" s="297"/>
      <c r="H270" s="297"/>
      <c r="I270" s="297"/>
      <c r="J270" s="297"/>
      <c r="K270" s="297"/>
      <c r="L270" s="297"/>
      <c r="M270" s="297"/>
      <c r="N270" s="297"/>
      <c r="O270" s="297"/>
      <c r="P270" s="297"/>
      <c r="Q270" s="297"/>
      <c r="R270" s="297"/>
      <c r="S270" s="297"/>
      <c r="T270" s="297"/>
      <c r="U270" s="297"/>
      <c r="V270" s="297"/>
      <c r="W270" s="297"/>
      <c r="X270" s="297"/>
      <c r="Y270" s="297"/>
      <c r="Z270" s="297"/>
      <c r="AA270" s="297"/>
      <c r="AB270" s="297"/>
      <c r="AC270" s="297"/>
      <c r="AD270" s="297"/>
      <c r="AE270" s="297"/>
      <c r="AF270" s="297"/>
      <c r="AG270" s="297"/>
      <c r="AH270" s="297"/>
      <c r="AI270" s="297"/>
      <c r="AJ270" s="297"/>
      <c r="AK270" s="297"/>
      <c r="AL270" s="297"/>
      <c r="AM270" s="297"/>
      <c r="AN270" s="297"/>
      <c r="AO270" s="297"/>
      <c r="AP270" s="297"/>
      <c r="AQ270" s="297"/>
      <c r="AR270" s="297"/>
      <c r="AS270" s="297"/>
      <c r="AT270" s="297"/>
      <c r="AU270" s="297"/>
      <c r="AV270" s="297"/>
      <c r="AW270" s="297"/>
      <c r="AX270" s="297"/>
      <c r="AY270" s="443"/>
      <c r="AZ270" s="297"/>
      <c r="BA270" s="297"/>
      <c r="BB270" s="297"/>
      <c r="BC270" s="297"/>
      <c r="BD270" s="297"/>
      <c r="BE270" s="297"/>
      <c r="BF270" s="297"/>
      <c r="BG270" s="297"/>
      <c r="BH270" s="297"/>
      <c r="BI270" s="297"/>
      <c r="BJ270" s="297"/>
      <c r="BK270" s="297"/>
      <c r="BL270" s="297"/>
      <c r="BM270" s="297"/>
      <c r="BN270" s="297"/>
      <c r="BO270" s="297"/>
      <c r="BP270" s="297"/>
      <c r="BQ270" s="297"/>
      <c r="BR270" s="297"/>
      <c r="BS270" s="297"/>
      <c r="BT270" s="297"/>
      <c r="BU270" s="297"/>
      <c r="BV270" s="297"/>
      <c r="BW270" s="297"/>
      <c r="BX270" s="297"/>
      <c r="BY270" s="297"/>
      <c r="BZ270" s="297"/>
      <c r="CA270" s="297"/>
      <c r="CB270" s="297"/>
      <c r="CC270" s="297"/>
      <c r="CD270" s="297"/>
      <c r="CE270" s="297"/>
      <c r="CF270" s="297"/>
      <c r="CG270" s="297"/>
      <c r="CH270" s="297"/>
      <c r="CI270" s="297"/>
      <c r="CJ270" s="297"/>
      <c r="CK270" s="297"/>
      <c r="CL270" s="297"/>
      <c r="CM270" s="297"/>
      <c r="CN270" s="297"/>
      <c r="CO270" s="297"/>
      <c r="CP270" s="297"/>
      <c r="CQ270" s="297"/>
      <c r="CR270" s="297"/>
      <c r="CS270" s="297"/>
      <c r="CT270" s="297"/>
      <c r="CU270" s="297"/>
      <c r="CV270" s="297"/>
      <c r="CW270" s="297"/>
      <c r="CX270" s="297"/>
      <c r="CY270" s="297"/>
      <c r="CZ270" s="297"/>
      <c r="DA270" s="297"/>
      <c r="DB270" s="297"/>
      <c r="DC270" s="297"/>
      <c r="DD270" s="297"/>
      <c r="DE270" s="297"/>
      <c r="DF270" s="297"/>
    </row>
    <row r="271" spans="1:110" s="28" customFormat="1" ht="21.75" customHeight="1">
      <c r="A271" s="297"/>
      <c r="B271" s="297"/>
      <c r="C271" s="297"/>
      <c r="D271" s="297"/>
      <c r="E271" s="297"/>
      <c r="F271" s="297"/>
      <c r="G271" s="297"/>
      <c r="H271" s="297"/>
      <c r="I271" s="297"/>
      <c r="J271" s="297"/>
      <c r="K271" s="297"/>
      <c r="L271" s="297"/>
      <c r="M271" s="297"/>
      <c r="N271" s="297"/>
      <c r="O271" s="297"/>
      <c r="P271" s="297"/>
      <c r="Q271" s="297"/>
      <c r="R271" s="297"/>
      <c r="S271" s="297"/>
      <c r="T271" s="297"/>
      <c r="U271" s="297"/>
      <c r="V271" s="297"/>
      <c r="W271" s="297"/>
      <c r="X271" s="297"/>
      <c r="Y271" s="297"/>
      <c r="Z271" s="297"/>
      <c r="AA271" s="297"/>
      <c r="AB271" s="297"/>
      <c r="AC271" s="297"/>
      <c r="AD271" s="297"/>
      <c r="AE271" s="297"/>
      <c r="AF271" s="297"/>
      <c r="AG271" s="297"/>
      <c r="AH271" s="297"/>
      <c r="AI271" s="297"/>
      <c r="AJ271" s="297"/>
      <c r="AK271" s="297"/>
      <c r="AL271" s="297"/>
      <c r="AM271" s="297"/>
      <c r="AN271" s="297"/>
      <c r="AO271" s="297"/>
      <c r="AP271" s="297"/>
      <c r="AQ271" s="297"/>
      <c r="AR271" s="297"/>
      <c r="AS271" s="297"/>
      <c r="AT271" s="297"/>
      <c r="AU271" s="297"/>
      <c r="AV271" s="297"/>
      <c r="AW271" s="297"/>
      <c r="AX271" s="297"/>
      <c r="AY271" s="443"/>
      <c r="AZ271" s="297"/>
      <c r="BA271" s="297"/>
      <c r="BB271" s="297"/>
      <c r="BC271" s="297"/>
      <c r="BD271" s="297"/>
      <c r="BE271" s="297"/>
      <c r="BF271" s="297"/>
      <c r="BG271" s="297"/>
      <c r="BH271" s="297"/>
      <c r="BI271" s="297"/>
      <c r="BJ271" s="297"/>
      <c r="BK271" s="297"/>
      <c r="BL271" s="297"/>
      <c r="BM271" s="297"/>
      <c r="BN271" s="297"/>
      <c r="BO271" s="297"/>
      <c r="BP271" s="297"/>
      <c r="BQ271" s="297"/>
      <c r="BR271" s="297"/>
      <c r="BS271" s="297"/>
      <c r="BT271" s="297"/>
      <c r="BU271" s="297"/>
      <c r="BV271" s="297"/>
      <c r="BW271" s="297"/>
      <c r="BX271" s="297"/>
      <c r="BY271" s="297"/>
      <c r="BZ271" s="297"/>
      <c r="CA271" s="297"/>
      <c r="CB271" s="297"/>
      <c r="CC271" s="297"/>
      <c r="CD271" s="297"/>
      <c r="CE271" s="297"/>
      <c r="CF271" s="297"/>
      <c r="CG271" s="297"/>
      <c r="CH271" s="297"/>
      <c r="CI271" s="297"/>
      <c r="CJ271" s="297"/>
      <c r="CK271" s="297"/>
      <c r="CL271" s="297"/>
      <c r="CM271" s="297"/>
      <c r="CN271" s="297"/>
      <c r="CO271" s="297"/>
      <c r="CP271" s="297"/>
      <c r="CQ271" s="297"/>
      <c r="CR271" s="297"/>
      <c r="CS271" s="297"/>
      <c r="CT271" s="297"/>
      <c r="CU271" s="297"/>
      <c r="CV271" s="297"/>
      <c r="CW271" s="297"/>
      <c r="CX271" s="297"/>
      <c r="CY271" s="297"/>
      <c r="CZ271" s="297"/>
      <c r="DA271" s="297"/>
      <c r="DB271" s="297"/>
      <c r="DC271" s="297"/>
      <c r="DD271" s="297"/>
      <c r="DE271" s="297"/>
      <c r="DF271" s="297"/>
    </row>
    <row r="272" spans="1:110" s="28" customFormat="1" ht="21.75" customHeight="1">
      <c r="A272" s="297"/>
      <c r="B272" s="297"/>
      <c r="C272" s="297"/>
      <c r="D272" s="297"/>
      <c r="E272" s="297"/>
      <c r="F272" s="297"/>
      <c r="G272" s="297"/>
      <c r="H272" s="297"/>
      <c r="I272" s="297"/>
      <c r="J272" s="297"/>
      <c r="K272" s="297"/>
      <c r="L272" s="297"/>
      <c r="M272" s="297"/>
      <c r="N272" s="297"/>
      <c r="O272" s="297"/>
      <c r="P272" s="297"/>
      <c r="Q272" s="297"/>
      <c r="R272" s="297"/>
      <c r="S272" s="297"/>
      <c r="T272" s="297"/>
      <c r="U272" s="297"/>
      <c r="V272" s="297"/>
      <c r="W272" s="297"/>
      <c r="X272" s="297"/>
      <c r="Y272" s="297"/>
      <c r="Z272" s="297"/>
      <c r="AA272" s="297"/>
      <c r="AB272" s="297"/>
      <c r="AC272" s="297"/>
      <c r="AD272" s="297"/>
      <c r="AE272" s="297"/>
      <c r="AF272" s="297"/>
      <c r="AG272" s="297"/>
      <c r="AH272" s="297"/>
      <c r="AI272" s="297"/>
      <c r="AJ272" s="297"/>
      <c r="AK272" s="297"/>
      <c r="AL272" s="297"/>
      <c r="AM272" s="297"/>
      <c r="AN272" s="297"/>
      <c r="AO272" s="297"/>
      <c r="AP272" s="297"/>
      <c r="AQ272" s="297"/>
      <c r="AR272" s="297"/>
      <c r="AS272" s="297"/>
      <c r="AT272" s="297"/>
      <c r="AU272" s="297"/>
      <c r="AV272" s="297"/>
      <c r="AW272" s="297"/>
      <c r="AX272" s="297"/>
      <c r="AY272" s="443"/>
      <c r="AZ272" s="297"/>
      <c r="BA272" s="297"/>
      <c r="BB272" s="297"/>
      <c r="BC272" s="297"/>
      <c r="BD272" s="297"/>
      <c r="BE272" s="297"/>
      <c r="BF272" s="297"/>
      <c r="BG272" s="297"/>
      <c r="BH272" s="297"/>
      <c r="BI272" s="297"/>
      <c r="BJ272" s="297"/>
      <c r="BK272" s="297"/>
      <c r="BL272" s="297"/>
      <c r="BM272" s="297"/>
      <c r="BN272" s="297"/>
      <c r="BO272" s="297"/>
      <c r="BP272" s="297"/>
      <c r="BQ272" s="297"/>
      <c r="BR272" s="297"/>
      <c r="BS272" s="297"/>
      <c r="BT272" s="297"/>
      <c r="BU272" s="297"/>
      <c r="BV272" s="297"/>
      <c r="BW272" s="297"/>
      <c r="BX272" s="297"/>
      <c r="BY272" s="297"/>
      <c r="BZ272" s="297"/>
      <c r="CA272" s="297"/>
      <c r="CB272" s="297"/>
      <c r="CC272" s="297"/>
      <c r="CD272" s="297"/>
      <c r="CE272" s="297"/>
      <c r="CF272" s="297"/>
      <c r="CG272" s="297"/>
      <c r="CH272" s="297"/>
      <c r="CI272" s="297"/>
      <c r="CJ272" s="297"/>
      <c r="CK272" s="297"/>
      <c r="CL272" s="297"/>
      <c r="CM272" s="297"/>
      <c r="CN272" s="297"/>
      <c r="CO272" s="297"/>
      <c r="CP272" s="297"/>
      <c r="CQ272" s="297"/>
      <c r="CR272" s="297"/>
      <c r="CS272" s="297"/>
      <c r="CT272" s="297"/>
      <c r="CU272" s="297"/>
      <c r="CV272" s="297"/>
      <c r="CW272" s="297"/>
      <c r="CX272" s="297"/>
      <c r="CY272" s="297"/>
      <c r="CZ272" s="297"/>
      <c r="DA272" s="297"/>
      <c r="DB272" s="297"/>
      <c r="DC272" s="297"/>
      <c r="DD272" s="297"/>
      <c r="DE272" s="297"/>
      <c r="DF272" s="297"/>
    </row>
    <row r="273" spans="1:110" s="28" customFormat="1" ht="21.75" customHeight="1">
      <c r="A273" s="297"/>
      <c r="B273" s="297"/>
      <c r="C273" s="297"/>
      <c r="D273" s="297"/>
      <c r="E273" s="297"/>
      <c r="F273" s="297"/>
      <c r="G273" s="297"/>
      <c r="H273" s="297"/>
      <c r="I273" s="297"/>
      <c r="J273" s="297"/>
      <c r="K273" s="297"/>
      <c r="L273" s="297"/>
      <c r="M273" s="297"/>
      <c r="N273" s="297"/>
      <c r="O273" s="297"/>
      <c r="P273" s="297"/>
      <c r="Q273" s="297"/>
      <c r="R273" s="297"/>
      <c r="S273" s="297"/>
      <c r="T273" s="297"/>
      <c r="U273" s="297"/>
      <c r="V273" s="297"/>
      <c r="W273" s="297"/>
      <c r="X273" s="297"/>
      <c r="Y273" s="297"/>
      <c r="Z273" s="297"/>
      <c r="AA273" s="297"/>
      <c r="AB273" s="297"/>
      <c r="AC273" s="297"/>
      <c r="AD273" s="297"/>
      <c r="AE273" s="297"/>
      <c r="AF273" s="297"/>
      <c r="AG273" s="297"/>
      <c r="AH273" s="297"/>
      <c r="AI273" s="297"/>
      <c r="AJ273" s="297"/>
      <c r="AK273" s="297"/>
      <c r="AL273" s="297"/>
      <c r="AM273" s="297"/>
      <c r="AN273" s="297"/>
      <c r="AO273" s="297"/>
      <c r="AP273" s="297"/>
      <c r="AQ273" s="297"/>
      <c r="AR273" s="297"/>
      <c r="AS273" s="297"/>
      <c r="AT273" s="297"/>
      <c r="AU273" s="297"/>
      <c r="AV273" s="297"/>
      <c r="AW273" s="297"/>
      <c r="AX273" s="297"/>
      <c r="AY273" s="443"/>
      <c r="AZ273" s="297"/>
      <c r="BA273" s="297"/>
      <c r="BB273" s="297"/>
      <c r="BC273" s="297"/>
      <c r="BD273" s="297"/>
      <c r="BE273" s="297"/>
      <c r="BF273" s="297"/>
      <c r="BG273" s="297"/>
      <c r="BH273" s="297"/>
      <c r="BI273" s="297"/>
      <c r="BJ273" s="297"/>
      <c r="BK273" s="297"/>
      <c r="BL273" s="297"/>
      <c r="BM273" s="297"/>
      <c r="BN273" s="297"/>
      <c r="BO273" s="297"/>
      <c r="BP273" s="297"/>
      <c r="BQ273" s="297"/>
      <c r="BR273" s="297"/>
      <c r="BS273" s="297"/>
      <c r="BT273" s="297"/>
      <c r="BU273" s="297"/>
      <c r="BV273" s="297"/>
      <c r="BW273" s="297"/>
      <c r="BX273" s="297"/>
      <c r="BY273" s="297"/>
      <c r="BZ273" s="297"/>
      <c r="CA273" s="297"/>
      <c r="CB273" s="297"/>
      <c r="CC273" s="297"/>
      <c r="CD273" s="297"/>
      <c r="CE273" s="297"/>
      <c r="CF273" s="297"/>
      <c r="CG273" s="297"/>
      <c r="CH273" s="297"/>
      <c r="CI273" s="297"/>
      <c r="CJ273" s="297"/>
      <c r="CK273" s="297"/>
      <c r="CL273" s="297"/>
      <c r="CM273" s="297"/>
      <c r="CN273" s="297"/>
      <c r="CO273" s="297"/>
      <c r="CP273" s="297"/>
      <c r="CQ273" s="297"/>
      <c r="CR273" s="297"/>
      <c r="CS273" s="297"/>
      <c r="CT273" s="297"/>
      <c r="CU273" s="297"/>
      <c r="CV273" s="297"/>
      <c r="CW273" s="297"/>
      <c r="CX273" s="297"/>
      <c r="CY273" s="297"/>
      <c r="CZ273" s="297"/>
      <c r="DA273" s="297"/>
      <c r="DB273" s="297"/>
      <c r="DC273" s="297"/>
      <c r="DD273" s="297"/>
      <c r="DE273" s="297"/>
      <c r="DF273" s="297"/>
    </row>
    <row r="274" spans="1:110" s="28" customFormat="1" ht="21.75" customHeight="1">
      <c r="A274" s="297"/>
      <c r="B274" s="297"/>
      <c r="C274" s="297"/>
      <c r="D274" s="297"/>
      <c r="E274" s="297"/>
      <c r="F274" s="297"/>
      <c r="G274" s="297"/>
      <c r="H274" s="297"/>
      <c r="I274" s="297"/>
      <c r="J274" s="297"/>
      <c r="K274" s="297"/>
      <c r="L274" s="297"/>
      <c r="M274" s="297"/>
      <c r="N274" s="297"/>
      <c r="O274" s="297"/>
      <c r="P274" s="297"/>
      <c r="Q274" s="297"/>
      <c r="R274" s="297"/>
      <c r="S274" s="297"/>
      <c r="T274" s="297"/>
      <c r="U274" s="297"/>
      <c r="V274" s="297"/>
      <c r="W274" s="297"/>
      <c r="X274" s="297"/>
      <c r="Y274" s="297"/>
      <c r="Z274" s="297"/>
      <c r="AA274" s="297"/>
      <c r="AB274" s="297"/>
      <c r="AC274" s="297"/>
      <c r="AD274" s="297"/>
      <c r="AE274" s="297"/>
      <c r="AF274" s="297"/>
      <c r="AG274" s="297"/>
      <c r="AH274" s="297"/>
      <c r="AI274" s="297"/>
      <c r="AJ274" s="297"/>
      <c r="AK274" s="297"/>
      <c r="AL274" s="297"/>
      <c r="AM274" s="297"/>
      <c r="AN274" s="297"/>
      <c r="AO274" s="297"/>
      <c r="AP274" s="297"/>
      <c r="AQ274" s="297"/>
      <c r="AR274" s="297"/>
      <c r="AS274" s="297"/>
      <c r="AT274" s="297"/>
      <c r="AU274" s="297"/>
      <c r="AV274" s="297"/>
      <c r="AW274" s="297"/>
      <c r="AX274" s="297"/>
      <c r="AY274" s="443"/>
      <c r="AZ274" s="297"/>
      <c r="BA274" s="297"/>
      <c r="BB274" s="297"/>
      <c r="BC274" s="297"/>
      <c r="BD274" s="297"/>
      <c r="BE274" s="297"/>
      <c r="BF274" s="297"/>
      <c r="BG274" s="297"/>
      <c r="BH274" s="297"/>
      <c r="BI274" s="297"/>
      <c r="BJ274" s="297"/>
      <c r="BK274" s="297"/>
      <c r="BL274" s="297"/>
      <c r="BM274" s="297"/>
      <c r="BN274" s="297"/>
      <c r="BO274" s="297"/>
      <c r="BP274" s="297"/>
      <c r="BQ274" s="297"/>
      <c r="BR274" s="297"/>
      <c r="BS274" s="297"/>
      <c r="BT274" s="297"/>
      <c r="BU274" s="297"/>
      <c r="BV274" s="297"/>
      <c r="BW274" s="297"/>
      <c r="BX274" s="297"/>
      <c r="BY274" s="297"/>
      <c r="BZ274" s="297"/>
      <c r="CA274" s="297"/>
      <c r="CB274" s="297"/>
      <c r="CC274" s="297"/>
      <c r="CD274" s="297"/>
      <c r="CE274" s="297"/>
      <c r="CF274" s="297"/>
      <c r="CG274" s="297"/>
      <c r="CH274" s="297"/>
      <c r="CI274" s="297"/>
      <c r="CJ274" s="297"/>
      <c r="CK274" s="297"/>
      <c r="CL274" s="297"/>
      <c r="CM274" s="297"/>
      <c r="CN274" s="297"/>
      <c r="CO274" s="297"/>
      <c r="CP274" s="297"/>
      <c r="CQ274" s="297"/>
      <c r="CR274" s="297"/>
      <c r="CS274" s="297"/>
      <c r="CT274" s="297"/>
      <c r="CU274" s="297"/>
      <c r="CV274" s="297"/>
      <c r="CW274" s="297"/>
      <c r="CX274" s="297"/>
      <c r="CY274" s="297"/>
      <c r="CZ274" s="297"/>
      <c r="DA274" s="297"/>
      <c r="DB274" s="297"/>
      <c r="DC274" s="297"/>
      <c r="DD274" s="297"/>
      <c r="DE274" s="297"/>
      <c r="DF274" s="297"/>
    </row>
    <row r="275" spans="1:110" s="28" customFormat="1" ht="21.75" customHeight="1">
      <c r="A275" s="297"/>
      <c r="B275" s="297"/>
      <c r="C275" s="297"/>
      <c r="D275" s="297"/>
      <c r="E275" s="297"/>
      <c r="F275" s="297"/>
      <c r="G275" s="297"/>
      <c r="H275" s="297"/>
      <c r="I275" s="297"/>
      <c r="J275" s="297"/>
      <c r="K275" s="297"/>
      <c r="L275" s="297"/>
      <c r="M275" s="297"/>
      <c r="N275" s="297"/>
      <c r="O275" s="297"/>
      <c r="P275" s="297"/>
      <c r="Q275" s="297"/>
      <c r="R275" s="297"/>
      <c r="S275" s="297"/>
      <c r="T275" s="297"/>
      <c r="U275" s="297"/>
      <c r="V275" s="297"/>
      <c r="W275" s="297"/>
      <c r="X275" s="297"/>
      <c r="Y275" s="297"/>
      <c r="Z275" s="297"/>
      <c r="AA275" s="297"/>
      <c r="AB275" s="297"/>
      <c r="AC275" s="297"/>
      <c r="AD275" s="297"/>
      <c r="AE275" s="297"/>
      <c r="AF275" s="297"/>
      <c r="AG275" s="297"/>
      <c r="AH275" s="297"/>
      <c r="AI275" s="297"/>
      <c r="AJ275" s="297"/>
      <c r="AK275" s="297"/>
      <c r="AL275" s="297"/>
      <c r="AM275" s="297"/>
      <c r="AN275" s="297"/>
      <c r="AO275" s="297"/>
      <c r="AP275" s="297"/>
      <c r="AQ275" s="297"/>
      <c r="AR275" s="297"/>
      <c r="AS275" s="297"/>
      <c r="AT275" s="297"/>
      <c r="AU275" s="297"/>
      <c r="AV275" s="297"/>
      <c r="AW275" s="297"/>
      <c r="AX275" s="297"/>
      <c r="AY275" s="443"/>
      <c r="AZ275" s="297"/>
      <c r="BA275" s="297"/>
      <c r="BB275" s="297"/>
      <c r="BC275" s="297"/>
      <c r="BD275" s="297"/>
      <c r="BE275" s="297"/>
      <c r="BF275" s="297"/>
      <c r="BG275" s="297"/>
      <c r="BH275" s="297"/>
      <c r="BI275" s="297"/>
      <c r="BJ275" s="297"/>
      <c r="BK275" s="297"/>
      <c r="BL275" s="297"/>
      <c r="BM275" s="297"/>
      <c r="BN275" s="297"/>
      <c r="BO275" s="297"/>
      <c r="BP275" s="297"/>
      <c r="BQ275" s="297"/>
      <c r="BR275" s="297"/>
      <c r="BS275" s="297"/>
      <c r="BT275" s="297"/>
      <c r="BU275" s="297"/>
      <c r="BV275" s="297"/>
      <c r="BW275" s="297"/>
      <c r="BX275" s="297"/>
      <c r="BY275" s="297"/>
      <c r="BZ275" s="297"/>
      <c r="CA275" s="297"/>
      <c r="CB275" s="297"/>
      <c r="CC275" s="297"/>
      <c r="CD275" s="297"/>
      <c r="CE275" s="297"/>
      <c r="CF275" s="297"/>
      <c r="CG275" s="297"/>
      <c r="CH275" s="297"/>
      <c r="CI275" s="297"/>
      <c r="CJ275" s="297"/>
      <c r="CK275" s="297"/>
      <c r="CL275" s="297"/>
      <c r="CM275" s="297"/>
      <c r="CN275" s="297"/>
      <c r="CO275" s="297"/>
      <c r="CP275" s="297"/>
      <c r="CQ275" s="297"/>
      <c r="CR275" s="297"/>
      <c r="CS275" s="297"/>
      <c r="CT275" s="297"/>
      <c r="CU275" s="297"/>
      <c r="CV275" s="297"/>
      <c r="CW275" s="297"/>
      <c r="CX275" s="297"/>
      <c r="CY275" s="297"/>
      <c r="CZ275" s="297"/>
      <c r="DA275" s="297"/>
      <c r="DB275" s="297"/>
      <c r="DC275" s="297"/>
      <c r="DD275" s="297"/>
      <c r="DE275" s="297"/>
      <c r="DF275" s="297"/>
    </row>
    <row r="276" spans="1:110" s="28" customFormat="1" ht="21.75" customHeight="1">
      <c r="A276" s="297"/>
      <c r="B276" s="297"/>
      <c r="C276" s="297"/>
      <c r="D276" s="297"/>
      <c r="E276" s="297"/>
      <c r="F276" s="297"/>
      <c r="G276" s="297"/>
      <c r="H276" s="297"/>
      <c r="I276" s="297"/>
      <c r="J276" s="297"/>
      <c r="K276" s="297"/>
      <c r="L276" s="297"/>
      <c r="M276" s="297"/>
      <c r="N276" s="297"/>
      <c r="O276" s="297"/>
      <c r="P276" s="297"/>
      <c r="Q276" s="297"/>
      <c r="R276" s="297"/>
      <c r="S276" s="297"/>
      <c r="T276" s="297"/>
      <c r="U276" s="297"/>
      <c r="V276" s="297"/>
      <c r="W276" s="297"/>
      <c r="X276" s="297"/>
      <c r="Y276" s="297"/>
      <c r="Z276" s="297"/>
      <c r="AA276" s="297"/>
      <c r="AB276" s="297"/>
      <c r="AC276" s="297"/>
      <c r="AD276" s="297"/>
      <c r="AE276" s="297"/>
      <c r="AF276" s="297"/>
      <c r="AG276" s="297"/>
      <c r="AH276" s="297"/>
      <c r="AI276" s="297"/>
      <c r="AJ276" s="297"/>
      <c r="AK276" s="297"/>
      <c r="AL276" s="297"/>
      <c r="AM276" s="297"/>
      <c r="AN276" s="297"/>
      <c r="AO276" s="297"/>
      <c r="AP276" s="297"/>
      <c r="AQ276" s="297"/>
      <c r="AR276" s="297"/>
      <c r="AS276" s="297"/>
      <c r="AT276" s="297"/>
      <c r="AU276" s="297"/>
      <c r="AV276" s="297"/>
      <c r="AW276" s="297"/>
      <c r="AX276" s="297"/>
      <c r="AY276" s="443"/>
      <c r="AZ276" s="297"/>
      <c r="BA276" s="297"/>
      <c r="BB276" s="297"/>
      <c r="BC276" s="297"/>
      <c r="BD276" s="297"/>
      <c r="BE276" s="297"/>
      <c r="BF276" s="297"/>
      <c r="BG276" s="297"/>
      <c r="BH276" s="297"/>
      <c r="BI276" s="297"/>
      <c r="BJ276" s="297"/>
      <c r="BK276" s="297"/>
      <c r="BL276" s="297"/>
      <c r="BM276" s="297"/>
      <c r="BN276" s="297"/>
      <c r="BO276" s="297"/>
      <c r="BP276" s="297"/>
      <c r="BQ276" s="297"/>
      <c r="BR276" s="297"/>
      <c r="BS276" s="297"/>
      <c r="BT276" s="297"/>
      <c r="BU276" s="297"/>
      <c r="BV276" s="297"/>
      <c r="BW276" s="297"/>
      <c r="BX276" s="297"/>
      <c r="BY276" s="297"/>
      <c r="BZ276" s="297"/>
      <c r="CA276" s="297"/>
      <c r="CB276" s="297"/>
      <c r="CC276" s="297"/>
      <c r="CD276" s="297"/>
      <c r="CE276" s="297"/>
      <c r="CF276" s="297"/>
      <c r="CG276" s="297"/>
      <c r="CH276" s="297"/>
      <c r="CI276" s="297"/>
      <c r="CJ276" s="297"/>
      <c r="CK276" s="297"/>
      <c r="CL276" s="297"/>
      <c r="CM276" s="297"/>
      <c r="CN276" s="297"/>
      <c r="CO276" s="297"/>
      <c r="CP276" s="297"/>
      <c r="CQ276" s="297"/>
      <c r="CR276" s="297"/>
      <c r="CS276" s="297"/>
      <c r="CT276" s="297"/>
      <c r="CU276" s="297"/>
      <c r="CV276" s="297"/>
      <c r="CW276" s="297"/>
      <c r="CX276" s="297"/>
      <c r="CY276" s="297"/>
      <c r="CZ276" s="297"/>
      <c r="DA276" s="297"/>
      <c r="DB276" s="297"/>
      <c r="DC276" s="297"/>
      <c r="DD276" s="297"/>
      <c r="DE276" s="297"/>
      <c r="DF276" s="297"/>
    </row>
    <row r="277" spans="1:110" s="28" customFormat="1" ht="21.75" customHeight="1">
      <c r="A277" s="297"/>
      <c r="B277" s="297"/>
      <c r="C277" s="297"/>
      <c r="D277" s="297"/>
      <c r="E277" s="297"/>
      <c r="F277" s="297"/>
      <c r="G277" s="297"/>
      <c r="H277" s="297"/>
      <c r="I277" s="297"/>
      <c r="J277" s="297"/>
      <c r="K277" s="297"/>
      <c r="L277" s="297"/>
      <c r="M277" s="297"/>
      <c r="N277" s="297"/>
      <c r="O277" s="297"/>
      <c r="P277" s="297"/>
      <c r="Q277" s="297"/>
      <c r="R277" s="297"/>
      <c r="S277" s="297"/>
      <c r="T277" s="297"/>
      <c r="U277" s="297"/>
      <c r="V277" s="297"/>
      <c r="W277" s="297"/>
      <c r="X277" s="297"/>
      <c r="Y277" s="297"/>
      <c r="Z277" s="297"/>
      <c r="AA277" s="297"/>
      <c r="AB277" s="297"/>
      <c r="AC277" s="297"/>
      <c r="AD277" s="297"/>
      <c r="AE277" s="297"/>
      <c r="AF277" s="297"/>
      <c r="AG277" s="297"/>
      <c r="AH277" s="297"/>
      <c r="AI277" s="297"/>
      <c r="AJ277" s="297"/>
      <c r="AK277" s="297"/>
      <c r="AL277" s="297"/>
      <c r="AM277" s="297"/>
      <c r="AN277" s="297"/>
      <c r="AO277" s="297"/>
      <c r="AP277" s="297"/>
      <c r="AQ277" s="297"/>
      <c r="AR277" s="297"/>
      <c r="AS277" s="297"/>
      <c r="AT277" s="297"/>
      <c r="AU277" s="297"/>
      <c r="AV277" s="297"/>
      <c r="AW277" s="297"/>
      <c r="AX277" s="297"/>
      <c r="AY277" s="443"/>
      <c r="AZ277" s="297"/>
      <c r="BA277" s="297"/>
      <c r="BB277" s="297"/>
      <c r="BC277" s="297"/>
      <c r="BD277" s="297"/>
      <c r="BE277" s="297"/>
      <c r="BF277" s="297"/>
      <c r="BG277" s="297"/>
      <c r="BH277" s="297"/>
      <c r="BI277" s="297"/>
      <c r="BJ277" s="297"/>
      <c r="BK277" s="297"/>
      <c r="BL277" s="297"/>
      <c r="BM277" s="297"/>
      <c r="BN277" s="297"/>
      <c r="BO277" s="297"/>
      <c r="BP277" s="297"/>
      <c r="BQ277" s="297"/>
      <c r="BR277" s="297"/>
      <c r="BS277" s="297"/>
      <c r="BT277" s="297"/>
      <c r="BU277" s="297"/>
      <c r="BV277" s="297"/>
      <c r="BW277" s="297"/>
      <c r="BX277" s="297"/>
      <c r="BY277" s="297"/>
      <c r="BZ277" s="297"/>
      <c r="CA277" s="297"/>
      <c r="CB277" s="297"/>
      <c r="CC277" s="297"/>
      <c r="CD277" s="297"/>
      <c r="CE277" s="297"/>
      <c r="CF277" s="297"/>
      <c r="CG277" s="297"/>
      <c r="CH277" s="297"/>
      <c r="CI277" s="297"/>
      <c r="CJ277" s="297"/>
      <c r="CK277" s="297"/>
      <c r="CL277" s="297"/>
      <c r="CM277" s="297"/>
      <c r="CN277" s="297"/>
      <c r="CO277" s="297"/>
      <c r="CP277" s="297"/>
      <c r="CQ277" s="297"/>
      <c r="CR277" s="297"/>
      <c r="CS277" s="297"/>
      <c r="CT277" s="297"/>
      <c r="CU277" s="297"/>
      <c r="CV277" s="297"/>
      <c r="CW277" s="297"/>
      <c r="CX277" s="297"/>
      <c r="CY277" s="297"/>
      <c r="CZ277" s="297"/>
      <c r="DA277" s="297"/>
      <c r="DB277" s="297"/>
      <c r="DC277" s="297"/>
      <c r="DD277" s="297"/>
      <c r="DE277" s="297"/>
      <c r="DF277" s="297"/>
    </row>
    <row r="278" spans="1:110" s="28" customFormat="1" ht="21.75" customHeight="1">
      <c r="A278" s="297"/>
      <c r="B278" s="297"/>
      <c r="C278" s="297"/>
      <c r="D278" s="297"/>
      <c r="E278" s="297"/>
      <c r="F278" s="297"/>
      <c r="G278" s="297"/>
      <c r="H278" s="297"/>
      <c r="I278" s="297"/>
      <c r="J278" s="297"/>
      <c r="K278" s="297"/>
      <c r="L278" s="297"/>
      <c r="M278" s="297"/>
      <c r="N278" s="297"/>
      <c r="O278" s="297"/>
      <c r="P278" s="297"/>
      <c r="Q278" s="297"/>
      <c r="R278" s="297"/>
      <c r="S278" s="297"/>
      <c r="T278" s="297"/>
      <c r="U278" s="297"/>
      <c r="V278" s="297"/>
      <c r="W278" s="297"/>
      <c r="X278" s="297"/>
      <c r="Y278" s="297"/>
      <c r="Z278" s="297"/>
      <c r="AA278" s="297"/>
      <c r="AB278" s="297"/>
      <c r="AC278" s="297"/>
      <c r="AD278" s="297"/>
      <c r="AE278" s="297"/>
      <c r="AF278" s="297"/>
      <c r="AG278" s="297"/>
      <c r="AH278" s="297"/>
      <c r="AI278" s="297"/>
      <c r="AJ278" s="297"/>
      <c r="AK278" s="297"/>
      <c r="AL278" s="297"/>
      <c r="AM278" s="297"/>
      <c r="AN278" s="297"/>
      <c r="AO278" s="297"/>
      <c r="AP278" s="297"/>
      <c r="AQ278" s="297"/>
      <c r="AR278" s="297"/>
      <c r="AS278" s="297"/>
      <c r="AT278" s="297"/>
      <c r="AU278" s="297"/>
      <c r="AV278" s="297"/>
      <c r="AW278" s="297"/>
      <c r="AX278" s="297"/>
      <c r="AY278" s="443"/>
      <c r="AZ278" s="297"/>
      <c r="BA278" s="297"/>
      <c r="BB278" s="297"/>
      <c r="BC278" s="297"/>
      <c r="BD278" s="297"/>
      <c r="BE278" s="297"/>
      <c r="BF278" s="297"/>
      <c r="BG278" s="297"/>
      <c r="BH278" s="297"/>
      <c r="BI278" s="297"/>
      <c r="BJ278" s="297"/>
      <c r="BK278" s="297"/>
      <c r="BL278" s="297"/>
      <c r="BM278" s="297"/>
      <c r="BN278" s="297"/>
      <c r="BO278" s="297"/>
      <c r="BP278" s="297"/>
      <c r="BQ278" s="297"/>
      <c r="BR278" s="297"/>
      <c r="BS278" s="297"/>
      <c r="BT278" s="297"/>
      <c r="BU278" s="297"/>
      <c r="BV278" s="297"/>
      <c r="BW278" s="297"/>
      <c r="BX278" s="297"/>
      <c r="BY278" s="297"/>
      <c r="BZ278" s="297"/>
      <c r="CA278" s="297"/>
      <c r="CB278" s="297"/>
      <c r="CC278" s="297"/>
      <c r="CD278" s="297"/>
      <c r="CE278" s="297"/>
      <c r="CF278" s="297"/>
      <c r="CG278" s="297"/>
      <c r="CH278" s="297"/>
      <c r="CI278" s="297"/>
      <c r="CJ278" s="297"/>
      <c r="CK278" s="297"/>
      <c r="CL278" s="297"/>
      <c r="CM278" s="297"/>
      <c r="CN278" s="297"/>
      <c r="CO278" s="297"/>
      <c r="CP278" s="297"/>
      <c r="CQ278" s="297"/>
      <c r="CR278" s="297"/>
      <c r="CS278" s="297"/>
      <c r="CT278" s="297"/>
      <c r="CU278" s="297"/>
      <c r="CV278" s="297"/>
      <c r="CW278" s="297"/>
      <c r="CX278" s="297"/>
      <c r="CY278" s="297"/>
      <c r="CZ278" s="297"/>
      <c r="DA278" s="297"/>
      <c r="DB278" s="297"/>
      <c r="DC278" s="297"/>
      <c r="DD278" s="297"/>
      <c r="DE278" s="297"/>
      <c r="DF278" s="297"/>
    </row>
    <row r="279" spans="1:110" s="28" customFormat="1" ht="21.75" customHeight="1">
      <c r="A279" s="297"/>
      <c r="B279" s="297"/>
      <c r="C279" s="297"/>
      <c r="D279" s="297"/>
      <c r="E279" s="297"/>
      <c r="F279" s="297"/>
      <c r="G279" s="297"/>
      <c r="H279" s="297"/>
      <c r="I279" s="297"/>
      <c r="J279" s="297"/>
      <c r="K279" s="297"/>
      <c r="L279" s="297"/>
      <c r="M279" s="297"/>
      <c r="N279" s="297"/>
      <c r="O279" s="297"/>
      <c r="P279" s="297"/>
      <c r="Q279" s="297"/>
      <c r="R279" s="297"/>
      <c r="S279" s="297"/>
      <c r="T279" s="297"/>
      <c r="U279" s="297"/>
      <c r="V279" s="297"/>
      <c r="W279" s="297"/>
      <c r="X279" s="297"/>
      <c r="Y279" s="297"/>
      <c r="Z279" s="297"/>
      <c r="AA279" s="297"/>
      <c r="AB279" s="297"/>
      <c r="AC279" s="297"/>
      <c r="AD279" s="297"/>
      <c r="AE279" s="297"/>
      <c r="AF279" s="297"/>
      <c r="AG279" s="297"/>
      <c r="AH279" s="297"/>
      <c r="AI279" s="297"/>
      <c r="AJ279" s="297"/>
      <c r="AK279" s="297"/>
      <c r="AL279" s="297"/>
      <c r="AM279" s="297"/>
      <c r="AN279" s="297"/>
      <c r="AO279" s="297"/>
      <c r="AP279" s="297"/>
      <c r="AQ279" s="297"/>
      <c r="AR279" s="297"/>
      <c r="AS279" s="297"/>
      <c r="AT279" s="297"/>
      <c r="AU279" s="297"/>
      <c r="AV279" s="297"/>
      <c r="AW279" s="297"/>
      <c r="AX279" s="297"/>
      <c r="AY279" s="443"/>
      <c r="AZ279" s="297"/>
      <c r="BA279" s="297"/>
      <c r="BB279" s="297"/>
      <c r="BC279" s="297"/>
      <c r="BD279" s="297"/>
      <c r="BE279" s="297"/>
      <c r="BF279" s="297"/>
      <c r="BG279" s="297"/>
      <c r="BH279" s="297"/>
      <c r="BI279" s="297"/>
      <c r="BJ279" s="297"/>
      <c r="BK279" s="297"/>
      <c r="BL279" s="297"/>
      <c r="BM279" s="297"/>
      <c r="BN279" s="297"/>
      <c r="BO279" s="297"/>
      <c r="BP279" s="297"/>
      <c r="BQ279" s="297"/>
      <c r="BR279" s="297"/>
      <c r="BS279" s="297"/>
      <c r="BT279" s="297"/>
      <c r="BU279" s="297"/>
      <c r="BV279" s="297"/>
      <c r="BW279" s="297"/>
      <c r="BX279" s="297"/>
      <c r="BY279" s="297"/>
      <c r="BZ279" s="297"/>
      <c r="CA279" s="297"/>
      <c r="CB279" s="297"/>
      <c r="CC279" s="297"/>
      <c r="CD279" s="297"/>
      <c r="CE279" s="297"/>
      <c r="CF279" s="297"/>
      <c r="CG279" s="297"/>
      <c r="CH279" s="297"/>
      <c r="CI279" s="297"/>
      <c r="CJ279" s="297"/>
      <c r="CK279" s="297"/>
      <c r="CL279" s="297"/>
      <c r="CM279" s="297"/>
      <c r="CN279" s="297"/>
      <c r="CO279" s="297"/>
      <c r="CP279" s="297"/>
      <c r="CQ279" s="297"/>
      <c r="CR279" s="297"/>
      <c r="CS279" s="297"/>
      <c r="CT279" s="297"/>
      <c r="CU279" s="297"/>
      <c r="CV279" s="297"/>
      <c r="CW279" s="297"/>
      <c r="CX279" s="297"/>
      <c r="CY279" s="297"/>
      <c r="CZ279" s="297"/>
      <c r="DA279" s="297"/>
      <c r="DB279" s="297"/>
      <c r="DC279" s="297"/>
      <c r="DD279" s="297"/>
      <c r="DE279" s="297"/>
      <c r="DF279" s="297"/>
    </row>
    <row r="280" spans="1:110" s="28" customFormat="1" ht="21.75" customHeight="1">
      <c r="A280" s="297"/>
      <c r="B280" s="297"/>
      <c r="C280" s="297"/>
      <c r="D280" s="297"/>
      <c r="E280" s="297"/>
      <c r="F280" s="297"/>
      <c r="G280" s="297"/>
      <c r="H280" s="297"/>
      <c r="I280" s="297"/>
      <c r="J280" s="297"/>
      <c r="K280" s="297"/>
      <c r="L280" s="297"/>
      <c r="M280" s="297"/>
      <c r="N280" s="297"/>
      <c r="O280" s="297"/>
      <c r="P280" s="297"/>
      <c r="Q280" s="297"/>
      <c r="R280" s="297"/>
      <c r="S280" s="297"/>
      <c r="T280" s="297"/>
      <c r="U280" s="297"/>
      <c r="V280" s="297"/>
      <c r="W280" s="297"/>
      <c r="X280" s="297"/>
      <c r="Y280" s="297"/>
      <c r="Z280" s="297"/>
      <c r="AA280" s="297"/>
      <c r="AB280" s="297"/>
      <c r="AC280" s="297"/>
      <c r="AD280" s="297"/>
      <c r="AE280" s="297"/>
      <c r="AF280" s="297"/>
      <c r="AG280" s="297"/>
      <c r="AH280" s="297"/>
      <c r="AI280" s="297"/>
      <c r="AJ280" s="297"/>
      <c r="AK280" s="297"/>
      <c r="AL280" s="297"/>
      <c r="AM280" s="297"/>
      <c r="AN280" s="297"/>
      <c r="AO280" s="297"/>
      <c r="AP280" s="297"/>
      <c r="AQ280" s="297"/>
      <c r="AR280" s="297"/>
      <c r="AS280" s="297"/>
      <c r="AT280" s="297"/>
      <c r="AU280" s="297"/>
      <c r="AV280" s="297"/>
      <c r="AW280" s="297"/>
      <c r="AX280" s="297"/>
      <c r="AY280" s="443"/>
      <c r="AZ280" s="297"/>
      <c r="BA280" s="297"/>
      <c r="BB280" s="297"/>
      <c r="BC280" s="297"/>
      <c r="BD280" s="297"/>
      <c r="BE280" s="297"/>
      <c r="BF280" s="297"/>
      <c r="BG280" s="297"/>
      <c r="BH280" s="297"/>
      <c r="BI280" s="297"/>
      <c r="BJ280" s="297"/>
      <c r="BK280" s="297"/>
      <c r="BL280" s="297"/>
      <c r="BM280" s="297"/>
      <c r="BN280" s="297"/>
      <c r="BO280" s="297"/>
      <c r="BP280" s="297"/>
      <c r="BQ280" s="297"/>
      <c r="BR280" s="297"/>
      <c r="BS280" s="297"/>
      <c r="BT280" s="297"/>
      <c r="BU280" s="297"/>
      <c r="BV280" s="297"/>
      <c r="BW280" s="297"/>
      <c r="BX280" s="297"/>
      <c r="BY280" s="297"/>
      <c r="BZ280" s="297"/>
      <c r="CA280" s="297"/>
      <c r="CB280" s="297"/>
      <c r="CC280" s="297"/>
      <c r="CD280" s="297"/>
      <c r="CE280" s="297"/>
      <c r="CF280" s="297"/>
      <c r="CG280" s="297"/>
      <c r="CH280" s="297"/>
      <c r="CI280" s="297"/>
      <c r="CJ280" s="297"/>
      <c r="CK280" s="297"/>
      <c r="CL280" s="297"/>
      <c r="CM280" s="297"/>
      <c r="CN280" s="297"/>
      <c r="CO280" s="297"/>
      <c r="CP280" s="297"/>
      <c r="CQ280" s="297"/>
      <c r="CR280" s="297"/>
      <c r="CS280" s="297"/>
      <c r="CT280" s="297"/>
      <c r="CU280" s="297"/>
      <c r="CV280" s="297"/>
      <c r="CW280" s="297"/>
      <c r="CX280" s="297"/>
      <c r="CY280" s="297"/>
      <c r="CZ280" s="297"/>
      <c r="DA280" s="297"/>
      <c r="DB280" s="297"/>
      <c r="DC280" s="297"/>
      <c r="DD280" s="297"/>
      <c r="DE280" s="297"/>
      <c r="DF280" s="297"/>
    </row>
    <row r="281" spans="1:110" s="28" customFormat="1" ht="21.75" customHeight="1">
      <c r="A281" s="297"/>
      <c r="B281" s="297"/>
      <c r="C281" s="297"/>
      <c r="D281" s="297"/>
      <c r="E281" s="297"/>
      <c r="F281" s="297"/>
      <c r="G281" s="297"/>
      <c r="H281" s="297"/>
      <c r="I281" s="297"/>
      <c r="J281" s="297"/>
      <c r="K281" s="297"/>
      <c r="L281" s="297"/>
      <c r="M281" s="297"/>
      <c r="N281" s="297"/>
      <c r="O281" s="297"/>
      <c r="P281" s="297"/>
      <c r="Q281" s="297"/>
      <c r="R281" s="297"/>
      <c r="S281" s="297"/>
      <c r="T281" s="297"/>
      <c r="U281" s="297"/>
      <c r="V281" s="297"/>
      <c r="W281" s="297"/>
      <c r="X281" s="297"/>
      <c r="Y281" s="297"/>
      <c r="Z281" s="297"/>
      <c r="AA281" s="297"/>
      <c r="AB281" s="297"/>
      <c r="AC281" s="297"/>
      <c r="AD281" s="297"/>
      <c r="AE281" s="297"/>
      <c r="AF281" s="297"/>
      <c r="AG281" s="297"/>
      <c r="AH281" s="297"/>
      <c r="AI281" s="297"/>
      <c r="AJ281" s="297"/>
      <c r="AK281" s="297"/>
      <c r="AL281" s="297"/>
      <c r="AM281" s="297"/>
      <c r="AN281" s="297"/>
      <c r="AO281" s="297"/>
      <c r="AP281" s="297"/>
      <c r="AQ281" s="297"/>
      <c r="AR281" s="297"/>
      <c r="AS281" s="297"/>
      <c r="AT281" s="297"/>
      <c r="AU281" s="297"/>
      <c r="AV281" s="297"/>
      <c r="AW281" s="297"/>
      <c r="AX281" s="297"/>
      <c r="AY281" s="443"/>
      <c r="AZ281" s="297"/>
      <c r="BA281" s="297"/>
      <c r="BB281" s="297"/>
      <c r="BC281" s="297"/>
      <c r="BD281" s="297"/>
      <c r="BE281" s="297"/>
      <c r="BF281" s="297"/>
      <c r="BG281" s="297"/>
      <c r="BH281" s="297"/>
      <c r="BI281" s="297"/>
      <c r="BJ281" s="297"/>
      <c r="BK281" s="297"/>
      <c r="BL281" s="297"/>
      <c r="BM281" s="297"/>
      <c r="BN281" s="297"/>
      <c r="BO281" s="297"/>
      <c r="BP281" s="297"/>
      <c r="BQ281" s="297"/>
      <c r="BR281" s="297"/>
      <c r="BS281" s="297"/>
      <c r="BT281" s="297"/>
      <c r="BU281" s="297"/>
      <c r="BV281" s="297"/>
      <c r="BW281" s="297"/>
      <c r="BX281" s="297"/>
      <c r="BY281" s="297"/>
      <c r="BZ281" s="297"/>
      <c r="CA281" s="297"/>
      <c r="CB281" s="297"/>
      <c r="CC281" s="297"/>
      <c r="CD281" s="297"/>
      <c r="CE281" s="297"/>
      <c r="CF281" s="297"/>
      <c r="CG281" s="297"/>
      <c r="CH281" s="297"/>
      <c r="CI281" s="297"/>
      <c r="CJ281" s="297"/>
      <c r="CK281" s="297"/>
      <c r="CL281" s="297"/>
      <c r="CM281" s="297"/>
      <c r="CN281" s="297"/>
      <c r="CO281" s="297"/>
      <c r="CP281" s="297"/>
      <c r="CQ281" s="297"/>
      <c r="CR281" s="297"/>
      <c r="CS281" s="297"/>
      <c r="CT281" s="297"/>
      <c r="CU281" s="297"/>
      <c r="CV281" s="297"/>
      <c r="CW281" s="297"/>
      <c r="CX281" s="297"/>
      <c r="CY281" s="297"/>
      <c r="CZ281" s="297"/>
      <c r="DA281" s="297"/>
      <c r="DB281" s="297"/>
      <c r="DC281" s="297"/>
      <c r="DD281" s="297"/>
      <c r="DE281" s="297"/>
      <c r="DF281" s="297"/>
    </row>
    <row r="282" spans="1:110" s="28" customFormat="1" ht="21.75" customHeight="1">
      <c r="A282" s="297"/>
      <c r="B282" s="297"/>
      <c r="C282" s="297"/>
      <c r="D282" s="297"/>
      <c r="E282" s="297"/>
      <c r="F282" s="297"/>
      <c r="G282" s="297"/>
      <c r="H282" s="297"/>
      <c r="I282" s="297"/>
      <c r="J282" s="297"/>
      <c r="K282" s="297"/>
      <c r="L282" s="297"/>
      <c r="M282" s="297"/>
      <c r="N282" s="297"/>
      <c r="O282" s="297"/>
      <c r="P282" s="297"/>
      <c r="Q282" s="297"/>
      <c r="R282" s="297"/>
      <c r="S282" s="297"/>
      <c r="T282" s="297"/>
      <c r="U282" s="297"/>
      <c r="V282" s="297"/>
      <c r="W282" s="297"/>
      <c r="X282" s="297"/>
      <c r="Y282" s="297"/>
      <c r="Z282" s="297"/>
      <c r="AA282" s="297"/>
      <c r="AB282" s="297"/>
      <c r="AC282" s="297"/>
      <c r="AD282" s="297"/>
      <c r="AE282" s="297"/>
      <c r="AF282" s="297"/>
      <c r="AG282" s="297"/>
      <c r="AH282" s="297"/>
      <c r="AI282" s="297"/>
      <c r="AJ282" s="297"/>
      <c r="AK282" s="297"/>
      <c r="AL282" s="297"/>
      <c r="AM282" s="297"/>
      <c r="AN282" s="297"/>
      <c r="AO282" s="297"/>
      <c r="AP282" s="297"/>
      <c r="AQ282" s="297"/>
      <c r="AR282" s="297"/>
      <c r="AS282" s="297"/>
      <c r="AT282" s="297"/>
      <c r="AU282" s="297"/>
      <c r="AV282" s="297"/>
      <c r="AW282" s="297"/>
      <c r="AX282" s="297"/>
      <c r="AY282" s="443"/>
      <c r="AZ282" s="297"/>
      <c r="BA282" s="297"/>
      <c r="BB282" s="297"/>
      <c r="BC282" s="297"/>
      <c r="BD282" s="297"/>
      <c r="BE282" s="297"/>
      <c r="BF282" s="297"/>
      <c r="BG282" s="297"/>
      <c r="BH282" s="297"/>
      <c r="BI282" s="297"/>
      <c r="BJ282" s="297"/>
      <c r="BK282" s="297"/>
      <c r="BL282" s="297"/>
      <c r="BM282" s="297"/>
      <c r="BN282" s="297"/>
      <c r="BO282" s="297"/>
      <c r="BP282" s="297"/>
      <c r="BQ282" s="297"/>
      <c r="BR282" s="297"/>
      <c r="BS282" s="297"/>
      <c r="BT282" s="297"/>
      <c r="BU282" s="297"/>
      <c r="BV282" s="297"/>
      <c r="BW282" s="297"/>
      <c r="BX282" s="297"/>
      <c r="BY282" s="297"/>
      <c r="BZ282" s="297"/>
      <c r="CA282" s="297"/>
      <c r="CB282" s="297"/>
      <c r="CC282" s="297"/>
      <c r="CD282" s="297"/>
      <c r="CE282" s="297"/>
      <c r="CF282" s="297"/>
      <c r="CG282" s="297"/>
      <c r="CH282" s="297"/>
      <c r="CI282" s="297"/>
      <c r="CJ282" s="297"/>
      <c r="CK282" s="297"/>
      <c r="CL282" s="297"/>
      <c r="CM282" s="297"/>
      <c r="CN282" s="297"/>
      <c r="CO282" s="297"/>
      <c r="CP282" s="297"/>
      <c r="CQ282" s="297"/>
      <c r="CR282" s="297"/>
      <c r="CS282" s="297"/>
      <c r="CT282" s="297"/>
      <c r="CU282" s="297"/>
      <c r="CV282" s="297"/>
      <c r="CW282" s="297"/>
      <c r="CX282" s="297"/>
      <c r="CY282" s="297"/>
      <c r="CZ282" s="297"/>
      <c r="DA282" s="297"/>
      <c r="DB282" s="297"/>
      <c r="DC282" s="297"/>
      <c r="DD282" s="297"/>
      <c r="DE282" s="297"/>
      <c r="DF282" s="297"/>
    </row>
  </sheetData>
  <autoFilter ref="A2:AX257" xr:uid="{00000000-0009-0000-0000-000000000000}"/>
  <mergeCells count="12">
    <mergeCell ref="L17:AA17"/>
    <mergeCell ref="W19:AA19"/>
    <mergeCell ref="W8:AA8"/>
    <mergeCell ref="W9:AA9"/>
    <mergeCell ref="W10:AA10"/>
    <mergeCell ref="W12:AA12"/>
    <mergeCell ref="W16:AA16"/>
    <mergeCell ref="W3:AA3"/>
    <mergeCell ref="W4:AA4"/>
    <mergeCell ref="W5:AA5"/>
    <mergeCell ref="W6:AA6"/>
    <mergeCell ref="W7:AA7"/>
  </mergeCells>
  <phoneticPr fontId="5" type="noConversion"/>
  <conditionalFormatting sqref="C39">
    <cfRule type="duplicateValues" dxfId="6" priority="1"/>
  </conditionalFormatting>
  <dataValidations count="1">
    <dataValidation type="list" allowBlank="1" showInputMessage="1" showErrorMessage="1" sqref="U2 S3:U3 M15 Q15 O16 U41 O54 Q55 O57 Q58 Q60 N62 P62:R62 N100:P100 R100 N106 P106:R106 O111 Q112 M114:R114 N120 P120:R120 M127:R127 N133 P133:R133 O136 Q136:R136 T139:U139 S153:U153 T158:U158 F208 N223:O223 Q223:R223 F2:F12 F14:F21 F23:F31 F33:F35 F38:F40 F108:F109 F190:F191 F283:F1048576 M18:M19 M68:M98 M136:M176 M202:M207 M223:M256 N15:N16 N18:N20 N44:N52 N54:N60 N67:N98 N103:N104 N108:N112 N123:N124 O68:O98 O202:O207 P15:P16 P54:P60 P108:P112 Q108:Q110 Q202:Q205 R54:R60 R108:R112 R202:R207 S59:S60 S137:S144 S146:S150 S154:S158 T101:T138 U29:U31 U101:U124 U126:U127 U194:U201 U204:U207 S167:U184 S223:U250 T186:U188 S151:T152 T148:U149 S61:U65 T44:U52 S67:U99 P44:R52 P67:R98 P103:R104 P123:R124 P18:U20 S5:U10 R15:U16 S159:U165 S190:U193 S195:T201 S203:T207 M283:U1048576" xr:uid="{00000000-0002-0000-0000-000000000000}">
      <formula1>#REF!</formula1>
    </dataValidation>
  </dataValidations>
  <pageMargins left="0.18" right="0.2" top="0.74803149606299202" bottom="0.74803149606299202" header="0.31496062992126" footer="0.31496062992126"/>
  <pageSetup paperSize="9"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633"/>
  <sheetViews>
    <sheetView tabSelected="1" workbookViewId="0">
      <pane xSplit="12" ySplit="7" topLeftCell="AX444" activePane="bottomRight" state="frozen"/>
      <selection pane="topRight"/>
      <selection pane="bottomLeft"/>
      <selection pane="bottomRight" activeCell="BC447" sqref="BC447"/>
    </sheetView>
  </sheetViews>
  <sheetFormatPr defaultColWidth="9.88671875" defaultRowHeight="33" customHeight="1"/>
  <cols>
    <col min="1" max="1" width="9.77734375" style="2" customWidth="1"/>
    <col min="2" max="2" width="12.77734375" style="1" customWidth="1"/>
    <col min="3" max="3" width="10.77734375" style="28" customWidth="1"/>
    <col min="4" max="4" width="21.6640625" style="2" customWidth="1"/>
    <col min="5" max="5" width="5.88671875" style="1" customWidth="1"/>
    <col min="6" max="6" width="8.44140625" style="1" customWidth="1"/>
    <col min="7" max="7" width="8.21875" style="1" customWidth="1"/>
    <col min="8" max="8" width="8.88671875" style="1" customWidth="1"/>
    <col min="9" max="9" width="7.33203125" style="202" customWidth="1"/>
    <col min="10" max="10" width="8.77734375" style="202" customWidth="1"/>
    <col min="11" max="11" width="11.5546875" style="203" customWidth="1"/>
    <col min="12" max="12" width="0.109375" style="2" customWidth="1"/>
    <col min="13" max="13" width="10.6640625" style="28" hidden="1" customWidth="1"/>
    <col min="14" max="14" width="10.44140625" style="204" hidden="1" customWidth="1"/>
    <col min="15" max="22" width="9.88671875" style="202" hidden="1" customWidth="1"/>
    <col min="23" max="24" width="9.88671875" style="2" hidden="1" customWidth="1"/>
    <col min="25" max="27" width="9.88671875" style="205" hidden="1" customWidth="1"/>
    <col min="28" max="35" width="9.88671875" style="2" hidden="1" customWidth="1"/>
    <col min="36" max="36" width="5.21875" style="2" customWidth="1"/>
    <col min="37" max="37" width="11.33203125" style="2" customWidth="1"/>
    <col min="38" max="38" width="6.6640625" style="2" customWidth="1"/>
    <col min="39" max="39" width="49.77734375" style="2" customWidth="1"/>
    <col min="40" max="40" width="13.109375" style="204" bestFit="1" customWidth="1"/>
    <col min="41" max="41" width="8.77734375" style="1" customWidth="1"/>
    <col min="42" max="42" width="8" style="1" customWidth="1"/>
    <col min="43" max="43" width="7.33203125" style="206" customWidth="1"/>
    <col min="44" max="44" width="9.88671875" style="207" customWidth="1"/>
    <col min="45" max="45" width="9" style="207" customWidth="1"/>
    <col min="46" max="46" width="8.6640625" style="65" customWidth="1"/>
    <col min="47" max="47" width="7.44140625" style="206" customWidth="1"/>
    <col min="48" max="48" width="7.77734375" style="208" customWidth="1"/>
    <col min="49" max="49" width="6" style="206" hidden="1" customWidth="1"/>
    <col min="50" max="50" width="8.109375" style="2" customWidth="1"/>
    <col min="51" max="51" width="8.77734375" style="2" customWidth="1"/>
    <col min="52" max="52" width="10" style="209" customWidth="1"/>
    <col min="53" max="53" width="9.88671875" style="65"/>
    <col min="54" max="54" width="8.21875" style="95" customWidth="1"/>
    <col min="55" max="55" width="9.88671875" style="210"/>
    <col min="56" max="56" width="9.88671875" style="208"/>
    <col min="57" max="57" width="9.88671875" style="207"/>
    <col min="58" max="58" width="9.88671875" style="211"/>
    <col min="59" max="59" width="9.88671875" style="207"/>
    <col min="60" max="16384" width="9.88671875" style="2"/>
  </cols>
  <sheetData>
    <row r="1" spans="1:59" ht="33" customHeight="1">
      <c r="A1" s="212"/>
      <c r="B1" s="213"/>
      <c r="C1" s="212"/>
      <c r="D1" s="214" t="s">
        <v>0</v>
      </c>
      <c r="E1" s="213"/>
      <c r="F1" s="213"/>
      <c r="G1" s="213"/>
      <c r="H1" s="213"/>
      <c r="I1" s="227"/>
      <c r="J1" s="227"/>
      <c r="K1" s="228"/>
      <c r="L1" s="212"/>
      <c r="M1" s="229"/>
      <c r="N1" s="230"/>
      <c r="O1" s="231"/>
      <c r="P1" s="231"/>
      <c r="Q1" s="231"/>
      <c r="R1" s="251" t="s">
        <v>1</v>
      </c>
      <c r="S1" s="231"/>
      <c r="T1" s="231"/>
      <c r="U1" s="231"/>
      <c r="V1" s="231"/>
      <c r="W1" s="229"/>
      <c r="X1" s="229"/>
      <c r="Y1" s="256"/>
      <c r="Z1" s="256"/>
      <c r="AA1" s="256"/>
      <c r="AB1" s="63"/>
      <c r="AC1" s="63"/>
      <c r="AD1" s="63"/>
      <c r="AE1" s="63"/>
      <c r="AF1" s="257" t="s">
        <v>2</v>
      </c>
      <c r="AG1" s="257"/>
      <c r="AH1" s="63"/>
      <c r="AI1" s="63"/>
      <c r="AJ1" s="63"/>
      <c r="AK1" s="63"/>
      <c r="AL1" s="63"/>
      <c r="AM1" s="63"/>
      <c r="AN1" s="265"/>
      <c r="AR1" s="268"/>
      <c r="AS1" s="268"/>
      <c r="AT1" s="269" t="s">
        <v>3</v>
      </c>
      <c r="AU1" s="270"/>
      <c r="AV1" s="271"/>
      <c r="AW1" s="280"/>
      <c r="AX1" s="281"/>
      <c r="AY1" s="282" t="s">
        <v>4</v>
      </c>
      <c r="AZ1" s="283"/>
      <c r="BA1" s="283"/>
      <c r="BB1" s="284"/>
      <c r="BC1" s="285" t="s">
        <v>1260</v>
      </c>
      <c r="BD1" s="284"/>
    </row>
    <row r="2" spans="1:59" ht="33" customHeight="1">
      <c r="A2" s="3" t="s">
        <v>8</v>
      </c>
      <c r="B2" s="3" t="s">
        <v>10</v>
      </c>
      <c r="C2" s="3" t="s">
        <v>9</v>
      </c>
      <c r="D2" s="3" t="s">
        <v>11</v>
      </c>
      <c r="E2" s="215" t="s">
        <v>12</v>
      </c>
      <c r="F2" s="96" t="s">
        <v>13</v>
      </c>
      <c r="G2" s="216" t="s">
        <v>1261</v>
      </c>
      <c r="H2" s="37" t="s">
        <v>1262</v>
      </c>
      <c r="I2" s="232" t="s">
        <v>14</v>
      </c>
      <c r="J2" s="233" t="s">
        <v>15</v>
      </c>
      <c r="K2" s="234" t="s">
        <v>16</v>
      </c>
      <c r="L2" s="98" t="s">
        <v>17</v>
      </c>
      <c r="M2" s="98" t="s">
        <v>18</v>
      </c>
      <c r="N2" s="235" t="s">
        <v>19</v>
      </c>
      <c r="O2" s="236" t="s">
        <v>20</v>
      </c>
      <c r="P2" s="236" t="s">
        <v>21</v>
      </c>
      <c r="Q2" s="236" t="s">
        <v>1263</v>
      </c>
      <c r="R2" s="236" t="s">
        <v>22</v>
      </c>
      <c r="S2" s="236" t="s">
        <v>23</v>
      </c>
      <c r="T2" s="236" t="s">
        <v>1264</v>
      </c>
      <c r="U2" s="236" t="s">
        <v>24</v>
      </c>
      <c r="V2" s="236" t="s">
        <v>25</v>
      </c>
      <c r="W2" s="252" t="s">
        <v>26</v>
      </c>
      <c r="X2" s="253" t="s">
        <v>27</v>
      </c>
      <c r="Y2" s="258" t="s">
        <v>28</v>
      </c>
      <c r="Z2" s="5" t="s">
        <v>1265</v>
      </c>
      <c r="AA2" s="259" t="s">
        <v>29</v>
      </c>
      <c r="AB2" s="260" t="s">
        <v>30</v>
      </c>
      <c r="AC2" s="260" t="s">
        <v>31</v>
      </c>
      <c r="AD2" s="260" t="s">
        <v>1266</v>
      </c>
      <c r="AE2" s="260" t="s">
        <v>32</v>
      </c>
      <c r="AF2" s="260" t="s">
        <v>33</v>
      </c>
      <c r="AG2" s="260" t="s">
        <v>1267</v>
      </c>
      <c r="AH2" s="260" t="s">
        <v>34</v>
      </c>
      <c r="AI2" s="260" t="s">
        <v>35</v>
      </c>
      <c r="AJ2" s="260" t="s">
        <v>1268</v>
      </c>
      <c r="AK2" s="260" t="s">
        <v>36</v>
      </c>
      <c r="AL2" s="260" t="s">
        <v>37</v>
      </c>
      <c r="AM2" s="260" t="s">
        <v>1269</v>
      </c>
      <c r="AN2" s="260" t="s">
        <v>38</v>
      </c>
      <c r="AO2" s="96" t="s">
        <v>39</v>
      </c>
      <c r="AP2" s="98" t="s">
        <v>1270</v>
      </c>
      <c r="AQ2" s="233" t="s">
        <v>17</v>
      </c>
      <c r="AR2" s="272" t="s">
        <v>56</v>
      </c>
      <c r="AS2" s="272" t="s">
        <v>1271</v>
      </c>
      <c r="AT2" s="273" t="s">
        <v>40</v>
      </c>
      <c r="AU2" s="233" t="s">
        <v>41</v>
      </c>
      <c r="AV2" s="274" t="s">
        <v>43</v>
      </c>
      <c r="AW2" s="233" t="s">
        <v>46</v>
      </c>
      <c r="AX2" s="286" t="s">
        <v>47</v>
      </c>
      <c r="AY2" s="286" t="s">
        <v>48</v>
      </c>
      <c r="AZ2" s="287" t="s">
        <v>49</v>
      </c>
      <c r="BA2" s="273" t="s">
        <v>50</v>
      </c>
      <c r="BB2" s="49" t="s">
        <v>51</v>
      </c>
      <c r="BC2" s="288" t="s">
        <v>52</v>
      </c>
      <c r="BD2" s="274" t="s">
        <v>54</v>
      </c>
      <c r="BE2" s="207" t="s">
        <v>1272</v>
      </c>
      <c r="BF2" s="211" t="s">
        <v>1273</v>
      </c>
    </row>
    <row r="3" spans="1:59" s="28" customFormat="1" ht="33" customHeight="1">
      <c r="A3" s="84" t="s">
        <v>1290</v>
      </c>
      <c r="B3" s="18" t="s">
        <v>3130</v>
      </c>
      <c r="C3" s="26" t="s">
        <v>3131</v>
      </c>
      <c r="D3" s="221" t="s">
        <v>1293</v>
      </c>
      <c r="E3" s="31" t="s">
        <v>261</v>
      </c>
      <c r="F3" s="24" t="s">
        <v>1294</v>
      </c>
      <c r="G3" s="24" t="s">
        <v>1294</v>
      </c>
      <c r="H3" s="218"/>
      <c r="I3" s="6"/>
      <c r="J3" s="217"/>
      <c r="K3" s="237" t="s">
        <v>1285</v>
      </c>
      <c r="L3" s="38"/>
      <c r="M3" s="219">
        <v>31010600</v>
      </c>
      <c r="N3" s="238"/>
      <c r="O3" s="6"/>
      <c r="P3" s="68"/>
      <c r="Q3" s="68"/>
      <c r="R3" s="68"/>
      <c r="S3" s="68"/>
      <c r="T3" s="68"/>
      <c r="U3" s="68"/>
      <c r="V3" s="68"/>
      <c r="W3" s="5"/>
      <c r="X3" s="5"/>
      <c r="Y3" s="261"/>
      <c r="Z3" s="261"/>
      <c r="AA3" s="261"/>
      <c r="AB3" s="5"/>
      <c r="AC3" s="5"/>
      <c r="AD3" s="5"/>
      <c r="AE3" s="5"/>
      <c r="AF3" s="5"/>
      <c r="AG3" s="5"/>
      <c r="AH3" s="5"/>
      <c r="AI3" s="5"/>
      <c r="AJ3" s="5"/>
      <c r="AK3" s="5"/>
      <c r="AL3" s="5"/>
      <c r="AM3" s="5"/>
      <c r="AN3" s="238">
        <v>26290175</v>
      </c>
      <c r="AO3" s="31" t="s">
        <v>85</v>
      </c>
      <c r="AP3" s="37" t="s">
        <v>1295</v>
      </c>
      <c r="AQ3" s="275"/>
      <c r="AR3" s="26" t="s">
        <v>384</v>
      </c>
      <c r="AS3" s="219"/>
      <c r="AT3" s="276" t="s">
        <v>1296</v>
      </c>
      <c r="AU3" s="275"/>
      <c r="AV3" s="43" t="s">
        <v>66</v>
      </c>
      <c r="AW3" s="275"/>
      <c r="AX3" s="289" t="s">
        <v>86</v>
      </c>
      <c r="AY3" s="289"/>
      <c r="AZ3" s="290">
        <v>42713</v>
      </c>
      <c r="BA3" s="290">
        <v>42755</v>
      </c>
      <c r="BB3" s="25" t="s">
        <v>78</v>
      </c>
      <c r="BC3" s="291">
        <v>43077</v>
      </c>
      <c r="BD3" s="25" t="s">
        <v>122</v>
      </c>
      <c r="BE3" s="297">
        <v>29460100</v>
      </c>
      <c r="BF3" s="298">
        <f t="shared" ref="BF3:BF66" si="0">BE3/M3</f>
        <v>0.95000096741114326</v>
      </c>
      <c r="BG3" s="297" t="e">
        <f>VLOOKUP(B3,[1]Sheet2!$B:$X,23,0)</f>
        <v>#N/A</v>
      </c>
    </row>
    <row r="4" spans="1:59" s="28" customFormat="1" ht="33" customHeight="1">
      <c r="A4" s="5" t="s">
        <v>672</v>
      </c>
      <c r="B4" s="37" t="s">
        <v>673</v>
      </c>
      <c r="C4" s="26" t="s">
        <v>672</v>
      </c>
      <c r="D4" s="38" t="s">
        <v>674</v>
      </c>
      <c r="E4" s="37" t="s">
        <v>75</v>
      </c>
      <c r="F4" s="217" t="s">
        <v>315</v>
      </c>
      <c r="G4" s="217" t="s">
        <v>315</v>
      </c>
      <c r="H4" s="218"/>
      <c r="I4" s="217" t="s">
        <v>76</v>
      </c>
      <c r="J4" s="217"/>
      <c r="K4" s="237">
        <v>43201</v>
      </c>
      <c r="L4" s="38" t="s">
        <v>675</v>
      </c>
      <c r="M4" s="219">
        <v>29346</v>
      </c>
      <c r="N4" s="238">
        <v>29346</v>
      </c>
      <c r="O4" s="239"/>
      <c r="P4" s="239"/>
      <c r="Q4" s="239"/>
      <c r="R4" s="68">
        <v>29346</v>
      </c>
      <c r="S4" s="239"/>
      <c r="T4" s="239"/>
      <c r="U4" s="239"/>
      <c r="V4" s="239"/>
      <c r="W4" s="26"/>
      <c r="X4" s="5"/>
      <c r="Y4" s="261"/>
      <c r="Z4" s="261"/>
      <c r="AA4" s="261">
        <v>0.15</v>
      </c>
      <c r="AB4" s="5"/>
      <c r="AC4" s="5"/>
      <c r="AD4" s="5"/>
      <c r="AE4" s="5">
        <v>24944.1</v>
      </c>
      <c r="AF4" s="5"/>
      <c r="AG4" s="5"/>
      <c r="AH4" s="5"/>
      <c r="AI4" s="5"/>
      <c r="AJ4" s="5"/>
      <c r="AK4" s="5"/>
      <c r="AL4" s="5"/>
      <c r="AM4" s="5"/>
      <c r="AN4" s="238">
        <f>SUM(AB4:AH4)</f>
        <v>24944.1</v>
      </c>
      <c r="AO4" s="37" t="s">
        <v>85</v>
      </c>
      <c r="AP4" s="37" t="s">
        <v>1274</v>
      </c>
      <c r="AQ4" s="275"/>
      <c r="AR4" s="26" t="s">
        <v>384</v>
      </c>
      <c r="AS4" s="219"/>
      <c r="AT4" s="276"/>
      <c r="AU4" s="275"/>
      <c r="AV4" s="43" t="s">
        <v>676</v>
      </c>
      <c r="AW4" s="275"/>
      <c r="AX4" s="289"/>
      <c r="AY4" s="289"/>
      <c r="AZ4" s="290"/>
      <c r="BA4" s="290"/>
      <c r="BB4" s="31"/>
      <c r="BC4" s="291"/>
      <c r="BD4" s="43" t="s">
        <v>676</v>
      </c>
      <c r="BE4" s="297"/>
      <c r="BF4" s="298">
        <f t="shared" si="0"/>
        <v>0</v>
      </c>
      <c r="BG4" s="297" t="e">
        <f>VLOOKUP(B4,[1]Sheet2!$B:$X,23,0)</f>
        <v>#N/A</v>
      </c>
    </row>
    <row r="5" spans="1:59" s="28" customFormat="1" ht="33" customHeight="1">
      <c r="A5" s="26"/>
      <c r="B5" s="216" t="s">
        <v>263</v>
      </c>
      <c r="C5" s="26" t="s">
        <v>262</v>
      </c>
      <c r="D5" s="219" t="s">
        <v>264</v>
      </c>
      <c r="E5" s="216" t="s">
        <v>265</v>
      </c>
      <c r="F5" s="37" t="s">
        <v>315</v>
      </c>
      <c r="G5" s="37" t="s">
        <v>315</v>
      </c>
      <c r="H5" s="37" t="s">
        <v>1275</v>
      </c>
      <c r="I5" s="240" t="s">
        <v>266</v>
      </c>
      <c r="J5" s="240"/>
      <c r="K5" s="241">
        <v>43048</v>
      </c>
      <c r="L5" s="219"/>
      <c r="M5" s="242">
        <v>306908</v>
      </c>
      <c r="N5" s="243">
        <v>306908</v>
      </c>
      <c r="O5" s="244"/>
      <c r="P5" s="244"/>
      <c r="Q5" s="244"/>
      <c r="R5" s="244"/>
      <c r="S5" s="244"/>
      <c r="T5" s="244"/>
      <c r="U5" s="244"/>
      <c r="V5" s="245">
        <v>306908</v>
      </c>
      <c r="W5" s="7"/>
      <c r="X5" s="7"/>
      <c r="Y5" s="262"/>
      <c r="Z5" s="262"/>
      <c r="AA5" s="262"/>
      <c r="AB5" s="26"/>
      <c r="AC5" s="26"/>
      <c r="AD5" s="26"/>
      <c r="AE5" s="26"/>
      <c r="AF5" s="26"/>
      <c r="AG5" s="26"/>
      <c r="AH5" s="26"/>
      <c r="AI5" s="26"/>
      <c r="AJ5" s="26"/>
      <c r="AK5" s="26"/>
      <c r="AL5" s="26">
        <v>260871.8</v>
      </c>
      <c r="AM5" s="26"/>
      <c r="AN5" s="266">
        <f>SUM(AB5:AL5)</f>
        <v>260871.8</v>
      </c>
      <c r="AO5" s="216" t="s">
        <v>85</v>
      </c>
      <c r="AP5" s="37" t="s">
        <v>1276</v>
      </c>
      <c r="AQ5" s="277"/>
      <c r="AR5" s="26" t="s">
        <v>384</v>
      </c>
      <c r="AS5" s="219"/>
      <c r="AT5" s="278"/>
      <c r="AU5" s="277"/>
      <c r="AV5" s="43" t="s">
        <v>212</v>
      </c>
      <c r="AW5" s="277"/>
      <c r="AX5" s="289"/>
      <c r="AY5" s="289"/>
      <c r="AZ5" s="290"/>
      <c r="BA5" s="290"/>
      <c r="BB5" s="25"/>
      <c r="BC5" s="291"/>
      <c r="BD5" s="43" t="s">
        <v>676</v>
      </c>
      <c r="BE5" s="297">
        <v>5323572</v>
      </c>
      <c r="BF5" s="298">
        <f t="shared" si="0"/>
        <v>17.34582350411198</v>
      </c>
      <c r="BG5" s="297" t="e">
        <f>VLOOKUP(B5,[1]Sheet2!$B:$X,23,0)</f>
        <v>#N/A</v>
      </c>
    </row>
    <row r="6" spans="1:59" s="28" customFormat="1" ht="33" customHeight="1">
      <c r="A6" s="5" t="s">
        <v>924</v>
      </c>
      <c r="B6" s="31" t="s">
        <v>926</v>
      </c>
      <c r="C6" s="26" t="s">
        <v>925</v>
      </c>
      <c r="D6" s="38" t="s">
        <v>927</v>
      </c>
      <c r="E6" s="37" t="s">
        <v>576</v>
      </c>
      <c r="F6" s="37" t="s">
        <v>315</v>
      </c>
      <c r="G6" s="37" t="s">
        <v>315</v>
      </c>
      <c r="H6" s="37" t="s">
        <v>1275</v>
      </c>
      <c r="I6" s="217" t="s">
        <v>76</v>
      </c>
      <c r="J6" s="217" t="s">
        <v>128</v>
      </c>
      <c r="K6" s="237">
        <v>43314</v>
      </c>
      <c r="L6" s="38"/>
      <c r="M6" s="26">
        <v>118579</v>
      </c>
      <c r="N6" s="238">
        <f>SUM(O6:V6)</f>
        <v>118579</v>
      </c>
      <c r="O6" s="6"/>
      <c r="P6" s="68"/>
      <c r="Q6" s="68"/>
      <c r="R6" s="68"/>
      <c r="S6" s="68"/>
      <c r="T6" s="68"/>
      <c r="U6" s="68">
        <v>118579</v>
      </c>
      <c r="V6" s="68"/>
      <c r="W6" s="5"/>
      <c r="X6" s="5"/>
      <c r="Y6" s="261"/>
      <c r="Z6" s="261"/>
      <c r="AA6" s="262">
        <v>0.1</v>
      </c>
      <c r="AB6" s="5"/>
      <c r="AC6" s="5"/>
      <c r="AD6" s="5"/>
      <c r="AE6" s="5"/>
      <c r="AF6" s="5">
        <v>106721.1</v>
      </c>
      <c r="AG6" s="5"/>
      <c r="AH6" s="5"/>
      <c r="AI6" s="5"/>
      <c r="AJ6" s="5"/>
      <c r="AK6" s="5"/>
      <c r="AL6" s="5"/>
      <c r="AM6" s="5"/>
      <c r="AN6" s="238">
        <f>SUM(AB6:AL6)</f>
        <v>106721.1</v>
      </c>
      <c r="AO6" s="37" t="s">
        <v>114</v>
      </c>
      <c r="AP6" s="37"/>
      <c r="AQ6" s="275"/>
      <c r="AR6" s="26" t="s">
        <v>384</v>
      </c>
      <c r="AS6" s="219"/>
      <c r="AT6" s="276"/>
      <c r="AU6" s="275"/>
      <c r="AV6" s="43"/>
      <c r="AW6" s="275"/>
      <c r="AX6" s="289"/>
      <c r="AY6" s="289"/>
      <c r="AZ6" s="290"/>
      <c r="BA6" s="290"/>
      <c r="BB6" s="31"/>
      <c r="BC6" s="291"/>
      <c r="BD6" s="43"/>
      <c r="BE6" s="297"/>
      <c r="BF6" s="298">
        <f t="shared" si="0"/>
        <v>0</v>
      </c>
      <c r="BG6" s="297" t="e">
        <f>VLOOKUP(B6,[1]Sheet2!$B:$X,23,0)</f>
        <v>#N/A</v>
      </c>
    </row>
    <row r="7" spans="1:59" s="28" customFormat="1" ht="33" customHeight="1">
      <c r="A7" s="5" t="s">
        <v>654</v>
      </c>
      <c r="B7" s="31" t="s">
        <v>656</v>
      </c>
      <c r="C7" s="26" t="s">
        <v>655</v>
      </c>
      <c r="D7" s="5" t="s">
        <v>657</v>
      </c>
      <c r="E7" s="37" t="s">
        <v>83</v>
      </c>
      <c r="F7" s="216" t="s">
        <v>1277</v>
      </c>
      <c r="G7" s="216" t="s">
        <v>1277</v>
      </c>
      <c r="H7" s="37" t="s">
        <v>1277</v>
      </c>
      <c r="I7" s="217" t="s">
        <v>157</v>
      </c>
      <c r="J7" s="217"/>
      <c r="K7" s="237">
        <v>43182</v>
      </c>
      <c r="L7" s="38"/>
      <c r="M7" s="219">
        <v>68200.399999999994</v>
      </c>
      <c r="N7" s="238">
        <v>68200.399999999994</v>
      </c>
      <c r="O7" s="239"/>
      <c r="P7" s="239"/>
      <c r="Q7" s="239"/>
      <c r="R7" s="239"/>
      <c r="S7" s="239"/>
      <c r="T7" s="239"/>
      <c r="U7" s="68">
        <v>68200.399999999994</v>
      </c>
      <c r="V7" s="239"/>
      <c r="W7" s="26"/>
      <c r="X7" s="5"/>
      <c r="Y7" s="261"/>
      <c r="Z7" s="261"/>
      <c r="AA7" s="261">
        <v>0.25</v>
      </c>
      <c r="AB7" s="5"/>
      <c r="AC7" s="5"/>
      <c r="AD7" s="5"/>
      <c r="AE7" s="5"/>
      <c r="AF7" s="5"/>
      <c r="AG7" s="5"/>
      <c r="AH7" s="5">
        <v>48255</v>
      </c>
      <c r="AI7" s="5"/>
      <c r="AJ7" s="5"/>
      <c r="AK7" s="5"/>
      <c r="AL7" s="5"/>
      <c r="AM7" s="5"/>
      <c r="AN7" s="238">
        <f>SUM(AB7:AH7)</f>
        <v>48255</v>
      </c>
      <c r="AO7" s="37" t="s">
        <v>108</v>
      </c>
      <c r="AP7" s="37"/>
      <c r="AQ7" s="275"/>
      <c r="AR7" s="26" t="s">
        <v>384</v>
      </c>
      <c r="AS7" s="219"/>
      <c r="AT7" s="276"/>
      <c r="AU7" s="275"/>
      <c r="AV7" s="43" t="s">
        <v>190</v>
      </c>
      <c r="AW7" s="275"/>
      <c r="AX7" s="289"/>
      <c r="AY7" s="289"/>
      <c r="AZ7" s="290"/>
      <c r="BA7" s="290"/>
      <c r="BB7" s="292" t="s">
        <v>1278</v>
      </c>
      <c r="BC7" s="292" t="s">
        <v>1279</v>
      </c>
      <c r="BD7" s="25" t="s">
        <v>1280</v>
      </c>
      <c r="BE7" s="297">
        <v>68200.399999999994</v>
      </c>
      <c r="BF7" s="298">
        <f t="shared" si="0"/>
        <v>1</v>
      </c>
      <c r="BG7" s="297" t="e">
        <f>VLOOKUP(B7,[1]Sheet2!$B:$X,23,0)</f>
        <v>#N/A</v>
      </c>
    </row>
    <row r="8" spans="1:59" s="28" customFormat="1" ht="33" customHeight="1">
      <c r="A8" s="5" t="s">
        <v>644</v>
      </c>
      <c r="B8" s="31" t="s">
        <v>646</v>
      </c>
      <c r="C8" s="26" t="s">
        <v>645</v>
      </c>
      <c r="D8" s="38" t="s">
        <v>647</v>
      </c>
      <c r="E8" s="37" t="s">
        <v>60</v>
      </c>
      <c r="F8" s="37" t="s">
        <v>315</v>
      </c>
      <c r="G8" s="37" t="s">
        <v>315</v>
      </c>
      <c r="H8" s="218" t="s">
        <v>1275</v>
      </c>
      <c r="I8" s="217" t="s">
        <v>157</v>
      </c>
      <c r="J8" s="217"/>
      <c r="K8" s="237">
        <v>43174</v>
      </c>
      <c r="L8" s="38" t="s">
        <v>648</v>
      </c>
      <c r="M8" s="26">
        <v>336939</v>
      </c>
      <c r="N8" s="238">
        <v>336939</v>
      </c>
      <c r="O8" s="239"/>
      <c r="P8" s="239"/>
      <c r="Q8" s="239"/>
      <c r="R8" s="68">
        <v>336939</v>
      </c>
      <c r="S8" s="239"/>
      <c r="T8" s="239"/>
      <c r="U8" s="239"/>
      <c r="V8" s="239"/>
      <c r="W8" s="26"/>
      <c r="X8" s="5"/>
      <c r="Y8" s="261"/>
      <c r="Z8" s="261"/>
      <c r="AA8" s="261"/>
      <c r="AB8" s="5"/>
      <c r="AC8" s="5"/>
      <c r="AD8" s="5"/>
      <c r="AE8" s="5">
        <v>286398.15000000002</v>
      </c>
      <c r="AF8" s="5"/>
      <c r="AG8" s="5"/>
      <c r="AH8" s="5"/>
      <c r="AI8" s="5"/>
      <c r="AJ8" s="5"/>
      <c r="AK8" s="5"/>
      <c r="AL8" s="5"/>
      <c r="AM8" s="5"/>
      <c r="AN8" s="238">
        <f>SUM(AB8:AH8)</f>
        <v>286398.15000000002</v>
      </c>
      <c r="AO8" s="37" t="s">
        <v>62</v>
      </c>
      <c r="AP8" s="37"/>
      <c r="AQ8" s="275"/>
      <c r="AR8" s="26" t="s">
        <v>384</v>
      </c>
      <c r="AS8" s="219"/>
      <c r="AT8" s="276"/>
      <c r="AU8" s="275"/>
      <c r="AV8" s="43" t="s">
        <v>397</v>
      </c>
      <c r="AW8" s="275"/>
      <c r="AX8" s="289"/>
      <c r="AY8" s="289"/>
      <c r="AZ8" s="290"/>
      <c r="BA8" s="290"/>
      <c r="BB8" s="31"/>
      <c r="BC8" s="291"/>
      <c r="BD8" s="43" t="s">
        <v>213</v>
      </c>
      <c r="BE8" s="297"/>
      <c r="BF8" s="298">
        <f t="shared" si="0"/>
        <v>0</v>
      </c>
      <c r="BG8" s="297" t="e">
        <f>VLOOKUP(B8,[1]Sheet2!$B:$X,23,0)</f>
        <v>#N/A</v>
      </c>
    </row>
    <row r="9" spans="1:59" s="28" customFormat="1" ht="33" customHeight="1">
      <c r="A9" s="84" t="s">
        <v>1281</v>
      </c>
      <c r="B9" s="18" t="s">
        <v>1282</v>
      </c>
      <c r="C9" s="26" t="s">
        <v>1283</v>
      </c>
      <c r="D9" s="220" t="s">
        <v>1284</v>
      </c>
      <c r="E9" s="37" t="s">
        <v>576</v>
      </c>
      <c r="F9" s="37" t="s">
        <v>315</v>
      </c>
      <c r="G9" s="37" t="s">
        <v>315</v>
      </c>
      <c r="H9" s="218" t="s">
        <v>1275</v>
      </c>
      <c r="I9" s="217"/>
      <c r="J9" s="217"/>
      <c r="K9" s="237" t="s">
        <v>1285</v>
      </c>
      <c r="L9" s="38"/>
      <c r="M9" s="219"/>
      <c r="N9" s="238"/>
      <c r="O9" s="239"/>
      <c r="P9" s="239"/>
      <c r="Q9" s="239"/>
      <c r="R9" s="68"/>
      <c r="S9" s="239"/>
      <c r="T9" s="239"/>
      <c r="U9" s="239"/>
      <c r="V9" s="239"/>
      <c r="W9" s="26"/>
      <c r="X9" s="5"/>
      <c r="Y9" s="261"/>
      <c r="Z9" s="261"/>
      <c r="AA9" s="261"/>
      <c r="AB9" s="5"/>
      <c r="AC9" s="5"/>
      <c r="AD9" s="5"/>
      <c r="AE9" s="5"/>
      <c r="AF9" s="5"/>
      <c r="AG9" s="5"/>
      <c r="AH9" s="5"/>
      <c r="AI9" s="5"/>
      <c r="AJ9" s="5"/>
      <c r="AK9" s="5"/>
      <c r="AL9" s="5"/>
      <c r="AM9" s="5"/>
      <c r="AN9" s="238">
        <v>2512244</v>
      </c>
      <c r="AO9" s="37" t="s">
        <v>1286</v>
      </c>
      <c r="AP9" s="37" t="s">
        <v>1287</v>
      </c>
      <c r="AQ9" s="275"/>
      <c r="AR9" s="26" t="s">
        <v>384</v>
      </c>
      <c r="AS9" s="219"/>
      <c r="AT9" s="276" t="s">
        <v>1288</v>
      </c>
      <c r="AU9" s="275"/>
      <c r="AV9" s="43" t="s">
        <v>66</v>
      </c>
      <c r="AW9" s="275"/>
      <c r="AX9" s="289" t="s">
        <v>86</v>
      </c>
      <c r="AY9" s="289"/>
      <c r="AZ9" s="290">
        <v>42551</v>
      </c>
      <c r="BA9" s="290">
        <v>42822</v>
      </c>
      <c r="BB9" s="31" t="s">
        <v>78</v>
      </c>
      <c r="BC9" s="291">
        <v>42915</v>
      </c>
      <c r="BD9" s="25" t="s">
        <v>122</v>
      </c>
      <c r="BE9" s="297">
        <v>2962337</v>
      </c>
      <c r="BF9" s="298" t="e">
        <f t="shared" si="0"/>
        <v>#DIV/0!</v>
      </c>
      <c r="BG9" s="297" t="e">
        <f>VLOOKUP(B9,[1]Sheet2!$B:$X,23,0)</f>
        <v>#N/A</v>
      </c>
    </row>
    <row r="10" spans="1:59" s="28" customFormat="1" ht="33" customHeight="1">
      <c r="A10" s="84" t="s">
        <v>893</v>
      </c>
      <c r="B10" s="31" t="s">
        <v>895</v>
      </c>
      <c r="C10" s="26" t="s">
        <v>894</v>
      </c>
      <c r="D10" s="5" t="s">
        <v>896</v>
      </c>
      <c r="E10" s="31" t="s">
        <v>113</v>
      </c>
      <c r="F10" s="37" t="s">
        <v>315</v>
      </c>
      <c r="G10" s="37" t="s">
        <v>315</v>
      </c>
      <c r="H10" s="218" t="s">
        <v>1275</v>
      </c>
      <c r="I10" s="6" t="s">
        <v>76</v>
      </c>
      <c r="J10" s="6"/>
      <c r="K10" s="237">
        <v>43278</v>
      </c>
      <c r="L10" s="38"/>
      <c r="M10" s="219">
        <v>414948</v>
      </c>
      <c r="N10" s="238">
        <f>SUM(O10:V10)</f>
        <v>414948</v>
      </c>
      <c r="O10" s="6"/>
      <c r="P10" s="68">
        <v>110181</v>
      </c>
      <c r="Q10" s="68"/>
      <c r="R10" s="68"/>
      <c r="S10" s="68">
        <v>304767</v>
      </c>
      <c r="T10" s="68"/>
      <c r="U10" s="68"/>
      <c r="V10" s="68"/>
      <c r="W10" s="5"/>
      <c r="X10" s="5"/>
      <c r="Y10" s="261"/>
      <c r="Z10" s="261"/>
      <c r="AA10" s="261">
        <v>0.15</v>
      </c>
      <c r="AB10" s="5"/>
      <c r="AC10" s="5">
        <v>93653.85</v>
      </c>
      <c r="AD10" s="5"/>
      <c r="AE10" s="5"/>
      <c r="AF10" s="5">
        <v>259051.95</v>
      </c>
      <c r="AG10" s="5"/>
      <c r="AH10" s="5"/>
      <c r="AI10" s="5"/>
      <c r="AJ10" s="5"/>
      <c r="AK10" s="5"/>
      <c r="AL10" s="5"/>
      <c r="AM10" s="5"/>
      <c r="AN10" s="238">
        <f>SUM(AB10:AH10)</f>
        <v>352705.80000000005</v>
      </c>
      <c r="AO10" s="31" t="s">
        <v>114</v>
      </c>
      <c r="AP10" s="37"/>
      <c r="AQ10" s="275"/>
      <c r="AR10" s="26" t="s">
        <v>384</v>
      </c>
      <c r="AS10" s="219"/>
      <c r="AT10" s="276" t="s">
        <v>1289</v>
      </c>
      <c r="AU10" s="275"/>
      <c r="AV10" s="43" t="s">
        <v>66</v>
      </c>
      <c r="AW10" s="275"/>
      <c r="AX10" s="289" t="s">
        <v>86</v>
      </c>
      <c r="AY10" s="289"/>
      <c r="AZ10" s="290">
        <v>43241</v>
      </c>
      <c r="BA10" s="290">
        <v>43307</v>
      </c>
      <c r="BB10" s="25" t="s">
        <v>78</v>
      </c>
      <c r="BC10" s="291">
        <v>43605</v>
      </c>
      <c r="BD10" s="25" t="s">
        <v>122</v>
      </c>
      <c r="BE10" s="297">
        <v>1016776</v>
      </c>
      <c r="BF10" s="298">
        <f t="shared" si="0"/>
        <v>2.4503696848761773</v>
      </c>
      <c r="BG10" s="297" t="e">
        <f>VLOOKUP(B10,[1]Sheet2!$B:$X,23,0)</f>
        <v>#N/A</v>
      </c>
    </row>
    <row r="11" spans="1:59" s="28" customFormat="1" ht="33" customHeight="1">
      <c r="A11" s="84" t="s">
        <v>1290</v>
      </c>
      <c r="B11" s="18" t="s">
        <v>1291</v>
      </c>
      <c r="C11" s="26" t="s">
        <v>1292</v>
      </c>
      <c r="D11" s="221" t="s">
        <v>1293</v>
      </c>
      <c r="E11" s="31" t="s">
        <v>261</v>
      </c>
      <c r="F11" s="24" t="s">
        <v>1294</v>
      </c>
      <c r="G11" s="24" t="s">
        <v>1294</v>
      </c>
      <c r="H11" s="218"/>
      <c r="I11" s="6"/>
      <c r="J11" s="217"/>
      <c r="K11" s="237" t="s">
        <v>1285</v>
      </c>
      <c r="L11" s="38"/>
      <c r="M11" s="219">
        <v>31010600</v>
      </c>
      <c r="N11" s="238"/>
      <c r="O11" s="6"/>
      <c r="P11" s="68"/>
      <c r="Q11" s="68"/>
      <c r="R11" s="68"/>
      <c r="S11" s="68"/>
      <c r="T11" s="68"/>
      <c r="U11" s="68"/>
      <c r="V11" s="68"/>
      <c r="W11" s="5"/>
      <c r="X11" s="5"/>
      <c r="Y11" s="261"/>
      <c r="Z11" s="261"/>
      <c r="AA11" s="261"/>
      <c r="AB11" s="5"/>
      <c r="AC11" s="5"/>
      <c r="AD11" s="5"/>
      <c r="AE11" s="5"/>
      <c r="AF11" s="5"/>
      <c r="AG11" s="5"/>
      <c r="AH11" s="5"/>
      <c r="AI11" s="5"/>
      <c r="AJ11" s="5"/>
      <c r="AK11" s="5"/>
      <c r="AL11" s="5"/>
      <c r="AM11" s="5"/>
      <c r="AN11" s="238">
        <v>26290175</v>
      </c>
      <c r="AO11" s="31" t="s">
        <v>85</v>
      </c>
      <c r="AP11" s="37" t="s">
        <v>1295</v>
      </c>
      <c r="AQ11" s="275"/>
      <c r="AR11" s="26" t="s">
        <v>384</v>
      </c>
      <c r="AS11" s="219"/>
      <c r="AT11" s="276" t="s">
        <v>1296</v>
      </c>
      <c r="AU11" s="275"/>
      <c r="AV11" s="43" t="s">
        <v>66</v>
      </c>
      <c r="AW11" s="275"/>
      <c r="AX11" s="289" t="s">
        <v>86</v>
      </c>
      <c r="AY11" s="289"/>
      <c r="AZ11" s="290">
        <v>42713</v>
      </c>
      <c r="BA11" s="290">
        <v>42755</v>
      </c>
      <c r="BB11" s="25" t="s">
        <v>78</v>
      </c>
      <c r="BC11" s="291">
        <v>43077</v>
      </c>
      <c r="BD11" s="25" t="s">
        <v>122</v>
      </c>
      <c r="BE11" s="297">
        <v>29460100</v>
      </c>
      <c r="BF11" s="298">
        <f t="shared" si="0"/>
        <v>0.95000096741114326</v>
      </c>
      <c r="BG11" s="297" t="e">
        <f>VLOOKUP(B11,[1]Sheet2!$B:$X,23,0)</f>
        <v>#N/A</v>
      </c>
    </row>
    <row r="12" spans="1:59" s="28" customFormat="1" ht="33" customHeight="1">
      <c r="A12" s="84" t="s">
        <v>1297</v>
      </c>
      <c r="B12" s="18" t="s">
        <v>1298</v>
      </c>
      <c r="C12" s="26" t="s">
        <v>1299</v>
      </c>
      <c r="D12" s="221" t="s">
        <v>713</v>
      </c>
      <c r="E12" s="31" t="s">
        <v>714</v>
      </c>
      <c r="F12" s="216" t="s">
        <v>1277</v>
      </c>
      <c r="G12" s="216" t="s">
        <v>1277</v>
      </c>
      <c r="H12" s="218" t="s">
        <v>1277</v>
      </c>
      <c r="I12" s="6"/>
      <c r="J12" s="217"/>
      <c r="K12" s="237" t="s">
        <v>1285</v>
      </c>
      <c r="L12" s="38"/>
      <c r="M12" s="219">
        <v>415500</v>
      </c>
      <c r="N12" s="238"/>
      <c r="O12" s="6"/>
      <c r="P12" s="68"/>
      <c r="Q12" s="68"/>
      <c r="R12" s="68"/>
      <c r="S12" s="68"/>
      <c r="T12" s="68"/>
      <c r="U12" s="68"/>
      <c r="V12" s="68"/>
      <c r="W12" s="5"/>
      <c r="X12" s="5"/>
      <c r="Y12" s="261"/>
      <c r="Z12" s="261"/>
      <c r="AA12" s="261"/>
      <c r="AB12" s="5"/>
      <c r="AC12" s="5"/>
      <c r="AD12" s="5"/>
      <c r="AE12" s="5"/>
      <c r="AF12" s="5"/>
      <c r="AG12" s="5"/>
      <c r="AH12" s="5"/>
      <c r="AI12" s="5"/>
      <c r="AJ12" s="5"/>
      <c r="AK12" s="5"/>
      <c r="AL12" s="5"/>
      <c r="AM12" s="5"/>
      <c r="AN12" s="238">
        <v>466100</v>
      </c>
      <c r="AO12" s="31" t="s">
        <v>108</v>
      </c>
      <c r="AP12" s="37"/>
      <c r="AQ12" s="275"/>
      <c r="AR12" s="26" t="s">
        <v>384</v>
      </c>
      <c r="AS12" s="219"/>
      <c r="AT12" s="276" t="s">
        <v>1300</v>
      </c>
      <c r="AU12" s="275"/>
      <c r="AV12" s="43" t="s">
        <v>66</v>
      </c>
      <c r="AW12" s="275"/>
      <c r="AX12" s="289" t="s">
        <v>86</v>
      </c>
      <c r="AY12" s="289"/>
      <c r="AZ12" s="290" t="s">
        <v>1301</v>
      </c>
      <c r="BA12" s="290" t="s">
        <v>1302</v>
      </c>
      <c r="BB12" s="25" t="s">
        <v>78</v>
      </c>
      <c r="BC12" s="291">
        <v>42766</v>
      </c>
      <c r="BD12" s="25" t="s">
        <v>122</v>
      </c>
      <c r="BE12" s="297">
        <v>548460</v>
      </c>
      <c r="BF12" s="298">
        <f t="shared" si="0"/>
        <v>1.32</v>
      </c>
      <c r="BG12" s="297" t="e">
        <f>VLOOKUP(B12,[1]Sheet2!$B:$X,23,0)</f>
        <v>#N/A</v>
      </c>
    </row>
    <row r="13" spans="1:59" s="28" customFormat="1" ht="33" customHeight="1">
      <c r="A13" s="84" t="s">
        <v>1303</v>
      </c>
      <c r="B13" s="18" t="s">
        <v>1304</v>
      </c>
      <c r="C13" s="26" t="s">
        <v>1305</v>
      </c>
      <c r="D13" s="220" t="s">
        <v>1306</v>
      </c>
      <c r="E13" s="31" t="s">
        <v>224</v>
      </c>
      <c r="F13" s="4" t="s">
        <v>315</v>
      </c>
      <c r="G13" s="4" t="s">
        <v>315</v>
      </c>
      <c r="H13" s="218" t="s">
        <v>1275</v>
      </c>
      <c r="I13" s="6"/>
      <c r="J13" s="217"/>
      <c r="K13" s="237" t="s">
        <v>1285</v>
      </c>
      <c r="L13" s="38"/>
      <c r="M13" s="219">
        <v>6020000</v>
      </c>
      <c r="N13" s="238"/>
      <c r="O13" s="6"/>
      <c r="P13" s="68"/>
      <c r="Q13" s="68"/>
      <c r="R13" s="68"/>
      <c r="S13" s="68"/>
      <c r="T13" s="68"/>
      <c r="U13" s="68"/>
      <c r="V13" s="68"/>
      <c r="W13" s="5"/>
      <c r="X13" s="5"/>
      <c r="Y13" s="261"/>
      <c r="Z13" s="261"/>
      <c r="AA13" s="261"/>
      <c r="AB13" s="5"/>
      <c r="AC13" s="5"/>
      <c r="AD13" s="5"/>
      <c r="AE13" s="5"/>
      <c r="AF13" s="5"/>
      <c r="AG13" s="5"/>
      <c r="AH13" s="5"/>
      <c r="AI13" s="5"/>
      <c r="AJ13" s="5"/>
      <c r="AK13" s="5"/>
      <c r="AL13" s="5"/>
      <c r="AM13" s="5"/>
      <c r="AN13" s="238">
        <v>5407410</v>
      </c>
      <c r="AO13" s="18" t="s">
        <v>1307</v>
      </c>
      <c r="AP13" s="37" t="s">
        <v>1308</v>
      </c>
      <c r="AQ13" s="275"/>
      <c r="AR13" s="26" t="s">
        <v>384</v>
      </c>
      <c r="AS13" s="219"/>
      <c r="AT13" s="276" t="s">
        <v>1296</v>
      </c>
      <c r="AU13" s="275"/>
      <c r="AV13" s="43" t="s">
        <v>66</v>
      </c>
      <c r="AW13" s="275"/>
      <c r="AX13" s="289" t="s">
        <v>86</v>
      </c>
      <c r="AY13" s="289" t="s">
        <v>1309</v>
      </c>
      <c r="AZ13" s="290">
        <v>42880</v>
      </c>
      <c r="BA13" s="290"/>
      <c r="BB13" s="25" t="s">
        <v>78</v>
      </c>
      <c r="BC13" s="291">
        <v>43244</v>
      </c>
      <c r="BD13" s="25" t="s">
        <v>122</v>
      </c>
      <c r="BE13" s="297">
        <v>5418000</v>
      </c>
      <c r="BF13" s="298">
        <f t="shared" si="0"/>
        <v>0.9</v>
      </c>
      <c r="BG13" s="297" t="e">
        <f>VLOOKUP(B13,[1]Sheet2!$B:$X,23,0)</f>
        <v>#N/A</v>
      </c>
    </row>
    <row r="14" spans="1:59" s="28" customFormat="1" ht="33" customHeight="1">
      <c r="A14" s="84" t="s">
        <v>1310</v>
      </c>
      <c r="B14" s="18" t="s">
        <v>1311</v>
      </c>
      <c r="C14" s="26" t="s">
        <v>1312</v>
      </c>
      <c r="D14" s="221" t="s">
        <v>1313</v>
      </c>
      <c r="E14" s="31"/>
      <c r="F14" s="4" t="s">
        <v>1265</v>
      </c>
      <c r="G14" s="4" t="s">
        <v>1265</v>
      </c>
      <c r="H14" s="218" t="s">
        <v>1314</v>
      </c>
      <c r="I14" s="6"/>
      <c r="J14" s="217"/>
      <c r="K14" s="237" t="s">
        <v>1285</v>
      </c>
      <c r="L14" s="38"/>
      <c r="M14" s="219">
        <v>1399900</v>
      </c>
      <c r="N14" s="238"/>
      <c r="O14" s="6"/>
      <c r="P14" s="68"/>
      <c r="Q14" s="68"/>
      <c r="R14" s="68"/>
      <c r="S14" s="68"/>
      <c r="T14" s="68"/>
      <c r="U14" s="68"/>
      <c r="V14" s="68"/>
      <c r="W14" s="5"/>
      <c r="X14" s="5"/>
      <c r="Y14" s="261"/>
      <c r="Z14" s="261"/>
      <c r="AA14" s="261"/>
      <c r="AB14" s="5"/>
      <c r="AC14" s="5"/>
      <c r="AD14" s="5"/>
      <c r="AE14" s="5"/>
      <c r="AF14" s="5"/>
      <c r="AG14" s="5"/>
      <c r="AH14" s="5"/>
      <c r="AI14" s="5"/>
      <c r="AJ14" s="5"/>
      <c r="AK14" s="5"/>
      <c r="AL14" s="5"/>
      <c r="AM14" s="5"/>
      <c r="AN14" s="238">
        <v>1187572</v>
      </c>
      <c r="AO14" s="18" t="s">
        <v>77</v>
      </c>
      <c r="AP14" s="37"/>
      <c r="AQ14" s="275"/>
      <c r="AR14" s="26" t="s">
        <v>384</v>
      </c>
      <c r="AS14" s="219"/>
      <c r="AT14" s="276" t="s">
        <v>1315</v>
      </c>
      <c r="AU14" s="275"/>
      <c r="AV14" s="43" t="s">
        <v>66</v>
      </c>
      <c r="AW14" s="275"/>
      <c r="AX14" s="289" t="s">
        <v>86</v>
      </c>
      <c r="AY14" s="289"/>
      <c r="AZ14" s="290">
        <v>42644</v>
      </c>
      <c r="BA14" s="290"/>
      <c r="BB14" s="25" t="s">
        <v>78</v>
      </c>
      <c r="BC14" s="291">
        <v>43009</v>
      </c>
      <c r="BD14" s="25" t="s">
        <v>122</v>
      </c>
      <c r="BE14" s="297">
        <v>1399900</v>
      </c>
      <c r="BF14" s="298">
        <f t="shared" si="0"/>
        <v>1</v>
      </c>
      <c r="BG14" s="297" t="e">
        <f>VLOOKUP(B14,[1]Sheet2!$B:$X,23,0)</f>
        <v>#N/A</v>
      </c>
    </row>
    <row r="15" spans="1:59" s="28" customFormat="1" ht="33" customHeight="1">
      <c r="A15" s="84" t="s">
        <v>1316</v>
      </c>
      <c r="B15" s="18" t="s">
        <v>1317</v>
      </c>
      <c r="C15" s="26" t="s">
        <v>1318</v>
      </c>
      <c r="D15" s="221" t="s">
        <v>1319</v>
      </c>
      <c r="E15" s="31" t="s">
        <v>265</v>
      </c>
      <c r="F15" s="4" t="s">
        <v>315</v>
      </c>
      <c r="G15" s="4" t="s">
        <v>315</v>
      </c>
      <c r="H15" s="218" t="s">
        <v>1275</v>
      </c>
      <c r="I15" s="6"/>
      <c r="J15" s="217"/>
      <c r="K15" s="237" t="s">
        <v>1285</v>
      </c>
      <c r="L15" s="38"/>
      <c r="M15" s="219">
        <v>179400</v>
      </c>
      <c r="N15" s="238"/>
      <c r="O15" s="6"/>
      <c r="P15" s="68"/>
      <c r="Q15" s="68"/>
      <c r="R15" s="68"/>
      <c r="S15" s="68"/>
      <c r="T15" s="68"/>
      <c r="U15" s="68"/>
      <c r="V15" s="68"/>
      <c r="W15" s="5"/>
      <c r="X15" s="5"/>
      <c r="Y15" s="261"/>
      <c r="Z15" s="261"/>
      <c r="AA15" s="261"/>
      <c r="AB15" s="5"/>
      <c r="AC15" s="5"/>
      <c r="AD15" s="5"/>
      <c r="AE15" s="5"/>
      <c r="AF15" s="5"/>
      <c r="AG15" s="5"/>
      <c r="AH15" s="5"/>
      <c r="AI15" s="5"/>
      <c r="AJ15" s="5"/>
      <c r="AK15" s="5"/>
      <c r="AL15" s="5"/>
      <c r="AM15" s="5"/>
      <c r="AN15" s="267">
        <v>152400</v>
      </c>
      <c r="AO15" s="18" t="s">
        <v>108</v>
      </c>
      <c r="AP15" s="37"/>
      <c r="AQ15" s="275"/>
      <c r="AR15" s="26" t="s">
        <v>384</v>
      </c>
      <c r="AS15" s="219"/>
      <c r="AT15" s="276" t="s">
        <v>1320</v>
      </c>
      <c r="AU15" s="275"/>
      <c r="AV15" s="43" t="s">
        <v>66</v>
      </c>
      <c r="AW15" s="275"/>
      <c r="AX15" s="289" t="s">
        <v>86</v>
      </c>
      <c r="AY15" s="289"/>
      <c r="AZ15" s="290">
        <v>42797</v>
      </c>
      <c r="BA15" s="290">
        <v>42801</v>
      </c>
      <c r="BB15" s="25" t="s">
        <v>78</v>
      </c>
      <c r="BC15" s="291">
        <v>43161</v>
      </c>
      <c r="BD15" s="25" t="s">
        <v>122</v>
      </c>
      <c r="BE15" s="297">
        <v>179400</v>
      </c>
      <c r="BF15" s="298">
        <f t="shared" si="0"/>
        <v>1</v>
      </c>
      <c r="BG15" s="297" t="e">
        <f>VLOOKUP(B15,[1]Sheet2!$B:$X,23,0)</f>
        <v>#N/A</v>
      </c>
    </row>
    <row r="16" spans="1:59" s="28" customFormat="1" ht="33" customHeight="1">
      <c r="A16" s="84" t="s">
        <v>1321</v>
      </c>
      <c r="B16" s="18" t="s">
        <v>1322</v>
      </c>
      <c r="C16" s="26" t="s">
        <v>1323</v>
      </c>
      <c r="D16" s="221" t="s">
        <v>1324</v>
      </c>
      <c r="E16" s="31" t="s">
        <v>374</v>
      </c>
      <c r="F16" s="4" t="s">
        <v>732</v>
      </c>
      <c r="G16" s="4" t="s">
        <v>732</v>
      </c>
      <c r="H16" s="218" t="s">
        <v>1275</v>
      </c>
      <c r="I16" s="6"/>
      <c r="J16" s="217"/>
      <c r="K16" s="237" t="s">
        <v>1285</v>
      </c>
      <c r="L16" s="38"/>
      <c r="M16" s="219">
        <v>1197336</v>
      </c>
      <c r="N16" s="238"/>
      <c r="O16" s="6"/>
      <c r="P16" s="68"/>
      <c r="Q16" s="68"/>
      <c r="R16" s="68"/>
      <c r="S16" s="68"/>
      <c r="T16" s="68"/>
      <c r="U16" s="68"/>
      <c r="V16" s="68"/>
      <c r="W16" s="5"/>
      <c r="X16" s="5"/>
      <c r="Y16" s="261"/>
      <c r="Z16" s="261"/>
      <c r="AA16" s="261"/>
      <c r="AB16" s="5"/>
      <c r="AC16" s="5"/>
      <c r="AD16" s="5"/>
      <c r="AE16" s="5"/>
      <c r="AF16" s="5"/>
      <c r="AG16" s="5"/>
      <c r="AH16" s="5"/>
      <c r="AI16" s="5"/>
      <c r="AJ16" s="5"/>
      <c r="AK16" s="5"/>
      <c r="AL16" s="5"/>
      <c r="AM16" s="5"/>
      <c r="AN16" s="267">
        <v>1077000</v>
      </c>
      <c r="AO16" s="18" t="s">
        <v>145</v>
      </c>
      <c r="AP16" s="37" t="s">
        <v>1295</v>
      </c>
      <c r="AQ16" s="275"/>
      <c r="AR16" s="26" t="s">
        <v>384</v>
      </c>
      <c r="AS16" s="219"/>
      <c r="AT16" s="276"/>
      <c r="AU16" s="275"/>
      <c r="AV16" s="43" t="s">
        <v>66</v>
      </c>
      <c r="AW16" s="275"/>
      <c r="AX16" s="289" t="s">
        <v>86</v>
      </c>
      <c r="AY16" s="75"/>
      <c r="AZ16" s="290">
        <v>42487</v>
      </c>
      <c r="BA16" s="290"/>
      <c r="BB16" s="25" t="s">
        <v>78</v>
      </c>
      <c r="BC16" s="291">
        <v>42851</v>
      </c>
      <c r="BD16" s="25" t="s">
        <v>122</v>
      </c>
      <c r="BE16" s="297">
        <v>1197336</v>
      </c>
      <c r="BF16" s="298">
        <f t="shared" si="0"/>
        <v>1</v>
      </c>
      <c r="BG16" s="297" t="e">
        <f>VLOOKUP(B16,[1]Sheet2!$B:$X,23,0)</f>
        <v>#N/A</v>
      </c>
    </row>
    <row r="17" spans="1:59" s="28" customFormat="1" ht="33" customHeight="1">
      <c r="A17" s="84" t="s">
        <v>1325</v>
      </c>
      <c r="B17" s="18" t="s">
        <v>1326</v>
      </c>
      <c r="C17" s="26" t="s">
        <v>1327</v>
      </c>
      <c r="D17" s="220" t="s">
        <v>1328</v>
      </c>
      <c r="E17" s="31" t="s">
        <v>75</v>
      </c>
      <c r="F17" s="4" t="s">
        <v>315</v>
      </c>
      <c r="G17" s="4" t="s">
        <v>315</v>
      </c>
      <c r="H17" s="218" t="s">
        <v>1275</v>
      </c>
      <c r="I17" s="6"/>
      <c r="J17" s="217"/>
      <c r="K17" s="237" t="s">
        <v>1285</v>
      </c>
      <c r="L17" s="38"/>
      <c r="M17" s="219">
        <v>5128251</v>
      </c>
      <c r="N17" s="238"/>
      <c r="O17" s="6"/>
      <c r="P17" s="68"/>
      <c r="Q17" s="68"/>
      <c r="R17" s="68"/>
      <c r="S17" s="68"/>
      <c r="T17" s="68"/>
      <c r="U17" s="68"/>
      <c r="V17" s="68"/>
      <c r="W17" s="5"/>
      <c r="X17" s="5"/>
      <c r="Y17" s="261"/>
      <c r="Z17" s="261"/>
      <c r="AA17" s="261"/>
      <c r="AB17" s="5"/>
      <c r="AC17" s="5"/>
      <c r="AD17" s="5"/>
      <c r="AE17" s="5"/>
      <c r="AF17" s="5"/>
      <c r="AG17" s="5"/>
      <c r="AH17" s="5"/>
      <c r="AI17" s="5"/>
      <c r="AJ17" s="5"/>
      <c r="AK17" s="5"/>
      <c r="AL17" s="5"/>
      <c r="AM17" s="5"/>
      <c r="AN17" s="238">
        <v>7469221.7999999998</v>
      </c>
      <c r="AO17" s="18" t="s">
        <v>145</v>
      </c>
      <c r="AP17" s="37" t="s">
        <v>1274</v>
      </c>
      <c r="AQ17" s="275"/>
      <c r="AR17" s="26" t="s">
        <v>384</v>
      </c>
      <c r="AS17" s="219"/>
      <c r="AT17" s="276" t="s">
        <v>1329</v>
      </c>
      <c r="AU17" s="275"/>
      <c r="AV17" s="43" t="s">
        <v>66</v>
      </c>
      <c r="AW17" s="275"/>
      <c r="AX17" s="289" t="s">
        <v>86</v>
      </c>
      <c r="AY17" s="289"/>
      <c r="AZ17" s="290">
        <v>42485</v>
      </c>
      <c r="BA17" s="290"/>
      <c r="BB17" s="25" t="s">
        <v>78</v>
      </c>
      <c r="BC17" s="291">
        <v>42849</v>
      </c>
      <c r="BD17" s="25" t="s">
        <v>122</v>
      </c>
      <c r="BE17" s="297">
        <v>5128251</v>
      </c>
      <c r="BF17" s="298">
        <f t="shared" si="0"/>
        <v>1</v>
      </c>
      <c r="BG17" s="297" t="e">
        <f>VLOOKUP(B17,[1]Sheet2!$B:$X,23,0)</f>
        <v>#N/A</v>
      </c>
    </row>
    <row r="18" spans="1:59" s="28" customFormat="1" ht="33" customHeight="1">
      <c r="A18" s="84" t="s">
        <v>1330</v>
      </c>
      <c r="B18" s="18" t="s">
        <v>1331</v>
      </c>
      <c r="C18" s="26" t="s">
        <v>1332</v>
      </c>
      <c r="D18" s="221" t="s">
        <v>1333</v>
      </c>
      <c r="E18" s="31"/>
      <c r="F18" s="4" t="s">
        <v>315</v>
      </c>
      <c r="G18" s="4" t="s">
        <v>315</v>
      </c>
      <c r="H18" s="218" t="s">
        <v>1314</v>
      </c>
      <c r="I18" s="6"/>
      <c r="J18" s="217"/>
      <c r="K18" s="237" t="s">
        <v>1285</v>
      </c>
      <c r="L18" s="38"/>
      <c r="M18" s="219" t="s">
        <v>1334</v>
      </c>
      <c r="N18" s="238"/>
      <c r="O18" s="6"/>
      <c r="P18" s="68"/>
      <c r="Q18" s="68"/>
      <c r="R18" s="68"/>
      <c r="S18" s="68"/>
      <c r="T18" s="68"/>
      <c r="U18" s="68"/>
      <c r="V18" s="68"/>
      <c r="W18" s="5"/>
      <c r="X18" s="5"/>
      <c r="Y18" s="261"/>
      <c r="Z18" s="261"/>
      <c r="AA18" s="261"/>
      <c r="AB18" s="5"/>
      <c r="AC18" s="5"/>
      <c r="AD18" s="5"/>
      <c r="AE18" s="5"/>
      <c r="AF18" s="5"/>
      <c r="AG18" s="5"/>
      <c r="AH18" s="5"/>
      <c r="AI18" s="5"/>
      <c r="AJ18" s="5"/>
      <c r="AK18" s="5"/>
      <c r="AL18" s="5"/>
      <c r="AM18" s="5"/>
      <c r="AN18" s="238">
        <v>110000</v>
      </c>
      <c r="AO18" s="18" t="s">
        <v>1335</v>
      </c>
      <c r="AP18" s="37"/>
      <c r="AQ18" s="275"/>
      <c r="AR18" s="26" t="s">
        <v>384</v>
      </c>
      <c r="AS18" s="219"/>
      <c r="AT18" s="276" t="s">
        <v>1336</v>
      </c>
      <c r="AU18" s="275"/>
      <c r="AV18" s="43" t="s">
        <v>66</v>
      </c>
      <c r="AW18" s="275"/>
      <c r="AX18" s="289" t="s">
        <v>86</v>
      </c>
      <c r="AY18" s="289"/>
      <c r="AZ18" s="290">
        <v>42684</v>
      </c>
      <c r="BA18" s="290" t="s">
        <v>1337</v>
      </c>
      <c r="BB18" s="25" t="s">
        <v>78</v>
      </c>
      <c r="BC18" s="291">
        <v>43048</v>
      </c>
      <c r="BD18" s="25" t="s">
        <v>122</v>
      </c>
      <c r="BE18" s="297">
        <v>135000</v>
      </c>
      <c r="BF18" s="298">
        <f t="shared" si="0"/>
        <v>1</v>
      </c>
      <c r="BG18" s="297" t="e">
        <f>VLOOKUP(B18,[1]Sheet2!$B:$X,23,0)</f>
        <v>#N/A</v>
      </c>
    </row>
    <row r="19" spans="1:59" s="28" customFormat="1" ht="33" customHeight="1">
      <c r="A19" s="84" t="s">
        <v>1338</v>
      </c>
      <c r="B19" s="18" t="s">
        <v>1339</v>
      </c>
      <c r="C19" s="19" t="s">
        <v>1340</v>
      </c>
      <c r="D19" s="221" t="s">
        <v>1341</v>
      </c>
      <c r="E19" s="31" t="s">
        <v>249</v>
      </c>
      <c r="F19" s="4" t="s">
        <v>315</v>
      </c>
      <c r="G19" s="4" t="s">
        <v>315</v>
      </c>
      <c r="H19" s="218"/>
      <c r="I19" s="6"/>
      <c r="J19" s="217"/>
      <c r="K19" s="237" t="s">
        <v>1285</v>
      </c>
      <c r="L19" s="38"/>
      <c r="M19" s="219">
        <v>5198910</v>
      </c>
      <c r="N19" s="238"/>
      <c r="O19" s="6"/>
      <c r="P19" s="68"/>
      <c r="Q19" s="68"/>
      <c r="R19" s="68"/>
      <c r="S19" s="68"/>
      <c r="T19" s="68"/>
      <c r="U19" s="68"/>
      <c r="V19" s="68"/>
      <c r="W19" s="5"/>
      <c r="X19" s="5"/>
      <c r="Y19" s="261"/>
      <c r="Z19" s="261"/>
      <c r="AA19" s="261"/>
      <c r="AB19" s="5"/>
      <c r="AC19" s="5"/>
      <c r="AD19" s="5"/>
      <c r="AE19" s="5"/>
      <c r="AF19" s="5"/>
      <c r="AG19" s="5"/>
      <c r="AH19" s="5"/>
      <c r="AI19" s="5"/>
      <c r="AJ19" s="5"/>
      <c r="AK19" s="5"/>
      <c r="AL19" s="5"/>
      <c r="AM19" s="5"/>
      <c r="AN19" s="267">
        <v>4678400</v>
      </c>
      <c r="AO19" s="18" t="s">
        <v>108</v>
      </c>
      <c r="AP19" s="37"/>
      <c r="AQ19" s="275"/>
      <c r="AR19" s="26" t="s">
        <v>384</v>
      </c>
      <c r="AS19" s="219"/>
      <c r="AT19" s="276"/>
      <c r="AU19" s="275"/>
      <c r="AV19" s="43"/>
      <c r="AW19" s="275"/>
      <c r="AX19" s="293" t="s">
        <v>86</v>
      </c>
      <c r="AY19" s="289"/>
      <c r="AZ19" s="290"/>
      <c r="BA19" s="290"/>
      <c r="BB19" s="25"/>
      <c r="BC19" s="291"/>
      <c r="BD19" s="25" t="s">
        <v>88</v>
      </c>
      <c r="BE19" s="297">
        <v>4679019</v>
      </c>
      <c r="BF19" s="298">
        <f t="shared" si="0"/>
        <v>0.9</v>
      </c>
      <c r="BG19" s="297" t="e">
        <f>VLOOKUP(B19,[1]Sheet2!$B:$X,23,0)</f>
        <v>#N/A</v>
      </c>
    </row>
    <row r="20" spans="1:59" s="28" customFormat="1" ht="33" customHeight="1">
      <c r="A20" s="84" t="s">
        <v>1342</v>
      </c>
      <c r="B20" s="18" t="s">
        <v>1343</v>
      </c>
      <c r="C20" s="19" t="s">
        <v>1344</v>
      </c>
      <c r="D20" s="221" t="s">
        <v>1345</v>
      </c>
      <c r="E20" s="31" t="s">
        <v>113</v>
      </c>
      <c r="F20" s="4" t="s">
        <v>315</v>
      </c>
      <c r="G20" s="4" t="s">
        <v>315</v>
      </c>
      <c r="H20" s="218" t="s">
        <v>1275</v>
      </c>
      <c r="I20" s="6"/>
      <c r="J20" s="217"/>
      <c r="K20" s="237" t="s">
        <v>1285</v>
      </c>
      <c r="L20" s="38"/>
      <c r="M20" s="219">
        <v>545000</v>
      </c>
      <c r="N20" s="238"/>
      <c r="O20" s="6"/>
      <c r="P20" s="68"/>
      <c r="Q20" s="68"/>
      <c r="R20" s="68"/>
      <c r="S20" s="68"/>
      <c r="T20" s="68"/>
      <c r="U20" s="68"/>
      <c r="V20" s="68"/>
      <c r="W20" s="5"/>
      <c r="X20" s="5"/>
      <c r="Y20" s="261"/>
      <c r="Z20" s="261"/>
      <c r="AA20" s="261"/>
      <c r="AB20" s="5"/>
      <c r="AC20" s="5"/>
      <c r="AD20" s="5"/>
      <c r="AE20" s="5"/>
      <c r="AF20" s="5"/>
      <c r="AG20" s="5"/>
      <c r="AH20" s="5"/>
      <c r="AI20" s="5"/>
      <c r="AJ20" s="5"/>
      <c r="AK20" s="5"/>
      <c r="AL20" s="5"/>
      <c r="AM20" s="5"/>
      <c r="AN20" s="267">
        <v>490500</v>
      </c>
      <c r="AO20" s="18" t="s">
        <v>145</v>
      </c>
      <c r="AP20" s="37" t="s">
        <v>1274</v>
      </c>
      <c r="AQ20" s="275"/>
      <c r="AR20" s="26" t="s">
        <v>384</v>
      </c>
      <c r="AS20" s="219"/>
      <c r="AT20" s="276"/>
      <c r="AU20" s="275"/>
      <c r="AV20" s="43"/>
      <c r="AW20" s="275"/>
      <c r="AX20" s="289"/>
      <c r="AY20" s="289"/>
      <c r="AZ20" s="290"/>
      <c r="BA20" s="290"/>
      <c r="BB20" s="25"/>
      <c r="BC20" s="291"/>
      <c r="BD20" s="25"/>
      <c r="BE20" s="297">
        <v>545000</v>
      </c>
      <c r="BF20" s="298">
        <f t="shared" si="0"/>
        <v>1</v>
      </c>
      <c r="BG20" s="297" t="e">
        <f>VLOOKUP(B20,[1]Sheet2!$B:$X,23,0)</f>
        <v>#N/A</v>
      </c>
    </row>
    <row r="21" spans="1:59" s="28" customFormat="1" ht="33" customHeight="1">
      <c r="A21" s="84" t="s">
        <v>1346</v>
      </c>
      <c r="B21" s="18" t="s">
        <v>1347</v>
      </c>
      <c r="C21" s="19" t="s">
        <v>1348</v>
      </c>
      <c r="D21" s="221" t="s">
        <v>1349</v>
      </c>
      <c r="E21" s="31" t="s">
        <v>261</v>
      </c>
      <c r="F21" s="4" t="s">
        <v>1350</v>
      </c>
      <c r="G21" s="4" t="s">
        <v>1350</v>
      </c>
      <c r="H21" s="218" t="s">
        <v>1275</v>
      </c>
      <c r="I21" s="6"/>
      <c r="J21" s="217"/>
      <c r="K21" s="237" t="s">
        <v>1285</v>
      </c>
      <c r="L21" s="38"/>
      <c r="M21" s="219">
        <v>1096440</v>
      </c>
      <c r="N21" s="238"/>
      <c r="O21" s="6"/>
      <c r="P21" s="68"/>
      <c r="Q21" s="68"/>
      <c r="R21" s="68"/>
      <c r="S21" s="68"/>
      <c r="T21" s="68"/>
      <c r="U21" s="68"/>
      <c r="V21" s="68"/>
      <c r="W21" s="5"/>
      <c r="X21" s="5"/>
      <c r="Y21" s="261"/>
      <c r="Z21" s="261"/>
      <c r="AA21" s="261"/>
      <c r="AB21" s="5"/>
      <c r="AC21" s="5"/>
      <c r="AD21" s="5"/>
      <c r="AE21" s="5"/>
      <c r="AF21" s="5"/>
      <c r="AG21" s="5"/>
      <c r="AH21" s="5"/>
      <c r="AI21" s="5"/>
      <c r="AJ21" s="5"/>
      <c r="AK21" s="5"/>
      <c r="AL21" s="5"/>
      <c r="AM21" s="5"/>
      <c r="AN21" s="267">
        <v>929580</v>
      </c>
      <c r="AO21" s="18" t="s">
        <v>85</v>
      </c>
      <c r="AP21" s="37" t="s">
        <v>1295</v>
      </c>
      <c r="AQ21" s="275"/>
      <c r="AR21" s="26" t="s">
        <v>384</v>
      </c>
      <c r="AS21" s="219"/>
      <c r="AT21" s="276"/>
      <c r="AU21" s="275"/>
      <c r="AV21" s="43" t="s">
        <v>190</v>
      </c>
      <c r="AW21" s="275"/>
      <c r="AX21" s="289"/>
      <c r="AY21" s="289"/>
      <c r="AZ21" s="290"/>
      <c r="BA21" s="290"/>
      <c r="BB21" s="25"/>
      <c r="BC21" s="291"/>
      <c r="BD21" s="25" t="s">
        <v>192</v>
      </c>
      <c r="BE21" s="297">
        <v>1096440</v>
      </c>
      <c r="BF21" s="298">
        <f t="shared" si="0"/>
        <v>1</v>
      </c>
      <c r="BG21" s="297" t="e">
        <f>VLOOKUP(B21,[1]Sheet2!$B:$X,23,0)</f>
        <v>#N/A</v>
      </c>
    </row>
    <row r="22" spans="1:59" s="28" customFormat="1" ht="33" customHeight="1">
      <c r="A22" s="84" t="s">
        <v>1351</v>
      </c>
      <c r="B22" s="18" t="s">
        <v>1352</v>
      </c>
      <c r="C22" s="19" t="s">
        <v>1353</v>
      </c>
      <c r="D22" s="221" t="s">
        <v>1354</v>
      </c>
      <c r="E22" s="31" t="s">
        <v>261</v>
      </c>
      <c r="F22" s="4" t="s">
        <v>1350</v>
      </c>
      <c r="G22" s="4" t="s">
        <v>1350</v>
      </c>
      <c r="H22" s="218"/>
      <c r="I22" s="6"/>
      <c r="J22" s="217"/>
      <c r="K22" s="237" t="s">
        <v>1285</v>
      </c>
      <c r="L22" s="38"/>
      <c r="M22" s="219">
        <v>1310760</v>
      </c>
      <c r="N22" s="238"/>
      <c r="O22" s="6"/>
      <c r="P22" s="68"/>
      <c r="Q22" s="68"/>
      <c r="R22" s="68"/>
      <c r="S22" s="68"/>
      <c r="T22" s="68"/>
      <c r="U22" s="68"/>
      <c r="V22" s="68"/>
      <c r="W22" s="5"/>
      <c r="X22" s="5"/>
      <c r="Y22" s="261"/>
      <c r="Z22" s="261"/>
      <c r="AA22" s="261"/>
      <c r="AB22" s="5"/>
      <c r="AC22" s="5"/>
      <c r="AD22" s="5"/>
      <c r="AE22" s="5"/>
      <c r="AF22" s="5"/>
      <c r="AG22" s="5"/>
      <c r="AH22" s="5"/>
      <c r="AI22" s="5"/>
      <c r="AJ22" s="5"/>
      <c r="AK22" s="5"/>
      <c r="AL22" s="5"/>
      <c r="AM22" s="5"/>
      <c r="AN22" s="238">
        <v>1111350</v>
      </c>
      <c r="AO22" s="18" t="s">
        <v>85</v>
      </c>
      <c r="AP22" s="37" t="s">
        <v>1295</v>
      </c>
      <c r="AQ22" s="275"/>
      <c r="AR22" s="26" t="s">
        <v>384</v>
      </c>
      <c r="AS22" s="219"/>
      <c r="AT22" s="276"/>
      <c r="AU22" s="275"/>
      <c r="AV22" s="43" t="s">
        <v>190</v>
      </c>
      <c r="AW22" s="275"/>
      <c r="AX22" s="289"/>
      <c r="AY22" s="289"/>
      <c r="AZ22" s="290"/>
      <c r="BA22" s="290"/>
      <c r="BB22" s="25"/>
      <c r="BC22" s="291"/>
      <c r="BD22" s="25" t="s">
        <v>192</v>
      </c>
      <c r="BE22" s="297">
        <v>873840</v>
      </c>
      <c r="BF22" s="298">
        <f t="shared" si="0"/>
        <v>0.66666666666666663</v>
      </c>
      <c r="BG22" s="297" t="e">
        <f>VLOOKUP(B22,[1]Sheet2!$B:$X,23,0)</f>
        <v>#N/A</v>
      </c>
    </row>
    <row r="23" spans="1:59" s="28" customFormat="1" ht="33" customHeight="1">
      <c r="A23" s="84" t="s">
        <v>1355</v>
      </c>
      <c r="B23" s="18" t="s">
        <v>772</v>
      </c>
      <c r="C23" s="26" t="s">
        <v>771</v>
      </c>
      <c r="D23" s="26" t="s">
        <v>773</v>
      </c>
      <c r="E23" s="26" t="s">
        <v>1356</v>
      </c>
      <c r="F23" s="216" t="s">
        <v>315</v>
      </c>
      <c r="G23" s="216" t="s">
        <v>315</v>
      </c>
      <c r="H23" s="218" t="s">
        <v>1275</v>
      </c>
      <c r="I23" s="26"/>
      <c r="J23" s="219"/>
      <c r="K23" s="237" t="s">
        <v>1285</v>
      </c>
      <c r="L23" s="26"/>
      <c r="M23" s="219">
        <v>184308</v>
      </c>
      <c r="N23" s="243"/>
      <c r="O23" s="53"/>
      <c r="P23" s="245"/>
      <c r="Q23" s="245"/>
      <c r="R23" s="245"/>
      <c r="S23" s="245"/>
      <c r="T23" s="245"/>
      <c r="U23" s="245"/>
      <c r="V23" s="245"/>
      <c r="W23" s="26"/>
      <c r="X23" s="26"/>
      <c r="Y23" s="262"/>
      <c r="Z23" s="262"/>
      <c r="AA23" s="263"/>
      <c r="AB23" s="26"/>
      <c r="AC23" s="26"/>
      <c r="AD23" s="26"/>
      <c r="AE23" s="26"/>
      <c r="AF23" s="26"/>
      <c r="AG23" s="26"/>
      <c r="AH23" s="26"/>
      <c r="AI23" s="26"/>
      <c r="AJ23" s="26"/>
      <c r="AK23" s="26"/>
      <c r="AL23" s="26"/>
      <c r="AM23" s="26"/>
      <c r="AN23" s="243">
        <v>156561.4</v>
      </c>
      <c r="AO23" s="216" t="s">
        <v>145</v>
      </c>
      <c r="AP23" s="37" t="e">
        <v>#N/A</v>
      </c>
      <c r="AQ23" s="277"/>
      <c r="AR23" s="26" t="s">
        <v>384</v>
      </c>
      <c r="AS23" s="219"/>
      <c r="AT23" s="278"/>
      <c r="AU23" s="277"/>
      <c r="AV23" s="43" t="s">
        <v>66</v>
      </c>
      <c r="AW23" s="277"/>
      <c r="AX23" s="289" t="s">
        <v>86</v>
      </c>
      <c r="AY23" s="289"/>
      <c r="AZ23" s="290">
        <v>42513</v>
      </c>
      <c r="BA23" s="290">
        <v>43231</v>
      </c>
      <c r="BB23" s="25"/>
      <c r="BC23" s="291">
        <v>42877</v>
      </c>
      <c r="BD23" s="25" t="s">
        <v>122</v>
      </c>
      <c r="BE23" s="297">
        <v>184308</v>
      </c>
      <c r="BF23" s="298">
        <f t="shared" si="0"/>
        <v>1</v>
      </c>
      <c r="BG23" s="297" t="e">
        <f>VLOOKUP(B23,[1]Sheet2!$B:$X,23,0)</f>
        <v>#N/A</v>
      </c>
    </row>
    <row r="24" spans="1:59" s="28" customFormat="1" ht="33" customHeight="1">
      <c r="A24" s="84" t="s">
        <v>1357</v>
      </c>
      <c r="B24" s="18" t="s">
        <v>1358</v>
      </c>
      <c r="C24" s="19" t="s">
        <v>1359</v>
      </c>
      <c r="D24" s="221" t="s">
        <v>1360</v>
      </c>
      <c r="E24" s="219" t="s">
        <v>1356</v>
      </c>
      <c r="F24" s="216" t="s">
        <v>315</v>
      </c>
      <c r="G24" s="216" t="s">
        <v>315</v>
      </c>
      <c r="H24" s="218" t="s">
        <v>1275</v>
      </c>
      <c r="I24" s="26"/>
      <c r="J24" s="219"/>
      <c r="K24" s="237" t="s">
        <v>1285</v>
      </c>
      <c r="L24" s="219"/>
      <c r="M24" s="219">
        <v>58000</v>
      </c>
      <c r="N24" s="243"/>
      <c r="O24" s="53"/>
      <c r="P24" s="245"/>
      <c r="Q24" s="245"/>
      <c r="R24" s="245"/>
      <c r="S24" s="245"/>
      <c r="T24" s="245"/>
      <c r="U24" s="245"/>
      <c r="V24" s="245"/>
      <c r="W24" s="26"/>
      <c r="X24" s="26"/>
      <c r="Y24" s="262"/>
      <c r="Z24" s="262"/>
      <c r="AA24" s="263"/>
      <c r="AB24" s="26"/>
      <c r="AC24" s="26"/>
      <c r="AD24" s="26"/>
      <c r="AE24" s="26"/>
      <c r="AF24" s="26"/>
      <c r="AG24" s="26"/>
      <c r="AH24" s="26"/>
      <c r="AI24" s="26"/>
      <c r="AJ24" s="26"/>
      <c r="AK24" s="26"/>
      <c r="AL24" s="26"/>
      <c r="AM24" s="26"/>
      <c r="AN24" s="267">
        <v>49300</v>
      </c>
      <c r="AO24" s="18" t="s">
        <v>145</v>
      </c>
      <c r="AP24" s="37" t="e">
        <v>#N/A</v>
      </c>
      <c r="AQ24" s="277"/>
      <c r="AR24" s="26" t="s">
        <v>384</v>
      </c>
      <c r="AS24" s="219"/>
      <c r="AT24" s="278"/>
      <c r="AU24" s="277"/>
      <c r="AV24" s="43"/>
      <c r="AW24" s="277"/>
      <c r="AX24" s="294"/>
      <c r="AY24" s="294"/>
      <c r="AZ24" s="279"/>
      <c r="BA24" s="279"/>
      <c r="BB24" s="25"/>
      <c r="BC24" s="291"/>
      <c r="BD24" s="25"/>
      <c r="BE24" s="297">
        <v>58000</v>
      </c>
      <c r="BF24" s="298">
        <f t="shared" si="0"/>
        <v>1</v>
      </c>
      <c r="BG24" s="297" t="e">
        <f>VLOOKUP(B24,[1]Sheet2!$B:$X,23,0)</f>
        <v>#N/A</v>
      </c>
    </row>
    <row r="25" spans="1:59" s="28" customFormat="1" ht="33" customHeight="1">
      <c r="A25" s="84" t="s">
        <v>1361</v>
      </c>
      <c r="B25" s="18" t="s">
        <v>1362</v>
      </c>
      <c r="C25" s="19" t="s">
        <v>1363</v>
      </c>
      <c r="D25" s="221" t="s">
        <v>1364</v>
      </c>
      <c r="E25" s="219" t="s">
        <v>1365</v>
      </c>
      <c r="F25" s="216" t="s">
        <v>315</v>
      </c>
      <c r="G25" s="216" t="s">
        <v>315</v>
      </c>
      <c r="H25" s="218" t="s">
        <v>1275</v>
      </c>
      <c r="I25" s="26"/>
      <c r="J25" s="219"/>
      <c r="K25" s="237" t="s">
        <v>1285</v>
      </c>
      <c r="L25" s="219"/>
      <c r="M25" s="219">
        <v>600</v>
      </c>
      <c r="N25" s="243"/>
      <c r="O25" s="53"/>
      <c r="P25" s="245"/>
      <c r="Q25" s="245"/>
      <c r="R25" s="245"/>
      <c r="S25" s="245"/>
      <c r="T25" s="245"/>
      <c r="U25" s="245"/>
      <c r="V25" s="245"/>
      <c r="W25" s="26"/>
      <c r="X25" s="26"/>
      <c r="Y25" s="262"/>
      <c r="Z25" s="262"/>
      <c r="AA25" s="263"/>
      <c r="AB25" s="26"/>
      <c r="AC25" s="26"/>
      <c r="AD25" s="26"/>
      <c r="AE25" s="26"/>
      <c r="AF25" s="26"/>
      <c r="AG25" s="26"/>
      <c r="AH25" s="26"/>
      <c r="AI25" s="26"/>
      <c r="AJ25" s="26"/>
      <c r="AK25" s="26"/>
      <c r="AL25" s="26"/>
      <c r="AM25" s="26"/>
      <c r="AN25" s="267">
        <v>480</v>
      </c>
      <c r="AO25" s="18" t="s">
        <v>93</v>
      </c>
      <c r="AP25" s="37"/>
      <c r="AQ25" s="277"/>
      <c r="AR25" s="26" t="s">
        <v>384</v>
      </c>
      <c r="AS25" s="219"/>
      <c r="AT25" s="278"/>
      <c r="AU25" s="277"/>
      <c r="AV25" s="43"/>
      <c r="AW25" s="277"/>
      <c r="AX25" s="294"/>
      <c r="AY25" s="294"/>
      <c r="AZ25" s="279"/>
      <c r="BA25" s="279"/>
      <c r="BB25" s="25"/>
      <c r="BC25" s="291"/>
      <c r="BD25" s="25"/>
      <c r="BE25" s="297">
        <v>600</v>
      </c>
      <c r="BF25" s="298">
        <f t="shared" si="0"/>
        <v>1</v>
      </c>
      <c r="BG25" s="297" t="e">
        <f>VLOOKUP(B25,[1]Sheet2!$B:$X,23,0)</f>
        <v>#N/A</v>
      </c>
    </row>
    <row r="26" spans="1:59" s="28" customFormat="1" ht="33" customHeight="1">
      <c r="A26" s="84" t="s">
        <v>1366</v>
      </c>
      <c r="B26" s="18" t="s">
        <v>1367</v>
      </c>
      <c r="C26" s="19" t="s">
        <v>1368</v>
      </c>
      <c r="D26" s="221" t="s">
        <v>1369</v>
      </c>
      <c r="E26" s="219" t="s">
        <v>60</v>
      </c>
      <c r="F26" s="216" t="s">
        <v>1277</v>
      </c>
      <c r="G26" s="216" t="s">
        <v>1277</v>
      </c>
      <c r="H26" s="218" t="s">
        <v>1277</v>
      </c>
      <c r="I26" s="6"/>
      <c r="J26" s="217"/>
      <c r="K26" s="237" t="s">
        <v>1285</v>
      </c>
      <c r="L26" s="219"/>
      <c r="M26" s="219">
        <v>446000</v>
      </c>
      <c r="N26" s="243"/>
      <c r="O26" s="53"/>
      <c r="P26" s="245"/>
      <c r="Q26" s="245"/>
      <c r="R26" s="245"/>
      <c r="S26" s="245"/>
      <c r="T26" s="245"/>
      <c r="U26" s="245"/>
      <c r="V26" s="245"/>
      <c r="W26" s="26"/>
      <c r="X26" s="26"/>
      <c r="Y26" s="262"/>
      <c r="Z26" s="262"/>
      <c r="AA26" s="263"/>
      <c r="AB26" s="26"/>
      <c r="AC26" s="26"/>
      <c r="AD26" s="26"/>
      <c r="AE26" s="26"/>
      <c r="AF26" s="26"/>
      <c r="AG26" s="26"/>
      <c r="AH26" s="26"/>
      <c r="AI26" s="26"/>
      <c r="AJ26" s="26"/>
      <c r="AK26" s="26"/>
      <c r="AL26" s="26"/>
      <c r="AM26" s="26"/>
      <c r="AN26" s="267">
        <v>405860</v>
      </c>
      <c r="AO26" s="18" t="s">
        <v>1370</v>
      </c>
      <c r="AP26" s="37" t="s">
        <v>1371</v>
      </c>
      <c r="AQ26" s="277"/>
      <c r="AR26" s="26" t="s">
        <v>384</v>
      </c>
      <c r="AS26" s="219"/>
      <c r="AT26" s="278"/>
      <c r="AU26" s="277"/>
      <c r="AV26" s="43" t="s">
        <v>190</v>
      </c>
      <c r="AW26" s="277"/>
      <c r="AX26" s="294"/>
      <c r="AY26" s="294"/>
      <c r="AZ26" s="279"/>
      <c r="BA26" s="279"/>
      <c r="BB26" s="25"/>
      <c r="BC26" s="291"/>
      <c r="BD26" s="25" t="s">
        <v>1280</v>
      </c>
      <c r="BE26" s="297">
        <v>446000</v>
      </c>
      <c r="BF26" s="298">
        <f t="shared" si="0"/>
        <v>1</v>
      </c>
      <c r="BG26" s="297" t="e">
        <f>VLOOKUP(B26,[1]Sheet2!$B:$X,23,0)</f>
        <v>#N/A</v>
      </c>
    </row>
    <row r="27" spans="1:59" s="28" customFormat="1" ht="33" customHeight="1">
      <c r="A27" s="222" t="s">
        <v>1372</v>
      </c>
      <c r="B27" s="18" t="s">
        <v>1373</v>
      </c>
      <c r="C27" s="19" t="s">
        <v>1374</v>
      </c>
      <c r="D27" s="221" t="s">
        <v>1375</v>
      </c>
      <c r="E27" s="219"/>
      <c r="F27" s="216" t="s">
        <v>315</v>
      </c>
      <c r="G27" s="216" t="s">
        <v>315</v>
      </c>
      <c r="H27" s="218"/>
      <c r="I27" s="26"/>
      <c r="J27" s="219"/>
      <c r="K27" s="237" t="s">
        <v>1285</v>
      </c>
      <c r="L27" s="219"/>
      <c r="M27" s="219"/>
      <c r="N27" s="243"/>
      <c r="O27" s="53"/>
      <c r="P27" s="245"/>
      <c r="Q27" s="245"/>
      <c r="R27" s="245"/>
      <c r="S27" s="245"/>
      <c r="T27" s="245"/>
      <c r="U27" s="245"/>
      <c r="V27" s="245"/>
      <c r="W27" s="26"/>
      <c r="X27" s="26"/>
      <c r="Y27" s="262"/>
      <c r="Z27" s="262"/>
      <c r="AA27" s="263"/>
      <c r="AB27" s="26"/>
      <c r="AC27" s="26"/>
      <c r="AD27" s="26"/>
      <c r="AE27" s="26"/>
      <c r="AF27" s="26"/>
      <c r="AG27" s="26"/>
      <c r="AH27" s="26"/>
      <c r="AI27" s="26"/>
      <c r="AJ27" s="26"/>
      <c r="AK27" s="26"/>
      <c r="AL27" s="26"/>
      <c r="AM27" s="26"/>
      <c r="AN27" s="267">
        <v>528000</v>
      </c>
      <c r="AO27" s="18" t="s">
        <v>145</v>
      </c>
      <c r="AP27" s="37" t="e">
        <v>#N/A</v>
      </c>
      <c r="AQ27" s="277"/>
      <c r="AR27" s="26" t="s">
        <v>384</v>
      </c>
      <c r="AS27" s="219"/>
      <c r="AT27" s="279">
        <v>42475</v>
      </c>
      <c r="AU27" s="277"/>
      <c r="AV27" s="43" t="s">
        <v>66</v>
      </c>
      <c r="AW27" s="277"/>
      <c r="AX27" s="294" t="s">
        <v>86</v>
      </c>
      <c r="AY27" s="294"/>
      <c r="AZ27" s="279">
        <v>42536</v>
      </c>
      <c r="BA27" s="279">
        <v>42822</v>
      </c>
      <c r="BB27" s="295" t="s">
        <v>78</v>
      </c>
      <c r="BC27" s="295">
        <v>42900</v>
      </c>
      <c r="BD27" s="25" t="s">
        <v>122</v>
      </c>
      <c r="BE27" s="297">
        <v>0</v>
      </c>
      <c r="BF27" s="298" t="e">
        <f t="shared" si="0"/>
        <v>#DIV/0!</v>
      </c>
      <c r="BG27" s="297" t="e">
        <f>VLOOKUP(B27,[1]Sheet2!$B:$X,23,0)</f>
        <v>#N/A</v>
      </c>
    </row>
    <row r="28" spans="1:59" s="28" customFormat="1" ht="33" customHeight="1">
      <c r="A28" s="84" t="s">
        <v>1376</v>
      </c>
      <c r="B28" s="18" t="s">
        <v>1377</v>
      </c>
      <c r="C28" s="19" t="s">
        <v>1378</v>
      </c>
      <c r="D28" s="221" t="s">
        <v>1379</v>
      </c>
      <c r="E28" s="219" t="s">
        <v>113</v>
      </c>
      <c r="F28" s="216" t="s">
        <v>315</v>
      </c>
      <c r="G28" s="216" t="s">
        <v>315</v>
      </c>
      <c r="H28" s="37" t="s">
        <v>1275</v>
      </c>
      <c r="I28" s="219"/>
      <c r="J28" s="219"/>
      <c r="K28" s="237" t="s">
        <v>1285</v>
      </c>
      <c r="L28" s="219"/>
      <c r="M28" s="219">
        <v>788224.56</v>
      </c>
      <c r="N28" s="243"/>
      <c r="O28" s="53"/>
      <c r="P28" s="245"/>
      <c r="Q28" s="245"/>
      <c r="R28" s="245"/>
      <c r="S28" s="245"/>
      <c r="T28" s="245"/>
      <c r="U28" s="245"/>
      <c r="V28" s="245"/>
      <c r="W28" s="26"/>
      <c r="X28" s="26"/>
      <c r="Y28" s="262"/>
      <c r="Z28" s="262"/>
      <c r="AA28" s="263"/>
      <c r="AB28" s="26"/>
      <c r="AC28" s="26"/>
      <c r="AD28" s="26"/>
      <c r="AE28" s="26"/>
      <c r="AF28" s="26"/>
      <c r="AG28" s="26"/>
      <c r="AH28" s="26"/>
      <c r="AI28" s="26"/>
      <c r="AJ28" s="26"/>
      <c r="AK28" s="26"/>
      <c r="AL28" s="26"/>
      <c r="AM28" s="26"/>
      <c r="AN28" s="267">
        <v>709000</v>
      </c>
      <c r="AO28" s="18" t="s">
        <v>145</v>
      </c>
      <c r="AP28" s="37" t="s">
        <v>1274</v>
      </c>
      <c r="AQ28" s="277"/>
      <c r="AR28" s="26" t="s">
        <v>384</v>
      </c>
      <c r="AS28" s="219"/>
      <c r="AT28" s="278" t="s">
        <v>1380</v>
      </c>
      <c r="AU28" s="277"/>
      <c r="AV28" s="43" t="s">
        <v>66</v>
      </c>
      <c r="AW28" s="277"/>
      <c r="AX28" s="294" t="s">
        <v>86</v>
      </c>
      <c r="AY28" s="294"/>
      <c r="AZ28" s="279">
        <v>43510</v>
      </c>
      <c r="BA28" s="279">
        <v>43510</v>
      </c>
      <c r="BB28" s="295" t="s">
        <v>78</v>
      </c>
      <c r="BC28" s="295">
        <v>43831</v>
      </c>
      <c r="BD28" s="25" t="s">
        <v>88</v>
      </c>
      <c r="BE28" s="297">
        <v>394000</v>
      </c>
      <c r="BF28" s="298">
        <f t="shared" si="0"/>
        <v>0.49985755328405396</v>
      </c>
      <c r="BG28" s="297" t="e">
        <f>VLOOKUP(B28,[1]Sheet2!$B:$X,23,0)</f>
        <v>#N/A</v>
      </c>
    </row>
    <row r="29" spans="1:59" s="28" customFormat="1" ht="33" customHeight="1">
      <c r="A29" s="84" t="s">
        <v>1381</v>
      </c>
      <c r="B29" s="18" t="s">
        <v>1382</v>
      </c>
      <c r="C29" s="19" t="s">
        <v>1383</v>
      </c>
      <c r="D29" s="221" t="s">
        <v>1384</v>
      </c>
      <c r="E29" s="219" t="s">
        <v>1093</v>
      </c>
      <c r="F29" s="216" t="s">
        <v>315</v>
      </c>
      <c r="G29" s="216" t="s">
        <v>315</v>
      </c>
      <c r="H29" s="37" t="s">
        <v>1275</v>
      </c>
      <c r="I29" s="219"/>
      <c r="J29" s="219"/>
      <c r="K29" s="237" t="s">
        <v>1285</v>
      </c>
      <c r="L29" s="219"/>
      <c r="M29" s="219">
        <v>302351</v>
      </c>
      <c r="N29" s="243"/>
      <c r="O29" s="53"/>
      <c r="P29" s="245"/>
      <c r="Q29" s="245"/>
      <c r="R29" s="245"/>
      <c r="S29" s="245"/>
      <c r="T29" s="245"/>
      <c r="U29" s="245"/>
      <c r="V29" s="245"/>
      <c r="W29" s="26"/>
      <c r="X29" s="26"/>
      <c r="Y29" s="262"/>
      <c r="Z29" s="262"/>
      <c r="AA29" s="263"/>
      <c r="AB29" s="26"/>
      <c r="AC29" s="26"/>
      <c r="AD29" s="26"/>
      <c r="AE29" s="26"/>
      <c r="AF29" s="26"/>
      <c r="AG29" s="26"/>
      <c r="AH29" s="26"/>
      <c r="AI29" s="26"/>
      <c r="AJ29" s="26"/>
      <c r="AK29" s="26"/>
      <c r="AL29" s="26"/>
      <c r="AM29" s="26"/>
      <c r="AN29" s="267">
        <v>272000</v>
      </c>
      <c r="AO29" s="18" t="s">
        <v>132</v>
      </c>
      <c r="AP29" s="37" t="s">
        <v>1276</v>
      </c>
      <c r="AQ29" s="277"/>
      <c r="AR29" s="26" t="s">
        <v>384</v>
      </c>
      <c r="AS29" s="219"/>
      <c r="AT29" s="279"/>
      <c r="AU29" s="277"/>
      <c r="AV29" s="43" t="s">
        <v>66</v>
      </c>
      <c r="AW29" s="277"/>
      <c r="AX29" s="294" t="s">
        <v>86</v>
      </c>
      <c r="AY29" s="294"/>
      <c r="AZ29" s="279">
        <v>42736</v>
      </c>
      <c r="BA29" s="279" t="s">
        <v>1385</v>
      </c>
      <c r="BB29" s="295" t="s">
        <v>78</v>
      </c>
      <c r="BC29" s="295">
        <v>43101</v>
      </c>
      <c r="BD29" s="25" t="s">
        <v>122</v>
      </c>
      <c r="BE29" s="297">
        <v>302351</v>
      </c>
      <c r="BF29" s="298">
        <f t="shared" si="0"/>
        <v>1</v>
      </c>
      <c r="BG29" s="297" t="e">
        <f>VLOOKUP(B29,[1]Sheet2!$B:$X,23,0)</f>
        <v>#N/A</v>
      </c>
    </row>
    <row r="30" spans="1:59" s="28" customFormat="1" ht="33" customHeight="1">
      <c r="A30" s="84" t="s">
        <v>1386</v>
      </c>
      <c r="B30" s="18" t="s">
        <v>1387</v>
      </c>
      <c r="C30" s="19" t="s">
        <v>1388</v>
      </c>
      <c r="D30" s="221" t="s">
        <v>1389</v>
      </c>
      <c r="E30" s="219" t="s">
        <v>113</v>
      </c>
      <c r="F30" s="216" t="s">
        <v>315</v>
      </c>
      <c r="G30" s="216" t="s">
        <v>315</v>
      </c>
      <c r="H30" s="37" t="s">
        <v>1275</v>
      </c>
      <c r="I30" s="219"/>
      <c r="J30" s="219"/>
      <c r="K30" s="237" t="s">
        <v>1285</v>
      </c>
      <c r="L30" s="219"/>
      <c r="M30" s="219">
        <v>116927</v>
      </c>
      <c r="N30" s="243"/>
      <c r="O30" s="53"/>
      <c r="P30" s="245"/>
      <c r="Q30" s="245"/>
      <c r="R30" s="245"/>
      <c r="S30" s="245"/>
      <c r="T30" s="245"/>
      <c r="U30" s="245"/>
      <c r="V30" s="245"/>
      <c r="W30" s="26"/>
      <c r="X30" s="26"/>
      <c r="Y30" s="262"/>
      <c r="Z30" s="262"/>
      <c r="AA30" s="263"/>
      <c r="AB30" s="26"/>
      <c r="AC30" s="26"/>
      <c r="AD30" s="26"/>
      <c r="AE30" s="26"/>
      <c r="AF30" s="26"/>
      <c r="AG30" s="26"/>
      <c r="AH30" s="26"/>
      <c r="AI30" s="26"/>
      <c r="AJ30" s="26"/>
      <c r="AK30" s="26"/>
      <c r="AL30" s="26"/>
      <c r="AM30" s="26"/>
      <c r="AN30" s="267">
        <v>99200</v>
      </c>
      <c r="AO30" s="18" t="s">
        <v>145</v>
      </c>
      <c r="AP30" s="37" t="s">
        <v>1274</v>
      </c>
      <c r="AQ30" s="277"/>
      <c r="AR30" s="26" t="s">
        <v>384</v>
      </c>
      <c r="AS30" s="219"/>
      <c r="AT30" s="279"/>
      <c r="AU30" s="277"/>
      <c r="AV30" s="43" t="s">
        <v>66</v>
      </c>
      <c r="AW30" s="277"/>
      <c r="AX30" s="294" t="s">
        <v>86</v>
      </c>
      <c r="AY30" s="294"/>
      <c r="AZ30" s="279">
        <v>42570</v>
      </c>
      <c r="BA30" s="279">
        <v>42822</v>
      </c>
      <c r="BB30" s="295" t="s">
        <v>78</v>
      </c>
      <c r="BC30" s="295">
        <v>42934</v>
      </c>
      <c r="BD30" s="25" t="s">
        <v>122</v>
      </c>
      <c r="BE30" s="297">
        <v>116927</v>
      </c>
      <c r="BF30" s="298">
        <f t="shared" si="0"/>
        <v>1</v>
      </c>
      <c r="BG30" s="297" t="e">
        <f>VLOOKUP(B30,[1]Sheet2!$B:$X,23,0)</f>
        <v>#N/A</v>
      </c>
    </row>
    <row r="31" spans="1:59" s="28" customFormat="1" ht="33" customHeight="1">
      <c r="A31" s="84" t="s">
        <v>1390</v>
      </c>
      <c r="B31" s="18" t="s">
        <v>1391</v>
      </c>
      <c r="C31" s="19" t="s">
        <v>1392</v>
      </c>
      <c r="D31" s="221" t="s">
        <v>1393</v>
      </c>
      <c r="E31" s="219" t="s">
        <v>1356</v>
      </c>
      <c r="F31" s="216" t="s">
        <v>315</v>
      </c>
      <c r="G31" s="216" t="s">
        <v>315</v>
      </c>
      <c r="H31" s="37" t="s">
        <v>1275</v>
      </c>
      <c r="I31" s="219"/>
      <c r="J31" s="219"/>
      <c r="K31" s="237" t="s">
        <v>1285</v>
      </c>
      <c r="L31" s="219"/>
      <c r="M31" s="219">
        <v>133800</v>
      </c>
      <c r="N31" s="243"/>
      <c r="O31" s="53"/>
      <c r="P31" s="245"/>
      <c r="Q31" s="245"/>
      <c r="R31" s="245"/>
      <c r="S31" s="245"/>
      <c r="T31" s="245"/>
      <c r="U31" s="245"/>
      <c r="V31" s="245"/>
      <c r="W31" s="26"/>
      <c r="X31" s="26"/>
      <c r="Y31" s="262"/>
      <c r="Z31" s="262"/>
      <c r="AA31" s="263"/>
      <c r="AB31" s="26"/>
      <c r="AC31" s="26"/>
      <c r="AD31" s="26"/>
      <c r="AE31" s="26"/>
      <c r="AF31" s="26"/>
      <c r="AG31" s="26"/>
      <c r="AH31" s="26"/>
      <c r="AI31" s="26"/>
      <c r="AJ31" s="26"/>
      <c r="AK31" s="26"/>
      <c r="AL31" s="26"/>
      <c r="AM31" s="26"/>
      <c r="AN31" s="267">
        <v>122900</v>
      </c>
      <c r="AO31" s="18" t="s">
        <v>145</v>
      </c>
      <c r="AP31" s="37" t="e">
        <v>#N/A</v>
      </c>
      <c r="AQ31" s="277"/>
      <c r="AR31" s="26" t="s">
        <v>384</v>
      </c>
      <c r="AS31" s="219"/>
      <c r="AT31" s="279"/>
      <c r="AU31" s="277"/>
      <c r="AV31" s="43"/>
      <c r="AW31" s="277"/>
      <c r="AX31" s="294"/>
      <c r="AY31" s="294"/>
      <c r="AZ31" s="279"/>
      <c r="BA31" s="279"/>
      <c r="BB31" s="295"/>
      <c r="BC31" s="295"/>
      <c r="BD31" s="25"/>
      <c r="BE31" s="297">
        <v>145480</v>
      </c>
      <c r="BF31" s="298">
        <f t="shared" si="0"/>
        <v>1.0872944693572497</v>
      </c>
      <c r="BG31" s="297" t="e">
        <f>VLOOKUP(B31,[1]Sheet2!$B:$X,23,0)</f>
        <v>#N/A</v>
      </c>
    </row>
    <row r="32" spans="1:59" s="28" customFormat="1" ht="33" customHeight="1">
      <c r="A32" s="84" t="s">
        <v>1394</v>
      </c>
      <c r="B32" s="18" t="s">
        <v>1395</v>
      </c>
      <c r="C32" s="19" t="s">
        <v>1396</v>
      </c>
      <c r="D32" s="221" t="s">
        <v>1397</v>
      </c>
      <c r="E32" s="219" t="s">
        <v>113</v>
      </c>
      <c r="F32" s="216" t="s">
        <v>315</v>
      </c>
      <c r="G32" s="216" t="s">
        <v>315</v>
      </c>
      <c r="H32" s="37" t="s">
        <v>1275</v>
      </c>
      <c r="I32" s="219"/>
      <c r="J32" s="219"/>
      <c r="K32" s="237" t="s">
        <v>1285</v>
      </c>
      <c r="L32" s="219"/>
      <c r="M32" s="219">
        <v>140493.6</v>
      </c>
      <c r="N32" s="243"/>
      <c r="O32" s="53"/>
      <c r="P32" s="245"/>
      <c r="Q32" s="245"/>
      <c r="R32" s="245"/>
      <c r="S32" s="245"/>
      <c r="T32" s="245"/>
      <c r="U32" s="245"/>
      <c r="V32" s="245"/>
      <c r="W32" s="26"/>
      <c r="X32" s="26"/>
      <c r="Y32" s="262"/>
      <c r="Z32" s="262"/>
      <c r="AA32" s="263"/>
      <c r="AB32" s="26"/>
      <c r="AC32" s="26"/>
      <c r="AD32" s="26"/>
      <c r="AE32" s="26"/>
      <c r="AF32" s="26"/>
      <c r="AG32" s="26"/>
      <c r="AH32" s="26"/>
      <c r="AI32" s="26"/>
      <c r="AJ32" s="26"/>
      <c r="AK32" s="26"/>
      <c r="AL32" s="26"/>
      <c r="AM32" s="26"/>
      <c r="AN32" s="267">
        <v>119000</v>
      </c>
      <c r="AO32" s="18" t="s">
        <v>76</v>
      </c>
      <c r="AP32" s="37" t="s">
        <v>1274</v>
      </c>
      <c r="AQ32" s="277"/>
      <c r="AR32" s="26" t="s">
        <v>384</v>
      </c>
      <c r="AS32" s="219"/>
      <c r="AT32" s="279"/>
      <c r="AU32" s="277"/>
      <c r="AV32" s="43"/>
      <c r="AW32" s="277"/>
      <c r="AX32" s="294"/>
      <c r="AY32" s="294"/>
      <c r="AZ32" s="279"/>
      <c r="BA32" s="279"/>
      <c r="BB32" s="295"/>
      <c r="BC32" s="295"/>
      <c r="BD32" s="25"/>
      <c r="BE32" s="297">
        <v>140493.6</v>
      </c>
      <c r="BF32" s="298">
        <f t="shared" si="0"/>
        <v>1</v>
      </c>
      <c r="BG32" s="297" t="e">
        <f>VLOOKUP(B32,[1]Sheet2!$B:$X,23,0)</f>
        <v>#N/A</v>
      </c>
    </row>
    <row r="33" spans="1:59" s="28" customFormat="1" ht="33" customHeight="1">
      <c r="A33" s="84" t="s">
        <v>1398</v>
      </c>
      <c r="B33" s="18" t="s">
        <v>1399</v>
      </c>
      <c r="C33" s="19" t="s">
        <v>1400</v>
      </c>
      <c r="D33" s="221" t="s">
        <v>1401</v>
      </c>
      <c r="E33" s="219" t="s">
        <v>1093</v>
      </c>
      <c r="F33" s="216" t="s">
        <v>315</v>
      </c>
      <c r="G33" s="216" t="s">
        <v>315</v>
      </c>
      <c r="H33" s="37" t="s">
        <v>1275</v>
      </c>
      <c r="I33" s="219"/>
      <c r="J33" s="219"/>
      <c r="K33" s="237" t="s">
        <v>1285</v>
      </c>
      <c r="L33" s="219"/>
      <c r="M33" s="219">
        <v>1179000</v>
      </c>
      <c r="N33" s="243"/>
      <c r="O33" s="53"/>
      <c r="P33" s="245"/>
      <c r="Q33" s="245"/>
      <c r="R33" s="245"/>
      <c r="S33" s="245"/>
      <c r="T33" s="245"/>
      <c r="U33" s="245"/>
      <c r="V33" s="245"/>
      <c r="W33" s="26"/>
      <c r="X33" s="26"/>
      <c r="Y33" s="262"/>
      <c r="Z33" s="262"/>
      <c r="AA33" s="263"/>
      <c r="AB33" s="26"/>
      <c r="AC33" s="26"/>
      <c r="AD33" s="26"/>
      <c r="AE33" s="26"/>
      <c r="AF33" s="26"/>
      <c r="AG33" s="26"/>
      <c r="AH33" s="26"/>
      <c r="AI33" s="26"/>
      <c r="AJ33" s="26"/>
      <c r="AK33" s="26"/>
      <c r="AL33" s="26"/>
      <c r="AM33" s="26"/>
      <c r="AN33" s="267">
        <v>988000</v>
      </c>
      <c r="AO33" s="18" t="s">
        <v>1370</v>
      </c>
      <c r="AP33" s="37" t="s">
        <v>1276</v>
      </c>
      <c r="AQ33" s="277"/>
      <c r="AR33" s="26" t="s">
        <v>384</v>
      </c>
      <c r="AS33" s="219"/>
      <c r="AT33" s="279">
        <v>42505</v>
      </c>
      <c r="AU33" s="277"/>
      <c r="AV33" s="43" t="s">
        <v>66</v>
      </c>
      <c r="AW33" s="277"/>
      <c r="AX33" s="294" t="s">
        <v>86</v>
      </c>
      <c r="AY33" s="294"/>
      <c r="AZ33" s="279">
        <v>42541</v>
      </c>
      <c r="BA33" s="279">
        <v>42844</v>
      </c>
      <c r="BB33" s="295" t="s">
        <v>1130</v>
      </c>
      <c r="BC33" s="295" t="s">
        <v>1130</v>
      </c>
      <c r="BD33" s="25" t="s">
        <v>122</v>
      </c>
      <c r="BE33" s="297">
        <v>1179000</v>
      </c>
      <c r="BF33" s="298">
        <f t="shared" si="0"/>
        <v>1</v>
      </c>
      <c r="BG33" s="297" t="e">
        <f>VLOOKUP(B33,[1]Sheet2!$B:$X,23,0)</f>
        <v>#N/A</v>
      </c>
    </row>
    <row r="34" spans="1:59" s="28" customFormat="1" ht="33" customHeight="1">
      <c r="A34" s="84" t="s">
        <v>1402</v>
      </c>
      <c r="B34" s="18" t="s">
        <v>1403</v>
      </c>
      <c r="C34" s="19" t="s">
        <v>1404</v>
      </c>
      <c r="D34" s="221" t="s">
        <v>1405</v>
      </c>
      <c r="E34" s="219"/>
      <c r="F34" s="24" t="s">
        <v>196</v>
      </c>
      <c r="G34" s="24" t="s">
        <v>196</v>
      </c>
      <c r="H34" s="37" t="s">
        <v>1275</v>
      </c>
      <c r="I34" s="219"/>
      <c r="J34" s="219"/>
      <c r="K34" s="237" t="s">
        <v>1285</v>
      </c>
      <c r="L34" s="219"/>
      <c r="M34" s="219">
        <v>62455.199999999997</v>
      </c>
      <c r="N34" s="243"/>
      <c r="O34" s="53"/>
      <c r="P34" s="245"/>
      <c r="Q34" s="245"/>
      <c r="R34" s="245"/>
      <c r="S34" s="245"/>
      <c r="T34" s="245"/>
      <c r="U34" s="245"/>
      <c r="V34" s="245"/>
      <c r="W34" s="26"/>
      <c r="X34" s="26"/>
      <c r="Y34" s="262"/>
      <c r="Z34" s="262"/>
      <c r="AA34" s="263"/>
      <c r="AB34" s="26"/>
      <c r="AC34" s="26"/>
      <c r="AD34" s="26"/>
      <c r="AE34" s="26"/>
      <c r="AF34" s="26"/>
      <c r="AG34" s="26"/>
      <c r="AH34" s="26"/>
      <c r="AI34" s="26"/>
      <c r="AJ34" s="26"/>
      <c r="AK34" s="26"/>
      <c r="AL34" s="26"/>
      <c r="AM34" s="26"/>
      <c r="AN34" s="267">
        <v>44190</v>
      </c>
      <c r="AO34" s="18" t="s">
        <v>1406</v>
      </c>
      <c r="AP34" s="37" t="s">
        <v>1287</v>
      </c>
      <c r="AQ34" s="277"/>
      <c r="AR34" s="26" t="s">
        <v>384</v>
      </c>
      <c r="AS34" s="219"/>
      <c r="AT34" s="279"/>
      <c r="AU34" s="277"/>
      <c r="AV34" s="43" t="s">
        <v>190</v>
      </c>
      <c r="AW34" s="277"/>
      <c r="AX34" s="294"/>
      <c r="AY34" s="294"/>
      <c r="AZ34" s="279"/>
      <c r="BA34" s="279"/>
      <c r="BB34" s="295"/>
      <c r="BC34" s="295"/>
      <c r="BD34" s="25" t="s">
        <v>192</v>
      </c>
      <c r="BE34" s="297">
        <v>62455.199999999997</v>
      </c>
      <c r="BF34" s="298">
        <f t="shared" si="0"/>
        <v>1</v>
      </c>
      <c r="BG34" s="297" t="e">
        <f>VLOOKUP(B34,[1]Sheet2!$B:$X,23,0)</f>
        <v>#N/A</v>
      </c>
    </row>
    <row r="35" spans="1:59" s="28" customFormat="1" ht="33" customHeight="1">
      <c r="A35" s="84" t="s">
        <v>1407</v>
      </c>
      <c r="B35" s="18" t="s">
        <v>1408</v>
      </c>
      <c r="C35" s="19" t="s">
        <v>1409</v>
      </c>
      <c r="D35" s="220" t="s">
        <v>1410</v>
      </c>
      <c r="E35" s="219" t="s">
        <v>1093</v>
      </c>
      <c r="F35" s="216" t="s">
        <v>315</v>
      </c>
      <c r="G35" s="216" t="s">
        <v>315</v>
      </c>
      <c r="H35" s="37" t="s">
        <v>1275</v>
      </c>
      <c r="I35" s="219"/>
      <c r="J35" s="219"/>
      <c r="K35" s="237" t="s">
        <v>1285</v>
      </c>
      <c r="L35" s="219"/>
      <c r="M35" s="219">
        <v>197950</v>
      </c>
      <c r="N35" s="243"/>
      <c r="O35" s="53"/>
      <c r="P35" s="245"/>
      <c r="Q35" s="245"/>
      <c r="R35" s="245"/>
      <c r="S35" s="245"/>
      <c r="T35" s="245"/>
      <c r="U35" s="245"/>
      <c r="V35" s="245"/>
      <c r="W35" s="26"/>
      <c r="X35" s="26"/>
      <c r="Y35" s="262"/>
      <c r="Z35" s="262"/>
      <c r="AA35" s="263"/>
      <c r="AB35" s="26"/>
      <c r="AC35" s="26"/>
      <c r="AD35" s="26"/>
      <c r="AE35" s="26"/>
      <c r="AF35" s="26"/>
      <c r="AG35" s="26"/>
      <c r="AH35" s="26"/>
      <c r="AI35" s="26"/>
      <c r="AJ35" s="26"/>
      <c r="AK35" s="26"/>
      <c r="AL35" s="26"/>
      <c r="AM35" s="26"/>
      <c r="AN35" s="267">
        <v>166500</v>
      </c>
      <c r="AO35" s="18" t="s">
        <v>1411</v>
      </c>
      <c r="AP35" s="37" t="s">
        <v>1276</v>
      </c>
      <c r="AQ35" s="277"/>
      <c r="AR35" s="26" t="s">
        <v>384</v>
      </c>
      <c r="AS35" s="219"/>
      <c r="AT35" s="279">
        <v>42499</v>
      </c>
      <c r="AU35" s="277"/>
      <c r="AV35" s="43" t="s">
        <v>66</v>
      </c>
      <c r="AW35" s="277"/>
      <c r="AX35" s="294" t="s">
        <v>86</v>
      </c>
      <c r="AY35" s="294"/>
      <c r="AZ35" s="279">
        <v>42556</v>
      </c>
      <c r="BA35" s="279">
        <v>42578</v>
      </c>
      <c r="BB35" s="295" t="s">
        <v>78</v>
      </c>
      <c r="BC35" s="295">
        <v>42920</v>
      </c>
      <c r="BD35" s="25" t="s">
        <v>122</v>
      </c>
      <c r="BE35" s="297">
        <v>197950</v>
      </c>
      <c r="BF35" s="298">
        <f t="shared" si="0"/>
        <v>1</v>
      </c>
      <c r="BG35" s="297" t="e">
        <f>VLOOKUP(B35,[1]Sheet2!$B:$X,23,0)</f>
        <v>#N/A</v>
      </c>
    </row>
    <row r="36" spans="1:59" s="28" customFormat="1" ht="33" customHeight="1">
      <c r="A36" s="84" t="s">
        <v>1412</v>
      </c>
      <c r="B36" s="18" t="s">
        <v>1413</v>
      </c>
      <c r="C36" s="19" t="s">
        <v>1414</v>
      </c>
      <c r="D36" s="220" t="s">
        <v>1415</v>
      </c>
      <c r="E36" s="219" t="s">
        <v>294</v>
      </c>
      <c r="F36" s="216" t="s">
        <v>315</v>
      </c>
      <c r="G36" s="216" t="s">
        <v>315</v>
      </c>
      <c r="H36" s="37" t="s">
        <v>1275</v>
      </c>
      <c r="I36" s="219"/>
      <c r="J36" s="219"/>
      <c r="K36" s="237" t="s">
        <v>1285</v>
      </c>
      <c r="L36" s="219"/>
      <c r="M36" s="219">
        <v>1897674</v>
      </c>
      <c r="N36" s="243"/>
      <c r="O36" s="53"/>
      <c r="P36" s="245"/>
      <c r="Q36" s="245"/>
      <c r="R36" s="245"/>
      <c r="S36" s="245"/>
      <c r="T36" s="245"/>
      <c r="U36" s="245"/>
      <c r="V36" s="245"/>
      <c r="W36" s="26"/>
      <c r="X36" s="26"/>
      <c r="Y36" s="262"/>
      <c r="Z36" s="262"/>
      <c r="AA36" s="263"/>
      <c r="AB36" s="26"/>
      <c r="AC36" s="26"/>
      <c r="AD36" s="26"/>
      <c r="AE36" s="26"/>
      <c r="AF36" s="26"/>
      <c r="AG36" s="26"/>
      <c r="AH36" s="26"/>
      <c r="AI36" s="26"/>
      <c r="AJ36" s="26"/>
      <c r="AK36" s="26"/>
      <c r="AL36" s="26"/>
      <c r="AM36" s="26"/>
      <c r="AN36" s="267">
        <v>1699000</v>
      </c>
      <c r="AO36" s="18" t="s">
        <v>145</v>
      </c>
      <c r="AP36" s="37" t="s">
        <v>1371</v>
      </c>
      <c r="AQ36" s="277"/>
      <c r="AR36" s="26" t="s">
        <v>384</v>
      </c>
      <c r="AS36" s="219"/>
      <c r="AT36" s="279"/>
      <c r="AU36" s="277"/>
      <c r="AV36" s="43" t="s">
        <v>66</v>
      </c>
      <c r="AW36" s="277"/>
      <c r="AX36" s="294" t="s">
        <v>86</v>
      </c>
      <c r="AY36" s="294"/>
      <c r="AZ36" s="279">
        <v>42731</v>
      </c>
      <c r="BA36" s="279">
        <v>42783</v>
      </c>
      <c r="BB36" s="295" t="s">
        <v>78</v>
      </c>
      <c r="BC36" s="295">
        <v>43095</v>
      </c>
      <c r="BD36" s="25" t="s">
        <v>122</v>
      </c>
      <c r="BE36" s="297">
        <v>1897674</v>
      </c>
      <c r="BF36" s="298">
        <f t="shared" si="0"/>
        <v>1</v>
      </c>
      <c r="BG36" s="297" t="e">
        <f>VLOOKUP(B36,[1]Sheet2!$B:$X,23,0)</f>
        <v>#N/A</v>
      </c>
    </row>
    <row r="37" spans="1:59" s="28" customFormat="1" ht="33" customHeight="1">
      <c r="A37" s="84" t="s">
        <v>1416</v>
      </c>
      <c r="B37" s="18" t="s">
        <v>1417</v>
      </c>
      <c r="C37" s="19" t="s">
        <v>1418</v>
      </c>
      <c r="D37" s="221" t="s">
        <v>1419</v>
      </c>
      <c r="E37" s="219" t="s">
        <v>294</v>
      </c>
      <c r="F37" s="216" t="s">
        <v>315</v>
      </c>
      <c r="G37" s="216" t="s">
        <v>315</v>
      </c>
      <c r="H37" s="37" t="s">
        <v>1275</v>
      </c>
      <c r="I37" s="219"/>
      <c r="J37" s="219"/>
      <c r="K37" s="237" t="s">
        <v>1285</v>
      </c>
      <c r="L37" s="219"/>
      <c r="M37" s="219">
        <v>460000</v>
      </c>
      <c r="N37" s="243"/>
      <c r="O37" s="53"/>
      <c r="P37" s="245"/>
      <c r="Q37" s="245"/>
      <c r="R37" s="245"/>
      <c r="S37" s="245"/>
      <c r="T37" s="245"/>
      <c r="U37" s="245"/>
      <c r="V37" s="245"/>
      <c r="W37" s="26"/>
      <c r="X37" s="26"/>
      <c r="Y37" s="262"/>
      <c r="Z37" s="262"/>
      <c r="AA37" s="263"/>
      <c r="AB37" s="26"/>
      <c r="AC37" s="26"/>
      <c r="AD37" s="26"/>
      <c r="AE37" s="26"/>
      <c r="AF37" s="26"/>
      <c r="AG37" s="26"/>
      <c r="AH37" s="26"/>
      <c r="AI37" s="26"/>
      <c r="AJ37" s="26"/>
      <c r="AK37" s="26"/>
      <c r="AL37" s="26"/>
      <c r="AM37" s="26"/>
      <c r="AN37" s="267">
        <v>390000</v>
      </c>
      <c r="AO37" s="18" t="s">
        <v>76</v>
      </c>
      <c r="AP37" s="37" t="s">
        <v>1371</v>
      </c>
      <c r="AQ37" s="277"/>
      <c r="AR37" s="26" t="s">
        <v>384</v>
      </c>
      <c r="AS37" s="219"/>
      <c r="AT37" s="279">
        <v>42245</v>
      </c>
      <c r="AU37" s="277"/>
      <c r="AV37" s="43" t="s">
        <v>66</v>
      </c>
      <c r="AW37" s="277"/>
      <c r="AX37" s="294" t="s">
        <v>86</v>
      </c>
      <c r="AY37" s="294" t="s">
        <v>1420</v>
      </c>
      <c r="AZ37" s="279" t="s">
        <v>1130</v>
      </c>
      <c r="BA37" s="279">
        <v>42633</v>
      </c>
      <c r="BB37" s="295"/>
      <c r="BC37" s="295" t="s">
        <v>1421</v>
      </c>
      <c r="BD37" s="25" t="s">
        <v>122</v>
      </c>
      <c r="BE37" s="297">
        <v>437000</v>
      </c>
      <c r="BF37" s="298">
        <f t="shared" si="0"/>
        <v>0.95</v>
      </c>
      <c r="BG37" s="297" t="e">
        <f>VLOOKUP(B37,[1]Sheet2!$B:$X,23,0)</f>
        <v>#N/A</v>
      </c>
    </row>
    <row r="38" spans="1:59" s="28" customFormat="1" ht="33" customHeight="1">
      <c r="A38" s="84" t="s">
        <v>1422</v>
      </c>
      <c r="B38" s="18" t="s">
        <v>1423</v>
      </c>
      <c r="C38" s="19" t="s">
        <v>1424</v>
      </c>
      <c r="D38" s="221" t="s">
        <v>1425</v>
      </c>
      <c r="E38" s="219" t="s">
        <v>75</v>
      </c>
      <c r="F38" s="24" t="s">
        <v>196</v>
      </c>
      <c r="G38" s="24" t="s">
        <v>196</v>
      </c>
      <c r="H38" s="37" t="s">
        <v>1275</v>
      </c>
      <c r="I38" s="219"/>
      <c r="J38" s="219"/>
      <c r="K38" s="237" t="s">
        <v>1285</v>
      </c>
      <c r="L38" s="219"/>
      <c r="M38" s="219">
        <v>95500</v>
      </c>
      <c r="N38" s="243"/>
      <c r="O38" s="53"/>
      <c r="P38" s="245"/>
      <c r="Q38" s="245"/>
      <c r="R38" s="245"/>
      <c r="S38" s="245"/>
      <c r="T38" s="245"/>
      <c r="U38" s="245"/>
      <c r="V38" s="245"/>
      <c r="W38" s="26"/>
      <c r="X38" s="26"/>
      <c r="Y38" s="262"/>
      <c r="Z38" s="262"/>
      <c r="AA38" s="263"/>
      <c r="AB38" s="26"/>
      <c r="AC38" s="26"/>
      <c r="AD38" s="26"/>
      <c r="AE38" s="26"/>
      <c r="AF38" s="26"/>
      <c r="AG38" s="26"/>
      <c r="AH38" s="26"/>
      <c r="AI38" s="26"/>
      <c r="AJ38" s="26"/>
      <c r="AK38" s="26"/>
      <c r="AL38" s="26"/>
      <c r="AM38" s="26"/>
      <c r="AN38" s="267">
        <v>61000</v>
      </c>
      <c r="AO38" s="18" t="s">
        <v>175</v>
      </c>
      <c r="AP38" s="37" t="s">
        <v>1274</v>
      </c>
      <c r="AQ38" s="277"/>
      <c r="AR38" s="26" t="s">
        <v>384</v>
      </c>
      <c r="AS38" s="219"/>
      <c r="AT38" s="279">
        <v>42489</v>
      </c>
      <c r="AU38" s="277"/>
      <c r="AV38" s="43" t="s">
        <v>66</v>
      </c>
      <c r="AW38" s="277"/>
      <c r="AX38" s="294" t="s">
        <v>86</v>
      </c>
      <c r="AY38" s="294"/>
      <c r="AZ38" s="279">
        <v>42619</v>
      </c>
      <c r="BA38" s="279" t="s">
        <v>1385</v>
      </c>
      <c r="BB38" s="295" t="s">
        <v>78</v>
      </c>
      <c r="BC38" s="295">
        <v>42983</v>
      </c>
      <c r="BD38" s="25" t="s">
        <v>122</v>
      </c>
      <c r="BE38" s="297">
        <v>95500</v>
      </c>
      <c r="BF38" s="298">
        <f t="shared" si="0"/>
        <v>1</v>
      </c>
      <c r="BG38" s="297" t="e">
        <f>VLOOKUP(B38,[1]Sheet2!$B:$X,23,0)</f>
        <v>#N/A</v>
      </c>
    </row>
    <row r="39" spans="1:59" s="28" customFormat="1" ht="33" customHeight="1">
      <c r="A39" s="84" t="s">
        <v>1422</v>
      </c>
      <c r="B39" s="18" t="s">
        <v>1423</v>
      </c>
      <c r="C39" s="19" t="s">
        <v>1426</v>
      </c>
      <c r="D39" s="220" t="s">
        <v>1427</v>
      </c>
      <c r="E39" s="219" t="s">
        <v>75</v>
      </c>
      <c r="F39" s="24" t="s">
        <v>196</v>
      </c>
      <c r="G39" s="24" t="s">
        <v>196</v>
      </c>
      <c r="H39" s="37" t="s">
        <v>1275</v>
      </c>
      <c r="I39" s="219"/>
      <c r="J39" s="219"/>
      <c r="K39" s="237" t="s">
        <v>1285</v>
      </c>
      <c r="L39" s="219"/>
      <c r="M39" s="219">
        <v>95500</v>
      </c>
      <c r="N39" s="243"/>
      <c r="O39" s="53"/>
      <c r="P39" s="245"/>
      <c r="Q39" s="245"/>
      <c r="R39" s="245"/>
      <c r="S39" s="245"/>
      <c r="T39" s="245"/>
      <c r="U39" s="245"/>
      <c r="V39" s="245"/>
      <c r="W39" s="26"/>
      <c r="X39" s="26"/>
      <c r="Y39" s="262"/>
      <c r="Z39" s="262"/>
      <c r="AA39" s="263"/>
      <c r="AB39" s="26"/>
      <c r="AC39" s="26"/>
      <c r="AD39" s="26"/>
      <c r="AE39" s="26"/>
      <c r="AF39" s="26"/>
      <c r="AG39" s="26"/>
      <c r="AH39" s="26"/>
      <c r="AI39" s="26"/>
      <c r="AJ39" s="26"/>
      <c r="AK39" s="26"/>
      <c r="AL39" s="26"/>
      <c r="AM39" s="26"/>
      <c r="AN39" s="267">
        <v>19900</v>
      </c>
      <c r="AO39" s="18" t="s">
        <v>175</v>
      </c>
      <c r="AP39" s="37" t="s">
        <v>1274</v>
      </c>
      <c r="AQ39" s="277"/>
      <c r="AR39" s="26" t="s">
        <v>384</v>
      </c>
      <c r="AS39" s="219"/>
      <c r="AT39" s="279"/>
      <c r="AU39" s="277"/>
      <c r="AV39" s="43" t="s">
        <v>933</v>
      </c>
      <c r="AW39" s="277"/>
      <c r="AX39" s="294" t="s">
        <v>933</v>
      </c>
      <c r="AY39" s="294"/>
      <c r="AZ39" s="279" t="s">
        <v>933</v>
      </c>
      <c r="BA39" s="279"/>
      <c r="BB39" s="295"/>
      <c r="BC39" s="295" t="s">
        <v>933</v>
      </c>
      <c r="BD39" s="25" t="s">
        <v>122</v>
      </c>
      <c r="BE39" s="297">
        <v>95500</v>
      </c>
      <c r="BF39" s="298">
        <f t="shared" si="0"/>
        <v>1</v>
      </c>
      <c r="BG39" s="297" t="e">
        <f>VLOOKUP(B39,[1]Sheet2!$B:$X,23,0)</f>
        <v>#N/A</v>
      </c>
    </row>
    <row r="40" spans="1:59" s="28" customFormat="1" ht="33" customHeight="1">
      <c r="A40" s="84" t="s">
        <v>1428</v>
      </c>
      <c r="B40" s="18" t="s">
        <v>1429</v>
      </c>
      <c r="C40" s="19" t="s">
        <v>1430</v>
      </c>
      <c r="D40" s="221" t="s">
        <v>1431</v>
      </c>
      <c r="E40" s="219" t="s">
        <v>113</v>
      </c>
      <c r="F40" s="216" t="s">
        <v>315</v>
      </c>
      <c r="G40" s="216" t="s">
        <v>315</v>
      </c>
      <c r="H40" s="37" t="s">
        <v>1275</v>
      </c>
      <c r="I40" s="219"/>
      <c r="J40" s="219"/>
      <c r="K40" s="237" t="s">
        <v>1285</v>
      </c>
      <c r="L40" s="219"/>
      <c r="M40" s="219">
        <v>680000</v>
      </c>
      <c r="N40" s="243"/>
      <c r="O40" s="53"/>
      <c r="P40" s="245"/>
      <c r="Q40" s="245"/>
      <c r="R40" s="245"/>
      <c r="S40" s="245"/>
      <c r="T40" s="245"/>
      <c r="U40" s="245"/>
      <c r="V40" s="245"/>
      <c r="W40" s="26"/>
      <c r="X40" s="26"/>
      <c r="Y40" s="262"/>
      <c r="Z40" s="262"/>
      <c r="AA40" s="263"/>
      <c r="AB40" s="26"/>
      <c r="AC40" s="26"/>
      <c r="AD40" s="26"/>
      <c r="AE40" s="26"/>
      <c r="AF40" s="26"/>
      <c r="AG40" s="26"/>
      <c r="AH40" s="26"/>
      <c r="AI40" s="26"/>
      <c r="AJ40" s="26"/>
      <c r="AK40" s="26"/>
      <c r="AL40" s="26"/>
      <c r="AM40" s="26"/>
      <c r="AN40" s="267">
        <v>605200</v>
      </c>
      <c r="AO40" s="18" t="s">
        <v>145</v>
      </c>
      <c r="AP40" s="37" t="s">
        <v>1274</v>
      </c>
      <c r="AQ40" s="277"/>
      <c r="AR40" s="26" t="s">
        <v>384</v>
      </c>
      <c r="AS40" s="219"/>
      <c r="AT40" s="279">
        <v>42628</v>
      </c>
      <c r="AU40" s="277"/>
      <c r="AV40" s="43" t="s">
        <v>66</v>
      </c>
      <c r="AW40" s="277"/>
      <c r="AX40" s="294" t="s">
        <v>86</v>
      </c>
      <c r="AY40" s="294"/>
      <c r="AZ40" s="279">
        <v>42692</v>
      </c>
      <c r="BA40" s="279">
        <v>42822</v>
      </c>
      <c r="BB40" s="295" t="s">
        <v>78</v>
      </c>
      <c r="BC40" s="295">
        <v>43056</v>
      </c>
      <c r="BD40" s="25" t="s">
        <v>122</v>
      </c>
      <c r="BE40" s="297">
        <v>680000</v>
      </c>
      <c r="BF40" s="298">
        <f t="shared" si="0"/>
        <v>1</v>
      </c>
      <c r="BG40" s="297" t="e">
        <f>VLOOKUP(B40,[1]Sheet2!$B:$X,23,0)</f>
        <v>#N/A</v>
      </c>
    </row>
    <row r="41" spans="1:59" s="28" customFormat="1" ht="33" customHeight="1">
      <c r="A41" s="84" t="s">
        <v>1432</v>
      </c>
      <c r="B41" s="223" t="s">
        <v>929</v>
      </c>
      <c r="C41" s="26" t="s">
        <v>928</v>
      </c>
      <c r="D41" s="219" t="s">
        <v>930</v>
      </c>
      <c r="E41" s="219" t="s">
        <v>1356</v>
      </c>
      <c r="F41" s="219" t="s">
        <v>1433</v>
      </c>
      <c r="G41" s="219" t="s">
        <v>1433</v>
      </c>
      <c r="H41" s="37" t="s">
        <v>1433</v>
      </c>
      <c r="I41" s="219"/>
      <c r="J41" s="219"/>
      <c r="K41" s="237" t="s">
        <v>1285</v>
      </c>
      <c r="L41" s="219"/>
      <c r="M41" s="219">
        <v>63686563</v>
      </c>
      <c r="N41" s="243">
        <f>SUM(O41:V41)</f>
        <v>0</v>
      </c>
      <c r="O41" s="53"/>
      <c r="P41" s="245"/>
      <c r="Q41" s="245"/>
      <c r="R41" s="245"/>
      <c r="S41" s="245"/>
      <c r="T41" s="245"/>
      <c r="U41" s="245"/>
      <c r="V41" s="245"/>
      <c r="W41" s="26"/>
      <c r="X41" s="26"/>
      <c r="Y41" s="263"/>
      <c r="Z41" s="263"/>
      <c r="AA41" s="262"/>
      <c r="AB41" s="26"/>
      <c r="AC41" s="26"/>
      <c r="AD41" s="26"/>
      <c r="AE41" s="26"/>
      <c r="AF41" s="26"/>
      <c r="AG41" s="26"/>
      <c r="AH41" s="26"/>
      <c r="AI41" s="26"/>
      <c r="AJ41" s="26"/>
      <c r="AK41" s="26"/>
      <c r="AL41" s="26"/>
      <c r="AM41" s="26"/>
      <c r="AN41" s="243">
        <v>58195699</v>
      </c>
      <c r="AO41" s="216" t="s">
        <v>145</v>
      </c>
      <c r="AP41" s="37" t="s">
        <v>1274</v>
      </c>
      <c r="AQ41" s="277"/>
      <c r="AR41" s="26" t="s">
        <v>384</v>
      </c>
      <c r="AS41" s="219"/>
      <c r="AT41" s="278"/>
      <c r="AU41" s="277"/>
      <c r="AV41" s="43" t="s">
        <v>66</v>
      </c>
      <c r="AW41" s="277"/>
      <c r="AX41" s="294" t="s">
        <v>86</v>
      </c>
      <c r="AY41" s="294"/>
      <c r="AZ41" s="279">
        <v>42979</v>
      </c>
      <c r="BA41" s="279">
        <v>43328</v>
      </c>
      <c r="BB41" s="25" t="s">
        <v>69</v>
      </c>
      <c r="BC41" s="291">
        <v>44805</v>
      </c>
      <c r="BD41" s="25" t="s">
        <v>70</v>
      </c>
      <c r="BE41" s="297">
        <v>38211925.200000003</v>
      </c>
      <c r="BF41" s="298">
        <f t="shared" si="0"/>
        <v>0.59999980215606863</v>
      </c>
      <c r="BG41" s="297" t="e">
        <f>VLOOKUP(B41,[1]Sheet2!$B:$X,23,0)</f>
        <v>#N/A</v>
      </c>
    </row>
    <row r="42" spans="1:59" s="28" customFormat="1" ht="33" customHeight="1">
      <c r="A42" s="84" t="s">
        <v>1432</v>
      </c>
      <c r="B42" s="223" t="s">
        <v>929</v>
      </c>
      <c r="C42" s="26" t="s">
        <v>928</v>
      </c>
      <c r="D42" s="219" t="s">
        <v>930</v>
      </c>
      <c r="E42" s="219" t="s">
        <v>1356</v>
      </c>
      <c r="F42" s="219" t="s">
        <v>1433</v>
      </c>
      <c r="G42" s="219" t="s">
        <v>1433</v>
      </c>
      <c r="H42" s="37" t="s">
        <v>1433</v>
      </c>
      <c r="I42" s="219"/>
      <c r="J42" s="219"/>
      <c r="K42" s="237" t="s">
        <v>1285</v>
      </c>
      <c r="L42" s="219"/>
      <c r="M42" s="219"/>
      <c r="N42" s="243">
        <f>SUM(O42:V42)</f>
        <v>0</v>
      </c>
      <c r="O42" s="53"/>
      <c r="P42" s="245"/>
      <c r="Q42" s="245"/>
      <c r="R42" s="245"/>
      <c r="S42" s="245"/>
      <c r="T42" s="245"/>
      <c r="U42" s="245"/>
      <c r="V42" s="245"/>
      <c r="W42" s="26"/>
      <c r="X42" s="26"/>
      <c r="Y42" s="263"/>
      <c r="Z42" s="263"/>
      <c r="AA42" s="262"/>
      <c r="AB42" s="26"/>
      <c r="AC42" s="26"/>
      <c r="AD42" s="26"/>
      <c r="AE42" s="26"/>
      <c r="AF42" s="26"/>
      <c r="AG42" s="26"/>
      <c r="AH42" s="26"/>
      <c r="AI42" s="26"/>
      <c r="AJ42" s="26"/>
      <c r="AK42" s="26"/>
      <c r="AL42" s="26"/>
      <c r="AM42" s="26"/>
      <c r="AN42" s="243" t="s">
        <v>933</v>
      </c>
      <c r="AO42" s="25" t="s">
        <v>145</v>
      </c>
      <c r="AP42" s="37" t="s">
        <v>1274</v>
      </c>
      <c r="AQ42" s="277"/>
      <c r="AR42" s="26" t="s">
        <v>384</v>
      </c>
      <c r="AS42" s="219"/>
      <c r="AT42" s="278" t="s">
        <v>1434</v>
      </c>
      <c r="AU42" s="277"/>
      <c r="AV42" s="43" t="s">
        <v>66</v>
      </c>
      <c r="AW42" s="277"/>
      <c r="AX42" s="294" t="s">
        <v>86</v>
      </c>
      <c r="AY42" s="289" t="s">
        <v>932</v>
      </c>
      <c r="AZ42" s="290">
        <v>42712</v>
      </c>
      <c r="BA42" s="290">
        <v>43328</v>
      </c>
      <c r="BB42" s="25" t="s">
        <v>69</v>
      </c>
      <c r="BC42" s="291" t="s">
        <v>933</v>
      </c>
      <c r="BD42" s="25" t="s">
        <v>70</v>
      </c>
      <c r="BE42" s="297">
        <v>38211925.200000003</v>
      </c>
      <c r="BF42" s="298" t="e">
        <f t="shared" si="0"/>
        <v>#DIV/0!</v>
      </c>
      <c r="BG42" s="297" t="e">
        <f>VLOOKUP(B42,[1]Sheet2!$B:$X,23,0)</f>
        <v>#N/A</v>
      </c>
    </row>
    <row r="43" spans="1:59" s="28" customFormat="1" ht="33" customHeight="1">
      <c r="A43" s="84" t="s">
        <v>1435</v>
      </c>
      <c r="B43" s="18" t="s">
        <v>1436</v>
      </c>
      <c r="C43" s="19" t="s">
        <v>1437</v>
      </c>
      <c r="D43" s="221" t="s">
        <v>1438</v>
      </c>
      <c r="E43" s="219" t="s">
        <v>139</v>
      </c>
      <c r="F43" s="219" t="s">
        <v>315</v>
      </c>
      <c r="G43" s="219" t="s">
        <v>315</v>
      </c>
      <c r="H43" s="37" t="s">
        <v>1275</v>
      </c>
      <c r="I43" s="219"/>
      <c r="J43" s="219"/>
      <c r="K43" s="237" t="s">
        <v>1285</v>
      </c>
      <c r="L43" s="219"/>
      <c r="M43" s="219">
        <v>859900</v>
      </c>
      <c r="N43" s="243"/>
      <c r="O43" s="53"/>
      <c r="P43" s="245"/>
      <c r="Q43" s="245"/>
      <c r="R43" s="245"/>
      <c r="S43" s="245"/>
      <c r="T43" s="245"/>
      <c r="U43" s="245"/>
      <c r="V43" s="245"/>
      <c r="W43" s="26"/>
      <c r="X43" s="26"/>
      <c r="Y43" s="263"/>
      <c r="Z43" s="263"/>
      <c r="AA43" s="262"/>
      <c r="AB43" s="26"/>
      <c r="AC43" s="26"/>
      <c r="AD43" s="26"/>
      <c r="AE43" s="26"/>
      <c r="AF43" s="26"/>
      <c r="AG43" s="26"/>
      <c r="AH43" s="26"/>
      <c r="AI43" s="26"/>
      <c r="AJ43" s="26"/>
      <c r="AK43" s="26"/>
      <c r="AL43" s="26"/>
      <c r="AM43" s="26"/>
      <c r="AN43" s="267">
        <v>777000</v>
      </c>
      <c r="AO43" s="18" t="s">
        <v>77</v>
      </c>
      <c r="AP43" s="37"/>
      <c r="AQ43" s="277"/>
      <c r="AR43" s="26" t="s">
        <v>384</v>
      </c>
      <c r="AS43" s="219"/>
      <c r="AT43" s="278" t="s">
        <v>1439</v>
      </c>
      <c r="AU43" s="277"/>
      <c r="AV43" s="43" t="s">
        <v>66</v>
      </c>
      <c r="AW43" s="277"/>
      <c r="AX43" s="294" t="s">
        <v>86</v>
      </c>
      <c r="AY43" s="289"/>
      <c r="AZ43" s="290">
        <v>42643</v>
      </c>
      <c r="BA43" s="290" t="s">
        <v>1337</v>
      </c>
      <c r="BB43" s="25" t="s">
        <v>78</v>
      </c>
      <c r="BC43" s="291">
        <v>43007</v>
      </c>
      <c r="BD43" s="25" t="s">
        <v>122</v>
      </c>
      <c r="BE43" s="297">
        <v>859900</v>
      </c>
      <c r="BF43" s="298">
        <f t="shared" si="0"/>
        <v>1</v>
      </c>
      <c r="BG43" s="297" t="e">
        <f>VLOOKUP(B43,[1]Sheet2!$B:$X,23,0)</f>
        <v>#N/A</v>
      </c>
    </row>
    <row r="44" spans="1:59" s="28" customFormat="1" ht="33" customHeight="1">
      <c r="A44" s="84"/>
      <c r="B44" s="18"/>
      <c r="C44" s="19" t="s">
        <v>1440</v>
      </c>
      <c r="D44" s="221" t="s">
        <v>1441</v>
      </c>
      <c r="E44" s="219" t="s">
        <v>139</v>
      </c>
      <c r="F44" s="219" t="s">
        <v>315</v>
      </c>
      <c r="G44" s="219" t="s">
        <v>315</v>
      </c>
      <c r="H44" s="218"/>
      <c r="I44" s="219"/>
      <c r="J44" s="219"/>
      <c r="K44" s="237" t="s">
        <v>1285</v>
      </c>
      <c r="L44" s="219"/>
      <c r="M44" s="219"/>
      <c r="N44" s="243"/>
      <c r="O44" s="53"/>
      <c r="P44" s="245"/>
      <c r="Q44" s="245"/>
      <c r="R44" s="245"/>
      <c r="S44" s="245"/>
      <c r="T44" s="245"/>
      <c r="U44" s="245"/>
      <c r="V44" s="245"/>
      <c r="W44" s="26"/>
      <c r="X44" s="26"/>
      <c r="Y44" s="263"/>
      <c r="Z44" s="263"/>
      <c r="AA44" s="262"/>
      <c r="AB44" s="26"/>
      <c r="AC44" s="26"/>
      <c r="AD44" s="26"/>
      <c r="AE44" s="26"/>
      <c r="AF44" s="26"/>
      <c r="AG44" s="26"/>
      <c r="AH44" s="26"/>
      <c r="AI44" s="26"/>
      <c r="AJ44" s="26"/>
      <c r="AK44" s="26"/>
      <c r="AL44" s="26"/>
      <c r="AM44" s="26"/>
      <c r="AN44" s="267"/>
      <c r="AO44" s="18" t="s">
        <v>150</v>
      </c>
      <c r="AP44" s="37" t="s">
        <v>1442</v>
      </c>
      <c r="AQ44" s="277"/>
      <c r="AR44" s="26" t="s">
        <v>384</v>
      </c>
      <c r="AS44" s="219"/>
      <c r="AT44" s="278" t="s">
        <v>1443</v>
      </c>
      <c r="AU44" s="277"/>
      <c r="AV44" s="43" t="s">
        <v>66</v>
      </c>
      <c r="AW44" s="277"/>
      <c r="AX44" s="294" t="s">
        <v>86</v>
      </c>
      <c r="AY44" s="289"/>
      <c r="AZ44" s="290">
        <v>42398</v>
      </c>
      <c r="BA44" s="290">
        <v>42789</v>
      </c>
      <c r="BB44" s="25" t="s">
        <v>78</v>
      </c>
      <c r="BC44" s="291">
        <v>42763</v>
      </c>
      <c r="BD44" s="25" t="s">
        <v>122</v>
      </c>
      <c r="BE44" s="297"/>
      <c r="BF44" s="298" t="e">
        <f t="shared" si="0"/>
        <v>#DIV/0!</v>
      </c>
      <c r="BG44" s="297" t="e">
        <f>VLOOKUP(B44,[1]Sheet2!$B:$X,23,0)</f>
        <v>#N/A</v>
      </c>
    </row>
    <row r="45" spans="1:59" s="28" customFormat="1" ht="33" customHeight="1">
      <c r="A45" s="84"/>
      <c r="B45" s="18" t="s">
        <v>1444</v>
      </c>
      <c r="C45" s="19" t="s">
        <v>1445</v>
      </c>
      <c r="D45" s="220" t="s">
        <v>1446</v>
      </c>
      <c r="E45" s="219" t="s">
        <v>271</v>
      </c>
      <c r="F45" s="219" t="s">
        <v>315</v>
      </c>
      <c r="G45" s="219" t="s">
        <v>315</v>
      </c>
      <c r="H45" s="218"/>
      <c r="I45" s="219"/>
      <c r="J45" s="219"/>
      <c r="K45" s="237" t="s">
        <v>1285</v>
      </c>
      <c r="L45" s="219"/>
      <c r="M45" s="219"/>
      <c r="N45" s="243"/>
      <c r="O45" s="53"/>
      <c r="P45" s="245"/>
      <c r="Q45" s="245"/>
      <c r="R45" s="245"/>
      <c r="S45" s="245"/>
      <c r="T45" s="245"/>
      <c r="U45" s="245"/>
      <c r="V45" s="245"/>
      <c r="W45" s="26"/>
      <c r="X45" s="26"/>
      <c r="Y45" s="263"/>
      <c r="Z45" s="263"/>
      <c r="AA45" s="262"/>
      <c r="AB45" s="26"/>
      <c r="AC45" s="26"/>
      <c r="AD45" s="26"/>
      <c r="AE45" s="26"/>
      <c r="AF45" s="26"/>
      <c r="AG45" s="26"/>
      <c r="AH45" s="26"/>
      <c r="AI45" s="26"/>
      <c r="AJ45" s="26"/>
      <c r="AK45" s="26"/>
      <c r="AL45" s="26"/>
      <c r="AM45" s="26"/>
      <c r="AN45" s="267">
        <v>169790.4</v>
      </c>
      <c r="AO45" s="18" t="s">
        <v>1411</v>
      </c>
      <c r="AP45" s="37" t="s">
        <v>1308</v>
      </c>
      <c r="AQ45" s="277"/>
      <c r="AR45" s="26" t="s">
        <v>384</v>
      </c>
      <c r="AS45" s="219"/>
      <c r="AT45" s="278" t="s">
        <v>1447</v>
      </c>
      <c r="AU45" s="277"/>
      <c r="AV45" s="43" t="s">
        <v>66</v>
      </c>
      <c r="AW45" s="277"/>
      <c r="AX45" s="294" t="s">
        <v>86</v>
      </c>
      <c r="AY45" s="289"/>
      <c r="AZ45" s="290">
        <v>42592</v>
      </c>
      <c r="BA45" s="290" t="s">
        <v>1385</v>
      </c>
      <c r="BB45" s="25" t="s">
        <v>78</v>
      </c>
      <c r="BC45" s="291">
        <v>42956</v>
      </c>
      <c r="BD45" s="25" t="s">
        <v>122</v>
      </c>
      <c r="BE45" s="297">
        <v>0</v>
      </c>
      <c r="BF45" s="298" t="e">
        <f t="shared" si="0"/>
        <v>#DIV/0!</v>
      </c>
      <c r="BG45" s="297" t="e">
        <f>VLOOKUP(B45,[1]Sheet2!$B:$X,23,0)</f>
        <v>#N/A</v>
      </c>
    </row>
    <row r="46" spans="1:59" s="28" customFormat="1" ht="33" customHeight="1">
      <c r="A46" s="84" t="s">
        <v>1448</v>
      </c>
      <c r="B46" s="18" t="s">
        <v>1449</v>
      </c>
      <c r="C46" s="19" t="s">
        <v>1450</v>
      </c>
      <c r="D46" s="221" t="s">
        <v>1451</v>
      </c>
      <c r="E46" s="219" t="s">
        <v>60</v>
      </c>
      <c r="F46" s="219" t="s">
        <v>315</v>
      </c>
      <c r="G46" s="219" t="s">
        <v>315</v>
      </c>
      <c r="H46" s="218" t="s">
        <v>1275</v>
      </c>
      <c r="I46" s="219"/>
      <c r="J46" s="219"/>
      <c r="K46" s="237" t="s">
        <v>1285</v>
      </c>
      <c r="L46" s="219"/>
      <c r="M46" s="219">
        <v>498000</v>
      </c>
      <c r="N46" s="243"/>
      <c r="O46" s="53"/>
      <c r="P46" s="245"/>
      <c r="Q46" s="245"/>
      <c r="R46" s="245"/>
      <c r="S46" s="245"/>
      <c r="T46" s="245"/>
      <c r="U46" s="245"/>
      <c r="V46" s="245"/>
      <c r="W46" s="26"/>
      <c r="X46" s="26"/>
      <c r="Y46" s="263"/>
      <c r="Z46" s="263"/>
      <c r="AA46" s="262"/>
      <c r="AB46" s="26"/>
      <c r="AC46" s="26"/>
      <c r="AD46" s="26"/>
      <c r="AE46" s="26"/>
      <c r="AF46" s="26"/>
      <c r="AG46" s="26"/>
      <c r="AH46" s="26"/>
      <c r="AI46" s="26"/>
      <c r="AJ46" s="26"/>
      <c r="AK46" s="26"/>
      <c r="AL46" s="26"/>
      <c r="AM46" s="26"/>
      <c r="AN46" s="267">
        <v>448000</v>
      </c>
      <c r="AO46" s="18" t="s">
        <v>1370</v>
      </c>
      <c r="AP46" s="37" t="s">
        <v>1371</v>
      </c>
      <c r="AQ46" s="277"/>
      <c r="AR46" s="26" t="s">
        <v>384</v>
      </c>
      <c r="AS46" s="219"/>
      <c r="AT46" s="278" t="s">
        <v>1452</v>
      </c>
      <c r="AU46" s="277"/>
      <c r="AV46" s="43" t="s">
        <v>66</v>
      </c>
      <c r="AW46" s="277"/>
      <c r="AX46" s="294" t="s">
        <v>86</v>
      </c>
      <c r="AY46" s="289"/>
      <c r="AZ46" s="290">
        <v>42766</v>
      </c>
      <c r="BA46" s="290">
        <v>43130</v>
      </c>
      <c r="BB46" s="25" t="s">
        <v>78</v>
      </c>
      <c r="BC46" s="291">
        <v>43130</v>
      </c>
      <c r="BD46" s="25" t="s">
        <v>122</v>
      </c>
      <c r="BE46" s="297">
        <v>487852</v>
      </c>
      <c r="BF46" s="298">
        <f t="shared" si="0"/>
        <v>0.97962248995983936</v>
      </c>
      <c r="BG46" s="297" t="e">
        <f>VLOOKUP(B46,[1]Sheet2!$B:$X,23,0)</f>
        <v>#N/A</v>
      </c>
    </row>
    <row r="47" spans="1:59" s="28" customFormat="1" ht="33" customHeight="1">
      <c r="A47" s="84" t="s">
        <v>1453</v>
      </c>
      <c r="B47" s="18" t="s">
        <v>1454</v>
      </c>
      <c r="C47" s="19" t="s">
        <v>1455</v>
      </c>
      <c r="D47" s="220" t="s">
        <v>1456</v>
      </c>
      <c r="E47" s="219" t="s">
        <v>60</v>
      </c>
      <c r="F47" s="219" t="s">
        <v>315</v>
      </c>
      <c r="G47" s="219" t="s">
        <v>315</v>
      </c>
      <c r="H47" s="218" t="s">
        <v>1275</v>
      </c>
      <c r="I47" s="219"/>
      <c r="J47" s="219"/>
      <c r="K47" s="237" t="s">
        <v>1285</v>
      </c>
      <c r="L47" s="219"/>
      <c r="M47" s="219">
        <v>760000</v>
      </c>
      <c r="N47" s="243"/>
      <c r="O47" s="53"/>
      <c r="P47" s="245"/>
      <c r="Q47" s="245"/>
      <c r="R47" s="245"/>
      <c r="S47" s="245"/>
      <c r="T47" s="245"/>
      <c r="U47" s="245"/>
      <c r="V47" s="245"/>
      <c r="W47" s="26"/>
      <c r="X47" s="26"/>
      <c r="Y47" s="263"/>
      <c r="Z47" s="263"/>
      <c r="AA47" s="262"/>
      <c r="AB47" s="26"/>
      <c r="AC47" s="26"/>
      <c r="AD47" s="26"/>
      <c r="AE47" s="26"/>
      <c r="AF47" s="26"/>
      <c r="AG47" s="26"/>
      <c r="AH47" s="26"/>
      <c r="AI47" s="26"/>
      <c r="AJ47" s="26"/>
      <c r="AK47" s="26"/>
      <c r="AL47" s="26"/>
      <c r="AM47" s="26"/>
      <c r="AN47" s="243">
        <v>683010</v>
      </c>
      <c r="AO47" s="18" t="s">
        <v>1370</v>
      </c>
      <c r="AP47" s="37" t="s">
        <v>1371</v>
      </c>
      <c r="AQ47" s="277"/>
      <c r="AR47" s="26" t="s">
        <v>384</v>
      </c>
      <c r="AS47" s="219"/>
      <c r="AT47" s="278" t="s">
        <v>1452</v>
      </c>
      <c r="AU47" s="277"/>
      <c r="AV47" s="43" t="s">
        <v>66</v>
      </c>
      <c r="AW47" s="277"/>
      <c r="AX47" s="294" t="s">
        <v>86</v>
      </c>
      <c r="AY47" s="289"/>
      <c r="AZ47" s="290">
        <v>42766</v>
      </c>
      <c r="BA47" s="290">
        <v>42839</v>
      </c>
      <c r="BB47" s="25" t="s">
        <v>78</v>
      </c>
      <c r="BC47" s="291">
        <v>43130</v>
      </c>
      <c r="BD47" s="25" t="s">
        <v>122</v>
      </c>
      <c r="BE47" s="297">
        <v>760000</v>
      </c>
      <c r="BF47" s="298">
        <f t="shared" si="0"/>
        <v>1</v>
      </c>
      <c r="BG47" s="297" t="e">
        <f>VLOOKUP(B47,[1]Sheet2!$B:$X,23,0)</f>
        <v>#N/A</v>
      </c>
    </row>
    <row r="48" spans="1:59" s="28" customFormat="1" ht="33" customHeight="1">
      <c r="A48" s="84" t="s">
        <v>1457</v>
      </c>
      <c r="B48" s="18" t="s">
        <v>1458</v>
      </c>
      <c r="C48" s="19" t="s">
        <v>1459</v>
      </c>
      <c r="D48" s="220" t="s">
        <v>1460</v>
      </c>
      <c r="E48" s="219" t="s">
        <v>139</v>
      </c>
      <c r="F48" s="219" t="s">
        <v>315</v>
      </c>
      <c r="G48" s="219" t="s">
        <v>315</v>
      </c>
      <c r="H48" s="218" t="s">
        <v>1275</v>
      </c>
      <c r="I48" s="219"/>
      <c r="J48" s="219"/>
      <c r="K48" s="237" t="s">
        <v>1285</v>
      </c>
      <c r="L48" s="219"/>
      <c r="M48" s="219">
        <v>199473.3</v>
      </c>
      <c r="N48" s="243"/>
      <c r="O48" s="53"/>
      <c r="P48" s="245"/>
      <c r="Q48" s="245"/>
      <c r="R48" s="245"/>
      <c r="S48" s="245"/>
      <c r="T48" s="245"/>
      <c r="U48" s="245"/>
      <c r="V48" s="245"/>
      <c r="W48" s="26"/>
      <c r="X48" s="26"/>
      <c r="Y48" s="263"/>
      <c r="Z48" s="263"/>
      <c r="AA48" s="262"/>
      <c r="AB48" s="26"/>
      <c r="AC48" s="26"/>
      <c r="AD48" s="26"/>
      <c r="AE48" s="26"/>
      <c r="AF48" s="26"/>
      <c r="AG48" s="26"/>
      <c r="AH48" s="26"/>
      <c r="AI48" s="26"/>
      <c r="AJ48" s="26"/>
      <c r="AK48" s="26"/>
      <c r="AL48" s="26"/>
      <c r="AM48" s="26"/>
      <c r="AN48" s="267">
        <v>169000</v>
      </c>
      <c r="AO48" s="18" t="s">
        <v>77</v>
      </c>
      <c r="AP48" s="37"/>
      <c r="AQ48" s="277"/>
      <c r="AR48" s="26" t="s">
        <v>384</v>
      </c>
      <c r="AS48" s="219"/>
      <c r="AT48" s="278" t="s">
        <v>1461</v>
      </c>
      <c r="AU48" s="277"/>
      <c r="AV48" s="43" t="s">
        <v>66</v>
      </c>
      <c r="AW48" s="277"/>
      <c r="AX48" s="294" t="s">
        <v>86</v>
      </c>
      <c r="AY48" s="289"/>
      <c r="AZ48" s="290">
        <v>42571</v>
      </c>
      <c r="BA48" s="290">
        <v>42592</v>
      </c>
      <c r="BB48" s="25" t="s">
        <v>78</v>
      </c>
      <c r="BC48" s="291">
        <v>42935</v>
      </c>
      <c r="BD48" s="25" t="s">
        <v>122</v>
      </c>
      <c r="BE48" s="297">
        <v>199473.3</v>
      </c>
      <c r="BF48" s="298">
        <f t="shared" si="0"/>
        <v>1</v>
      </c>
      <c r="BG48" s="297" t="e">
        <f>VLOOKUP(B48,[1]Sheet2!$B:$X,23,0)</f>
        <v>#N/A</v>
      </c>
    </row>
    <row r="49" spans="1:59" s="28" customFormat="1" ht="33" customHeight="1">
      <c r="A49" s="84" t="s">
        <v>1462</v>
      </c>
      <c r="B49" s="18" t="s">
        <v>1463</v>
      </c>
      <c r="C49" s="19" t="s">
        <v>1464</v>
      </c>
      <c r="D49" s="221" t="s">
        <v>1465</v>
      </c>
      <c r="E49" s="219" t="s">
        <v>294</v>
      </c>
      <c r="F49" s="219" t="s">
        <v>315</v>
      </c>
      <c r="G49" s="219" t="s">
        <v>315</v>
      </c>
      <c r="H49" s="218" t="s">
        <v>1275</v>
      </c>
      <c r="I49" s="219"/>
      <c r="J49" s="219"/>
      <c r="K49" s="237" t="s">
        <v>1285</v>
      </c>
      <c r="L49" s="219"/>
      <c r="M49" s="219">
        <v>1340000</v>
      </c>
      <c r="N49" s="243"/>
      <c r="O49" s="53"/>
      <c r="P49" s="245"/>
      <c r="Q49" s="245"/>
      <c r="R49" s="245"/>
      <c r="S49" s="245"/>
      <c r="T49" s="245"/>
      <c r="U49" s="245"/>
      <c r="V49" s="245"/>
      <c r="W49" s="26"/>
      <c r="X49" s="26"/>
      <c r="Y49" s="263"/>
      <c r="Z49" s="263"/>
      <c r="AA49" s="262"/>
      <c r="AB49" s="26"/>
      <c r="AC49" s="26"/>
      <c r="AD49" s="26"/>
      <c r="AE49" s="26"/>
      <c r="AF49" s="26"/>
      <c r="AG49" s="26"/>
      <c r="AH49" s="26"/>
      <c r="AI49" s="26"/>
      <c r="AJ49" s="26"/>
      <c r="AK49" s="26"/>
      <c r="AL49" s="26"/>
      <c r="AM49" s="26"/>
      <c r="AN49" s="267">
        <v>1192600</v>
      </c>
      <c r="AO49" s="18" t="s">
        <v>76</v>
      </c>
      <c r="AP49" s="37" t="s">
        <v>1371</v>
      </c>
      <c r="AQ49" s="277"/>
      <c r="AR49" s="26" t="s">
        <v>384</v>
      </c>
      <c r="AS49" s="219"/>
      <c r="AT49" s="278" t="s">
        <v>1466</v>
      </c>
      <c r="AU49" s="277"/>
      <c r="AV49" s="43" t="s">
        <v>66</v>
      </c>
      <c r="AW49" s="277"/>
      <c r="AX49" s="294" t="s">
        <v>86</v>
      </c>
      <c r="AY49" s="289"/>
      <c r="AZ49" s="290">
        <v>42505</v>
      </c>
      <c r="BA49" s="290"/>
      <c r="BB49" s="25" t="s">
        <v>78</v>
      </c>
      <c r="BC49" s="291">
        <v>42869</v>
      </c>
      <c r="BD49" s="25" t="s">
        <v>122</v>
      </c>
      <c r="BE49" s="297">
        <v>1340000</v>
      </c>
      <c r="BF49" s="298">
        <f t="shared" si="0"/>
        <v>1</v>
      </c>
      <c r="BG49" s="297" t="e">
        <f>VLOOKUP(B49,[1]Sheet2!$B:$X,23,0)</f>
        <v>#N/A</v>
      </c>
    </row>
    <row r="50" spans="1:59" s="28" customFormat="1" ht="33" customHeight="1">
      <c r="A50" s="84" t="s">
        <v>1467</v>
      </c>
      <c r="B50" s="18" t="s">
        <v>1468</v>
      </c>
      <c r="C50" s="19" t="s">
        <v>1469</v>
      </c>
      <c r="D50" s="221" t="s">
        <v>1470</v>
      </c>
      <c r="E50" s="219" t="s">
        <v>75</v>
      </c>
      <c r="F50" s="219" t="s">
        <v>196</v>
      </c>
      <c r="G50" s="219" t="s">
        <v>196</v>
      </c>
      <c r="H50" s="218" t="s">
        <v>1275</v>
      </c>
      <c r="I50" s="219"/>
      <c r="J50" s="219"/>
      <c r="K50" s="237" t="s">
        <v>1285</v>
      </c>
      <c r="L50" s="219"/>
      <c r="M50" s="219">
        <v>694628</v>
      </c>
      <c r="N50" s="243"/>
      <c r="O50" s="53"/>
      <c r="P50" s="245"/>
      <c r="Q50" s="245"/>
      <c r="R50" s="245"/>
      <c r="S50" s="245"/>
      <c r="T50" s="245"/>
      <c r="U50" s="245"/>
      <c r="V50" s="245"/>
      <c r="W50" s="26"/>
      <c r="X50" s="26"/>
      <c r="Y50" s="263"/>
      <c r="Z50" s="263"/>
      <c r="AA50" s="262"/>
      <c r="AB50" s="26"/>
      <c r="AC50" s="26"/>
      <c r="AD50" s="26"/>
      <c r="AE50" s="26"/>
      <c r="AF50" s="26"/>
      <c r="AG50" s="26"/>
      <c r="AH50" s="26"/>
      <c r="AI50" s="26"/>
      <c r="AJ50" s="26"/>
      <c r="AK50" s="26"/>
      <c r="AL50" s="26"/>
      <c r="AM50" s="26"/>
      <c r="AN50" s="243">
        <v>590433</v>
      </c>
      <c r="AO50" s="18" t="s">
        <v>145</v>
      </c>
      <c r="AP50" s="37" t="s">
        <v>1274</v>
      </c>
      <c r="AQ50" s="277"/>
      <c r="AR50" s="26" t="s">
        <v>384</v>
      </c>
      <c r="AS50" s="219"/>
      <c r="AT50" s="278"/>
      <c r="AU50" s="277"/>
      <c r="AV50" s="43" t="s">
        <v>190</v>
      </c>
      <c r="AW50" s="277"/>
      <c r="AX50" s="294"/>
      <c r="AY50" s="289"/>
      <c r="AZ50" s="290"/>
      <c r="BA50" s="290"/>
      <c r="BB50" s="25"/>
      <c r="BC50" s="291"/>
      <c r="BD50" s="25" t="s">
        <v>192</v>
      </c>
      <c r="BE50" s="297">
        <v>694628</v>
      </c>
      <c r="BF50" s="298">
        <f t="shared" si="0"/>
        <v>1</v>
      </c>
      <c r="BG50" s="297" t="e">
        <f>VLOOKUP(B50,[1]Sheet2!$B:$X,23,0)</f>
        <v>#N/A</v>
      </c>
    </row>
    <row r="51" spans="1:59" s="28" customFormat="1" ht="33" customHeight="1">
      <c r="A51" s="84" t="s">
        <v>1471</v>
      </c>
      <c r="B51" s="18" t="s">
        <v>1472</v>
      </c>
      <c r="C51" s="19" t="s">
        <v>1473</v>
      </c>
      <c r="D51" s="220" t="s">
        <v>1474</v>
      </c>
      <c r="E51" s="219" t="s">
        <v>374</v>
      </c>
      <c r="F51" s="219" t="s">
        <v>315</v>
      </c>
      <c r="G51" s="219" t="s">
        <v>315</v>
      </c>
      <c r="H51" s="218" t="s">
        <v>1314</v>
      </c>
      <c r="I51" s="219"/>
      <c r="J51" s="219"/>
      <c r="K51" s="237" t="s">
        <v>1285</v>
      </c>
      <c r="L51" s="219"/>
      <c r="M51" s="219">
        <v>7380000</v>
      </c>
      <c r="N51" s="243"/>
      <c r="O51" s="53"/>
      <c r="P51" s="245"/>
      <c r="Q51" s="245"/>
      <c r="R51" s="245"/>
      <c r="S51" s="245"/>
      <c r="T51" s="245"/>
      <c r="U51" s="245"/>
      <c r="V51" s="245"/>
      <c r="W51" s="26"/>
      <c r="X51" s="26"/>
      <c r="Y51" s="263"/>
      <c r="Z51" s="263"/>
      <c r="AA51" s="262"/>
      <c r="AB51" s="26"/>
      <c r="AC51" s="26"/>
      <c r="AD51" s="26"/>
      <c r="AE51" s="26"/>
      <c r="AF51" s="26"/>
      <c r="AG51" s="26"/>
      <c r="AH51" s="26"/>
      <c r="AI51" s="26"/>
      <c r="AJ51" s="26"/>
      <c r="AK51" s="26"/>
      <c r="AL51" s="26"/>
      <c r="AM51" s="26"/>
      <c r="AN51" s="243">
        <v>6205911</v>
      </c>
      <c r="AO51" s="18" t="s">
        <v>77</v>
      </c>
      <c r="AP51" s="37"/>
      <c r="AQ51" s="277"/>
      <c r="AR51" s="26" t="s">
        <v>384</v>
      </c>
      <c r="AS51" s="219"/>
      <c r="AT51" s="278"/>
      <c r="AU51" s="277"/>
      <c r="AV51" s="43" t="s">
        <v>66</v>
      </c>
      <c r="AW51" s="277"/>
      <c r="AX51" s="294" t="s">
        <v>86</v>
      </c>
      <c r="AY51" s="289"/>
      <c r="AZ51" s="290">
        <v>42705</v>
      </c>
      <c r="BA51" s="290">
        <v>42748</v>
      </c>
      <c r="BB51" s="25" t="s">
        <v>78</v>
      </c>
      <c r="BC51" s="291">
        <v>43077</v>
      </c>
      <c r="BD51" s="25" t="s">
        <v>122</v>
      </c>
      <c r="BE51" s="297">
        <v>7380000</v>
      </c>
      <c r="BF51" s="298">
        <f t="shared" si="0"/>
        <v>1</v>
      </c>
      <c r="BG51" s="297" t="e">
        <f>VLOOKUP(B51,[1]Sheet2!$B:$X,23,0)</f>
        <v>#N/A</v>
      </c>
    </row>
    <row r="52" spans="1:59" s="28" customFormat="1" ht="33" customHeight="1">
      <c r="A52" s="84" t="s">
        <v>1475</v>
      </c>
      <c r="B52" s="18" t="s">
        <v>1476</v>
      </c>
      <c r="C52" s="19" t="s">
        <v>1477</v>
      </c>
      <c r="D52" s="221" t="s">
        <v>1478</v>
      </c>
      <c r="E52" s="219" t="s">
        <v>60</v>
      </c>
      <c r="F52" s="216" t="s">
        <v>1277</v>
      </c>
      <c r="G52" s="216" t="s">
        <v>1277</v>
      </c>
      <c r="H52" s="218" t="s">
        <v>1277</v>
      </c>
      <c r="I52" s="219"/>
      <c r="J52" s="219"/>
      <c r="K52" s="237" t="s">
        <v>1285</v>
      </c>
      <c r="L52" s="219"/>
      <c r="M52" s="219">
        <v>670000</v>
      </c>
      <c r="N52" s="243"/>
      <c r="O52" s="53"/>
      <c r="P52" s="245"/>
      <c r="Q52" s="245"/>
      <c r="R52" s="245"/>
      <c r="S52" s="245"/>
      <c r="T52" s="245"/>
      <c r="U52" s="245"/>
      <c r="V52" s="245"/>
      <c r="W52" s="26"/>
      <c r="X52" s="26"/>
      <c r="Y52" s="263"/>
      <c r="Z52" s="263"/>
      <c r="AA52" s="262"/>
      <c r="AB52" s="26"/>
      <c r="AC52" s="26"/>
      <c r="AD52" s="26"/>
      <c r="AE52" s="26"/>
      <c r="AF52" s="26"/>
      <c r="AG52" s="26"/>
      <c r="AH52" s="26"/>
      <c r="AI52" s="26"/>
      <c r="AJ52" s="26"/>
      <c r="AK52" s="26"/>
      <c r="AL52" s="26"/>
      <c r="AM52" s="26"/>
      <c r="AN52" s="267">
        <v>592444</v>
      </c>
      <c r="AO52" s="18" t="s">
        <v>1370</v>
      </c>
      <c r="AP52" s="37" t="s">
        <v>1371</v>
      </c>
      <c r="AQ52" s="277"/>
      <c r="AR52" s="26" t="s">
        <v>384</v>
      </c>
      <c r="AS52" s="219"/>
      <c r="AT52" s="278"/>
      <c r="AU52" s="277"/>
      <c r="AV52" s="43" t="s">
        <v>190</v>
      </c>
      <c r="AW52" s="277"/>
      <c r="AX52" s="294"/>
      <c r="AY52" s="289"/>
      <c r="AZ52" s="290"/>
      <c r="BA52" s="290"/>
      <c r="BB52" s="25"/>
      <c r="BC52" s="291"/>
      <c r="BD52" s="25" t="s">
        <v>1280</v>
      </c>
      <c r="BE52" s="297">
        <v>670000</v>
      </c>
      <c r="BF52" s="298">
        <f t="shared" si="0"/>
        <v>1</v>
      </c>
      <c r="BG52" s="297" t="e">
        <f>VLOOKUP(B52,[1]Sheet2!$B:$X,23,0)</f>
        <v>#N/A</v>
      </c>
    </row>
    <row r="53" spans="1:59" s="28" customFormat="1" ht="33" customHeight="1">
      <c r="A53" s="84" t="s">
        <v>1479</v>
      </c>
      <c r="B53" s="18" t="s">
        <v>1480</v>
      </c>
      <c r="C53" s="19" t="s">
        <v>1481</v>
      </c>
      <c r="D53" s="221" t="s">
        <v>1482</v>
      </c>
      <c r="E53" s="219" t="s">
        <v>75</v>
      </c>
      <c r="F53" s="219" t="s">
        <v>315</v>
      </c>
      <c r="G53" s="219" t="s">
        <v>315</v>
      </c>
      <c r="H53" s="218" t="s">
        <v>1275</v>
      </c>
      <c r="I53" s="219"/>
      <c r="J53" s="219"/>
      <c r="K53" s="237" t="s">
        <v>1285</v>
      </c>
      <c r="L53" s="219"/>
      <c r="M53" s="219">
        <v>249382</v>
      </c>
      <c r="N53" s="243"/>
      <c r="O53" s="53"/>
      <c r="P53" s="245"/>
      <c r="Q53" s="245"/>
      <c r="R53" s="245"/>
      <c r="S53" s="245"/>
      <c r="T53" s="245"/>
      <c r="U53" s="245"/>
      <c r="V53" s="245"/>
      <c r="W53" s="26"/>
      <c r="X53" s="26"/>
      <c r="Y53" s="263"/>
      <c r="Z53" s="263"/>
      <c r="AA53" s="262"/>
      <c r="AB53" s="26"/>
      <c r="AC53" s="26"/>
      <c r="AD53" s="26"/>
      <c r="AE53" s="26"/>
      <c r="AF53" s="26"/>
      <c r="AG53" s="26"/>
      <c r="AH53" s="26"/>
      <c r="AI53" s="26"/>
      <c r="AJ53" s="26"/>
      <c r="AK53" s="26"/>
      <c r="AL53" s="26"/>
      <c r="AM53" s="26"/>
      <c r="AN53" s="267">
        <v>223000</v>
      </c>
      <c r="AO53" s="18" t="s">
        <v>145</v>
      </c>
      <c r="AP53" s="37" t="s">
        <v>1274</v>
      </c>
      <c r="AQ53" s="277"/>
      <c r="AR53" s="26" t="s">
        <v>384</v>
      </c>
      <c r="AS53" s="219"/>
      <c r="AT53" s="278" t="s">
        <v>1483</v>
      </c>
      <c r="AU53" s="277"/>
      <c r="AV53" s="43" t="s">
        <v>66</v>
      </c>
      <c r="AW53" s="277"/>
      <c r="AX53" s="294" t="s">
        <v>86</v>
      </c>
      <c r="AY53" s="289"/>
      <c r="AZ53" s="290">
        <v>42795</v>
      </c>
      <c r="BA53" s="290" t="s">
        <v>1484</v>
      </c>
      <c r="BB53" s="25" t="s">
        <v>78</v>
      </c>
      <c r="BC53" s="291">
        <v>43191</v>
      </c>
      <c r="BD53" s="25" t="s">
        <v>122</v>
      </c>
      <c r="BE53" s="297">
        <v>249382</v>
      </c>
      <c r="BF53" s="298">
        <f t="shared" si="0"/>
        <v>1</v>
      </c>
      <c r="BG53" s="297" t="e">
        <f>VLOOKUP(B53,[1]Sheet2!$B:$X,23,0)</f>
        <v>#N/A</v>
      </c>
    </row>
    <row r="54" spans="1:59" s="28" customFormat="1" ht="33" customHeight="1">
      <c r="A54" s="84" t="s">
        <v>1485</v>
      </c>
      <c r="B54" s="18" t="s">
        <v>1486</v>
      </c>
      <c r="C54" s="19" t="s">
        <v>1487</v>
      </c>
      <c r="D54" s="221" t="s">
        <v>1488</v>
      </c>
      <c r="E54" s="219" t="s">
        <v>576</v>
      </c>
      <c r="F54" s="219" t="s">
        <v>196</v>
      </c>
      <c r="G54" s="219" t="s">
        <v>196</v>
      </c>
      <c r="H54" s="218"/>
      <c r="I54" s="219"/>
      <c r="J54" s="219"/>
      <c r="K54" s="237" t="s">
        <v>1285</v>
      </c>
      <c r="L54" s="219"/>
      <c r="M54" s="219">
        <v>1289197.5</v>
      </c>
      <c r="N54" s="243"/>
      <c r="O54" s="53"/>
      <c r="P54" s="245"/>
      <c r="Q54" s="245"/>
      <c r="R54" s="245"/>
      <c r="S54" s="245"/>
      <c r="T54" s="245"/>
      <c r="U54" s="245"/>
      <c r="V54" s="245"/>
      <c r="W54" s="26"/>
      <c r="X54" s="26"/>
      <c r="Y54" s="263"/>
      <c r="Z54" s="263"/>
      <c r="AA54" s="262"/>
      <c r="AB54" s="26"/>
      <c r="AC54" s="26"/>
      <c r="AD54" s="26"/>
      <c r="AE54" s="26"/>
      <c r="AF54" s="26"/>
      <c r="AG54" s="26"/>
      <c r="AH54" s="26"/>
      <c r="AI54" s="26"/>
      <c r="AJ54" s="26"/>
      <c r="AK54" s="26"/>
      <c r="AL54" s="26"/>
      <c r="AM54" s="26"/>
      <c r="AN54" s="267">
        <v>1070016</v>
      </c>
      <c r="AO54" s="18" t="s">
        <v>175</v>
      </c>
      <c r="AP54" s="37" t="s">
        <v>1287</v>
      </c>
      <c r="AQ54" s="277"/>
      <c r="AR54" s="26" t="s">
        <v>384</v>
      </c>
      <c r="AS54" s="219"/>
      <c r="AT54" s="278"/>
      <c r="AU54" s="277"/>
      <c r="AV54" s="43" t="s">
        <v>190</v>
      </c>
      <c r="AW54" s="277"/>
      <c r="AX54" s="294"/>
      <c r="AY54" s="289"/>
      <c r="AZ54" s="290"/>
      <c r="BA54" s="290"/>
      <c r="BB54" s="25"/>
      <c r="BC54" s="291"/>
      <c r="BD54" s="25" t="s">
        <v>192</v>
      </c>
      <c r="BE54" s="297">
        <v>733115</v>
      </c>
      <c r="BF54" s="298">
        <f t="shared" si="0"/>
        <v>0.56865996094469617</v>
      </c>
      <c r="BG54" s="297" t="e">
        <f>VLOOKUP(B54,[1]Sheet2!$B:$X,23,0)</f>
        <v>#N/A</v>
      </c>
    </row>
    <row r="55" spans="1:59" s="28" customFormat="1" ht="33" customHeight="1">
      <c r="A55" s="84" t="s">
        <v>1489</v>
      </c>
      <c r="B55" s="18" t="s">
        <v>1490</v>
      </c>
      <c r="C55" s="19" t="s">
        <v>1491</v>
      </c>
      <c r="D55" s="221" t="s">
        <v>1492</v>
      </c>
      <c r="E55" s="219"/>
      <c r="F55" s="216" t="s">
        <v>1277</v>
      </c>
      <c r="G55" s="216" t="s">
        <v>1277</v>
      </c>
      <c r="H55" s="218" t="s">
        <v>1277</v>
      </c>
      <c r="I55" s="219"/>
      <c r="J55" s="219"/>
      <c r="K55" s="237" t="s">
        <v>1285</v>
      </c>
      <c r="L55" s="219"/>
      <c r="M55" s="219">
        <v>2068000</v>
      </c>
      <c r="N55" s="243"/>
      <c r="O55" s="53"/>
      <c r="P55" s="245"/>
      <c r="Q55" s="245"/>
      <c r="R55" s="245"/>
      <c r="S55" s="245"/>
      <c r="T55" s="245"/>
      <c r="U55" s="245"/>
      <c r="V55" s="245"/>
      <c r="W55" s="26"/>
      <c r="X55" s="26"/>
      <c r="Y55" s="263"/>
      <c r="Z55" s="263"/>
      <c r="AA55" s="262"/>
      <c r="AB55" s="26"/>
      <c r="AC55" s="26"/>
      <c r="AD55" s="26"/>
      <c r="AE55" s="26"/>
      <c r="AF55" s="26"/>
      <c r="AG55" s="26"/>
      <c r="AH55" s="26"/>
      <c r="AI55" s="26"/>
      <c r="AJ55" s="26"/>
      <c r="AK55" s="26"/>
      <c r="AL55" s="26"/>
      <c r="AM55" s="26"/>
      <c r="AN55" s="243">
        <v>1572000</v>
      </c>
      <c r="AO55" s="18" t="s">
        <v>132</v>
      </c>
      <c r="AP55" s="37" t="s">
        <v>1287</v>
      </c>
      <c r="AQ55" s="277"/>
      <c r="AR55" s="26" t="s">
        <v>384</v>
      </c>
      <c r="AS55" s="219"/>
      <c r="AT55" s="278"/>
      <c r="AU55" s="277"/>
      <c r="AV55" s="43" t="s">
        <v>190</v>
      </c>
      <c r="AW55" s="277"/>
      <c r="AX55" s="294"/>
      <c r="AY55" s="289"/>
      <c r="AZ55" s="290"/>
      <c r="BA55" s="290"/>
      <c r="BB55" s="25"/>
      <c r="BC55" s="291"/>
      <c r="BD55" s="25" t="s">
        <v>1280</v>
      </c>
      <c r="BE55" s="297">
        <v>1034000</v>
      </c>
      <c r="BF55" s="298">
        <f t="shared" si="0"/>
        <v>0.5</v>
      </c>
      <c r="BG55" s="297" t="e">
        <f>VLOOKUP(B55,[1]Sheet2!$B:$X,23,0)</f>
        <v>#N/A</v>
      </c>
    </row>
    <row r="56" spans="1:59" s="28" customFormat="1" ht="33" customHeight="1">
      <c r="A56" s="84" t="s">
        <v>1493</v>
      </c>
      <c r="B56" s="18" t="s">
        <v>1494</v>
      </c>
      <c r="C56" s="19" t="s">
        <v>1495</v>
      </c>
      <c r="D56" s="221" t="s">
        <v>1496</v>
      </c>
      <c r="E56" s="219" t="s">
        <v>1093</v>
      </c>
      <c r="F56" s="219" t="s">
        <v>315</v>
      </c>
      <c r="G56" s="219" t="s">
        <v>315</v>
      </c>
      <c r="H56" s="218" t="s">
        <v>1275</v>
      </c>
      <c r="I56" s="219"/>
      <c r="J56" s="219"/>
      <c r="K56" s="237" t="s">
        <v>1285</v>
      </c>
      <c r="L56" s="219"/>
      <c r="M56" s="219">
        <v>47275</v>
      </c>
      <c r="N56" s="243"/>
      <c r="O56" s="53"/>
      <c r="P56" s="245"/>
      <c r="Q56" s="245"/>
      <c r="R56" s="245"/>
      <c r="S56" s="245"/>
      <c r="T56" s="245"/>
      <c r="U56" s="245"/>
      <c r="V56" s="245"/>
      <c r="W56" s="26"/>
      <c r="X56" s="26"/>
      <c r="Y56" s="263"/>
      <c r="Z56" s="263"/>
      <c r="AA56" s="262"/>
      <c r="AB56" s="26"/>
      <c r="AC56" s="26"/>
      <c r="AD56" s="26"/>
      <c r="AE56" s="26"/>
      <c r="AF56" s="26"/>
      <c r="AG56" s="26"/>
      <c r="AH56" s="26"/>
      <c r="AI56" s="26"/>
      <c r="AJ56" s="26"/>
      <c r="AK56" s="26"/>
      <c r="AL56" s="26"/>
      <c r="AM56" s="26"/>
      <c r="AN56" s="267">
        <v>40183.75</v>
      </c>
      <c r="AO56" s="18" t="s">
        <v>107</v>
      </c>
      <c r="AP56" s="37" t="s">
        <v>1497</v>
      </c>
      <c r="AQ56" s="277"/>
      <c r="AR56" s="26" t="s">
        <v>384</v>
      </c>
      <c r="AS56" s="219"/>
      <c r="AT56" s="278" t="s">
        <v>1498</v>
      </c>
      <c r="AU56" s="277"/>
      <c r="AV56" s="43" t="s">
        <v>66</v>
      </c>
      <c r="AW56" s="277"/>
      <c r="AX56" s="294" t="s">
        <v>86</v>
      </c>
      <c r="AY56" s="289"/>
      <c r="AZ56" s="290">
        <v>42571</v>
      </c>
      <c r="BA56" s="290">
        <v>42867</v>
      </c>
      <c r="BB56" s="25" t="s">
        <v>78</v>
      </c>
      <c r="BC56" s="291">
        <v>42935</v>
      </c>
      <c r="BD56" s="25" t="s">
        <v>122</v>
      </c>
      <c r="BE56" s="297">
        <v>47275</v>
      </c>
      <c r="BF56" s="298">
        <f t="shared" si="0"/>
        <v>1</v>
      </c>
      <c r="BG56" s="297" t="e">
        <f>VLOOKUP(B56,[1]Sheet2!$B:$X,23,0)</f>
        <v>#N/A</v>
      </c>
    </row>
    <row r="57" spans="1:59" s="28" customFormat="1" ht="33" customHeight="1">
      <c r="A57" s="84" t="s">
        <v>1499</v>
      </c>
      <c r="B57" s="18" t="s">
        <v>1500</v>
      </c>
      <c r="C57" s="19" t="s">
        <v>1501</v>
      </c>
      <c r="D57" s="221" t="s">
        <v>1502</v>
      </c>
      <c r="E57" s="219" t="s">
        <v>75</v>
      </c>
      <c r="F57" s="219" t="s">
        <v>315</v>
      </c>
      <c r="G57" s="219" t="s">
        <v>315</v>
      </c>
      <c r="H57" s="218" t="s">
        <v>1275</v>
      </c>
      <c r="I57" s="219"/>
      <c r="J57" s="219"/>
      <c r="K57" s="237" t="s">
        <v>1285</v>
      </c>
      <c r="L57" s="219"/>
      <c r="M57" s="219">
        <v>198960</v>
      </c>
      <c r="N57" s="243"/>
      <c r="O57" s="53"/>
      <c r="P57" s="245"/>
      <c r="Q57" s="245"/>
      <c r="R57" s="245"/>
      <c r="S57" s="245"/>
      <c r="T57" s="245"/>
      <c r="U57" s="245"/>
      <c r="V57" s="245"/>
      <c r="W57" s="26"/>
      <c r="X57" s="26"/>
      <c r="Y57" s="263"/>
      <c r="Z57" s="263"/>
      <c r="AA57" s="262"/>
      <c r="AB57" s="26"/>
      <c r="AC57" s="26"/>
      <c r="AD57" s="26"/>
      <c r="AE57" s="26"/>
      <c r="AF57" s="26"/>
      <c r="AG57" s="26"/>
      <c r="AH57" s="26"/>
      <c r="AI57" s="26"/>
      <c r="AJ57" s="26"/>
      <c r="AK57" s="26"/>
      <c r="AL57" s="26"/>
      <c r="AM57" s="26"/>
      <c r="AN57" s="267">
        <v>168500</v>
      </c>
      <c r="AO57" s="18" t="s">
        <v>175</v>
      </c>
      <c r="AP57" s="37" t="s">
        <v>1274</v>
      </c>
      <c r="AQ57" s="277"/>
      <c r="AR57" s="26" t="s">
        <v>384</v>
      </c>
      <c r="AS57" s="219"/>
      <c r="AT57" s="278"/>
      <c r="AU57" s="277"/>
      <c r="AV57" s="43" t="s">
        <v>66</v>
      </c>
      <c r="AW57" s="277"/>
      <c r="AX57" s="294" t="s">
        <v>86</v>
      </c>
      <c r="AY57" s="289"/>
      <c r="AZ57" s="290">
        <v>42767</v>
      </c>
      <c r="BA57" s="290">
        <v>42822</v>
      </c>
      <c r="BB57" s="25" t="s">
        <v>78</v>
      </c>
      <c r="BC57" s="291">
        <v>43132</v>
      </c>
      <c r="BD57" s="25" t="s">
        <v>122</v>
      </c>
      <c r="BE57" s="297">
        <v>198960</v>
      </c>
      <c r="BF57" s="298">
        <f t="shared" si="0"/>
        <v>1</v>
      </c>
      <c r="BG57" s="297" t="e">
        <f>VLOOKUP(B57,[1]Sheet2!$B:$X,23,0)</f>
        <v>#N/A</v>
      </c>
    </row>
    <row r="58" spans="1:59" s="28" customFormat="1" ht="33" customHeight="1">
      <c r="A58" s="84" t="s">
        <v>1503</v>
      </c>
      <c r="B58" s="18" t="s">
        <v>1504</v>
      </c>
      <c r="C58" s="19" t="s">
        <v>1505</v>
      </c>
      <c r="D58" s="221" t="s">
        <v>1506</v>
      </c>
      <c r="E58" s="219"/>
      <c r="F58" s="219" t="s">
        <v>315</v>
      </c>
      <c r="G58" s="219" t="s">
        <v>315</v>
      </c>
      <c r="H58" s="218"/>
      <c r="I58" s="219"/>
      <c r="J58" s="219"/>
      <c r="K58" s="237" t="s">
        <v>1285</v>
      </c>
      <c r="L58" s="219"/>
      <c r="M58" s="219">
        <v>311000</v>
      </c>
      <c r="N58" s="243"/>
      <c r="O58" s="53"/>
      <c r="P58" s="245"/>
      <c r="Q58" s="245"/>
      <c r="R58" s="245"/>
      <c r="S58" s="245"/>
      <c r="T58" s="245"/>
      <c r="U58" s="245"/>
      <c r="V58" s="245"/>
      <c r="W58" s="26"/>
      <c r="X58" s="26"/>
      <c r="Y58" s="263"/>
      <c r="Z58" s="263"/>
      <c r="AA58" s="262"/>
      <c r="AB58" s="26"/>
      <c r="AC58" s="26"/>
      <c r="AD58" s="26"/>
      <c r="AE58" s="26"/>
      <c r="AF58" s="26"/>
      <c r="AG58" s="26"/>
      <c r="AH58" s="26"/>
      <c r="AI58" s="26"/>
      <c r="AJ58" s="26"/>
      <c r="AK58" s="26"/>
      <c r="AL58" s="26"/>
      <c r="AM58" s="26"/>
      <c r="AN58" s="267">
        <v>279800</v>
      </c>
      <c r="AO58" s="18" t="s">
        <v>114</v>
      </c>
      <c r="AP58" s="37"/>
      <c r="AQ58" s="277"/>
      <c r="AR58" s="26" t="s">
        <v>384</v>
      </c>
      <c r="AS58" s="219"/>
      <c r="AT58" s="278">
        <v>42885</v>
      </c>
      <c r="AU58" s="277"/>
      <c r="AV58" s="43" t="s">
        <v>66</v>
      </c>
      <c r="AW58" s="277"/>
      <c r="AX58" s="294" t="s">
        <v>86</v>
      </c>
      <c r="AY58" s="289" t="s">
        <v>1507</v>
      </c>
      <c r="AZ58" s="290">
        <v>43753</v>
      </c>
      <c r="BA58" s="290">
        <v>43761</v>
      </c>
      <c r="BB58" s="25" t="s">
        <v>78</v>
      </c>
      <c r="BC58" s="291">
        <v>44126</v>
      </c>
      <c r="BD58" s="25" t="s">
        <v>122</v>
      </c>
      <c r="BE58" s="297">
        <v>295450</v>
      </c>
      <c r="BF58" s="298">
        <f t="shared" si="0"/>
        <v>0.95</v>
      </c>
      <c r="BG58" s="297" t="e">
        <f>VLOOKUP(B58,[1]Sheet2!$B:$X,23,0)</f>
        <v>#N/A</v>
      </c>
    </row>
    <row r="59" spans="1:59" s="28" customFormat="1" ht="33" customHeight="1">
      <c r="A59" s="84" t="s">
        <v>1508</v>
      </c>
      <c r="B59" s="18" t="s">
        <v>742</v>
      </c>
      <c r="C59" s="19" t="s">
        <v>1509</v>
      </c>
      <c r="D59" s="221" t="s">
        <v>1510</v>
      </c>
      <c r="E59" s="219" t="s">
        <v>249</v>
      </c>
      <c r="F59" s="219" t="s">
        <v>315</v>
      </c>
      <c r="G59" s="219" t="s">
        <v>315</v>
      </c>
      <c r="H59" s="218" t="s">
        <v>1275</v>
      </c>
      <c r="I59" s="219"/>
      <c r="J59" s="219"/>
      <c r="K59" s="237" t="s">
        <v>1285</v>
      </c>
      <c r="L59" s="219"/>
      <c r="M59" s="219">
        <v>22999860</v>
      </c>
      <c r="N59" s="243"/>
      <c r="O59" s="53"/>
      <c r="P59" s="245"/>
      <c r="Q59" s="245"/>
      <c r="R59" s="245"/>
      <c r="S59" s="245"/>
      <c r="T59" s="245"/>
      <c r="U59" s="245"/>
      <c r="V59" s="245"/>
      <c r="W59" s="26"/>
      <c r="X59" s="26"/>
      <c r="Y59" s="263"/>
      <c r="Z59" s="263"/>
      <c r="AA59" s="262"/>
      <c r="AB59" s="26"/>
      <c r="AC59" s="26"/>
      <c r="AD59" s="26"/>
      <c r="AE59" s="26"/>
      <c r="AF59" s="26"/>
      <c r="AG59" s="26"/>
      <c r="AH59" s="26"/>
      <c r="AI59" s="26"/>
      <c r="AJ59" s="26"/>
      <c r="AK59" s="26"/>
      <c r="AL59" s="26"/>
      <c r="AM59" s="26"/>
      <c r="AN59" s="243">
        <v>20699860</v>
      </c>
      <c r="AO59" s="18" t="s">
        <v>132</v>
      </c>
      <c r="AP59" s="37" t="s">
        <v>1371</v>
      </c>
      <c r="AQ59" s="277"/>
      <c r="AR59" s="26" t="s">
        <v>384</v>
      </c>
      <c r="AS59" s="219"/>
      <c r="AT59" s="278"/>
      <c r="AU59" s="277"/>
      <c r="AV59" s="43" t="s">
        <v>66</v>
      </c>
      <c r="AW59" s="277"/>
      <c r="AX59" s="294" t="s">
        <v>86</v>
      </c>
      <c r="AY59" s="289"/>
      <c r="AZ59" s="290">
        <v>42853</v>
      </c>
      <c r="BA59" s="290"/>
      <c r="BB59" s="25" t="s">
        <v>78</v>
      </c>
      <c r="BC59" s="291">
        <v>43217</v>
      </c>
      <c r="BD59" s="25" t="s">
        <v>122</v>
      </c>
      <c r="BE59" s="297">
        <v>23150088</v>
      </c>
      <c r="BF59" s="298">
        <f t="shared" si="0"/>
        <v>1.006531691932038</v>
      </c>
      <c r="BG59" s="297" t="e">
        <f>VLOOKUP(B59,[1]Sheet2!$B:$X,23,0)</f>
        <v>#N/A</v>
      </c>
    </row>
    <row r="60" spans="1:59" s="28" customFormat="1" ht="33" customHeight="1">
      <c r="A60" s="84" t="s">
        <v>1511</v>
      </c>
      <c r="B60" s="18" t="s">
        <v>1512</v>
      </c>
      <c r="C60" s="19" t="s">
        <v>1513</v>
      </c>
      <c r="D60" s="221" t="s">
        <v>1514</v>
      </c>
      <c r="E60" s="219" t="s">
        <v>75</v>
      </c>
      <c r="F60" s="219" t="s">
        <v>196</v>
      </c>
      <c r="G60" s="219" t="s">
        <v>196</v>
      </c>
      <c r="H60" s="218" t="s">
        <v>1314</v>
      </c>
      <c r="I60" s="219"/>
      <c r="J60" s="219"/>
      <c r="K60" s="237" t="s">
        <v>1285</v>
      </c>
      <c r="L60" s="219"/>
      <c r="M60" s="219">
        <v>4896948</v>
      </c>
      <c r="N60" s="243"/>
      <c r="O60" s="53"/>
      <c r="P60" s="245"/>
      <c r="Q60" s="245"/>
      <c r="R60" s="245"/>
      <c r="S60" s="245"/>
      <c r="T60" s="245"/>
      <c r="U60" s="245"/>
      <c r="V60" s="245"/>
      <c r="W60" s="26"/>
      <c r="X60" s="26"/>
      <c r="Y60" s="263"/>
      <c r="Z60" s="263"/>
      <c r="AA60" s="262"/>
      <c r="AB60" s="26"/>
      <c r="AC60" s="26"/>
      <c r="AD60" s="26"/>
      <c r="AE60" s="26"/>
      <c r="AF60" s="26"/>
      <c r="AG60" s="26"/>
      <c r="AH60" s="26"/>
      <c r="AI60" s="26"/>
      <c r="AJ60" s="26"/>
      <c r="AK60" s="26"/>
      <c r="AL60" s="26"/>
      <c r="AM60" s="26"/>
      <c r="AN60" s="243">
        <v>4023960.78</v>
      </c>
      <c r="AO60" s="25" t="s">
        <v>145</v>
      </c>
      <c r="AP60" s="37" t="s">
        <v>1274</v>
      </c>
      <c r="AQ60" s="277"/>
      <c r="AR60" s="26" t="s">
        <v>384</v>
      </c>
      <c r="AS60" s="219"/>
      <c r="AT60" s="278"/>
      <c r="AU60" s="277"/>
      <c r="AV60" s="43" t="s">
        <v>197</v>
      </c>
      <c r="AW60" s="277"/>
      <c r="AX60" s="294"/>
      <c r="AY60" s="289"/>
      <c r="AZ60" s="290"/>
      <c r="BA60" s="290"/>
      <c r="BB60" s="25"/>
      <c r="BC60" s="291"/>
      <c r="BD60" s="25" t="s">
        <v>1515</v>
      </c>
      <c r="BE60" s="297">
        <v>4865948</v>
      </c>
      <c r="BF60" s="298">
        <f t="shared" si="0"/>
        <v>0.99366952640706008</v>
      </c>
      <c r="BG60" s="297" t="e">
        <f>VLOOKUP(B60,[1]Sheet2!$B:$X,23,0)</f>
        <v>#N/A</v>
      </c>
    </row>
    <row r="61" spans="1:59" s="28" customFormat="1" ht="33" customHeight="1">
      <c r="A61" s="84" t="s">
        <v>1516</v>
      </c>
      <c r="B61" s="224" t="s">
        <v>104</v>
      </c>
      <c r="C61" s="26" t="s">
        <v>103</v>
      </c>
      <c r="D61" s="225" t="s">
        <v>105</v>
      </c>
      <c r="E61" s="4" t="s">
        <v>106</v>
      </c>
      <c r="F61" s="219" t="s">
        <v>1433</v>
      </c>
      <c r="G61" s="219" t="s">
        <v>1433</v>
      </c>
      <c r="H61" s="218" t="s">
        <v>1433</v>
      </c>
      <c r="I61" s="246" t="s">
        <v>107</v>
      </c>
      <c r="J61" s="246" t="s">
        <v>63</v>
      </c>
      <c r="K61" s="75" t="s">
        <v>64</v>
      </c>
      <c r="L61" s="4"/>
      <c r="M61" s="247">
        <v>83888800</v>
      </c>
      <c r="N61" s="248"/>
      <c r="O61" s="249"/>
      <c r="P61" s="249"/>
      <c r="Q61" s="249"/>
      <c r="R61" s="249"/>
      <c r="S61" s="249"/>
      <c r="T61" s="249"/>
      <c r="U61" s="249"/>
      <c r="V61" s="249"/>
      <c r="W61" s="254"/>
      <c r="X61" s="255"/>
      <c r="Y61" s="264"/>
      <c r="Z61" s="264"/>
      <c r="AA61" s="262"/>
      <c r="AB61" s="20" t="s">
        <v>65</v>
      </c>
      <c r="AC61" s="20"/>
      <c r="AD61" s="20"/>
      <c r="AE61" s="254"/>
      <c r="AF61" s="254"/>
      <c r="AG61" s="254"/>
      <c r="AH61" s="254"/>
      <c r="AI61" s="254"/>
      <c r="AJ61" s="254"/>
      <c r="AK61" s="254"/>
      <c r="AL61" s="254"/>
      <c r="AM61" s="254"/>
      <c r="AN61" s="248"/>
      <c r="AO61" s="24" t="s">
        <v>108</v>
      </c>
      <c r="AP61" s="37"/>
      <c r="AQ61" s="4"/>
      <c r="AR61" s="26" t="s">
        <v>384</v>
      </c>
      <c r="AS61" s="219"/>
      <c r="AT61" s="279"/>
      <c r="AU61" s="4"/>
      <c r="AV61" s="43" t="s">
        <v>66</v>
      </c>
      <c r="AW61" s="4"/>
      <c r="AX61" s="294" t="s">
        <v>86</v>
      </c>
      <c r="AY61" s="289" t="s">
        <v>68</v>
      </c>
      <c r="AZ61" s="296">
        <v>43070</v>
      </c>
      <c r="BA61" s="290"/>
      <c r="BB61" s="25" t="s">
        <v>69</v>
      </c>
      <c r="BC61" s="295">
        <v>44926</v>
      </c>
      <c r="BD61" s="24" t="s">
        <v>70</v>
      </c>
      <c r="BE61" s="297">
        <v>16777760</v>
      </c>
      <c r="BF61" s="298">
        <f t="shared" si="0"/>
        <v>0.2</v>
      </c>
      <c r="BG61" s="297" t="e">
        <f>VLOOKUP(B61,[1]Sheet2!$B:$X,23,0)</f>
        <v>#N/A</v>
      </c>
    </row>
    <row r="62" spans="1:59" s="28" customFormat="1" ht="33" customHeight="1">
      <c r="A62" s="84" t="s">
        <v>1517</v>
      </c>
      <c r="B62" s="223" t="s">
        <v>935</v>
      </c>
      <c r="C62" s="26" t="s">
        <v>934</v>
      </c>
      <c r="D62" s="219" t="s">
        <v>936</v>
      </c>
      <c r="E62" s="219" t="s">
        <v>261</v>
      </c>
      <c r="F62" s="216" t="s">
        <v>315</v>
      </c>
      <c r="G62" s="216" t="s">
        <v>315</v>
      </c>
      <c r="H62" s="218" t="s">
        <v>1275</v>
      </c>
      <c r="I62" s="26"/>
      <c r="J62" s="219"/>
      <c r="K62" s="237" t="s">
        <v>1285</v>
      </c>
      <c r="L62" s="219"/>
      <c r="M62" s="219">
        <v>430000</v>
      </c>
      <c r="N62" s="243">
        <f>SUM(O62:V62)</f>
        <v>0</v>
      </c>
      <c r="O62" s="53"/>
      <c r="P62" s="245"/>
      <c r="Q62" s="245"/>
      <c r="R62" s="245"/>
      <c r="S62" s="245"/>
      <c r="T62" s="245"/>
      <c r="U62" s="245"/>
      <c r="V62" s="245"/>
      <c r="W62" s="26"/>
      <c r="X62" s="26"/>
      <c r="Y62" s="263"/>
      <c r="Z62" s="263"/>
      <c r="AA62" s="262"/>
      <c r="AB62" s="26"/>
      <c r="AC62" s="26"/>
      <c r="AD62" s="26"/>
      <c r="AE62" s="26"/>
      <c r="AF62" s="26"/>
      <c r="AG62" s="26"/>
      <c r="AH62" s="26"/>
      <c r="AI62" s="26"/>
      <c r="AJ62" s="26"/>
      <c r="AK62" s="26"/>
      <c r="AL62" s="26"/>
      <c r="AM62" s="26"/>
      <c r="AN62" s="267">
        <v>362000</v>
      </c>
      <c r="AO62" s="216" t="s">
        <v>77</v>
      </c>
      <c r="AP62" s="37"/>
      <c r="AQ62" s="277"/>
      <c r="AR62" s="26" t="s">
        <v>384</v>
      </c>
      <c r="AS62" s="219"/>
      <c r="AT62" s="278"/>
      <c r="AU62" s="277"/>
      <c r="AV62" s="43" t="s">
        <v>66</v>
      </c>
      <c r="AW62" s="277"/>
      <c r="AX62" s="294" t="s">
        <v>86</v>
      </c>
      <c r="AY62" s="289"/>
      <c r="AZ62" s="290">
        <v>43263</v>
      </c>
      <c r="BA62" s="290">
        <v>43329</v>
      </c>
      <c r="BB62" s="25" t="s">
        <v>78</v>
      </c>
      <c r="BC62" s="291">
        <v>43627</v>
      </c>
      <c r="BD62" s="113" t="s">
        <v>122</v>
      </c>
      <c r="BE62" s="297">
        <v>236000</v>
      </c>
      <c r="BF62" s="298">
        <f t="shared" si="0"/>
        <v>0.5488372093023256</v>
      </c>
      <c r="BG62" s="297" t="e">
        <f>VLOOKUP(B62,[1]Sheet2!$B:$X,23,0)</f>
        <v>#N/A</v>
      </c>
    </row>
    <row r="63" spans="1:59" s="28" customFormat="1" ht="33" customHeight="1">
      <c r="A63" s="84" t="s">
        <v>1518</v>
      </c>
      <c r="B63" s="18" t="s">
        <v>1519</v>
      </c>
      <c r="C63" s="19" t="s">
        <v>1520</v>
      </c>
      <c r="D63" s="220" t="s">
        <v>1521</v>
      </c>
      <c r="E63" s="219" t="s">
        <v>113</v>
      </c>
      <c r="F63" s="216" t="s">
        <v>315</v>
      </c>
      <c r="G63" s="216" t="s">
        <v>315</v>
      </c>
      <c r="H63" s="218" t="s">
        <v>1275</v>
      </c>
      <c r="I63" s="26"/>
      <c r="J63" s="219"/>
      <c r="K63" s="237" t="s">
        <v>1285</v>
      </c>
      <c r="L63" s="250"/>
      <c r="M63" s="219">
        <v>102425</v>
      </c>
      <c r="N63" s="243"/>
      <c r="O63" s="53"/>
      <c r="P63" s="245"/>
      <c r="Q63" s="245"/>
      <c r="R63" s="245"/>
      <c r="S63" s="245"/>
      <c r="T63" s="245"/>
      <c r="U63" s="245"/>
      <c r="V63" s="245"/>
      <c r="W63" s="26"/>
      <c r="X63" s="26"/>
      <c r="Y63" s="263"/>
      <c r="Z63" s="263"/>
      <c r="AA63" s="262"/>
      <c r="AB63" s="26"/>
      <c r="AC63" s="26"/>
      <c r="AD63" s="26"/>
      <c r="AE63" s="26"/>
      <c r="AF63" s="26"/>
      <c r="AG63" s="26"/>
      <c r="AH63" s="26"/>
      <c r="AI63" s="26"/>
      <c r="AJ63" s="26"/>
      <c r="AK63" s="26"/>
      <c r="AL63" s="26"/>
      <c r="AM63" s="26"/>
      <c r="AN63" s="267">
        <v>302283</v>
      </c>
      <c r="AO63" s="216" t="s">
        <v>145</v>
      </c>
      <c r="AP63" s="37" t="s">
        <v>1274</v>
      </c>
      <c r="AQ63" s="277"/>
      <c r="AR63" s="26" t="s">
        <v>384</v>
      </c>
      <c r="AS63" s="219"/>
      <c r="AT63" s="278" t="s">
        <v>1522</v>
      </c>
      <c r="AU63" s="277"/>
      <c r="AV63" s="43" t="s">
        <v>66</v>
      </c>
      <c r="AW63" s="277"/>
      <c r="AX63" s="294" t="s">
        <v>86</v>
      </c>
      <c r="AY63" s="289"/>
      <c r="AZ63" s="290">
        <v>42729</v>
      </c>
      <c r="BA63" s="290">
        <v>42909</v>
      </c>
      <c r="BB63" s="25" t="s">
        <v>78</v>
      </c>
      <c r="BC63" s="291">
        <v>43093</v>
      </c>
      <c r="BD63" s="113" t="s">
        <v>122</v>
      </c>
      <c r="BE63" s="297">
        <v>335870</v>
      </c>
      <c r="BF63" s="298">
        <f t="shared" si="0"/>
        <v>3.2791798877227238</v>
      </c>
      <c r="BG63" s="297" t="e">
        <f>VLOOKUP(B63,[1]Sheet2!$B:$X,23,0)</f>
        <v>#N/A</v>
      </c>
    </row>
    <row r="64" spans="1:59" s="28" customFormat="1" ht="33" customHeight="1">
      <c r="A64" s="10" t="s">
        <v>1523</v>
      </c>
      <c r="B64" s="10" t="s">
        <v>1524</v>
      </c>
      <c r="C64" s="226" t="s">
        <v>1525</v>
      </c>
      <c r="D64" s="10" t="s">
        <v>1526</v>
      </c>
      <c r="E64" s="219" t="s">
        <v>1093</v>
      </c>
      <c r="F64" s="37" t="s">
        <v>315</v>
      </c>
      <c r="G64" s="37" t="s">
        <v>315</v>
      </c>
      <c r="H64" s="218"/>
      <c r="I64" s="26"/>
      <c r="J64" s="219"/>
      <c r="K64" s="237" t="s">
        <v>1285</v>
      </c>
      <c r="L64" s="250"/>
      <c r="M64" s="219">
        <v>284944</v>
      </c>
      <c r="N64" s="243"/>
      <c r="O64" s="53"/>
      <c r="P64" s="245"/>
      <c r="Q64" s="245"/>
      <c r="R64" s="245"/>
      <c r="S64" s="245"/>
      <c r="T64" s="245"/>
      <c r="U64" s="245"/>
      <c r="V64" s="245"/>
      <c r="W64" s="26"/>
      <c r="X64" s="26"/>
      <c r="Y64" s="263"/>
      <c r="Z64" s="263"/>
      <c r="AA64" s="262"/>
      <c r="AB64" s="26"/>
      <c r="AC64" s="26"/>
      <c r="AD64" s="26"/>
      <c r="AE64" s="26"/>
      <c r="AF64" s="26"/>
      <c r="AG64" s="26"/>
      <c r="AH64" s="26"/>
      <c r="AI64" s="26"/>
      <c r="AJ64" s="26"/>
      <c r="AK64" s="26"/>
      <c r="AL64" s="26"/>
      <c r="AM64" s="26"/>
      <c r="AN64" s="267">
        <v>242200</v>
      </c>
      <c r="AO64" s="216" t="s">
        <v>132</v>
      </c>
      <c r="AP64" s="37" t="s">
        <v>1276</v>
      </c>
      <c r="AQ64" s="277"/>
      <c r="AR64" s="26" t="s">
        <v>384</v>
      </c>
      <c r="AS64" s="219"/>
      <c r="AT64" s="278" t="s">
        <v>1527</v>
      </c>
      <c r="AU64" s="277"/>
      <c r="AV64" s="43" t="s">
        <v>66</v>
      </c>
      <c r="AW64" s="277"/>
      <c r="AX64" s="294" t="s">
        <v>86</v>
      </c>
      <c r="AY64" s="289" t="s">
        <v>1528</v>
      </c>
      <c r="AZ64" s="290" t="s">
        <v>1529</v>
      </c>
      <c r="BA64" s="290"/>
      <c r="BB64" s="25" t="s">
        <v>78</v>
      </c>
      <c r="BC64" s="291"/>
      <c r="BD64" s="43" t="s">
        <v>88</v>
      </c>
      <c r="BE64" s="297">
        <v>227955.20000000001</v>
      </c>
      <c r="BF64" s="298">
        <f t="shared" si="0"/>
        <v>0.8</v>
      </c>
      <c r="BG64" s="297" t="e">
        <f>VLOOKUP(B64,[1]Sheet2!$B:$X,23,0)</f>
        <v>#N/A</v>
      </c>
    </row>
    <row r="65" spans="1:59" s="28" customFormat="1" ht="33" customHeight="1">
      <c r="A65" s="84" t="s">
        <v>1530</v>
      </c>
      <c r="B65" s="18" t="s">
        <v>1531</v>
      </c>
      <c r="C65" s="19" t="s">
        <v>1532</v>
      </c>
      <c r="D65" s="221" t="s">
        <v>1533</v>
      </c>
      <c r="E65" s="219" t="s">
        <v>1093</v>
      </c>
      <c r="F65" s="37" t="s">
        <v>315</v>
      </c>
      <c r="G65" s="37" t="s">
        <v>315</v>
      </c>
      <c r="H65" s="218" t="s">
        <v>1275</v>
      </c>
      <c r="I65" s="26"/>
      <c r="J65" s="219"/>
      <c r="K65" s="237" t="s">
        <v>1285</v>
      </c>
      <c r="L65" s="250"/>
      <c r="M65" s="219">
        <v>181000</v>
      </c>
      <c r="N65" s="243"/>
      <c r="O65" s="53"/>
      <c r="P65" s="245"/>
      <c r="Q65" s="245"/>
      <c r="R65" s="245"/>
      <c r="S65" s="245"/>
      <c r="T65" s="245"/>
      <c r="U65" s="245"/>
      <c r="V65" s="245"/>
      <c r="W65" s="26"/>
      <c r="X65" s="26"/>
      <c r="Y65" s="263"/>
      <c r="Z65" s="263"/>
      <c r="AA65" s="262"/>
      <c r="AB65" s="26"/>
      <c r="AC65" s="26"/>
      <c r="AD65" s="26"/>
      <c r="AE65" s="26"/>
      <c r="AF65" s="26"/>
      <c r="AG65" s="26"/>
      <c r="AH65" s="26"/>
      <c r="AI65" s="26"/>
      <c r="AJ65" s="26"/>
      <c r="AK65" s="26"/>
      <c r="AL65" s="26"/>
      <c r="AM65" s="26"/>
      <c r="AN65" s="267">
        <v>160000</v>
      </c>
      <c r="AO65" s="18" t="s">
        <v>132</v>
      </c>
      <c r="AP65" s="37" t="s">
        <v>1276</v>
      </c>
      <c r="AQ65" s="277"/>
      <c r="AR65" s="26" t="s">
        <v>384</v>
      </c>
      <c r="AS65" s="219"/>
      <c r="AT65" s="278" t="s">
        <v>1534</v>
      </c>
      <c r="AU65" s="277"/>
      <c r="AV65" s="43" t="s">
        <v>66</v>
      </c>
      <c r="AW65" s="277"/>
      <c r="AX65" s="294" t="s">
        <v>86</v>
      </c>
      <c r="AY65" s="289"/>
      <c r="AZ65" s="290">
        <v>42745</v>
      </c>
      <c r="BA65" s="290">
        <v>43109</v>
      </c>
      <c r="BB65" s="25" t="s">
        <v>78</v>
      </c>
      <c r="BC65" s="291">
        <v>43109</v>
      </c>
      <c r="BD65" s="43" t="s">
        <v>122</v>
      </c>
      <c r="BE65" s="297">
        <v>181000</v>
      </c>
      <c r="BF65" s="298">
        <f t="shared" si="0"/>
        <v>1</v>
      </c>
      <c r="BG65" s="297" t="e">
        <f>VLOOKUP(B65,[1]Sheet2!$B:$X,23,0)</f>
        <v>#N/A</v>
      </c>
    </row>
    <row r="66" spans="1:59" s="28" customFormat="1" ht="33" customHeight="1">
      <c r="A66" s="84" t="s">
        <v>1535</v>
      </c>
      <c r="B66" s="18" t="s">
        <v>1536</v>
      </c>
      <c r="C66" s="19" t="s">
        <v>1537</v>
      </c>
      <c r="D66" s="221" t="s">
        <v>1538</v>
      </c>
      <c r="E66" s="219"/>
      <c r="F66" s="37" t="s">
        <v>315</v>
      </c>
      <c r="G66" s="37" t="s">
        <v>315</v>
      </c>
      <c r="H66" s="218" t="s">
        <v>1275</v>
      </c>
      <c r="I66" s="26"/>
      <c r="J66" s="219"/>
      <c r="K66" s="237" t="s">
        <v>1285</v>
      </c>
      <c r="L66" s="250"/>
      <c r="M66" s="219">
        <v>273000</v>
      </c>
      <c r="N66" s="243"/>
      <c r="O66" s="53"/>
      <c r="P66" s="245"/>
      <c r="Q66" s="245"/>
      <c r="R66" s="245"/>
      <c r="S66" s="245"/>
      <c r="T66" s="245"/>
      <c r="U66" s="245"/>
      <c r="V66" s="245"/>
      <c r="W66" s="26"/>
      <c r="X66" s="26"/>
      <c r="Y66" s="263"/>
      <c r="Z66" s="263"/>
      <c r="AA66" s="262"/>
      <c r="AB66" s="26"/>
      <c r="AC66" s="26"/>
      <c r="AD66" s="26"/>
      <c r="AE66" s="26"/>
      <c r="AF66" s="26"/>
      <c r="AG66" s="26"/>
      <c r="AH66" s="26"/>
      <c r="AI66" s="26"/>
      <c r="AJ66" s="26"/>
      <c r="AK66" s="26"/>
      <c r="AL66" s="26"/>
      <c r="AM66" s="26"/>
      <c r="AN66" s="267">
        <v>231000</v>
      </c>
      <c r="AO66" s="18" t="s">
        <v>175</v>
      </c>
      <c r="AP66" s="37" t="e">
        <v>#N/A</v>
      </c>
      <c r="AQ66" s="277"/>
      <c r="AR66" s="26" t="s">
        <v>384</v>
      </c>
      <c r="AS66" s="219"/>
      <c r="AT66" s="278" t="s">
        <v>1539</v>
      </c>
      <c r="AU66" s="277"/>
      <c r="AV66" s="43" t="s">
        <v>66</v>
      </c>
      <c r="AW66" s="277"/>
      <c r="AX66" s="294" t="s">
        <v>86</v>
      </c>
      <c r="AY66" s="289"/>
      <c r="AZ66" s="290">
        <v>42705</v>
      </c>
      <c r="BA66" s="290">
        <v>42822</v>
      </c>
      <c r="BB66" s="25" t="s">
        <v>78</v>
      </c>
      <c r="BC66" s="291">
        <v>43070</v>
      </c>
      <c r="BD66" s="43" t="s">
        <v>122</v>
      </c>
      <c r="BE66" s="297">
        <v>273000</v>
      </c>
      <c r="BF66" s="298">
        <f t="shared" si="0"/>
        <v>1</v>
      </c>
      <c r="BG66" s="297" t="e">
        <f>VLOOKUP(B66,[1]Sheet2!$B:$X,23,0)</f>
        <v>#N/A</v>
      </c>
    </row>
    <row r="67" spans="1:59" s="28" customFormat="1" ht="33" customHeight="1">
      <c r="A67" s="84" t="s">
        <v>1540</v>
      </c>
      <c r="B67" s="18" t="s">
        <v>1541</v>
      </c>
      <c r="C67" s="19" t="s">
        <v>1542</v>
      </c>
      <c r="D67" s="221" t="s">
        <v>1543</v>
      </c>
      <c r="E67" s="219" t="s">
        <v>83</v>
      </c>
      <c r="F67" s="37" t="s">
        <v>315</v>
      </c>
      <c r="G67" s="37" t="s">
        <v>315</v>
      </c>
      <c r="H67" s="218"/>
      <c r="I67" s="26"/>
      <c r="J67" s="219"/>
      <c r="K67" s="237" t="s">
        <v>1285</v>
      </c>
      <c r="L67" s="250"/>
      <c r="M67" s="219">
        <v>1336000</v>
      </c>
      <c r="N67" s="243"/>
      <c r="O67" s="53"/>
      <c r="P67" s="245"/>
      <c r="Q67" s="245"/>
      <c r="R67" s="245"/>
      <c r="S67" s="245"/>
      <c r="T67" s="245"/>
      <c r="U67" s="245"/>
      <c r="V67" s="245"/>
      <c r="W67" s="26"/>
      <c r="X67" s="26"/>
      <c r="Y67" s="263"/>
      <c r="Z67" s="263"/>
      <c r="AA67" s="262"/>
      <c r="AB67" s="26"/>
      <c r="AC67" s="26"/>
      <c r="AD67" s="26"/>
      <c r="AE67" s="26"/>
      <c r="AF67" s="26"/>
      <c r="AG67" s="26"/>
      <c r="AH67" s="26"/>
      <c r="AI67" s="26"/>
      <c r="AJ67" s="26"/>
      <c r="AK67" s="26"/>
      <c r="AL67" s="26"/>
      <c r="AM67" s="26"/>
      <c r="AN67" s="267">
        <v>1063000</v>
      </c>
      <c r="AO67" s="216" t="s">
        <v>132</v>
      </c>
      <c r="AP67" s="37" t="s">
        <v>1544</v>
      </c>
      <c r="AQ67" s="277"/>
      <c r="AR67" s="26" t="s">
        <v>384</v>
      </c>
      <c r="AS67" s="219"/>
      <c r="AT67" s="278"/>
      <c r="AU67" s="277"/>
      <c r="AV67" s="43"/>
      <c r="AW67" s="277"/>
      <c r="AX67" s="294" t="s">
        <v>86</v>
      </c>
      <c r="AY67" s="289"/>
      <c r="AZ67" s="290" t="s">
        <v>1545</v>
      </c>
      <c r="BA67" s="290"/>
      <c r="BB67" s="25"/>
      <c r="BC67" s="291"/>
      <c r="BD67" s="25" t="s">
        <v>88</v>
      </c>
      <c r="BE67" s="297">
        <v>1336000</v>
      </c>
      <c r="BF67" s="298">
        <f t="shared" ref="BF67:BF130" si="1">BE67/M67</f>
        <v>1</v>
      </c>
      <c r="BG67" s="297" t="e">
        <f>VLOOKUP(B67,[1]Sheet2!$B:$X,23,0)</f>
        <v>#N/A</v>
      </c>
    </row>
    <row r="68" spans="1:59" s="28" customFormat="1" ht="33" customHeight="1">
      <c r="A68" s="84"/>
      <c r="B68" s="18" t="s">
        <v>1546</v>
      </c>
      <c r="C68" s="19" t="s">
        <v>1547</v>
      </c>
      <c r="D68" s="220" t="s">
        <v>1548</v>
      </c>
      <c r="E68" s="219" t="s">
        <v>271</v>
      </c>
      <c r="F68" s="37" t="s">
        <v>315</v>
      </c>
      <c r="G68" s="37" t="s">
        <v>315</v>
      </c>
      <c r="H68" s="218"/>
      <c r="I68" s="26"/>
      <c r="J68" s="219"/>
      <c r="K68" s="237" t="s">
        <v>1285</v>
      </c>
      <c r="L68" s="250"/>
      <c r="M68" s="219"/>
      <c r="N68" s="243"/>
      <c r="O68" s="53"/>
      <c r="P68" s="245"/>
      <c r="Q68" s="245"/>
      <c r="R68" s="245"/>
      <c r="S68" s="245"/>
      <c r="T68" s="245"/>
      <c r="U68" s="245"/>
      <c r="V68" s="245"/>
      <c r="W68" s="26"/>
      <c r="X68" s="26"/>
      <c r="Y68" s="263"/>
      <c r="Z68" s="263"/>
      <c r="AA68" s="262"/>
      <c r="AB68" s="26"/>
      <c r="AC68" s="26"/>
      <c r="AD68" s="26"/>
      <c r="AE68" s="26"/>
      <c r="AF68" s="26"/>
      <c r="AG68" s="26"/>
      <c r="AH68" s="26"/>
      <c r="AI68" s="26"/>
      <c r="AJ68" s="26"/>
      <c r="AK68" s="26"/>
      <c r="AL68" s="26"/>
      <c r="AM68" s="26"/>
      <c r="AN68" s="267">
        <v>137264.4</v>
      </c>
      <c r="AO68" s="18" t="s">
        <v>108</v>
      </c>
      <c r="AP68" s="37"/>
      <c r="AQ68" s="277"/>
      <c r="AR68" s="26" t="s">
        <v>384</v>
      </c>
      <c r="AS68" s="219"/>
      <c r="AT68" s="278"/>
      <c r="AU68" s="277"/>
      <c r="AV68" s="43"/>
      <c r="AW68" s="277"/>
      <c r="AX68" s="294"/>
      <c r="AY68" s="289"/>
      <c r="AZ68" s="290"/>
      <c r="BA68" s="290"/>
      <c r="BB68" s="25"/>
      <c r="BC68" s="291"/>
      <c r="BD68" s="43"/>
      <c r="BE68" s="297">
        <v>0</v>
      </c>
      <c r="BF68" s="298" t="e">
        <f t="shared" si="1"/>
        <v>#DIV/0!</v>
      </c>
      <c r="BG68" s="297" t="e">
        <f>VLOOKUP(B68,[1]Sheet2!$B:$X,23,0)</f>
        <v>#N/A</v>
      </c>
    </row>
    <row r="69" spans="1:59" s="28" customFormat="1" ht="33" customHeight="1">
      <c r="A69" s="84" t="s">
        <v>1549</v>
      </c>
      <c r="B69" s="248" t="s">
        <v>95</v>
      </c>
      <c r="C69" s="26" t="s">
        <v>94</v>
      </c>
      <c r="D69" s="7" t="s">
        <v>96</v>
      </c>
      <c r="E69" s="7" t="s">
        <v>97</v>
      </c>
      <c r="F69" s="37" t="s">
        <v>315</v>
      </c>
      <c r="G69" s="37" t="s">
        <v>315</v>
      </c>
      <c r="H69" s="218" t="s">
        <v>1275</v>
      </c>
      <c r="I69" s="244" t="s">
        <v>98</v>
      </c>
      <c r="J69" s="246" t="s">
        <v>63</v>
      </c>
      <c r="K69" s="75" t="s">
        <v>64</v>
      </c>
      <c r="L69" s="301"/>
      <c r="M69" s="242">
        <v>29324502.920000002</v>
      </c>
      <c r="N69" s="248">
        <v>29324502.920000002</v>
      </c>
      <c r="O69" s="249">
        <v>14002729</v>
      </c>
      <c r="P69" s="249"/>
      <c r="Q69" s="249"/>
      <c r="R69" s="249">
        <f>9955493.92+2308800</f>
        <v>12264293.92</v>
      </c>
      <c r="S69" s="249"/>
      <c r="T69" s="249"/>
      <c r="U69" s="249">
        <v>3057480</v>
      </c>
      <c r="V69" s="249"/>
      <c r="W69" s="254"/>
      <c r="X69" s="255"/>
      <c r="Y69" s="264"/>
      <c r="Z69" s="264"/>
      <c r="AA69" s="262">
        <v>0.15</v>
      </c>
      <c r="AB69" s="20" t="s">
        <v>65</v>
      </c>
      <c r="AC69" s="20"/>
      <c r="AD69" s="20"/>
      <c r="AE69" s="254"/>
      <c r="AF69" s="254"/>
      <c r="AG69" s="254"/>
      <c r="AH69" s="254"/>
      <c r="AI69" s="254"/>
      <c r="AJ69" s="254"/>
      <c r="AK69" s="254"/>
      <c r="AL69" s="254"/>
      <c r="AM69" s="254"/>
      <c r="AN69" s="248">
        <v>25300402</v>
      </c>
      <c r="AO69" s="10" t="s">
        <v>98</v>
      </c>
      <c r="AP69" s="37"/>
      <c r="AQ69" s="4"/>
      <c r="AR69" s="26" t="s">
        <v>384</v>
      </c>
      <c r="AS69" s="219"/>
      <c r="AT69" s="279"/>
      <c r="AU69" s="4"/>
      <c r="AV69" s="43" t="s">
        <v>66</v>
      </c>
      <c r="AW69" s="4"/>
      <c r="AX69" s="289" t="s">
        <v>67</v>
      </c>
      <c r="AY69" s="289" t="s">
        <v>68</v>
      </c>
      <c r="AZ69" s="296">
        <v>43041</v>
      </c>
      <c r="BA69" s="290"/>
      <c r="BB69" s="25" t="s">
        <v>87</v>
      </c>
      <c r="BC69" s="291">
        <v>44137</v>
      </c>
      <c r="BD69" s="310" t="s">
        <v>1550</v>
      </c>
      <c r="BE69" s="297">
        <v>26392051.469999999</v>
      </c>
      <c r="BF69" s="298">
        <f t="shared" si="1"/>
        <v>0.89999996051083953</v>
      </c>
      <c r="BG69" s="297" t="e">
        <f>VLOOKUP(B69,[1]Sheet2!$B:$X,23,0)</f>
        <v>#N/A</v>
      </c>
    </row>
    <row r="70" spans="1:59" s="28" customFormat="1" ht="33" customHeight="1">
      <c r="A70" s="84" t="s">
        <v>1551</v>
      </c>
      <c r="B70" s="18" t="s">
        <v>1552</v>
      </c>
      <c r="C70" s="19" t="s">
        <v>1553</v>
      </c>
      <c r="D70" s="221" t="s">
        <v>1554</v>
      </c>
      <c r="E70" s="37" t="s">
        <v>83</v>
      </c>
      <c r="F70" s="24" t="s">
        <v>196</v>
      </c>
      <c r="G70" s="24" t="s">
        <v>196</v>
      </c>
      <c r="H70" s="218" t="s">
        <v>1314</v>
      </c>
      <c r="I70" s="244"/>
      <c r="J70" s="246"/>
      <c r="K70" s="237" t="s">
        <v>1285</v>
      </c>
      <c r="L70" s="302"/>
      <c r="M70" s="242">
        <v>92685</v>
      </c>
      <c r="N70" s="248"/>
      <c r="O70" s="249"/>
      <c r="P70" s="249"/>
      <c r="Q70" s="249"/>
      <c r="R70" s="249"/>
      <c r="S70" s="249"/>
      <c r="T70" s="249"/>
      <c r="U70" s="249"/>
      <c r="V70" s="249"/>
      <c r="W70" s="254"/>
      <c r="X70" s="255"/>
      <c r="Y70" s="264"/>
      <c r="Z70" s="264"/>
      <c r="AA70" s="262"/>
      <c r="AB70" s="20"/>
      <c r="AC70" s="20"/>
      <c r="AD70" s="20"/>
      <c r="AE70" s="254"/>
      <c r="AF70" s="254"/>
      <c r="AG70" s="254"/>
      <c r="AH70" s="254"/>
      <c r="AI70" s="254"/>
      <c r="AJ70" s="254"/>
      <c r="AK70" s="254"/>
      <c r="AL70" s="254"/>
      <c r="AM70" s="254"/>
      <c r="AN70" s="248">
        <v>75000</v>
      </c>
      <c r="AO70" s="18" t="s">
        <v>108</v>
      </c>
      <c r="AP70" s="37"/>
      <c r="AQ70" s="4"/>
      <c r="AR70" s="26" t="s">
        <v>384</v>
      </c>
      <c r="AS70" s="219"/>
      <c r="AT70" s="279">
        <v>42748</v>
      </c>
      <c r="AU70" s="4"/>
      <c r="AV70" s="43" t="s">
        <v>66</v>
      </c>
      <c r="AW70" s="4"/>
      <c r="AX70" s="289" t="s">
        <v>86</v>
      </c>
      <c r="AY70" s="289"/>
      <c r="AZ70" s="296">
        <v>42894</v>
      </c>
      <c r="BA70" s="290"/>
      <c r="BB70" s="25"/>
      <c r="BC70" s="291">
        <v>43166</v>
      </c>
      <c r="BD70" s="310" t="s">
        <v>122</v>
      </c>
      <c r="BE70" s="297">
        <v>92685</v>
      </c>
      <c r="BF70" s="298">
        <f t="shared" si="1"/>
        <v>1</v>
      </c>
      <c r="BG70" s="297" t="e">
        <f>VLOOKUP(B70,[1]Sheet2!$B:$X,23,0)</f>
        <v>#N/A</v>
      </c>
    </row>
    <row r="71" spans="1:59" s="28" customFormat="1" ht="33" customHeight="1">
      <c r="A71" s="84" t="s">
        <v>1555</v>
      </c>
      <c r="B71" s="18" t="s">
        <v>1556</v>
      </c>
      <c r="C71" s="19" t="s">
        <v>1557</v>
      </c>
      <c r="D71" s="221" t="s">
        <v>1558</v>
      </c>
      <c r="E71" s="216" t="s">
        <v>113</v>
      </c>
      <c r="F71" s="216" t="s">
        <v>315</v>
      </c>
      <c r="G71" s="216" t="s">
        <v>315</v>
      </c>
      <c r="H71" s="218" t="s">
        <v>1275</v>
      </c>
      <c r="I71" s="26"/>
      <c r="J71" s="219"/>
      <c r="K71" s="241" t="s">
        <v>1285</v>
      </c>
      <c r="L71" s="302"/>
      <c r="M71" s="219">
        <v>130115</v>
      </c>
      <c r="N71" s="248"/>
      <c r="O71" s="249"/>
      <c r="P71" s="249"/>
      <c r="Q71" s="249"/>
      <c r="R71" s="249"/>
      <c r="S71" s="249"/>
      <c r="T71" s="249"/>
      <c r="U71" s="249"/>
      <c r="V71" s="249"/>
      <c r="W71" s="254"/>
      <c r="X71" s="255"/>
      <c r="Y71" s="264"/>
      <c r="Z71" s="264"/>
      <c r="AA71" s="262"/>
      <c r="AB71" s="20"/>
      <c r="AC71" s="20"/>
      <c r="AD71" s="20"/>
      <c r="AE71" s="254"/>
      <c r="AF71" s="254"/>
      <c r="AG71" s="254"/>
      <c r="AH71" s="254"/>
      <c r="AI71" s="254"/>
      <c r="AJ71" s="254"/>
      <c r="AK71" s="254"/>
      <c r="AL71" s="254"/>
      <c r="AM71" s="254"/>
      <c r="AN71" s="248">
        <v>167900</v>
      </c>
      <c r="AO71" s="18" t="s">
        <v>175</v>
      </c>
      <c r="AP71" s="37" t="s">
        <v>1274</v>
      </c>
      <c r="AQ71" s="4"/>
      <c r="AR71" s="26" t="s">
        <v>384</v>
      </c>
      <c r="AS71" s="219"/>
      <c r="AT71" s="279">
        <v>42684</v>
      </c>
      <c r="AU71" s="4"/>
      <c r="AV71" s="43" t="s">
        <v>66</v>
      </c>
      <c r="AW71" s="4"/>
      <c r="AX71" s="289" t="s">
        <v>86</v>
      </c>
      <c r="AY71" s="289"/>
      <c r="AZ71" s="296">
        <v>42724</v>
      </c>
      <c r="BA71" s="290">
        <v>42804</v>
      </c>
      <c r="BB71" s="25" t="s">
        <v>78</v>
      </c>
      <c r="BC71" s="291">
        <v>43088</v>
      </c>
      <c r="BD71" s="310" t="s">
        <v>122</v>
      </c>
      <c r="BE71" s="297">
        <v>200915</v>
      </c>
      <c r="BF71" s="298">
        <f t="shared" si="1"/>
        <v>1.5441340352764863</v>
      </c>
      <c r="BG71" s="297" t="e">
        <f>VLOOKUP(B71,[1]Sheet2!$B:$X,23,0)</f>
        <v>#N/A</v>
      </c>
    </row>
    <row r="72" spans="1:59" s="28" customFormat="1" ht="33" customHeight="1">
      <c r="A72" s="84" t="s">
        <v>1559</v>
      </c>
      <c r="B72" s="18" t="s">
        <v>1560</v>
      </c>
      <c r="C72" s="19" t="s">
        <v>1561</v>
      </c>
      <c r="D72" s="221" t="s">
        <v>1562</v>
      </c>
      <c r="E72" s="216" t="s">
        <v>113</v>
      </c>
      <c r="F72" s="216" t="s">
        <v>315</v>
      </c>
      <c r="G72" s="216" t="s">
        <v>315</v>
      </c>
      <c r="H72" s="218" t="s">
        <v>1275</v>
      </c>
      <c r="I72" s="26"/>
      <c r="J72" s="219"/>
      <c r="K72" s="241" t="s">
        <v>1285</v>
      </c>
      <c r="L72" s="302"/>
      <c r="M72" s="219">
        <v>150563</v>
      </c>
      <c r="N72" s="248"/>
      <c r="O72" s="249"/>
      <c r="P72" s="249"/>
      <c r="Q72" s="249"/>
      <c r="R72" s="249"/>
      <c r="S72" s="249"/>
      <c r="T72" s="249"/>
      <c r="U72" s="249"/>
      <c r="V72" s="249"/>
      <c r="W72" s="254"/>
      <c r="X72" s="255"/>
      <c r="Y72" s="264"/>
      <c r="Z72" s="264"/>
      <c r="AA72" s="262"/>
      <c r="AB72" s="20"/>
      <c r="AC72" s="20"/>
      <c r="AD72" s="20"/>
      <c r="AE72" s="254"/>
      <c r="AF72" s="254"/>
      <c r="AG72" s="254"/>
      <c r="AH72" s="254"/>
      <c r="AI72" s="254"/>
      <c r="AJ72" s="254"/>
      <c r="AK72" s="254"/>
      <c r="AL72" s="254"/>
      <c r="AM72" s="254"/>
      <c r="AN72" s="267">
        <v>127800</v>
      </c>
      <c r="AO72" s="18" t="s">
        <v>175</v>
      </c>
      <c r="AP72" s="37" t="s">
        <v>1274</v>
      </c>
      <c r="AQ72" s="4"/>
      <c r="AR72" s="26" t="s">
        <v>384</v>
      </c>
      <c r="AS72" s="219"/>
      <c r="AT72" s="279">
        <v>42684</v>
      </c>
      <c r="AU72" s="4"/>
      <c r="AV72" s="43" t="s">
        <v>66</v>
      </c>
      <c r="AW72" s="4"/>
      <c r="AX72" s="289" t="s">
        <v>86</v>
      </c>
      <c r="AY72" s="289"/>
      <c r="AZ72" s="296">
        <v>42724</v>
      </c>
      <c r="BA72" s="290">
        <v>42804</v>
      </c>
      <c r="BB72" s="25" t="s">
        <v>78</v>
      </c>
      <c r="BC72" s="291">
        <v>43088</v>
      </c>
      <c r="BD72" s="310" t="s">
        <v>122</v>
      </c>
      <c r="BE72" s="297">
        <v>150563</v>
      </c>
      <c r="BF72" s="298">
        <f t="shared" si="1"/>
        <v>1</v>
      </c>
      <c r="BG72" s="297" t="e">
        <f>VLOOKUP(B72,[1]Sheet2!$B:$X,23,0)</f>
        <v>#N/A</v>
      </c>
    </row>
    <row r="73" spans="1:59" s="28" customFormat="1" ht="33" customHeight="1">
      <c r="A73" s="84" t="s">
        <v>1563</v>
      </c>
      <c r="B73" s="18" t="s">
        <v>1564</v>
      </c>
      <c r="C73" s="19" t="s">
        <v>1565</v>
      </c>
      <c r="D73" s="221" t="s">
        <v>1566</v>
      </c>
      <c r="E73" s="216" t="s">
        <v>113</v>
      </c>
      <c r="F73" s="216" t="s">
        <v>315</v>
      </c>
      <c r="G73" s="216" t="s">
        <v>315</v>
      </c>
      <c r="H73" s="218" t="s">
        <v>1275</v>
      </c>
      <c r="I73" s="26"/>
      <c r="J73" s="219"/>
      <c r="K73" s="241" t="s">
        <v>1285</v>
      </c>
      <c r="L73" s="302"/>
      <c r="M73" s="219">
        <v>46274</v>
      </c>
      <c r="N73" s="248"/>
      <c r="O73" s="249"/>
      <c r="P73" s="249"/>
      <c r="Q73" s="249"/>
      <c r="R73" s="249"/>
      <c r="S73" s="249"/>
      <c r="T73" s="249"/>
      <c r="U73" s="249"/>
      <c r="V73" s="249"/>
      <c r="W73" s="254"/>
      <c r="X73" s="255"/>
      <c r="Y73" s="264"/>
      <c r="Z73" s="264"/>
      <c r="AA73" s="262"/>
      <c r="AB73" s="20"/>
      <c r="AC73" s="20"/>
      <c r="AD73" s="20"/>
      <c r="AE73" s="254"/>
      <c r="AF73" s="254"/>
      <c r="AG73" s="254"/>
      <c r="AH73" s="254"/>
      <c r="AI73" s="254"/>
      <c r="AJ73" s="254"/>
      <c r="AK73" s="254"/>
      <c r="AL73" s="254"/>
      <c r="AM73" s="254"/>
      <c r="AN73" s="267">
        <v>38300</v>
      </c>
      <c r="AO73" s="18" t="s">
        <v>175</v>
      </c>
      <c r="AP73" s="37" t="s">
        <v>1274</v>
      </c>
      <c r="AQ73" s="4"/>
      <c r="AR73" s="26" t="s">
        <v>384</v>
      </c>
      <c r="AS73" s="219"/>
      <c r="AT73" s="279">
        <v>42684</v>
      </c>
      <c r="AU73" s="4"/>
      <c r="AV73" s="43" t="s">
        <v>66</v>
      </c>
      <c r="AW73" s="4"/>
      <c r="AX73" s="289" t="s">
        <v>86</v>
      </c>
      <c r="AY73" s="289"/>
      <c r="AZ73" s="296">
        <v>42724</v>
      </c>
      <c r="BA73" s="290">
        <v>42804</v>
      </c>
      <c r="BB73" s="25" t="s">
        <v>78</v>
      </c>
      <c r="BC73" s="291">
        <v>43088</v>
      </c>
      <c r="BD73" s="310" t="s">
        <v>122</v>
      </c>
      <c r="BE73" s="297">
        <v>46274</v>
      </c>
      <c r="BF73" s="298">
        <f t="shared" si="1"/>
        <v>1</v>
      </c>
      <c r="BG73" s="297" t="e">
        <f>VLOOKUP(B73,[1]Sheet2!$B:$X,23,0)</f>
        <v>#N/A</v>
      </c>
    </row>
    <row r="74" spans="1:59" s="28" customFormat="1" ht="33" customHeight="1">
      <c r="A74" s="84" t="s">
        <v>1567</v>
      </c>
      <c r="B74" s="18" t="s">
        <v>1568</v>
      </c>
      <c r="C74" s="19" t="s">
        <v>1569</v>
      </c>
      <c r="D74" s="221" t="s">
        <v>1570</v>
      </c>
      <c r="E74" s="216" t="s">
        <v>271</v>
      </c>
      <c r="F74" s="216" t="s">
        <v>315</v>
      </c>
      <c r="G74" s="216" t="s">
        <v>315</v>
      </c>
      <c r="H74" s="218" t="s">
        <v>1275</v>
      </c>
      <c r="I74" s="26"/>
      <c r="J74" s="219"/>
      <c r="K74" s="241" t="s">
        <v>1285</v>
      </c>
      <c r="L74" s="302"/>
      <c r="M74" s="219">
        <v>50704</v>
      </c>
      <c r="N74" s="248"/>
      <c r="O74" s="249"/>
      <c r="P74" s="249"/>
      <c r="Q74" s="249"/>
      <c r="R74" s="249"/>
      <c r="S74" s="249"/>
      <c r="T74" s="249"/>
      <c r="U74" s="249"/>
      <c r="V74" s="249"/>
      <c r="W74" s="254"/>
      <c r="X74" s="255"/>
      <c r="Y74" s="264"/>
      <c r="Z74" s="264"/>
      <c r="AA74" s="262"/>
      <c r="AB74" s="20"/>
      <c r="AC74" s="20"/>
      <c r="AD74" s="20"/>
      <c r="AE74" s="254"/>
      <c r="AF74" s="254"/>
      <c r="AG74" s="254"/>
      <c r="AH74" s="254"/>
      <c r="AI74" s="254"/>
      <c r="AJ74" s="254"/>
      <c r="AK74" s="254"/>
      <c r="AL74" s="254"/>
      <c r="AM74" s="254"/>
      <c r="AN74" s="248">
        <v>41500</v>
      </c>
      <c r="AO74" s="18" t="s">
        <v>132</v>
      </c>
      <c r="AP74" s="37" t="s">
        <v>1308</v>
      </c>
      <c r="AQ74" s="4"/>
      <c r="AR74" s="26" t="s">
        <v>384</v>
      </c>
      <c r="AS74" s="219"/>
      <c r="AT74" s="279">
        <v>42672</v>
      </c>
      <c r="AU74" s="4"/>
      <c r="AV74" s="43" t="s">
        <v>66</v>
      </c>
      <c r="AW74" s="4"/>
      <c r="AX74" s="289" t="s">
        <v>86</v>
      </c>
      <c r="AY74" s="289"/>
      <c r="AZ74" s="296">
        <v>42717</v>
      </c>
      <c r="BA74" s="290">
        <v>42781</v>
      </c>
      <c r="BB74" s="25" t="s">
        <v>78</v>
      </c>
      <c r="BC74" s="291">
        <v>43081</v>
      </c>
      <c r="BD74" s="310" t="s">
        <v>122</v>
      </c>
      <c r="BE74" s="297">
        <v>50704</v>
      </c>
      <c r="BF74" s="298">
        <f t="shared" si="1"/>
        <v>1</v>
      </c>
      <c r="BG74" s="297" t="e">
        <f>VLOOKUP(B74,[1]Sheet2!$B:$X,23,0)</f>
        <v>#N/A</v>
      </c>
    </row>
    <row r="75" spans="1:59" s="28" customFormat="1" ht="33" customHeight="1">
      <c r="A75" s="84" t="s">
        <v>1571</v>
      </c>
      <c r="B75" s="18" t="s">
        <v>1572</v>
      </c>
      <c r="C75" s="19" t="s">
        <v>1573</v>
      </c>
      <c r="D75" s="221" t="s">
        <v>1574</v>
      </c>
      <c r="E75" s="216" t="s">
        <v>1093</v>
      </c>
      <c r="F75" s="216" t="s">
        <v>315</v>
      </c>
      <c r="G75" s="216" t="s">
        <v>315</v>
      </c>
      <c r="H75" s="218" t="s">
        <v>1275</v>
      </c>
      <c r="I75" s="26"/>
      <c r="J75" s="219"/>
      <c r="K75" s="241" t="s">
        <v>1285</v>
      </c>
      <c r="L75" s="302"/>
      <c r="M75" s="219">
        <v>141372.20000000001</v>
      </c>
      <c r="N75" s="248"/>
      <c r="O75" s="249"/>
      <c r="P75" s="249"/>
      <c r="Q75" s="249"/>
      <c r="R75" s="249"/>
      <c r="S75" s="249"/>
      <c r="T75" s="249"/>
      <c r="U75" s="249"/>
      <c r="V75" s="249"/>
      <c r="W75" s="254"/>
      <c r="X75" s="255"/>
      <c r="Y75" s="264"/>
      <c r="Z75" s="264"/>
      <c r="AA75" s="262"/>
      <c r="AB75" s="20"/>
      <c r="AC75" s="20"/>
      <c r="AD75" s="20"/>
      <c r="AE75" s="254"/>
      <c r="AF75" s="254"/>
      <c r="AG75" s="254"/>
      <c r="AH75" s="254"/>
      <c r="AI75" s="254"/>
      <c r="AJ75" s="254"/>
      <c r="AK75" s="254"/>
      <c r="AL75" s="254"/>
      <c r="AM75" s="254"/>
      <c r="AN75" s="267">
        <v>120097</v>
      </c>
      <c r="AO75" s="223" t="s">
        <v>175</v>
      </c>
      <c r="AP75" s="37" t="s">
        <v>1276</v>
      </c>
      <c r="AQ75" s="4"/>
      <c r="AR75" s="26" t="s">
        <v>384</v>
      </c>
      <c r="AS75" s="219"/>
      <c r="AT75" s="279"/>
      <c r="AU75" s="4"/>
      <c r="AV75" s="43"/>
      <c r="AW75" s="4"/>
      <c r="AX75" s="289"/>
      <c r="AY75" s="289"/>
      <c r="AZ75" s="296"/>
      <c r="BA75" s="290"/>
      <c r="BB75" s="25"/>
      <c r="BC75" s="291"/>
      <c r="BD75" s="310"/>
      <c r="BE75" s="297">
        <v>141372.20000000001</v>
      </c>
      <c r="BF75" s="298">
        <f t="shared" si="1"/>
        <v>1</v>
      </c>
      <c r="BG75" s="297" t="e">
        <f>VLOOKUP(B75,[1]Sheet2!$B:$X,23,0)</f>
        <v>#N/A</v>
      </c>
    </row>
    <row r="76" spans="1:59" s="28" customFormat="1" ht="33" customHeight="1">
      <c r="A76" s="84" t="s">
        <v>1575</v>
      </c>
      <c r="B76" s="24" t="s">
        <v>58</v>
      </c>
      <c r="C76" s="26" t="s">
        <v>57</v>
      </c>
      <c r="D76" s="4" t="s">
        <v>59</v>
      </c>
      <c r="E76" s="24" t="s">
        <v>60</v>
      </c>
      <c r="F76" s="37" t="s">
        <v>1433</v>
      </c>
      <c r="G76" s="37" t="s">
        <v>1433</v>
      </c>
      <c r="H76" s="218" t="s">
        <v>1433</v>
      </c>
      <c r="I76" s="303" t="s">
        <v>62</v>
      </c>
      <c r="J76" s="246" t="s">
        <v>63</v>
      </c>
      <c r="K76" s="75" t="s">
        <v>64</v>
      </c>
      <c r="L76" s="4"/>
      <c r="M76" s="242">
        <v>101989004</v>
      </c>
      <c r="N76" s="29">
        <f>SUM(O76:V76)</f>
        <v>101989004</v>
      </c>
      <c r="O76" s="249">
        <v>29011206</v>
      </c>
      <c r="P76" s="249"/>
      <c r="Q76" s="249"/>
      <c r="R76" s="249">
        <v>64877798</v>
      </c>
      <c r="S76" s="249"/>
      <c r="T76" s="249"/>
      <c r="U76" s="249">
        <v>8100000</v>
      </c>
      <c r="V76" s="249"/>
      <c r="W76" s="254"/>
      <c r="X76" s="255"/>
      <c r="Y76" s="264"/>
      <c r="Z76" s="264"/>
      <c r="AA76" s="262">
        <v>0.12</v>
      </c>
      <c r="AB76" s="20" t="s">
        <v>65</v>
      </c>
      <c r="AC76" s="20"/>
      <c r="AD76" s="20"/>
      <c r="AE76" s="254"/>
      <c r="AF76" s="254"/>
      <c r="AG76" s="254"/>
      <c r="AH76" s="254"/>
      <c r="AI76" s="254"/>
      <c r="AJ76" s="254"/>
      <c r="AK76" s="254"/>
      <c r="AL76" s="254"/>
      <c r="AM76" s="254"/>
      <c r="AN76" s="248"/>
      <c r="AO76" s="4" t="s">
        <v>62</v>
      </c>
      <c r="AP76" s="37"/>
      <c r="AQ76" s="4"/>
      <c r="AR76" s="26" t="s">
        <v>384</v>
      </c>
      <c r="AS76" s="219"/>
      <c r="AT76" s="279"/>
      <c r="AU76" s="4"/>
      <c r="AV76" s="24" t="s">
        <v>66</v>
      </c>
      <c r="AW76" s="4"/>
      <c r="AX76" s="289" t="s">
        <v>67</v>
      </c>
      <c r="AY76" s="289" t="s">
        <v>68</v>
      </c>
      <c r="AZ76" s="296">
        <v>43038</v>
      </c>
      <c r="BA76" s="290"/>
      <c r="BB76" s="24" t="s">
        <v>69</v>
      </c>
      <c r="BC76" s="290">
        <v>44837</v>
      </c>
      <c r="BD76" s="310" t="s">
        <v>70</v>
      </c>
      <c r="BE76" s="297">
        <v>40795601.600000001</v>
      </c>
      <c r="BF76" s="298">
        <f t="shared" si="1"/>
        <v>0.4</v>
      </c>
      <c r="BG76" s="297" t="e">
        <f>VLOOKUP(B76,[1]Sheet2!$B:$X,23,0)</f>
        <v>#N/A</v>
      </c>
    </row>
    <row r="77" spans="1:59" s="28" customFormat="1" ht="33" customHeight="1">
      <c r="A77" s="84" t="s">
        <v>1576</v>
      </c>
      <c r="B77" s="18" t="s">
        <v>1577</v>
      </c>
      <c r="C77" s="19" t="s">
        <v>1578</v>
      </c>
      <c r="D77" s="221" t="s">
        <v>1579</v>
      </c>
      <c r="E77" s="216" t="s">
        <v>1093</v>
      </c>
      <c r="F77" s="216" t="s">
        <v>315</v>
      </c>
      <c r="G77" s="216" t="s">
        <v>315</v>
      </c>
      <c r="H77" s="218" t="s">
        <v>1275</v>
      </c>
      <c r="I77" s="26"/>
      <c r="J77" s="219"/>
      <c r="K77" s="241" t="s">
        <v>1285</v>
      </c>
      <c r="L77" s="4"/>
      <c r="M77" s="219">
        <v>152250</v>
      </c>
      <c r="N77" s="29"/>
      <c r="O77" s="249"/>
      <c r="P77" s="249"/>
      <c r="Q77" s="249"/>
      <c r="R77" s="249"/>
      <c r="S77" s="249"/>
      <c r="T77" s="249"/>
      <c r="U77" s="249"/>
      <c r="V77" s="249"/>
      <c r="W77" s="254"/>
      <c r="X77" s="255"/>
      <c r="Y77" s="264"/>
      <c r="Z77" s="264"/>
      <c r="AA77" s="262"/>
      <c r="AB77" s="20"/>
      <c r="AC77" s="20"/>
      <c r="AD77" s="20"/>
      <c r="AE77" s="254"/>
      <c r="AF77" s="254"/>
      <c r="AG77" s="254"/>
      <c r="AH77" s="254"/>
      <c r="AI77" s="254"/>
      <c r="AJ77" s="254"/>
      <c r="AK77" s="254"/>
      <c r="AL77" s="254"/>
      <c r="AM77" s="254"/>
      <c r="AN77" s="248">
        <v>127000</v>
      </c>
      <c r="AO77" s="18" t="s">
        <v>132</v>
      </c>
      <c r="AP77" s="37" t="s">
        <v>1276</v>
      </c>
      <c r="AQ77" s="4"/>
      <c r="AR77" s="26" t="s">
        <v>384</v>
      </c>
      <c r="AS77" s="219"/>
      <c r="AT77" s="279">
        <v>42694</v>
      </c>
      <c r="AU77" s="4"/>
      <c r="AV77" s="24" t="s">
        <v>66</v>
      </c>
      <c r="AW77" s="4"/>
      <c r="AX77" s="289" t="s">
        <v>86</v>
      </c>
      <c r="AY77" s="289"/>
      <c r="AZ77" s="296">
        <v>42750</v>
      </c>
      <c r="BA77" s="290">
        <v>42781</v>
      </c>
      <c r="BB77" s="24" t="s">
        <v>78</v>
      </c>
      <c r="BC77" s="290">
        <v>43114</v>
      </c>
      <c r="BD77" s="310" t="s">
        <v>122</v>
      </c>
      <c r="BE77" s="297">
        <v>152250</v>
      </c>
      <c r="BF77" s="298">
        <f t="shared" si="1"/>
        <v>1</v>
      </c>
      <c r="BG77" s="297" t="e">
        <f>VLOOKUP(B77,[1]Sheet2!$B:$X,23,0)</f>
        <v>#N/A</v>
      </c>
    </row>
    <row r="78" spans="1:59" s="28" customFormat="1" ht="33" customHeight="1">
      <c r="A78" s="84" t="s">
        <v>1580</v>
      </c>
      <c r="B78" s="18" t="s">
        <v>1581</v>
      </c>
      <c r="C78" s="19" t="s">
        <v>1582</v>
      </c>
      <c r="D78" s="221" t="s">
        <v>1583</v>
      </c>
      <c r="E78" s="216" t="s">
        <v>1093</v>
      </c>
      <c r="F78" s="216" t="s">
        <v>315</v>
      </c>
      <c r="G78" s="216" t="s">
        <v>315</v>
      </c>
      <c r="H78" s="218" t="s">
        <v>1275</v>
      </c>
      <c r="I78" s="26"/>
      <c r="J78" s="219"/>
      <c r="K78" s="241" t="s">
        <v>1285</v>
      </c>
      <c r="L78" s="4"/>
      <c r="M78" s="219">
        <v>136606.5</v>
      </c>
      <c r="N78" s="29"/>
      <c r="O78" s="249"/>
      <c r="P78" s="249"/>
      <c r="Q78" s="249"/>
      <c r="R78" s="249"/>
      <c r="S78" s="249"/>
      <c r="T78" s="249"/>
      <c r="U78" s="249"/>
      <c r="V78" s="249"/>
      <c r="W78" s="254"/>
      <c r="X78" s="255"/>
      <c r="Y78" s="264"/>
      <c r="Z78" s="264"/>
      <c r="AA78" s="262"/>
      <c r="AB78" s="20"/>
      <c r="AC78" s="20"/>
      <c r="AD78" s="20"/>
      <c r="AE78" s="254"/>
      <c r="AF78" s="254"/>
      <c r="AG78" s="254"/>
      <c r="AH78" s="254"/>
      <c r="AI78" s="254"/>
      <c r="AJ78" s="254"/>
      <c r="AK78" s="254"/>
      <c r="AL78" s="254"/>
      <c r="AM78" s="254"/>
      <c r="AN78" s="248">
        <v>113000</v>
      </c>
      <c r="AO78" s="18" t="s">
        <v>132</v>
      </c>
      <c r="AP78" s="37" t="s">
        <v>1276</v>
      </c>
      <c r="AQ78" s="4"/>
      <c r="AR78" s="26" t="s">
        <v>384</v>
      </c>
      <c r="AS78" s="219"/>
      <c r="AT78" s="279">
        <v>42684</v>
      </c>
      <c r="AU78" s="4"/>
      <c r="AV78" s="43" t="s">
        <v>66</v>
      </c>
      <c r="AW78" s="4"/>
      <c r="AX78" s="289" t="s">
        <v>86</v>
      </c>
      <c r="AY78" s="289"/>
      <c r="AZ78" s="296">
        <v>42703</v>
      </c>
      <c r="BA78" s="290" t="s">
        <v>1385</v>
      </c>
      <c r="BB78" s="25" t="s">
        <v>78</v>
      </c>
      <c r="BC78" s="291">
        <v>43067</v>
      </c>
      <c r="BD78" s="310" t="s">
        <v>122</v>
      </c>
      <c r="BE78" s="297">
        <v>136606.5</v>
      </c>
      <c r="BF78" s="298">
        <f t="shared" si="1"/>
        <v>1</v>
      </c>
      <c r="BG78" s="297" t="e">
        <f>VLOOKUP(B78,[1]Sheet2!$B:$X,23,0)</f>
        <v>#N/A</v>
      </c>
    </row>
    <row r="79" spans="1:59" s="28" customFormat="1" ht="33" customHeight="1">
      <c r="A79" s="5" t="s">
        <v>705</v>
      </c>
      <c r="B79" s="31" t="s">
        <v>707</v>
      </c>
      <c r="C79" s="26" t="s">
        <v>706</v>
      </c>
      <c r="D79" s="299" t="s">
        <v>708</v>
      </c>
      <c r="E79" s="31" t="s">
        <v>83</v>
      </c>
      <c r="F79" s="31" t="s">
        <v>190</v>
      </c>
      <c r="G79" s="31" t="s">
        <v>190</v>
      </c>
      <c r="H79" s="218" t="s">
        <v>1314</v>
      </c>
      <c r="I79" s="6" t="s">
        <v>286</v>
      </c>
      <c r="J79" s="217" t="s">
        <v>84</v>
      </c>
      <c r="K79" s="292">
        <v>43210</v>
      </c>
      <c r="L79" s="5"/>
      <c r="M79" s="219">
        <v>9600000</v>
      </c>
      <c r="N79" s="238">
        <v>1920000</v>
      </c>
      <c r="O79" s="239"/>
      <c r="P79" s="239"/>
      <c r="Q79" s="239"/>
      <c r="R79" s="68">
        <v>1920000</v>
      </c>
      <c r="S79" s="239"/>
      <c r="T79" s="239"/>
      <c r="U79" s="239"/>
      <c r="V79" s="239"/>
      <c r="W79" s="26">
        <v>7680000</v>
      </c>
      <c r="X79" s="5"/>
      <c r="Y79" s="262">
        <v>0.11</v>
      </c>
      <c r="Z79" s="262"/>
      <c r="AA79" s="261">
        <v>0.5</v>
      </c>
      <c r="AB79" s="5"/>
      <c r="AC79" s="5"/>
      <c r="AD79" s="5"/>
      <c r="AE79" s="5">
        <v>960000</v>
      </c>
      <c r="AF79" s="5"/>
      <c r="AG79" s="5"/>
      <c r="AH79" s="5"/>
      <c r="AI79" s="5"/>
      <c r="AJ79" s="5"/>
      <c r="AK79" s="5"/>
      <c r="AL79" s="5"/>
      <c r="AM79" s="5"/>
      <c r="AN79" s="238">
        <f>SUM(AB79:AH79)</f>
        <v>960000</v>
      </c>
      <c r="AO79" s="31" t="s">
        <v>132</v>
      </c>
      <c r="AP79" s="37" t="s">
        <v>1308</v>
      </c>
      <c r="AQ79" s="275"/>
      <c r="AR79" s="26" t="s">
        <v>384</v>
      </c>
      <c r="AS79" s="219"/>
      <c r="AT79" s="276"/>
      <c r="AU79" s="275"/>
      <c r="AV79" s="43" t="s">
        <v>66</v>
      </c>
      <c r="AW79" s="275"/>
      <c r="AX79" s="289" t="s">
        <v>86</v>
      </c>
      <c r="AY79" s="289"/>
      <c r="AZ79" s="290">
        <v>43544</v>
      </c>
      <c r="BA79" s="290">
        <v>43546</v>
      </c>
      <c r="BB79" s="25" t="s">
        <v>78</v>
      </c>
      <c r="BC79" s="291">
        <v>43909</v>
      </c>
      <c r="BD79" s="311" t="s">
        <v>931</v>
      </c>
      <c r="BE79" s="297">
        <v>9600000</v>
      </c>
      <c r="BF79" s="298">
        <f t="shared" si="1"/>
        <v>1</v>
      </c>
      <c r="BG79" s="297" t="e">
        <f>VLOOKUP(B79,[1]Sheet2!$B:$X,23,0)</f>
        <v>#N/A</v>
      </c>
    </row>
    <row r="80" spans="1:59" s="28" customFormat="1" ht="33" customHeight="1">
      <c r="A80" s="84" t="s">
        <v>1584</v>
      </c>
      <c r="B80" s="7" t="s">
        <v>90</v>
      </c>
      <c r="C80" s="26" t="s">
        <v>89</v>
      </c>
      <c r="D80" s="7" t="s">
        <v>91</v>
      </c>
      <c r="E80" s="24" t="s">
        <v>92</v>
      </c>
      <c r="F80" s="37" t="s">
        <v>1433</v>
      </c>
      <c r="G80" s="37" t="s">
        <v>1433</v>
      </c>
      <c r="H80" s="218" t="s">
        <v>1433</v>
      </c>
      <c r="I80" s="303" t="s">
        <v>93</v>
      </c>
      <c r="J80" s="246" t="s">
        <v>63</v>
      </c>
      <c r="K80" s="75" t="s">
        <v>64</v>
      </c>
      <c r="L80" s="4"/>
      <c r="M80" s="242">
        <v>61128700</v>
      </c>
      <c r="N80" s="304">
        <v>61128700</v>
      </c>
      <c r="O80" s="249">
        <v>22060340</v>
      </c>
      <c r="P80" s="249"/>
      <c r="Q80" s="249"/>
      <c r="R80" s="249">
        <v>36106753</v>
      </c>
      <c r="S80" s="249"/>
      <c r="T80" s="249"/>
      <c r="U80" s="249">
        <v>2961607</v>
      </c>
      <c r="V80" s="249"/>
      <c r="W80" s="254"/>
      <c r="X80" s="255"/>
      <c r="Y80" s="264"/>
      <c r="Z80" s="264"/>
      <c r="AA80" s="262">
        <v>0.1</v>
      </c>
      <c r="AB80" s="20" t="s">
        <v>65</v>
      </c>
      <c r="AC80" s="20"/>
      <c r="AD80" s="20"/>
      <c r="AE80" s="254"/>
      <c r="AF80" s="254"/>
      <c r="AG80" s="254"/>
      <c r="AH80" s="254"/>
      <c r="AI80" s="254"/>
      <c r="AJ80" s="254"/>
      <c r="AK80" s="254"/>
      <c r="AL80" s="254"/>
      <c r="AM80" s="254"/>
      <c r="AN80" s="248">
        <v>73080156</v>
      </c>
      <c r="AO80" s="24" t="s">
        <v>93</v>
      </c>
      <c r="AP80" s="37"/>
      <c r="AQ80" s="4"/>
      <c r="AR80" s="26" t="s">
        <v>384</v>
      </c>
      <c r="AS80" s="219"/>
      <c r="AT80" s="279"/>
      <c r="AU80" s="4"/>
      <c r="AV80" s="43" t="s">
        <v>66</v>
      </c>
      <c r="AW80" s="4"/>
      <c r="AX80" s="289" t="s">
        <v>86</v>
      </c>
      <c r="AY80" s="289" t="s">
        <v>68</v>
      </c>
      <c r="AZ80" s="296">
        <v>43073</v>
      </c>
      <c r="BA80" s="290"/>
      <c r="BB80" s="24" t="s">
        <v>69</v>
      </c>
      <c r="BC80" s="291">
        <v>44899</v>
      </c>
      <c r="BD80" s="310" t="s">
        <v>70</v>
      </c>
      <c r="BE80" s="297">
        <v>21395045</v>
      </c>
      <c r="BF80" s="298">
        <f t="shared" si="1"/>
        <v>0.35</v>
      </c>
      <c r="BG80" s="297" t="e">
        <f>VLOOKUP(B80,[1]Sheet2!$B:$X,23,0)</f>
        <v>#N/A</v>
      </c>
    </row>
    <row r="81" spans="1:59" s="28" customFormat="1" ht="33" customHeight="1">
      <c r="A81" s="84" t="s">
        <v>1585</v>
      </c>
      <c r="B81" s="18" t="s">
        <v>1586</v>
      </c>
      <c r="C81" s="19" t="s">
        <v>1587</v>
      </c>
      <c r="D81" s="221" t="s">
        <v>1588</v>
      </c>
      <c r="E81" s="24" t="s">
        <v>92</v>
      </c>
      <c r="F81" s="37" t="s">
        <v>196</v>
      </c>
      <c r="G81" s="37" t="s">
        <v>196</v>
      </c>
      <c r="H81" s="218" t="s">
        <v>1275</v>
      </c>
      <c r="I81" s="303"/>
      <c r="J81" s="246"/>
      <c r="K81" s="295" t="s">
        <v>1285</v>
      </c>
      <c r="L81" s="4"/>
      <c r="M81" s="219">
        <v>120000</v>
      </c>
      <c r="N81" s="304"/>
      <c r="O81" s="249"/>
      <c r="P81" s="249"/>
      <c r="Q81" s="249"/>
      <c r="R81" s="249"/>
      <c r="S81" s="249"/>
      <c r="T81" s="249"/>
      <c r="U81" s="249"/>
      <c r="V81" s="249"/>
      <c r="W81" s="254"/>
      <c r="X81" s="255"/>
      <c r="Y81" s="264"/>
      <c r="Z81" s="264"/>
      <c r="AA81" s="262"/>
      <c r="AB81" s="20"/>
      <c r="AC81" s="20"/>
      <c r="AD81" s="20"/>
      <c r="AE81" s="254"/>
      <c r="AF81" s="254"/>
      <c r="AG81" s="254"/>
      <c r="AH81" s="254"/>
      <c r="AI81" s="254"/>
      <c r="AJ81" s="254"/>
      <c r="AK81" s="254"/>
      <c r="AL81" s="254"/>
      <c r="AM81" s="254"/>
      <c r="AN81" s="267">
        <v>101800</v>
      </c>
      <c r="AO81" s="24" t="s">
        <v>93</v>
      </c>
      <c r="AP81" s="37"/>
      <c r="AQ81" s="4"/>
      <c r="AR81" s="26" t="s">
        <v>384</v>
      </c>
      <c r="AS81" s="219"/>
      <c r="AT81" s="279">
        <v>42694</v>
      </c>
      <c r="AU81" s="4"/>
      <c r="AV81" s="43" t="s">
        <v>66</v>
      </c>
      <c r="AW81" s="4"/>
      <c r="AX81" s="289" t="s">
        <v>86</v>
      </c>
      <c r="AY81" s="289"/>
      <c r="AZ81" s="296">
        <v>42725</v>
      </c>
      <c r="BA81" s="290">
        <v>42748</v>
      </c>
      <c r="BB81" s="24" t="s">
        <v>78</v>
      </c>
      <c r="BC81" s="291">
        <v>43089</v>
      </c>
      <c r="BD81" s="310" t="s">
        <v>122</v>
      </c>
      <c r="BE81" s="297">
        <v>120000</v>
      </c>
      <c r="BF81" s="298">
        <f t="shared" si="1"/>
        <v>1</v>
      </c>
      <c r="BG81" s="297" t="e">
        <f>VLOOKUP(B81,[1]Sheet2!$B:$X,23,0)</f>
        <v>#N/A</v>
      </c>
    </row>
    <row r="82" spans="1:59" s="28" customFormat="1" ht="33" customHeight="1">
      <c r="A82" s="84" t="s">
        <v>1589</v>
      </c>
      <c r="B82" s="18" t="s">
        <v>1590</v>
      </c>
      <c r="C82" s="19" t="s">
        <v>1591</v>
      </c>
      <c r="D82" s="221" t="s">
        <v>1592</v>
      </c>
      <c r="E82" s="24" t="s">
        <v>92</v>
      </c>
      <c r="F82" s="37" t="s">
        <v>315</v>
      </c>
      <c r="G82" s="37" t="s">
        <v>315</v>
      </c>
      <c r="H82" s="218" t="s">
        <v>1275</v>
      </c>
      <c r="I82" s="303"/>
      <c r="J82" s="246"/>
      <c r="K82" s="295" t="s">
        <v>1285</v>
      </c>
      <c r="L82" s="4"/>
      <c r="M82" s="219">
        <v>140000</v>
      </c>
      <c r="N82" s="304"/>
      <c r="O82" s="249"/>
      <c r="P82" s="249"/>
      <c r="Q82" s="249"/>
      <c r="R82" s="249"/>
      <c r="S82" s="249"/>
      <c r="T82" s="249"/>
      <c r="U82" s="249"/>
      <c r="V82" s="249"/>
      <c r="W82" s="254"/>
      <c r="X82" s="255"/>
      <c r="Y82" s="264"/>
      <c r="Z82" s="264"/>
      <c r="AA82" s="262"/>
      <c r="AB82" s="20"/>
      <c r="AC82" s="20"/>
      <c r="AD82" s="20"/>
      <c r="AE82" s="254"/>
      <c r="AF82" s="254"/>
      <c r="AG82" s="254"/>
      <c r="AH82" s="254"/>
      <c r="AI82" s="254"/>
      <c r="AJ82" s="254"/>
      <c r="AK82" s="254"/>
      <c r="AL82" s="254"/>
      <c r="AM82" s="254"/>
      <c r="AN82" s="267">
        <v>118800</v>
      </c>
      <c r="AO82" s="24" t="s">
        <v>93</v>
      </c>
      <c r="AP82" s="37"/>
      <c r="AQ82" s="4"/>
      <c r="AR82" s="26" t="s">
        <v>384</v>
      </c>
      <c r="AS82" s="219"/>
      <c r="AT82" s="279">
        <v>42694</v>
      </c>
      <c r="AU82" s="4"/>
      <c r="AV82" s="43" t="s">
        <v>66</v>
      </c>
      <c r="AW82" s="4"/>
      <c r="AX82" s="289" t="s">
        <v>86</v>
      </c>
      <c r="AY82" s="289"/>
      <c r="AZ82" s="296">
        <v>42725</v>
      </c>
      <c r="BA82" s="290">
        <v>42748</v>
      </c>
      <c r="BB82" s="24" t="s">
        <v>78</v>
      </c>
      <c r="BC82" s="291">
        <v>43089</v>
      </c>
      <c r="BD82" s="310" t="s">
        <v>122</v>
      </c>
      <c r="BE82" s="297">
        <v>140000</v>
      </c>
      <c r="BF82" s="298">
        <f t="shared" si="1"/>
        <v>1</v>
      </c>
      <c r="BG82" s="297" t="e">
        <f>VLOOKUP(B82,[1]Sheet2!$B:$X,23,0)</f>
        <v>#N/A</v>
      </c>
    </row>
    <row r="83" spans="1:59" s="28" customFormat="1" ht="33" customHeight="1">
      <c r="A83" s="84" t="s">
        <v>1593</v>
      </c>
      <c r="B83" s="18" t="s">
        <v>1594</v>
      </c>
      <c r="C83" s="19" t="s">
        <v>1595</v>
      </c>
      <c r="D83" s="221" t="s">
        <v>1596</v>
      </c>
      <c r="E83" s="24" t="s">
        <v>92</v>
      </c>
      <c r="F83" s="37" t="s">
        <v>196</v>
      </c>
      <c r="G83" s="37" t="s">
        <v>196</v>
      </c>
      <c r="H83" s="218"/>
      <c r="I83" s="303"/>
      <c r="J83" s="246"/>
      <c r="K83" s="295" t="s">
        <v>1285</v>
      </c>
      <c r="L83" s="4"/>
      <c r="M83" s="219">
        <v>396000</v>
      </c>
      <c r="N83" s="304"/>
      <c r="O83" s="249"/>
      <c r="P83" s="249"/>
      <c r="Q83" s="249"/>
      <c r="R83" s="249"/>
      <c r="S83" s="249"/>
      <c r="T83" s="249"/>
      <c r="U83" s="249"/>
      <c r="V83" s="249"/>
      <c r="W83" s="254"/>
      <c r="X83" s="255"/>
      <c r="Y83" s="264"/>
      <c r="Z83" s="264"/>
      <c r="AA83" s="262"/>
      <c r="AB83" s="20"/>
      <c r="AC83" s="20"/>
      <c r="AD83" s="20"/>
      <c r="AE83" s="254"/>
      <c r="AF83" s="254"/>
      <c r="AG83" s="254"/>
      <c r="AH83" s="254"/>
      <c r="AI83" s="254"/>
      <c r="AJ83" s="254"/>
      <c r="AK83" s="254"/>
      <c r="AL83" s="254"/>
      <c r="AM83" s="254"/>
      <c r="AN83" s="248">
        <v>336000</v>
      </c>
      <c r="AO83" s="24" t="s">
        <v>93</v>
      </c>
      <c r="AP83" s="37"/>
      <c r="AQ83" s="4"/>
      <c r="AR83" s="26" t="s">
        <v>384</v>
      </c>
      <c r="AS83" s="219"/>
      <c r="AT83" s="279">
        <v>42675</v>
      </c>
      <c r="AU83" s="4"/>
      <c r="AV83" s="43" t="s">
        <v>66</v>
      </c>
      <c r="AW83" s="4"/>
      <c r="AX83" s="289" t="s">
        <v>86</v>
      </c>
      <c r="AY83" s="289"/>
      <c r="AZ83" s="296">
        <v>42727</v>
      </c>
      <c r="BA83" s="290">
        <v>42748</v>
      </c>
      <c r="BB83" s="24" t="s">
        <v>78</v>
      </c>
      <c r="BC83" s="291">
        <v>43091</v>
      </c>
      <c r="BD83" s="310" t="s">
        <v>122</v>
      </c>
      <c r="BE83" s="297">
        <v>356400</v>
      </c>
      <c r="BF83" s="298">
        <f t="shared" si="1"/>
        <v>0.9</v>
      </c>
      <c r="BG83" s="297" t="e">
        <f>VLOOKUP(B83,[1]Sheet2!$B:$X,23,0)</f>
        <v>#N/A</v>
      </c>
    </row>
    <row r="84" spans="1:59" s="28" customFormat="1" ht="33" customHeight="1">
      <c r="A84" s="84" t="s">
        <v>1597</v>
      </c>
      <c r="B84" s="18" t="s">
        <v>101</v>
      </c>
      <c r="C84" s="26" t="s">
        <v>100</v>
      </c>
      <c r="D84" s="24" t="s">
        <v>102</v>
      </c>
      <c r="E84" s="7" t="s">
        <v>97</v>
      </c>
      <c r="F84" s="37" t="s">
        <v>1433</v>
      </c>
      <c r="G84" s="37" t="s">
        <v>1433</v>
      </c>
      <c r="H84" s="218" t="s">
        <v>1433</v>
      </c>
      <c r="I84" s="244" t="s">
        <v>98</v>
      </c>
      <c r="J84" s="303" t="s">
        <v>63</v>
      </c>
      <c r="K84" s="305" t="s">
        <v>64</v>
      </c>
      <c r="L84" s="24"/>
      <c r="M84" s="247">
        <v>35004700</v>
      </c>
      <c r="N84" s="248"/>
      <c r="O84" s="249"/>
      <c r="P84" s="249"/>
      <c r="Q84" s="249"/>
      <c r="R84" s="249"/>
      <c r="S84" s="249"/>
      <c r="T84" s="249"/>
      <c r="U84" s="249"/>
      <c r="V84" s="249"/>
      <c r="W84" s="254"/>
      <c r="X84" s="255"/>
      <c r="Y84" s="264"/>
      <c r="Z84" s="264"/>
      <c r="AA84" s="262"/>
      <c r="AB84" s="20" t="s">
        <v>65</v>
      </c>
      <c r="AC84" s="20"/>
      <c r="AD84" s="20"/>
      <c r="AE84" s="254"/>
      <c r="AF84" s="254"/>
      <c r="AG84" s="254"/>
      <c r="AH84" s="254"/>
      <c r="AI84" s="254"/>
      <c r="AJ84" s="254"/>
      <c r="AK84" s="254"/>
      <c r="AL84" s="254"/>
      <c r="AM84" s="254"/>
      <c r="AN84" s="248">
        <v>52306701</v>
      </c>
      <c r="AO84" s="7" t="s">
        <v>98</v>
      </c>
      <c r="AP84" s="37"/>
      <c r="AQ84" s="24"/>
      <c r="AR84" s="26" t="s">
        <v>384</v>
      </c>
      <c r="AS84" s="26"/>
      <c r="AT84" s="290"/>
      <c r="AU84" s="24"/>
      <c r="AV84" s="43" t="s">
        <v>66</v>
      </c>
      <c r="AW84" s="24"/>
      <c r="AX84" s="289" t="s">
        <v>67</v>
      </c>
      <c r="AY84" s="289" t="s">
        <v>68</v>
      </c>
      <c r="AZ84" s="296">
        <v>43041</v>
      </c>
      <c r="BA84" s="290"/>
      <c r="BB84" s="25" t="s">
        <v>87</v>
      </c>
      <c r="BC84" s="291">
        <v>44137</v>
      </c>
      <c r="BD84" s="310" t="s">
        <v>70</v>
      </c>
      <c r="BE84" s="297">
        <v>20419407.649999999</v>
      </c>
      <c r="BF84" s="298">
        <f t="shared" si="1"/>
        <v>0.58333331381214515</v>
      </c>
      <c r="BG84" s="297" t="e">
        <f>VLOOKUP(B84,[1]Sheet2!$B:$X,23,0)</f>
        <v>#N/A</v>
      </c>
    </row>
    <row r="85" spans="1:59" s="28" customFormat="1" ht="33" customHeight="1">
      <c r="A85" s="84" t="s">
        <v>1598</v>
      </c>
      <c r="B85" s="18" t="s">
        <v>1599</v>
      </c>
      <c r="C85" s="19" t="s">
        <v>1600</v>
      </c>
      <c r="D85" s="221" t="s">
        <v>1601</v>
      </c>
      <c r="E85" s="37" t="s">
        <v>83</v>
      </c>
      <c r="F85" s="37" t="s">
        <v>315</v>
      </c>
      <c r="G85" s="37" t="s">
        <v>315</v>
      </c>
      <c r="H85" s="218" t="s">
        <v>1275</v>
      </c>
      <c r="I85" s="244"/>
      <c r="J85" s="303"/>
      <c r="K85" s="295" t="s">
        <v>1285</v>
      </c>
      <c r="L85" s="24"/>
      <c r="M85" s="219">
        <v>598000</v>
      </c>
      <c r="N85" s="248"/>
      <c r="O85" s="249"/>
      <c r="P85" s="249"/>
      <c r="Q85" s="249"/>
      <c r="R85" s="249"/>
      <c r="S85" s="249"/>
      <c r="T85" s="249"/>
      <c r="U85" s="249"/>
      <c r="V85" s="249"/>
      <c r="W85" s="254"/>
      <c r="X85" s="255"/>
      <c r="Y85" s="264"/>
      <c r="Z85" s="264"/>
      <c r="AA85" s="262"/>
      <c r="AB85" s="20"/>
      <c r="AC85" s="20"/>
      <c r="AD85" s="20"/>
      <c r="AE85" s="254"/>
      <c r="AF85" s="254"/>
      <c r="AG85" s="254"/>
      <c r="AH85" s="254"/>
      <c r="AI85" s="254"/>
      <c r="AJ85" s="254"/>
      <c r="AK85" s="254"/>
      <c r="AL85" s="254"/>
      <c r="AM85" s="254"/>
      <c r="AN85" s="248">
        <v>508300</v>
      </c>
      <c r="AO85" s="24" t="s">
        <v>132</v>
      </c>
      <c r="AP85" s="37" t="s">
        <v>1308</v>
      </c>
      <c r="AQ85" s="24"/>
      <c r="AR85" s="26" t="s">
        <v>384</v>
      </c>
      <c r="AS85" s="26"/>
      <c r="AT85" s="290" t="s">
        <v>1337</v>
      </c>
      <c r="AU85" s="24"/>
      <c r="AV85" s="43" t="s">
        <v>66</v>
      </c>
      <c r="AW85" s="24"/>
      <c r="AX85" s="289" t="s">
        <v>86</v>
      </c>
      <c r="AY85" s="289"/>
      <c r="AZ85" s="296">
        <v>43088</v>
      </c>
      <c r="BA85" s="290">
        <v>43095</v>
      </c>
      <c r="BB85" s="25"/>
      <c r="BC85" s="291">
        <v>43452</v>
      </c>
      <c r="BD85" s="310" t="s">
        <v>122</v>
      </c>
      <c r="BE85" s="297">
        <v>598000</v>
      </c>
      <c r="BF85" s="298">
        <f t="shared" si="1"/>
        <v>1</v>
      </c>
      <c r="BG85" s="297" t="e">
        <f>VLOOKUP(B85,[1]Sheet2!$B:$X,23,0)</f>
        <v>#N/A</v>
      </c>
    </row>
    <row r="86" spans="1:59" s="28" customFormat="1" ht="33" customHeight="1">
      <c r="A86" s="84" t="s">
        <v>1602</v>
      </c>
      <c r="B86" s="18" t="s">
        <v>1603</v>
      </c>
      <c r="C86" s="19" t="s">
        <v>1604</v>
      </c>
      <c r="D86" s="221" t="s">
        <v>1605</v>
      </c>
      <c r="E86" s="37" t="s">
        <v>83</v>
      </c>
      <c r="F86" s="37" t="s">
        <v>315</v>
      </c>
      <c r="G86" s="37" t="s">
        <v>315</v>
      </c>
      <c r="H86" s="218" t="s">
        <v>1275</v>
      </c>
      <c r="I86" s="244"/>
      <c r="J86" s="303"/>
      <c r="K86" s="295" t="s">
        <v>1285</v>
      </c>
      <c r="L86" s="24"/>
      <c r="M86" s="219">
        <v>197450</v>
      </c>
      <c r="N86" s="248"/>
      <c r="O86" s="249"/>
      <c r="P86" s="249"/>
      <c r="Q86" s="249"/>
      <c r="R86" s="249"/>
      <c r="S86" s="249"/>
      <c r="T86" s="249"/>
      <c r="U86" s="249"/>
      <c r="V86" s="249"/>
      <c r="W86" s="254"/>
      <c r="X86" s="255"/>
      <c r="Y86" s="264"/>
      <c r="Z86" s="264"/>
      <c r="AA86" s="262"/>
      <c r="AB86" s="20"/>
      <c r="AC86" s="20"/>
      <c r="AD86" s="20"/>
      <c r="AE86" s="254"/>
      <c r="AF86" s="254"/>
      <c r="AG86" s="254"/>
      <c r="AH86" s="254"/>
      <c r="AI86" s="254"/>
      <c r="AJ86" s="254"/>
      <c r="AK86" s="254"/>
      <c r="AL86" s="254"/>
      <c r="AM86" s="254"/>
      <c r="AN86" s="267">
        <v>167800</v>
      </c>
      <c r="AO86" s="24" t="s">
        <v>76</v>
      </c>
      <c r="AP86" s="37" t="s">
        <v>1308</v>
      </c>
      <c r="AQ86" s="24"/>
      <c r="AR86" s="26" t="s">
        <v>384</v>
      </c>
      <c r="AS86" s="26"/>
      <c r="AT86" s="290">
        <v>42706</v>
      </c>
      <c r="AU86" s="24"/>
      <c r="AV86" s="43" t="s">
        <v>66</v>
      </c>
      <c r="AW86" s="24"/>
      <c r="AX86" s="289" t="s">
        <v>86</v>
      </c>
      <c r="AY86" s="289" t="s">
        <v>1606</v>
      </c>
      <c r="AZ86" s="296">
        <v>42824</v>
      </c>
      <c r="BA86" s="290"/>
      <c r="BB86" s="25" t="s">
        <v>78</v>
      </c>
      <c r="BC86" s="291">
        <v>43178</v>
      </c>
      <c r="BD86" s="310" t="s">
        <v>122</v>
      </c>
      <c r="BE86" s="297">
        <v>197450</v>
      </c>
      <c r="BF86" s="298">
        <f t="shared" si="1"/>
        <v>1</v>
      </c>
      <c r="BG86" s="297" t="e">
        <f>VLOOKUP(B86,[1]Sheet2!$B:$X,23,0)</f>
        <v>#N/A</v>
      </c>
    </row>
    <row r="87" spans="1:59" s="28" customFormat="1" ht="33" customHeight="1">
      <c r="A87" s="84" t="s">
        <v>1607</v>
      </c>
      <c r="B87" s="18" t="s">
        <v>1608</v>
      </c>
      <c r="C87" s="19" t="s">
        <v>1609</v>
      </c>
      <c r="D87" s="221" t="s">
        <v>1610</v>
      </c>
      <c r="E87" s="37" t="s">
        <v>83</v>
      </c>
      <c r="F87" s="24" t="s">
        <v>196</v>
      </c>
      <c r="G87" s="24" t="s">
        <v>196</v>
      </c>
      <c r="H87" s="218" t="s">
        <v>1275</v>
      </c>
      <c r="I87" s="244"/>
      <c r="J87" s="303"/>
      <c r="K87" s="295" t="s">
        <v>1285</v>
      </c>
      <c r="L87" s="24"/>
      <c r="M87" s="219">
        <v>50000</v>
      </c>
      <c r="N87" s="248"/>
      <c r="O87" s="249"/>
      <c r="P87" s="249"/>
      <c r="Q87" s="249"/>
      <c r="R87" s="249"/>
      <c r="S87" s="249"/>
      <c r="T87" s="249"/>
      <c r="U87" s="249"/>
      <c r="V87" s="249"/>
      <c r="W87" s="254"/>
      <c r="X87" s="255"/>
      <c r="Y87" s="264"/>
      <c r="Z87" s="264"/>
      <c r="AA87" s="262"/>
      <c r="AB87" s="20"/>
      <c r="AC87" s="20"/>
      <c r="AD87" s="20"/>
      <c r="AE87" s="254"/>
      <c r="AF87" s="254"/>
      <c r="AG87" s="254"/>
      <c r="AH87" s="254"/>
      <c r="AI87" s="254"/>
      <c r="AJ87" s="254"/>
      <c r="AK87" s="254"/>
      <c r="AL87" s="254"/>
      <c r="AM87" s="254"/>
      <c r="AN87" s="267">
        <v>42420</v>
      </c>
      <c r="AO87" s="24" t="s">
        <v>76</v>
      </c>
      <c r="AP87" s="37" t="s">
        <v>1308</v>
      </c>
      <c r="AQ87" s="24"/>
      <c r="AR87" s="26" t="s">
        <v>384</v>
      </c>
      <c r="AS87" s="26"/>
      <c r="AT87" s="290"/>
      <c r="AU87" s="24"/>
      <c r="AV87" s="43"/>
      <c r="AW87" s="24"/>
      <c r="AX87" s="289"/>
      <c r="AY87" s="289"/>
      <c r="AZ87" s="296"/>
      <c r="BA87" s="290"/>
      <c r="BB87" s="25"/>
      <c r="BC87" s="291"/>
      <c r="BD87" s="25" t="s">
        <v>192</v>
      </c>
      <c r="BE87" s="297">
        <v>50000</v>
      </c>
      <c r="BF87" s="298">
        <f t="shared" si="1"/>
        <v>1</v>
      </c>
      <c r="BG87" s="297" t="e">
        <f>VLOOKUP(B87,[1]Sheet2!$B:$X,23,0)</f>
        <v>#N/A</v>
      </c>
    </row>
    <row r="88" spans="1:59" s="28" customFormat="1" ht="33" customHeight="1">
      <c r="A88" s="84" t="s">
        <v>1611</v>
      </c>
      <c r="B88" s="18" t="s">
        <v>1612</v>
      </c>
      <c r="C88" s="19" t="s">
        <v>1613</v>
      </c>
      <c r="D88" s="221" t="s">
        <v>1614</v>
      </c>
      <c r="E88" s="24" t="s">
        <v>75</v>
      </c>
      <c r="F88" s="24" t="s">
        <v>196</v>
      </c>
      <c r="G88" s="24" t="s">
        <v>196</v>
      </c>
      <c r="H88" s="218"/>
      <c r="I88" s="244"/>
      <c r="J88" s="303"/>
      <c r="K88" s="295" t="s">
        <v>1285</v>
      </c>
      <c r="L88" s="24"/>
      <c r="M88" s="219">
        <v>460000</v>
      </c>
      <c r="N88" s="248"/>
      <c r="O88" s="249"/>
      <c r="P88" s="249"/>
      <c r="Q88" s="249"/>
      <c r="R88" s="249"/>
      <c r="S88" s="249"/>
      <c r="T88" s="249"/>
      <c r="U88" s="249"/>
      <c r="V88" s="249"/>
      <c r="W88" s="254"/>
      <c r="X88" s="255"/>
      <c r="Y88" s="264"/>
      <c r="Z88" s="264"/>
      <c r="AA88" s="262"/>
      <c r="AB88" s="20"/>
      <c r="AC88" s="20"/>
      <c r="AD88" s="20"/>
      <c r="AE88" s="254"/>
      <c r="AF88" s="254"/>
      <c r="AG88" s="254"/>
      <c r="AH88" s="254"/>
      <c r="AI88" s="254"/>
      <c r="AJ88" s="254"/>
      <c r="AK88" s="254"/>
      <c r="AL88" s="254"/>
      <c r="AM88" s="254"/>
      <c r="AN88" s="267">
        <v>391000</v>
      </c>
      <c r="AO88" s="24" t="s">
        <v>175</v>
      </c>
      <c r="AP88" s="37" t="s">
        <v>1274</v>
      </c>
      <c r="AQ88" s="24"/>
      <c r="AR88" s="26" t="s">
        <v>384</v>
      </c>
      <c r="AS88" s="26"/>
      <c r="AT88" s="290"/>
      <c r="AU88" s="24"/>
      <c r="AV88" s="43"/>
      <c r="AW88" s="24"/>
      <c r="AX88" s="289"/>
      <c r="AY88" s="289"/>
      <c r="AZ88" s="296"/>
      <c r="BA88" s="290"/>
      <c r="BB88" s="25"/>
      <c r="BC88" s="291"/>
      <c r="BD88" s="310"/>
      <c r="BE88" s="297">
        <v>460000</v>
      </c>
      <c r="BF88" s="298">
        <f t="shared" si="1"/>
        <v>1</v>
      </c>
      <c r="BG88" s="297" t="e">
        <f>VLOOKUP(B88,[1]Sheet2!$B:$X,23,0)</f>
        <v>#N/A</v>
      </c>
    </row>
    <row r="89" spans="1:59" s="28" customFormat="1" ht="33" customHeight="1">
      <c r="A89" s="84" t="s">
        <v>1615</v>
      </c>
      <c r="B89" s="18" t="s">
        <v>1616</v>
      </c>
      <c r="C89" s="19" t="s">
        <v>1617</v>
      </c>
      <c r="D89" s="221" t="s">
        <v>1618</v>
      </c>
      <c r="E89" s="24" t="s">
        <v>75</v>
      </c>
      <c r="F89" s="24" t="s">
        <v>196</v>
      </c>
      <c r="G89" s="24" t="s">
        <v>196</v>
      </c>
      <c r="H89" s="218"/>
      <c r="I89" s="244"/>
      <c r="J89" s="303"/>
      <c r="K89" s="295" t="s">
        <v>1285</v>
      </c>
      <c r="L89" s="24"/>
      <c r="M89" s="219">
        <v>894976</v>
      </c>
      <c r="N89" s="248"/>
      <c r="O89" s="249"/>
      <c r="P89" s="249"/>
      <c r="Q89" s="249"/>
      <c r="R89" s="249"/>
      <c r="S89" s="249"/>
      <c r="T89" s="249"/>
      <c r="U89" s="249"/>
      <c r="V89" s="249"/>
      <c r="W89" s="254"/>
      <c r="X89" s="255"/>
      <c r="Y89" s="264"/>
      <c r="Z89" s="264"/>
      <c r="AA89" s="262"/>
      <c r="AB89" s="20"/>
      <c r="AC89" s="20"/>
      <c r="AD89" s="20"/>
      <c r="AE89" s="254"/>
      <c r="AF89" s="254"/>
      <c r="AG89" s="254"/>
      <c r="AH89" s="254"/>
      <c r="AI89" s="254"/>
      <c r="AJ89" s="254"/>
      <c r="AK89" s="254"/>
      <c r="AL89" s="254"/>
      <c r="AM89" s="254"/>
      <c r="AN89" s="267">
        <v>760650</v>
      </c>
      <c r="AO89" s="24" t="s">
        <v>175</v>
      </c>
      <c r="AP89" s="37" t="s">
        <v>1274</v>
      </c>
      <c r="AQ89" s="24"/>
      <c r="AR89" s="26" t="s">
        <v>384</v>
      </c>
      <c r="AS89" s="26"/>
      <c r="AT89" s="290"/>
      <c r="AU89" s="24"/>
      <c r="AV89" s="43"/>
      <c r="AW89" s="24"/>
      <c r="AX89" s="289"/>
      <c r="AY89" s="289"/>
      <c r="AZ89" s="296"/>
      <c r="BA89" s="290"/>
      <c r="BB89" s="25"/>
      <c r="BC89" s="291"/>
      <c r="BD89" s="310"/>
      <c r="BE89" s="297">
        <v>352985.59999999998</v>
      </c>
      <c r="BF89" s="298">
        <f t="shared" si="1"/>
        <v>0.39440789473684207</v>
      </c>
      <c r="BG89" s="297" t="e">
        <f>VLOOKUP(B89,[1]Sheet2!$B:$X,23,0)</f>
        <v>#N/A</v>
      </c>
    </row>
    <row r="90" spans="1:59" s="28" customFormat="1" ht="33" customHeight="1">
      <c r="A90" s="84" t="s">
        <v>1619</v>
      </c>
      <c r="B90" s="18" t="s">
        <v>1620</v>
      </c>
      <c r="C90" s="19" t="s">
        <v>1621</v>
      </c>
      <c r="D90" s="221" t="s">
        <v>1622</v>
      </c>
      <c r="E90" s="24" t="s">
        <v>75</v>
      </c>
      <c r="F90" s="37" t="s">
        <v>315</v>
      </c>
      <c r="G90" s="37" t="s">
        <v>315</v>
      </c>
      <c r="H90" s="218" t="s">
        <v>1275</v>
      </c>
      <c r="I90" s="244"/>
      <c r="J90" s="303"/>
      <c r="K90" s="295" t="s">
        <v>1285</v>
      </c>
      <c r="L90" s="24"/>
      <c r="M90" s="219">
        <v>49600</v>
      </c>
      <c r="N90" s="248"/>
      <c r="O90" s="249"/>
      <c r="P90" s="249"/>
      <c r="Q90" s="249"/>
      <c r="R90" s="249"/>
      <c r="S90" s="249"/>
      <c r="T90" s="249"/>
      <c r="U90" s="249"/>
      <c r="V90" s="249"/>
      <c r="W90" s="254"/>
      <c r="X90" s="255"/>
      <c r="Y90" s="264"/>
      <c r="Z90" s="264"/>
      <c r="AA90" s="262"/>
      <c r="AB90" s="20"/>
      <c r="AC90" s="20"/>
      <c r="AD90" s="20"/>
      <c r="AE90" s="254"/>
      <c r="AF90" s="254"/>
      <c r="AG90" s="254"/>
      <c r="AH90" s="254"/>
      <c r="AI90" s="254"/>
      <c r="AJ90" s="254"/>
      <c r="AK90" s="254"/>
      <c r="AL90" s="254"/>
      <c r="AM90" s="254"/>
      <c r="AN90" s="267">
        <v>42000</v>
      </c>
      <c r="AO90" s="24" t="s">
        <v>145</v>
      </c>
      <c r="AP90" s="37" t="s">
        <v>1274</v>
      </c>
      <c r="AQ90" s="24"/>
      <c r="AR90" s="26" t="s">
        <v>384</v>
      </c>
      <c r="AS90" s="26"/>
      <c r="AT90" s="290"/>
      <c r="AU90" s="24"/>
      <c r="AV90" s="43" t="s">
        <v>66</v>
      </c>
      <c r="AW90" s="24"/>
      <c r="AX90" s="289" t="s">
        <v>86</v>
      </c>
      <c r="AY90" s="289"/>
      <c r="AZ90" s="296">
        <v>42767</v>
      </c>
      <c r="BA90" s="290">
        <v>42917</v>
      </c>
      <c r="BB90" s="25" t="s">
        <v>78</v>
      </c>
      <c r="BC90" s="291">
        <v>43131</v>
      </c>
      <c r="BD90" s="310" t="s">
        <v>122</v>
      </c>
      <c r="BE90" s="297">
        <v>49600</v>
      </c>
      <c r="BF90" s="298">
        <f t="shared" si="1"/>
        <v>1</v>
      </c>
      <c r="BG90" s="297" t="e">
        <f>VLOOKUP(B90,[1]Sheet2!$B:$X,23,0)</f>
        <v>#N/A</v>
      </c>
    </row>
    <row r="91" spans="1:59" s="28" customFormat="1" ht="33" customHeight="1">
      <c r="A91" s="84" t="s">
        <v>1623</v>
      </c>
      <c r="B91" s="18" t="s">
        <v>1624</v>
      </c>
      <c r="C91" s="19" t="s">
        <v>1625</v>
      </c>
      <c r="D91" s="221" t="s">
        <v>1626</v>
      </c>
      <c r="E91" s="24" t="s">
        <v>83</v>
      </c>
      <c r="F91" s="37" t="s">
        <v>315</v>
      </c>
      <c r="G91" s="37" t="s">
        <v>315</v>
      </c>
      <c r="H91" s="218" t="s">
        <v>1275</v>
      </c>
      <c r="I91" s="244"/>
      <c r="J91" s="303"/>
      <c r="K91" s="295" t="s">
        <v>1285</v>
      </c>
      <c r="L91" s="24"/>
      <c r="M91" s="219">
        <v>2752.8</v>
      </c>
      <c r="N91" s="248"/>
      <c r="O91" s="249"/>
      <c r="P91" s="249"/>
      <c r="Q91" s="249"/>
      <c r="R91" s="249"/>
      <c r="S91" s="249"/>
      <c r="T91" s="249"/>
      <c r="U91" s="249"/>
      <c r="V91" s="249"/>
      <c r="W91" s="254"/>
      <c r="X91" s="255"/>
      <c r="Y91" s="264"/>
      <c r="Z91" s="264"/>
      <c r="AA91" s="262"/>
      <c r="AB91" s="20"/>
      <c r="AC91" s="20"/>
      <c r="AD91" s="20"/>
      <c r="AE91" s="254"/>
      <c r="AF91" s="254"/>
      <c r="AG91" s="254"/>
      <c r="AH91" s="254"/>
      <c r="AI91" s="254"/>
      <c r="AJ91" s="254"/>
      <c r="AK91" s="254"/>
      <c r="AL91" s="254"/>
      <c r="AM91" s="254"/>
      <c r="AN91" s="267">
        <v>2300</v>
      </c>
      <c r="AO91" s="24" t="s">
        <v>76</v>
      </c>
      <c r="AP91" s="37" t="s">
        <v>1308</v>
      </c>
      <c r="AQ91" s="24"/>
      <c r="AR91" s="26" t="s">
        <v>384</v>
      </c>
      <c r="AS91" s="26"/>
      <c r="AT91" s="290"/>
      <c r="AU91" s="24"/>
      <c r="AV91" s="43"/>
      <c r="AW91" s="24"/>
      <c r="AX91" s="289"/>
      <c r="AY91" s="289"/>
      <c r="AZ91" s="296"/>
      <c r="BA91" s="290"/>
      <c r="BB91" s="25"/>
      <c r="BC91" s="291"/>
      <c r="BD91" s="310"/>
      <c r="BE91" s="297">
        <v>2752.8</v>
      </c>
      <c r="BF91" s="298">
        <f t="shared" si="1"/>
        <v>1</v>
      </c>
      <c r="BG91" s="297" t="e">
        <f>VLOOKUP(B91,[1]Sheet2!$B:$X,23,0)</f>
        <v>#N/A</v>
      </c>
    </row>
    <row r="92" spans="1:59" s="28" customFormat="1" ht="33" customHeight="1">
      <c r="A92" s="84" t="s">
        <v>1627</v>
      </c>
      <c r="B92" s="18" t="s">
        <v>938</v>
      </c>
      <c r="C92" s="26" t="s">
        <v>937</v>
      </c>
      <c r="D92" s="26" t="s">
        <v>939</v>
      </c>
      <c r="E92" s="26" t="s">
        <v>92</v>
      </c>
      <c r="F92" s="216" t="s">
        <v>1277</v>
      </c>
      <c r="G92" s="216" t="s">
        <v>1277</v>
      </c>
      <c r="H92" s="218" t="s">
        <v>1277</v>
      </c>
      <c r="I92" s="26"/>
      <c r="J92" s="26"/>
      <c r="K92" s="295" t="s">
        <v>1285</v>
      </c>
      <c r="L92" s="26"/>
      <c r="M92" s="219">
        <v>3000000</v>
      </c>
      <c r="N92" s="243">
        <f>SUM(O92:V92)</f>
        <v>0</v>
      </c>
      <c r="O92" s="53"/>
      <c r="P92" s="245"/>
      <c r="Q92" s="245"/>
      <c r="R92" s="245"/>
      <c r="S92" s="245"/>
      <c r="T92" s="245"/>
      <c r="U92" s="245"/>
      <c r="V92" s="245"/>
      <c r="W92" s="26"/>
      <c r="X92" s="26"/>
      <c r="Y92" s="263"/>
      <c r="Z92" s="263"/>
      <c r="AA92" s="262"/>
      <c r="AB92" s="26"/>
      <c r="AC92" s="26"/>
      <c r="AD92" s="26"/>
      <c r="AE92" s="26"/>
      <c r="AF92" s="26"/>
      <c r="AG92" s="26"/>
      <c r="AH92" s="26"/>
      <c r="AI92" s="26"/>
      <c r="AJ92" s="26"/>
      <c r="AK92" s="26"/>
      <c r="AL92" s="26"/>
      <c r="AM92" s="26"/>
      <c r="AN92" s="243">
        <v>2677139.44</v>
      </c>
      <c r="AO92" s="25" t="s">
        <v>145</v>
      </c>
      <c r="AP92" s="37" t="s">
        <v>1442</v>
      </c>
      <c r="AQ92" s="245"/>
      <c r="AR92" s="26" t="s">
        <v>384</v>
      </c>
      <c r="AS92" s="26"/>
      <c r="AT92" s="308"/>
      <c r="AU92" s="245"/>
      <c r="AV92" s="43" t="s">
        <v>66</v>
      </c>
      <c r="AW92" s="245"/>
      <c r="AX92" s="289" t="s">
        <v>86</v>
      </c>
      <c r="AY92" s="289"/>
      <c r="AZ92" s="290">
        <v>43320</v>
      </c>
      <c r="BA92" s="290">
        <v>43328</v>
      </c>
      <c r="BB92" s="25" t="s">
        <v>940</v>
      </c>
      <c r="BC92" s="291" t="s">
        <v>941</v>
      </c>
      <c r="BD92" s="113" t="s">
        <v>931</v>
      </c>
      <c r="BE92" s="297">
        <v>1200000</v>
      </c>
      <c r="BF92" s="298">
        <f t="shared" si="1"/>
        <v>0.4</v>
      </c>
      <c r="BG92" s="297" t="e">
        <f>VLOOKUP(B92,[1]Sheet2!$B:$X,23,0)</f>
        <v>#N/A</v>
      </c>
    </row>
    <row r="93" spans="1:59" s="28" customFormat="1" ht="33" customHeight="1">
      <c r="A93" s="84" t="s">
        <v>1628</v>
      </c>
      <c r="B93" s="18" t="s">
        <v>1629</v>
      </c>
      <c r="C93" s="19" t="s">
        <v>1630</v>
      </c>
      <c r="D93" s="221" t="s">
        <v>1631</v>
      </c>
      <c r="E93" s="26"/>
      <c r="F93" s="219" t="s">
        <v>315</v>
      </c>
      <c r="G93" s="219" t="s">
        <v>315</v>
      </c>
      <c r="H93" s="218" t="s">
        <v>1314</v>
      </c>
      <c r="I93" s="26"/>
      <c r="J93" s="26"/>
      <c r="K93" s="295" t="s">
        <v>1285</v>
      </c>
      <c r="L93" s="26"/>
      <c r="M93" s="219">
        <v>112000</v>
      </c>
      <c r="N93" s="243"/>
      <c r="O93" s="53"/>
      <c r="P93" s="245"/>
      <c r="Q93" s="245"/>
      <c r="R93" s="245"/>
      <c r="S93" s="245"/>
      <c r="T93" s="245"/>
      <c r="U93" s="245"/>
      <c r="V93" s="245"/>
      <c r="W93" s="26"/>
      <c r="X93" s="26"/>
      <c r="Y93" s="263"/>
      <c r="Z93" s="263"/>
      <c r="AA93" s="262"/>
      <c r="AB93" s="26"/>
      <c r="AC93" s="26"/>
      <c r="AD93" s="26"/>
      <c r="AE93" s="26"/>
      <c r="AF93" s="26"/>
      <c r="AG93" s="26"/>
      <c r="AH93" s="26"/>
      <c r="AI93" s="26"/>
      <c r="AJ93" s="26"/>
      <c r="AK93" s="26"/>
      <c r="AL93" s="26"/>
      <c r="AM93" s="26"/>
      <c r="AN93" s="267">
        <v>95200</v>
      </c>
      <c r="AO93" s="24" t="s">
        <v>1406</v>
      </c>
      <c r="AP93" s="37" t="s">
        <v>1287</v>
      </c>
      <c r="AQ93" s="245"/>
      <c r="AR93" s="26" t="s">
        <v>384</v>
      </c>
      <c r="AS93" s="26"/>
      <c r="AT93" s="308"/>
      <c r="AU93" s="245"/>
      <c r="AV93" s="43"/>
      <c r="AW93" s="245"/>
      <c r="AX93" s="289"/>
      <c r="AY93" s="289"/>
      <c r="AZ93" s="290"/>
      <c r="BA93" s="290"/>
      <c r="BB93" s="25"/>
      <c r="BC93" s="291"/>
      <c r="BD93" s="113"/>
      <c r="BE93" s="297">
        <v>112000</v>
      </c>
      <c r="BF93" s="298">
        <f t="shared" si="1"/>
        <v>1</v>
      </c>
      <c r="BG93" s="297" t="e">
        <f>VLOOKUP(B93,[1]Sheet2!$B:$X,23,0)</f>
        <v>#N/A</v>
      </c>
    </row>
    <row r="94" spans="1:59" s="28" customFormat="1" ht="33" customHeight="1">
      <c r="A94" s="84" t="s">
        <v>1632</v>
      </c>
      <c r="B94" s="24" t="s">
        <v>179</v>
      </c>
      <c r="C94" s="26" t="s">
        <v>178</v>
      </c>
      <c r="D94" s="24" t="s">
        <v>180</v>
      </c>
      <c r="E94" s="23" t="s">
        <v>75</v>
      </c>
      <c r="F94" s="217" t="s">
        <v>315</v>
      </c>
      <c r="G94" s="217" t="s">
        <v>315</v>
      </c>
      <c r="H94" s="218" t="s">
        <v>1275</v>
      </c>
      <c r="I94" s="306" t="s">
        <v>175</v>
      </c>
      <c r="J94" s="306" t="s">
        <v>128</v>
      </c>
      <c r="K94" s="75" t="s">
        <v>162</v>
      </c>
      <c r="L94" s="24"/>
      <c r="M94" s="242">
        <v>37711</v>
      </c>
      <c r="N94" s="7">
        <v>37711</v>
      </c>
      <c r="O94" s="239"/>
      <c r="P94" s="239"/>
      <c r="Q94" s="239"/>
      <c r="R94" s="244" t="s">
        <v>181</v>
      </c>
      <c r="S94" s="239"/>
      <c r="T94" s="239"/>
      <c r="U94" s="239"/>
      <c r="V94" s="239"/>
      <c r="W94" s="248"/>
      <c r="X94" s="59"/>
      <c r="Y94" s="262"/>
      <c r="Z94" s="262"/>
      <c r="AA94" s="262">
        <v>0.15</v>
      </c>
      <c r="AB94" s="20" t="s">
        <v>182</v>
      </c>
      <c r="AC94" s="20"/>
      <c r="AD94" s="20"/>
      <c r="AE94" s="254"/>
      <c r="AF94" s="254"/>
      <c r="AG94" s="254"/>
      <c r="AH94" s="254"/>
      <c r="AI94" s="254"/>
      <c r="AJ94" s="254"/>
      <c r="AK94" s="254"/>
      <c r="AL94" s="254"/>
      <c r="AM94" s="254"/>
      <c r="AN94" s="267">
        <v>31000</v>
      </c>
      <c r="AO94" s="7" t="s">
        <v>145</v>
      </c>
      <c r="AP94" s="37" t="s">
        <v>1274</v>
      </c>
      <c r="AQ94" s="7"/>
      <c r="AR94" s="26" t="s">
        <v>384</v>
      </c>
      <c r="AS94" s="26"/>
      <c r="AT94" s="309">
        <v>42699</v>
      </c>
      <c r="AU94" s="7"/>
      <c r="AV94" s="43" t="s">
        <v>66</v>
      </c>
      <c r="AW94" s="7"/>
      <c r="AX94" s="289" t="s">
        <v>86</v>
      </c>
      <c r="AY94" s="289"/>
      <c r="AZ94" s="290">
        <v>42631</v>
      </c>
      <c r="BA94" s="290" t="s">
        <v>1633</v>
      </c>
      <c r="BB94" s="25" t="s">
        <v>78</v>
      </c>
      <c r="BC94" s="291">
        <v>42996</v>
      </c>
      <c r="BD94" s="113" t="s">
        <v>122</v>
      </c>
      <c r="BE94" s="297">
        <v>37711</v>
      </c>
      <c r="BF94" s="298">
        <f t="shared" si="1"/>
        <v>1</v>
      </c>
      <c r="BG94" s="297" t="e">
        <f>VLOOKUP(B94,[1]Sheet2!$B:$X,23,0)</f>
        <v>#N/A</v>
      </c>
    </row>
    <row r="95" spans="1:59" s="28" customFormat="1" ht="33" customHeight="1">
      <c r="A95" s="84" t="s">
        <v>220</v>
      </c>
      <c r="B95" s="16" t="s">
        <v>222</v>
      </c>
      <c r="C95" s="26" t="s">
        <v>221</v>
      </c>
      <c r="D95" s="26" t="s">
        <v>1634</v>
      </c>
      <c r="E95" s="25" t="s">
        <v>224</v>
      </c>
      <c r="F95" s="217" t="s">
        <v>315</v>
      </c>
      <c r="G95" s="217" t="s">
        <v>315</v>
      </c>
      <c r="H95" s="218" t="s">
        <v>1275</v>
      </c>
      <c r="I95" s="306"/>
      <c r="J95" s="306"/>
      <c r="K95" s="295" t="s">
        <v>1285</v>
      </c>
      <c r="L95" s="24"/>
      <c r="M95" s="219">
        <v>917266</v>
      </c>
      <c r="N95" s="7"/>
      <c r="O95" s="239"/>
      <c r="P95" s="239"/>
      <c r="Q95" s="239"/>
      <c r="R95" s="244"/>
      <c r="S95" s="239"/>
      <c r="T95" s="239"/>
      <c r="U95" s="239"/>
      <c r="V95" s="239"/>
      <c r="W95" s="248"/>
      <c r="X95" s="59"/>
      <c r="Y95" s="262"/>
      <c r="Z95" s="262"/>
      <c r="AA95" s="262"/>
      <c r="AB95" s="20"/>
      <c r="AC95" s="20"/>
      <c r="AD95" s="20"/>
      <c r="AE95" s="254"/>
      <c r="AF95" s="254"/>
      <c r="AG95" s="254"/>
      <c r="AH95" s="254"/>
      <c r="AI95" s="254"/>
      <c r="AJ95" s="254"/>
      <c r="AK95" s="254"/>
      <c r="AL95" s="254"/>
      <c r="AM95" s="254"/>
      <c r="AN95" s="267"/>
      <c r="AO95" s="25" t="s">
        <v>145</v>
      </c>
      <c r="AP95" s="37" t="s">
        <v>1308</v>
      </c>
      <c r="AQ95" s="7"/>
      <c r="AR95" s="26" t="s">
        <v>384</v>
      </c>
      <c r="AS95" s="26"/>
      <c r="AT95" s="309">
        <v>42782</v>
      </c>
      <c r="AU95" s="7"/>
      <c r="AV95" s="43" t="s">
        <v>66</v>
      </c>
      <c r="AW95" s="7"/>
      <c r="AX95" s="289" t="s">
        <v>86</v>
      </c>
      <c r="AY95" s="289"/>
      <c r="AZ95" s="290">
        <v>42837</v>
      </c>
      <c r="BA95" s="290"/>
      <c r="BB95" s="25" t="s">
        <v>78</v>
      </c>
      <c r="BC95" s="291">
        <v>43201</v>
      </c>
      <c r="BD95" s="113" t="s">
        <v>122</v>
      </c>
      <c r="BE95" s="297">
        <v>969210</v>
      </c>
      <c r="BF95" s="298">
        <f t="shared" si="1"/>
        <v>1.0566291566459456</v>
      </c>
      <c r="BG95" s="297" t="e">
        <f>VLOOKUP(B95,[1]Sheet2!$B:$X,23,0)</f>
        <v>#N/A</v>
      </c>
    </row>
    <row r="96" spans="1:59" s="28" customFormat="1" ht="33" customHeight="1">
      <c r="A96" s="17" t="s">
        <v>220</v>
      </c>
      <c r="B96" s="16" t="s">
        <v>222</v>
      </c>
      <c r="C96" s="26" t="s">
        <v>1635</v>
      </c>
      <c r="D96" s="26" t="s">
        <v>223</v>
      </c>
      <c r="E96" s="25" t="s">
        <v>224</v>
      </c>
      <c r="F96" s="217" t="s">
        <v>315</v>
      </c>
      <c r="G96" s="217" t="s">
        <v>315</v>
      </c>
      <c r="H96" s="218" t="s">
        <v>1275</v>
      </c>
      <c r="I96" s="53" t="s">
        <v>76</v>
      </c>
      <c r="J96" s="53"/>
      <c r="K96" s="295">
        <v>43031</v>
      </c>
      <c r="L96" s="26"/>
      <c r="M96" s="242">
        <v>924847</v>
      </c>
      <c r="N96" s="243">
        <v>924847</v>
      </c>
      <c r="O96" s="244"/>
      <c r="P96" s="244"/>
      <c r="Q96" s="244"/>
      <c r="R96" s="53" t="s">
        <v>225</v>
      </c>
      <c r="S96" s="244"/>
      <c r="T96" s="244"/>
      <c r="U96" s="244"/>
      <c r="V96" s="244"/>
      <c r="W96" s="7"/>
      <c r="X96" s="7"/>
      <c r="Y96" s="262"/>
      <c r="Z96" s="262"/>
      <c r="AA96" s="262">
        <v>0.15</v>
      </c>
      <c r="AB96" s="26"/>
      <c r="AC96" s="26"/>
      <c r="AD96" s="26"/>
      <c r="AE96" s="26">
        <v>786120</v>
      </c>
      <c r="AF96" s="26"/>
      <c r="AG96" s="26"/>
      <c r="AH96" s="26"/>
      <c r="AI96" s="26"/>
      <c r="AJ96" s="26"/>
      <c r="AK96" s="26"/>
      <c r="AL96" s="26"/>
      <c r="AM96" s="26"/>
      <c r="AN96" s="266">
        <f>SUM(AB96:AH96)</f>
        <v>786120</v>
      </c>
      <c r="AO96" s="25" t="s">
        <v>145</v>
      </c>
      <c r="AP96" s="37" t="s">
        <v>1308</v>
      </c>
      <c r="AQ96" s="245"/>
      <c r="AR96" s="26" t="s">
        <v>384</v>
      </c>
      <c r="AS96" s="26"/>
      <c r="AT96" s="308">
        <v>43008</v>
      </c>
      <c r="AU96" s="245"/>
      <c r="AV96" s="43" t="s">
        <v>66</v>
      </c>
      <c r="AW96" s="245"/>
      <c r="AX96" s="289" t="s">
        <v>86</v>
      </c>
      <c r="AY96" s="289"/>
      <c r="AZ96" s="290">
        <v>43102</v>
      </c>
      <c r="BA96" s="290"/>
      <c r="BB96" s="25" t="s">
        <v>78</v>
      </c>
      <c r="BC96" s="291">
        <v>43466</v>
      </c>
      <c r="BD96" s="113" t="s">
        <v>122</v>
      </c>
      <c r="BE96" s="297">
        <v>969210</v>
      </c>
      <c r="BF96" s="298">
        <f t="shared" si="1"/>
        <v>1.0479679341555954</v>
      </c>
      <c r="BG96" s="297" t="e">
        <f>VLOOKUP(B96,[1]Sheet2!$B:$X,23,0)</f>
        <v>#N/A</v>
      </c>
    </row>
    <row r="97" spans="1:59" s="28" customFormat="1" ht="33" customHeight="1">
      <c r="A97" s="84" t="s">
        <v>220</v>
      </c>
      <c r="B97" s="16" t="s">
        <v>222</v>
      </c>
      <c r="C97" s="26" t="s">
        <v>1636</v>
      </c>
      <c r="D97" s="26" t="s">
        <v>226</v>
      </c>
      <c r="E97" s="25" t="s">
        <v>224</v>
      </c>
      <c r="F97" s="217" t="s">
        <v>315</v>
      </c>
      <c r="G97" s="217" t="s">
        <v>315</v>
      </c>
      <c r="H97" s="218" t="s">
        <v>1275</v>
      </c>
      <c r="I97" s="53"/>
      <c r="J97" s="53"/>
      <c r="K97" s="295" t="s">
        <v>1285</v>
      </c>
      <c r="L97" s="26"/>
      <c r="M97" s="219">
        <v>917266</v>
      </c>
      <c r="N97" s="243"/>
      <c r="O97" s="244"/>
      <c r="P97" s="244"/>
      <c r="Q97" s="244"/>
      <c r="R97" s="244"/>
      <c r="S97" s="244"/>
      <c r="T97" s="244"/>
      <c r="U97" s="244"/>
      <c r="V97" s="244"/>
      <c r="W97" s="7"/>
      <c r="X97" s="7"/>
      <c r="Y97" s="262"/>
      <c r="Z97" s="262"/>
      <c r="AA97" s="262"/>
      <c r="AB97" s="26"/>
      <c r="AC97" s="26"/>
      <c r="AD97" s="26"/>
      <c r="AE97" s="26"/>
      <c r="AF97" s="26"/>
      <c r="AG97" s="26"/>
      <c r="AH97" s="26"/>
      <c r="AI97" s="26"/>
      <c r="AJ97" s="26"/>
      <c r="AK97" s="26"/>
      <c r="AL97" s="26"/>
      <c r="AM97" s="26"/>
      <c r="AN97" s="266"/>
      <c r="AO97" s="25" t="s">
        <v>145</v>
      </c>
      <c r="AP97" s="37" t="s">
        <v>1308</v>
      </c>
      <c r="AQ97" s="245"/>
      <c r="AR97" s="26" t="s">
        <v>384</v>
      </c>
      <c r="AS97" s="26"/>
      <c r="AT97" s="308">
        <v>43059</v>
      </c>
      <c r="AU97" s="245"/>
      <c r="AV97" s="43" t="s">
        <v>66</v>
      </c>
      <c r="AW97" s="245"/>
      <c r="AX97" s="289" t="s">
        <v>86</v>
      </c>
      <c r="AY97" s="289"/>
      <c r="AZ97" s="290">
        <v>43365</v>
      </c>
      <c r="BA97" s="290">
        <v>43366</v>
      </c>
      <c r="BB97" s="25" t="s">
        <v>78</v>
      </c>
      <c r="BC97" s="291">
        <v>43729</v>
      </c>
      <c r="BD97" s="113" t="s">
        <v>122</v>
      </c>
      <c r="BE97" s="297">
        <v>969210</v>
      </c>
      <c r="BF97" s="298">
        <f t="shared" si="1"/>
        <v>1.0566291566459456</v>
      </c>
      <c r="BG97" s="297" t="e">
        <f>VLOOKUP(B97,[1]Sheet2!$B:$X,23,0)</f>
        <v>#N/A</v>
      </c>
    </row>
    <row r="98" spans="1:59" s="28" customFormat="1" ht="33" customHeight="1">
      <c r="A98" s="7" t="s">
        <v>135</v>
      </c>
      <c r="B98" s="7" t="s">
        <v>137</v>
      </c>
      <c r="C98" s="26" t="s">
        <v>136</v>
      </c>
      <c r="D98" s="7" t="s">
        <v>138</v>
      </c>
      <c r="E98" s="4" t="s">
        <v>139</v>
      </c>
      <c r="F98" s="7" t="s">
        <v>140</v>
      </c>
      <c r="G98" s="7" t="s">
        <v>1637</v>
      </c>
      <c r="H98" s="218" t="s">
        <v>1275</v>
      </c>
      <c r="I98" s="244" t="s">
        <v>141</v>
      </c>
      <c r="J98" s="303" t="s">
        <v>142</v>
      </c>
      <c r="K98" s="87" t="s">
        <v>129</v>
      </c>
      <c r="L98" s="24" t="s">
        <v>143</v>
      </c>
      <c r="M98" s="242">
        <v>5213242</v>
      </c>
      <c r="N98" s="248">
        <v>5213242</v>
      </c>
      <c r="O98" s="307" t="s">
        <v>144</v>
      </c>
      <c r="P98" s="249"/>
      <c r="Q98" s="249"/>
      <c r="R98" s="249"/>
      <c r="S98" s="249"/>
      <c r="T98" s="249"/>
      <c r="U98" s="249"/>
      <c r="V98" s="249"/>
      <c r="W98" s="244"/>
      <c r="X98" s="59"/>
      <c r="Y98" s="262"/>
      <c r="Z98" s="262"/>
      <c r="AA98" s="262">
        <v>0.1</v>
      </c>
      <c r="AB98" s="254">
        <v>4691918</v>
      </c>
      <c r="AC98" s="254"/>
      <c r="AD98" s="254"/>
      <c r="AE98" s="254">
        <v>0</v>
      </c>
      <c r="AF98" s="254"/>
      <c r="AG98" s="254"/>
      <c r="AH98" s="254">
        <v>0</v>
      </c>
      <c r="AI98" s="254"/>
      <c r="AJ98" s="254"/>
      <c r="AK98" s="254"/>
      <c r="AL98" s="254"/>
      <c r="AM98" s="254"/>
      <c r="AN98" s="266">
        <f>SUM(AB98:AH98)</f>
        <v>4691918</v>
      </c>
      <c r="AO98" s="20" t="s">
        <v>145</v>
      </c>
      <c r="AP98" s="37" t="s">
        <v>1442</v>
      </c>
      <c r="AQ98" s="7"/>
      <c r="AR98" s="26" t="s">
        <v>384</v>
      </c>
      <c r="AS98" s="26"/>
      <c r="AT98" s="309">
        <v>42658</v>
      </c>
      <c r="AU98" s="7"/>
      <c r="AV98" s="43" t="s">
        <v>66</v>
      </c>
      <c r="AW98" s="7"/>
      <c r="AX98" s="7" t="s">
        <v>86</v>
      </c>
      <c r="AY98" s="7"/>
      <c r="AZ98" s="309">
        <v>42720</v>
      </c>
      <c r="BA98" s="309">
        <v>42794</v>
      </c>
      <c r="BB98" s="25" t="s">
        <v>78</v>
      </c>
      <c r="BC98" s="291">
        <v>43085</v>
      </c>
      <c r="BD98" s="113" t="s">
        <v>122</v>
      </c>
      <c r="BE98" s="297">
        <v>5213242</v>
      </c>
      <c r="BF98" s="298">
        <f t="shared" si="1"/>
        <v>1</v>
      </c>
      <c r="BG98" s="297" t="e">
        <f>VLOOKUP(B98,[1]Sheet2!$B:$X,23,0)</f>
        <v>#N/A</v>
      </c>
    </row>
    <row r="99" spans="1:59" s="28" customFormat="1" ht="33" customHeight="1">
      <c r="A99" s="84"/>
      <c r="B99" s="7"/>
      <c r="C99" s="26" t="s">
        <v>1638</v>
      </c>
      <c r="D99" s="7" t="s">
        <v>138</v>
      </c>
      <c r="E99" s="4" t="s">
        <v>139</v>
      </c>
      <c r="F99" s="7" t="s">
        <v>140</v>
      </c>
      <c r="G99" s="7" t="s">
        <v>1637</v>
      </c>
      <c r="H99" s="218"/>
      <c r="I99" s="244"/>
      <c r="J99" s="303"/>
      <c r="K99" s="87" t="s">
        <v>129</v>
      </c>
      <c r="L99" s="24"/>
      <c r="M99" s="219"/>
      <c r="N99" s="248"/>
      <c r="O99" s="307"/>
      <c r="P99" s="249"/>
      <c r="Q99" s="249"/>
      <c r="R99" s="249"/>
      <c r="S99" s="249"/>
      <c r="T99" s="249"/>
      <c r="U99" s="249"/>
      <c r="V99" s="249"/>
      <c r="W99" s="244"/>
      <c r="X99" s="59"/>
      <c r="Y99" s="262"/>
      <c r="Z99" s="262"/>
      <c r="AA99" s="262"/>
      <c r="AB99" s="254"/>
      <c r="AC99" s="254"/>
      <c r="AD99" s="254"/>
      <c r="AE99" s="254"/>
      <c r="AF99" s="254"/>
      <c r="AG99" s="254"/>
      <c r="AH99" s="254"/>
      <c r="AI99" s="254"/>
      <c r="AJ99" s="254"/>
      <c r="AK99" s="254"/>
      <c r="AL99" s="254"/>
      <c r="AM99" s="254"/>
      <c r="AN99" s="266"/>
      <c r="AO99" s="20" t="s">
        <v>145</v>
      </c>
      <c r="AP99" s="37" t="s">
        <v>1442</v>
      </c>
      <c r="AQ99" s="7"/>
      <c r="AR99" s="26" t="s">
        <v>384</v>
      </c>
      <c r="AS99" s="26"/>
      <c r="AT99" s="309">
        <v>42847</v>
      </c>
      <c r="AU99" s="7"/>
      <c r="AV99" s="43" t="s">
        <v>66</v>
      </c>
      <c r="AW99" s="7"/>
      <c r="AX99" s="7" t="s">
        <v>86</v>
      </c>
      <c r="AY99" s="7"/>
      <c r="AZ99" s="309">
        <v>42941</v>
      </c>
      <c r="BA99" s="309"/>
      <c r="BB99" s="25" t="s">
        <v>78</v>
      </c>
      <c r="BC99" s="291">
        <v>43305</v>
      </c>
      <c r="BD99" s="113" t="s">
        <v>122</v>
      </c>
      <c r="BE99" s="297"/>
      <c r="BF99" s="298" t="e">
        <f t="shared" si="1"/>
        <v>#DIV/0!</v>
      </c>
      <c r="BG99" s="297" t="e">
        <f>VLOOKUP(B99,[1]Sheet2!$B:$X,23,0)</f>
        <v>#N/A</v>
      </c>
    </row>
    <row r="100" spans="1:59" s="28" customFormat="1" ht="33" customHeight="1">
      <c r="A100" s="84" t="s">
        <v>1639</v>
      </c>
      <c r="B100" s="18" t="s">
        <v>1640</v>
      </c>
      <c r="C100" s="19" t="s">
        <v>1641</v>
      </c>
      <c r="D100" s="221" t="s">
        <v>1642</v>
      </c>
      <c r="E100" s="4"/>
      <c r="F100" s="37" t="s">
        <v>315</v>
      </c>
      <c r="G100" s="37" t="s">
        <v>315</v>
      </c>
      <c r="H100" s="218" t="s">
        <v>1275</v>
      </c>
      <c r="I100" s="244"/>
      <c r="J100" s="303"/>
      <c r="K100" s="295" t="s">
        <v>1285</v>
      </c>
      <c r="L100" s="24"/>
      <c r="M100" s="219">
        <v>181756</v>
      </c>
      <c r="N100" s="248"/>
      <c r="O100" s="307"/>
      <c r="P100" s="249"/>
      <c r="Q100" s="249"/>
      <c r="R100" s="249"/>
      <c r="S100" s="249"/>
      <c r="T100" s="249"/>
      <c r="U100" s="249"/>
      <c r="V100" s="249"/>
      <c r="W100" s="244"/>
      <c r="X100" s="59"/>
      <c r="Y100" s="262"/>
      <c r="Z100" s="262"/>
      <c r="AA100" s="262"/>
      <c r="AB100" s="254"/>
      <c r="AC100" s="254"/>
      <c r="AD100" s="254"/>
      <c r="AE100" s="254"/>
      <c r="AF100" s="254"/>
      <c r="AG100" s="254"/>
      <c r="AH100" s="254"/>
      <c r="AI100" s="254"/>
      <c r="AJ100" s="254"/>
      <c r="AK100" s="254"/>
      <c r="AL100" s="254"/>
      <c r="AM100" s="254"/>
      <c r="AN100" s="267">
        <v>153500</v>
      </c>
      <c r="AO100" s="24" t="s">
        <v>150</v>
      </c>
      <c r="AP100" s="37" t="e">
        <v>#N/A</v>
      </c>
      <c r="AQ100" s="7"/>
      <c r="AR100" s="26" t="s">
        <v>384</v>
      </c>
      <c r="AS100" s="26"/>
      <c r="AT100" s="309">
        <v>42726</v>
      </c>
      <c r="AU100" s="7"/>
      <c r="AV100" s="43" t="s">
        <v>66</v>
      </c>
      <c r="AW100" s="7"/>
      <c r="AX100" s="7" t="s">
        <v>86</v>
      </c>
      <c r="AY100" s="7"/>
      <c r="AZ100" s="309">
        <v>42730</v>
      </c>
      <c r="BA100" s="309">
        <v>42822</v>
      </c>
      <c r="BB100" s="25" t="s">
        <v>78</v>
      </c>
      <c r="BC100" s="291">
        <v>43094</v>
      </c>
      <c r="BD100" s="113" t="s">
        <v>122</v>
      </c>
      <c r="BE100" s="297">
        <v>181756</v>
      </c>
      <c r="BF100" s="298">
        <f t="shared" si="1"/>
        <v>1</v>
      </c>
      <c r="BG100" s="297" t="e">
        <f>VLOOKUP(B100,[1]Sheet2!$B:$X,23,0)</f>
        <v>#N/A</v>
      </c>
    </row>
    <row r="101" spans="1:59" s="28" customFormat="1" ht="33" customHeight="1">
      <c r="A101" s="84" t="s">
        <v>1643</v>
      </c>
      <c r="B101" s="18" t="s">
        <v>1644</v>
      </c>
      <c r="C101" s="19" t="s">
        <v>1645</v>
      </c>
      <c r="D101" s="221" t="s">
        <v>1646</v>
      </c>
      <c r="E101" s="4" t="s">
        <v>139</v>
      </c>
      <c r="F101" s="37" t="s">
        <v>315</v>
      </c>
      <c r="G101" s="37" t="s">
        <v>315</v>
      </c>
      <c r="H101" s="218" t="s">
        <v>1275</v>
      </c>
      <c r="I101" s="244"/>
      <c r="J101" s="303"/>
      <c r="K101" s="295" t="s">
        <v>1285</v>
      </c>
      <c r="L101" s="24"/>
      <c r="M101" s="219">
        <v>119369</v>
      </c>
      <c r="N101" s="248"/>
      <c r="O101" s="307"/>
      <c r="P101" s="249"/>
      <c r="Q101" s="249"/>
      <c r="R101" s="249"/>
      <c r="S101" s="249"/>
      <c r="T101" s="249"/>
      <c r="U101" s="249"/>
      <c r="V101" s="249"/>
      <c r="W101" s="244"/>
      <c r="X101" s="59"/>
      <c r="Y101" s="262"/>
      <c r="Z101" s="262"/>
      <c r="AA101" s="262"/>
      <c r="AB101" s="254"/>
      <c r="AC101" s="254"/>
      <c r="AD101" s="254"/>
      <c r="AE101" s="254"/>
      <c r="AF101" s="254"/>
      <c r="AG101" s="254"/>
      <c r="AH101" s="254"/>
      <c r="AI101" s="254"/>
      <c r="AJ101" s="254"/>
      <c r="AK101" s="254"/>
      <c r="AL101" s="254"/>
      <c r="AM101" s="254"/>
      <c r="AN101" s="267">
        <v>101000</v>
      </c>
      <c r="AO101" s="24" t="s">
        <v>150</v>
      </c>
      <c r="AP101" s="37" t="s">
        <v>1442</v>
      </c>
      <c r="AQ101" s="7"/>
      <c r="AR101" s="26" t="s">
        <v>384</v>
      </c>
      <c r="AS101" s="26"/>
      <c r="AT101" s="309">
        <v>42729</v>
      </c>
      <c r="AU101" s="7"/>
      <c r="AV101" s="43" t="s">
        <v>66</v>
      </c>
      <c r="AW101" s="7"/>
      <c r="AX101" s="7" t="s">
        <v>86</v>
      </c>
      <c r="AY101" s="7"/>
      <c r="AZ101" s="309">
        <v>42732</v>
      </c>
      <c r="BA101" s="309">
        <v>42822</v>
      </c>
      <c r="BB101" s="25" t="s">
        <v>78</v>
      </c>
      <c r="BC101" s="291">
        <v>43096</v>
      </c>
      <c r="BD101" s="113" t="s">
        <v>122</v>
      </c>
      <c r="BE101" s="297">
        <v>119369</v>
      </c>
      <c r="BF101" s="298">
        <f t="shared" si="1"/>
        <v>1</v>
      </c>
      <c r="BG101" s="297" t="e">
        <f>VLOOKUP(B101,[1]Sheet2!$B:$X,23,0)</f>
        <v>#N/A</v>
      </c>
    </row>
    <row r="102" spans="1:59" s="28" customFormat="1" ht="33" customHeight="1">
      <c r="A102" s="84" t="s">
        <v>1647</v>
      </c>
      <c r="B102" s="18" t="s">
        <v>1648</v>
      </c>
      <c r="C102" s="19" t="s">
        <v>1649</v>
      </c>
      <c r="D102" s="221" t="s">
        <v>1650</v>
      </c>
      <c r="E102" s="4" t="s">
        <v>75</v>
      </c>
      <c r="F102" s="37" t="s">
        <v>315</v>
      </c>
      <c r="G102" s="37" t="s">
        <v>315</v>
      </c>
      <c r="H102" s="218" t="s">
        <v>1275</v>
      </c>
      <c r="I102" s="244"/>
      <c r="J102" s="303"/>
      <c r="K102" s="295" t="s">
        <v>1285</v>
      </c>
      <c r="L102" s="24"/>
      <c r="M102" s="219">
        <v>47000</v>
      </c>
      <c r="N102" s="248"/>
      <c r="O102" s="307"/>
      <c r="P102" s="249"/>
      <c r="Q102" s="249"/>
      <c r="R102" s="249"/>
      <c r="S102" s="249"/>
      <c r="T102" s="249"/>
      <c r="U102" s="249"/>
      <c r="V102" s="249"/>
      <c r="W102" s="244"/>
      <c r="X102" s="59"/>
      <c r="Y102" s="262"/>
      <c r="Z102" s="262"/>
      <c r="AA102" s="262"/>
      <c r="AB102" s="254"/>
      <c r="AC102" s="254"/>
      <c r="AD102" s="254"/>
      <c r="AE102" s="254"/>
      <c r="AF102" s="254"/>
      <c r="AG102" s="254"/>
      <c r="AH102" s="254"/>
      <c r="AI102" s="254"/>
      <c r="AJ102" s="254"/>
      <c r="AK102" s="254"/>
      <c r="AL102" s="254"/>
      <c r="AM102" s="254"/>
      <c r="AN102" s="267">
        <v>39900</v>
      </c>
      <c r="AO102" s="24" t="s">
        <v>175</v>
      </c>
      <c r="AP102" s="37" t="s">
        <v>1274</v>
      </c>
      <c r="AQ102" s="7"/>
      <c r="AR102" s="26" t="s">
        <v>384</v>
      </c>
      <c r="AS102" s="26"/>
      <c r="AT102" s="309">
        <v>42714</v>
      </c>
      <c r="AU102" s="7"/>
      <c r="AV102" s="43" t="s">
        <v>66</v>
      </c>
      <c r="AW102" s="7"/>
      <c r="AX102" s="7" t="s">
        <v>86</v>
      </c>
      <c r="AY102" s="7"/>
      <c r="AZ102" s="309">
        <v>42734</v>
      </c>
      <c r="BA102" s="309">
        <v>42822</v>
      </c>
      <c r="BB102" s="25" t="s">
        <v>78</v>
      </c>
      <c r="BC102" s="291">
        <v>43098</v>
      </c>
      <c r="BD102" s="113" t="s">
        <v>122</v>
      </c>
      <c r="BE102" s="297">
        <v>47000</v>
      </c>
      <c r="BF102" s="298">
        <f t="shared" si="1"/>
        <v>1</v>
      </c>
      <c r="BG102" s="297" t="e">
        <f>VLOOKUP(B102,[1]Sheet2!$B:$X,23,0)</f>
        <v>#N/A</v>
      </c>
    </row>
    <row r="103" spans="1:59" s="28" customFormat="1" ht="33" customHeight="1">
      <c r="A103" s="84" t="s">
        <v>513</v>
      </c>
      <c r="B103" s="18" t="s">
        <v>1651</v>
      </c>
      <c r="C103" s="19" t="s">
        <v>1652</v>
      </c>
      <c r="D103" s="221" t="s">
        <v>1653</v>
      </c>
      <c r="E103" s="4" t="s">
        <v>75</v>
      </c>
      <c r="F103" s="37" t="s">
        <v>315</v>
      </c>
      <c r="G103" s="37" t="s">
        <v>315</v>
      </c>
      <c r="H103" s="218" t="s">
        <v>1275</v>
      </c>
      <c r="I103" s="244"/>
      <c r="J103" s="303"/>
      <c r="K103" s="295" t="s">
        <v>1285</v>
      </c>
      <c r="L103" s="24"/>
      <c r="M103" s="219">
        <v>36000</v>
      </c>
      <c r="N103" s="248"/>
      <c r="O103" s="307"/>
      <c r="P103" s="249"/>
      <c r="Q103" s="249"/>
      <c r="R103" s="249"/>
      <c r="S103" s="249"/>
      <c r="T103" s="249"/>
      <c r="U103" s="249"/>
      <c r="V103" s="249"/>
      <c r="W103" s="244"/>
      <c r="X103" s="59"/>
      <c r="Y103" s="262"/>
      <c r="Z103" s="262"/>
      <c r="AA103" s="262"/>
      <c r="AB103" s="254"/>
      <c r="AC103" s="254"/>
      <c r="AD103" s="254"/>
      <c r="AE103" s="254"/>
      <c r="AF103" s="254"/>
      <c r="AG103" s="254"/>
      <c r="AH103" s="254"/>
      <c r="AI103" s="254"/>
      <c r="AJ103" s="254"/>
      <c r="AK103" s="254"/>
      <c r="AL103" s="254"/>
      <c r="AM103" s="254"/>
      <c r="AN103" s="267">
        <v>30500</v>
      </c>
      <c r="AO103" s="24" t="s">
        <v>175</v>
      </c>
      <c r="AP103" s="37" t="s">
        <v>1274</v>
      </c>
      <c r="AQ103" s="7"/>
      <c r="AR103" s="26" t="s">
        <v>384</v>
      </c>
      <c r="AS103" s="26"/>
      <c r="AT103" s="309">
        <v>42714</v>
      </c>
      <c r="AU103" s="7"/>
      <c r="AV103" s="43" t="s">
        <v>66</v>
      </c>
      <c r="AW103" s="7"/>
      <c r="AX103" s="7" t="s">
        <v>86</v>
      </c>
      <c r="AY103" s="7"/>
      <c r="AZ103" s="309">
        <v>42734</v>
      </c>
      <c r="BA103" s="309">
        <v>42822</v>
      </c>
      <c r="BB103" s="25" t="s">
        <v>78</v>
      </c>
      <c r="BC103" s="291">
        <v>43098</v>
      </c>
      <c r="BD103" s="113" t="s">
        <v>122</v>
      </c>
      <c r="BE103" s="297">
        <v>36000</v>
      </c>
      <c r="BF103" s="298">
        <f t="shared" si="1"/>
        <v>1</v>
      </c>
      <c r="BG103" s="297" t="e">
        <f>VLOOKUP(B103,[1]Sheet2!$B:$X,23,0)</f>
        <v>#N/A</v>
      </c>
    </row>
    <row r="104" spans="1:59" s="28" customFormat="1" ht="33" customHeight="1">
      <c r="A104" s="84" t="s">
        <v>1654</v>
      </c>
      <c r="B104" s="18" t="s">
        <v>1655</v>
      </c>
      <c r="C104" s="19" t="s">
        <v>1656</v>
      </c>
      <c r="D104" s="221" t="s">
        <v>1657</v>
      </c>
      <c r="E104" s="4" t="s">
        <v>576</v>
      </c>
      <c r="F104" s="7" t="s">
        <v>140</v>
      </c>
      <c r="G104" s="7" t="s">
        <v>1637</v>
      </c>
      <c r="H104" s="218" t="s">
        <v>1275</v>
      </c>
      <c r="I104" s="244"/>
      <c r="J104" s="303"/>
      <c r="K104" s="295" t="s">
        <v>1285</v>
      </c>
      <c r="L104" s="24"/>
      <c r="M104" s="219">
        <v>183640</v>
      </c>
      <c r="N104" s="248"/>
      <c r="O104" s="307"/>
      <c r="P104" s="249"/>
      <c r="Q104" s="249"/>
      <c r="R104" s="249"/>
      <c r="S104" s="249"/>
      <c r="T104" s="249"/>
      <c r="U104" s="249"/>
      <c r="V104" s="249"/>
      <c r="W104" s="244"/>
      <c r="X104" s="59"/>
      <c r="Y104" s="262"/>
      <c r="Z104" s="262"/>
      <c r="AA104" s="262"/>
      <c r="AB104" s="254"/>
      <c r="AC104" s="254"/>
      <c r="AD104" s="254"/>
      <c r="AE104" s="254"/>
      <c r="AF104" s="254"/>
      <c r="AG104" s="254"/>
      <c r="AH104" s="254"/>
      <c r="AI104" s="254"/>
      <c r="AJ104" s="254"/>
      <c r="AK104" s="254"/>
      <c r="AL104" s="254"/>
      <c r="AM104" s="254"/>
      <c r="AN104" s="267">
        <v>156000</v>
      </c>
      <c r="AO104" s="24" t="s">
        <v>175</v>
      </c>
      <c r="AP104" s="37" t="s">
        <v>1287</v>
      </c>
      <c r="AQ104" s="7"/>
      <c r="AR104" s="26" t="s">
        <v>384</v>
      </c>
      <c r="AS104" s="26"/>
      <c r="AT104" s="309"/>
      <c r="AU104" s="7"/>
      <c r="AV104" s="43"/>
      <c r="AW104" s="7"/>
      <c r="AX104" s="7"/>
      <c r="AY104" s="7"/>
      <c r="AZ104" s="309"/>
      <c r="BA104" s="309"/>
      <c r="BB104" s="25"/>
      <c r="BC104" s="291"/>
      <c r="BD104" s="113"/>
      <c r="BE104" s="297">
        <v>183640</v>
      </c>
      <c r="BF104" s="298">
        <f t="shared" si="1"/>
        <v>1</v>
      </c>
      <c r="BG104" s="297" t="e">
        <f>VLOOKUP(B104,[1]Sheet2!$B:$X,23,0)</f>
        <v>#N/A</v>
      </c>
    </row>
    <row r="105" spans="1:59" s="28" customFormat="1" ht="33" customHeight="1">
      <c r="A105" s="84" t="s">
        <v>1658</v>
      </c>
      <c r="B105" s="18" t="s">
        <v>1659</v>
      </c>
      <c r="C105" s="19" t="s">
        <v>1660</v>
      </c>
      <c r="D105" s="221" t="s">
        <v>1661</v>
      </c>
      <c r="E105" s="4" t="s">
        <v>1662</v>
      </c>
      <c r="F105" s="37" t="s">
        <v>315</v>
      </c>
      <c r="G105" s="37" t="s">
        <v>315</v>
      </c>
      <c r="H105" s="218" t="s">
        <v>1275</v>
      </c>
      <c r="I105" s="244"/>
      <c r="J105" s="303"/>
      <c r="K105" s="295" t="s">
        <v>1285</v>
      </c>
      <c r="L105" s="24"/>
      <c r="M105" s="219">
        <v>195000</v>
      </c>
      <c r="N105" s="248"/>
      <c r="O105" s="307"/>
      <c r="P105" s="249"/>
      <c r="Q105" s="249"/>
      <c r="R105" s="249"/>
      <c r="S105" s="249"/>
      <c r="T105" s="249"/>
      <c r="U105" s="249"/>
      <c r="V105" s="249"/>
      <c r="W105" s="244"/>
      <c r="X105" s="59"/>
      <c r="Y105" s="262"/>
      <c r="Z105" s="262"/>
      <c r="AA105" s="262"/>
      <c r="AB105" s="254"/>
      <c r="AC105" s="254"/>
      <c r="AD105" s="254"/>
      <c r="AE105" s="254"/>
      <c r="AF105" s="254"/>
      <c r="AG105" s="254"/>
      <c r="AH105" s="254"/>
      <c r="AI105" s="254"/>
      <c r="AJ105" s="254"/>
      <c r="AK105" s="254"/>
      <c r="AL105" s="254"/>
      <c r="AM105" s="254"/>
      <c r="AN105" s="267">
        <v>144320</v>
      </c>
      <c r="AO105" s="24" t="s">
        <v>114</v>
      </c>
      <c r="AP105" s="37"/>
      <c r="AQ105" s="7"/>
      <c r="AR105" s="26" t="s">
        <v>384</v>
      </c>
      <c r="AS105" s="26"/>
      <c r="AT105" s="309"/>
      <c r="AU105" s="7"/>
      <c r="AV105" s="43" t="s">
        <v>66</v>
      </c>
      <c r="AW105" s="7"/>
      <c r="AX105" s="24" t="s">
        <v>86</v>
      </c>
      <c r="AY105" s="24"/>
      <c r="AZ105" s="290">
        <v>42826</v>
      </c>
      <c r="BA105" s="309"/>
      <c r="BB105" s="25"/>
      <c r="BC105" s="291">
        <v>43190</v>
      </c>
      <c r="BD105" s="113" t="s">
        <v>122</v>
      </c>
      <c r="BE105" s="297">
        <v>195000</v>
      </c>
      <c r="BF105" s="298">
        <f t="shared" si="1"/>
        <v>1</v>
      </c>
      <c r="BG105" s="297" t="e">
        <f>VLOOKUP(B105,[1]Sheet2!$B:$X,23,0)</f>
        <v>#N/A</v>
      </c>
    </row>
    <row r="106" spans="1:59" s="28" customFormat="1" ht="33" customHeight="1">
      <c r="A106" s="17" t="s">
        <v>109</v>
      </c>
      <c r="B106" s="16" t="s">
        <v>111</v>
      </c>
      <c r="C106" s="26" t="s">
        <v>110</v>
      </c>
      <c r="D106" s="24" t="s">
        <v>112</v>
      </c>
      <c r="E106" s="24" t="s">
        <v>113</v>
      </c>
      <c r="F106" s="37" t="s">
        <v>1433</v>
      </c>
      <c r="G106" s="37" t="s">
        <v>1433</v>
      </c>
      <c r="H106" s="218" t="s">
        <v>1433</v>
      </c>
      <c r="I106" s="303" t="s">
        <v>114</v>
      </c>
      <c r="J106" s="303" t="s">
        <v>63</v>
      </c>
      <c r="K106" s="75" t="s">
        <v>64</v>
      </c>
      <c r="L106" s="24"/>
      <c r="M106" s="247">
        <v>118000000</v>
      </c>
      <c r="N106" s="248"/>
      <c r="O106" s="249"/>
      <c r="P106" s="249"/>
      <c r="Q106" s="249"/>
      <c r="R106" s="249"/>
      <c r="S106" s="249"/>
      <c r="T106" s="249"/>
      <c r="U106" s="249"/>
      <c r="V106" s="249"/>
      <c r="W106" s="254"/>
      <c r="X106" s="255"/>
      <c r="Y106" s="264"/>
      <c r="Z106" s="264"/>
      <c r="AA106" s="262"/>
      <c r="AB106" s="20" t="s">
        <v>65</v>
      </c>
      <c r="AC106" s="20"/>
      <c r="AD106" s="20"/>
      <c r="AE106" s="254"/>
      <c r="AF106" s="254"/>
      <c r="AG106" s="254"/>
      <c r="AH106" s="254"/>
      <c r="AI106" s="254"/>
      <c r="AJ106" s="254"/>
      <c r="AK106" s="254"/>
      <c r="AL106" s="254"/>
      <c r="AM106" s="254"/>
      <c r="AN106" s="248"/>
      <c r="AO106" s="24" t="s">
        <v>114</v>
      </c>
      <c r="AP106" s="37"/>
      <c r="AQ106" s="24"/>
      <c r="AR106" s="26" t="s">
        <v>384</v>
      </c>
      <c r="AS106" s="26"/>
      <c r="AT106" s="290"/>
      <c r="AU106" s="24"/>
      <c r="AV106" s="43" t="s">
        <v>66</v>
      </c>
      <c r="AW106" s="24"/>
      <c r="AX106" s="289" t="s">
        <v>86</v>
      </c>
      <c r="AY106" s="289"/>
      <c r="AZ106" s="296">
        <v>43181</v>
      </c>
      <c r="BA106" s="290"/>
      <c r="BB106" s="25" t="s">
        <v>69</v>
      </c>
      <c r="BC106" s="291">
        <v>45007</v>
      </c>
      <c r="BD106" s="310" t="s">
        <v>70</v>
      </c>
      <c r="BE106" s="297">
        <v>11800000</v>
      </c>
      <c r="BF106" s="298">
        <f t="shared" si="1"/>
        <v>0.1</v>
      </c>
      <c r="BG106" s="297" t="e">
        <f>VLOOKUP(B106,[1]Sheet2!$B:$X,23,0)</f>
        <v>#N/A</v>
      </c>
    </row>
    <row r="107" spans="1:59" s="28" customFormat="1" ht="33" customHeight="1">
      <c r="A107" s="84" t="s">
        <v>1663</v>
      </c>
      <c r="B107" s="18" t="s">
        <v>1664</v>
      </c>
      <c r="C107" s="19" t="s">
        <v>1665</v>
      </c>
      <c r="D107" s="221" t="s">
        <v>1666</v>
      </c>
      <c r="E107" s="24" t="s">
        <v>92</v>
      </c>
      <c r="F107" s="37" t="s">
        <v>1433</v>
      </c>
      <c r="G107" s="37" t="s">
        <v>1433</v>
      </c>
      <c r="H107" s="218" t="s">
        <v>1433</v>
      </c>
      <c r="I107" s="303"/>
      <c r="J107" s="303"/>
      <c r="K107" s="75" t="s">
        <v>64</v>
      </c>
      <c r="L107" s="24"/>
      <c r="M107" s="219" t="s">
        <v>1667</v>
      </c>
      <c r="N107" s="248"/>
      <c r="O107" s="249"/>
      <c r="P107" s="249"/>
      <c r="Q107" s="249"/>
      <c r="R107" s="249"/>
      <c r="S107" s="249"/>
      <c r="T107" s="249"/>
      <c r="U107" s="249"/>
      <c r="V107" s="249"/>
      <c r="W107" s="254"/>
      <c r="X107" s="255"/>
      <c r="Y107" s="264"/>
      <c r="Z107" s="264"/>
      <c r="AA107" s="262"/>
      <c r="AB107" s="20"/>
      <c r="AC107" s="20"/>
      <c r="AD107" s="20"/>
      <c r="AE107" s="254"/>
      <c r="AF107" s="254"/>
      <c r="AG107" s="254"/>
      <c r="AH107" s="254"/>
      <c r="AI107" s="254"/>
      <c r="AJ107" s="254"/>
      <c r="AK107" s="254"/>
      <c r="AL107" s="254"/>
      <c r="AM107" s="254"/>
      <c r="AN107" s="248"/>
      <c r="AO107" s="24" t="s">
        <v>93</v>
      </c>
      <c r="AP107" s="37"/>
      <c r="AQ107" s="24"/>
      <c r="AR107" s="26" t="s">
        <v>384</v>
      </c>
      <c r="AS107" s="26"/>
      <c r="AT107" s="290"/>
      <c r="AU107" s="24"/>
      <c r="AV107" s="43" t="s">
        <v>66</v>
      </c>
      <c r="AW107" s="24"/>
      <c r="AX107" s="289" t="s">
        <v>86</v>
      </c>
      <c r="AY107" s="289" t="s">
        <v>68</v>
      </c>
      <c r="AZ107" s="296">
        <v>43073</v>
      </c>
      <c r="BA107" s="290"/>
      <c r="BB107" s="24" t="s">
        <v>69</v>
      </c>
      <c r="BC107" s="291">
        <v>44899</v>
      </c>
      <c r="BD107" s="310" t="s">
        <v>70</v>
      </c>
      <c r="BE107" s="297">
        <v>3850000</v>
      </c>
      <c r="BF107" s="298">
        <f t="shared" si="1"/>
        <v>0.35</v>
      </c>
      <c r="BG107" s="297" t="e">
        <f>VLOOKUP(B107,[1]Sheet2!$B:$X,23,0)</f>
        <v>#N/A</v>
      </c>
    </row>
    <row r="108" spans="1:59" s="28" customFormat="1" ht="33" customHeight="1">
      <c r="A108" s="84" t="s">
        <v>1668</v>
      </c>
      <c r="B108" s="18" t="s">
        <v>1669</v>
      </c>
      <c r="C108" s="19" t="s">
        <v>1670</v>
      </c>
      <c r="D108" s="221" t="s">
        <v>1671</v>
      </c>
      <c r="E108" s="24"/>
      <c r="F108" s="37" t="s">
        <v>315</v>
      </c>
      <c r="G108" s="37" t="s">
        <v>315</v>
      </c>
      <c r="H108" s="218"/>
      <c r="I108" s="244"/>
      <c r="J108" s="303"/>
      <c r="K108" s="295" t="s">
        <v>1285</v>
      </c>
      <c r="L108" s="24"/>
      <c r="M108" s="219">
        <v>155403</v>
      </c>
      <c r="N108" s="248"/>
      <c r="O108" s="249"/>
      <c r="P108" s="249"/>
      <c r="Q108" s="249"/>
      <c r="R108" s="249"/>
      <c r="S108" s="249"/>
      <c r="T108" s="249"/>
      <c r="U108" s="249"/>
      <c r="V108" s="249"/>
      <c r="W108" s="254"/>
      <c r="X108" s="255"/>
      <c r="Y108" s="264"/>
      <c r="Z108" s="264"/>
      <c r="AA108" s="262"/>
      <c r="AB108" s="20"/>
      <c r="AC108" s="20"/>
      <c r="AD108" s="20"/>
      <c r="AE108" s="254"/>
      <c r="AF108" s="254"/>
      <c r="AG108" s="254"/>
      <c r="AH108" s="254"/>
      <c r="AI108" s="254"/>
      <c r="AJ108" s="254"/>
      <c r="AK108" s="254"/>
      <c r="AL108" s="254"/>
      <c r="AM108" s="254"/>
      <c r="AN108" s="267">
        <v>130000</v>
      </c>
      <c r="AO108" s="24" t="s">
        <v>93</v>
      </c>
      <c r="AP108" s="37"/>
      <c r="AQ108" s="24"/>
      <c r="AR108" s="26" t="s">
        <v>384</v>
      </c>
      <c r="AS108" s="26"/>
      <c r="AT108" s="290"/>
      <c r="AU108" s="24"/>
      <c r="AV108" s="43"/>
      <c r="AW108" s="24"/>
      <c r="AX108" s="289"/>
      <c r="AY108" s="289"/>
      <c r="AZ108" s="296"/>
      <c r="BA108" s="290"/>
      <c r="BB108" s="25"/>
      <c r="BC108" s="291"/>
      <c r="BD108" s="310"/>
      <c r="BE108" s="297">
        <v>0</v>
      </c>
      <c r="BF108" s="298">
        <f t="shared" si="1"/>
        <v>0</v>
      </c>
      <c r="BG108" s="297" t="e">
        <f>VLOOKUP(B108,[1]Sheet2!$B:$X,23,0)</f>
        <v>#N/A</v>
      </c>
    </row>
    <row r="109" spans="1:59" s="28" customFormat="1" ht="33" customHeight="1">
      <c r="A109" s="84" t="s">
        <v>1672</v>
      </c>
      <c r="B109" s="18" t="s">
        <v>650</v>
      </c>
      <c r="C109" s="26" t="s">
        <v>649</v>
      </c>
      <c r="D109" s="26" t="s">
        <v>651</v>
      </c>
      <c r="E109" s="26" t="s">
        <v>714</v>
      </c>
      <c r="F109" s="37" t="s">
        <v>315</v>
      </c>
      <c r="G109" s="37" t="s">
        <v>315</v>
      </c>
      <c r="H109" s="218" t="s">
        <v>1275</v>
      </c>
      <c r="I109" s="244"/>
      <c r="J109" s="303"/>
      <c r="K109" s="295" t="s">
        <v>1285</v>
      </c>
      <c r="L109" s="26"/>
      <c r="M109" s="26">
        <v>17000000</v>
      </c>
      <c r="N109" s="243"/>
      <c r="O109" s="53"/>
      <c r="P109" s="53"/>
      <c r="Q109" s="53"/>
      <c r="R109" s="53"/>
      <c r="S109" s="53"/>
      <c r="T109" s="53"/>
      <c r="U109" s="53"/>
      <c r="V109" s="53"/>
      <c r="W109" s="26"/>
      <c r="X109" s="26"/>
      <c r="Y109" s="263"/>
      <c r="Z109" s="263"/>
      <c r="AA109" s="263"/>
      <c r="AB109" s="26"/>
      <c r="AC109" s="26"/>
      <c r="AD109" s="26"/>
      <c r="AE109" s="26"/>
      <c r="AF109" s="26"/>
      <c r="AG109" s="26"/>
      <c r="AH109" s="26"/>
      <c r="AI109" s="26"/>
      <c r="AJ109" s="26"/>
      <c r="AK109" s="26"/>
      <c r="AL109" s="26"/>
      <c r="AM109" s="26"/>
      <c r="AN109" s="243">
        <f>SUM(AB109:AH109)</f>
        <v>0</v>
      </c>
      <c r="AO109" s="25" t="s">
        <v>132</v>
      </c>
      <c r="AP109" s="37" t="s">
        <v>1308</v>
      </c>
      <c r="AQ109" s="245"/>
      <c r="AR109" s="26" t="s">
        <v>384</v>
      </c>
      <c r="AS109" s="26"/>
      <c r="AT109" s="308">
        <v>42735</v>
      </c>
      <c r="AU109" s="245"/>
      <c r="AV109" s="43" t="s">
        <v>66</v>
      </c>
      <c r="AW109" s="245"/>
      <c r="AX109" s="289" t="s">
        <v>86</v>
      </c>
      <c r="AY109" s="289"/>
      <c r="AZ109" s="290">
        <v>43105</v>
      </c>
      <c r="BA109" s="290">
        <v>43179</v>
      </c>
      <c r="BB109" s="24" t="s">
        <v>78</v>
      </c>
      <c r="BC109" s="291">
        <v>43469</v>
      </c>
      <c r="BD109" s="113" t="s">
        <v>122</v>
      </c>
      <c r="BE109" s="297">
        <v>17000000</v>
      </c>
      <c r="BF109" s="298">
        <f t="shared" si="1"/>
        <v>1</v>
      </c>
      <c r="BG109" s="297" t="e">
        <f>VLOOKUP(B109,[1]Sheet2!$B:$X,23,0)</f>
        <v>#N/A</v>
      </c>
    </row>
    <row r="110" spans="1:59" s="28" customFormat="1" ht="33" customHeight="1">
      <c r="A110" s="84" t="s">
        <v>1673</v>
      </c>
      <c r="B110" s="18" t="s">
        <v>1674</v>
      </c>
      <c r="C110" s="19" t="s">
        <v>1675</v>
      </c>
      <c r="D110" s="221" t="s">
        <v>1676</v>
      </c>
      <c r="E110" s="26"/>
      <c r="F110" s="24" t="s">
        <v>1350</v>
      </c>
      <c r="G110" s="24" t="s">
        <v>1350</v>
      </c>
      <c r="H110" s="218" t="s">
        <v>1277</v>
      </c>
      <c r="I110" s="26"/>
      <c r="J110" s="26"/>
      <c r="K110" s="295" t="s">
        <v>1285</v>
      </c>
      <c r="L110" s="26"/>
      <c r="M110" s="219">
        <v>124080</v>
      </c>
      <c r="N110" s="243"/>
      <c r="O110" s="53"/>
      <c r="P110" s="53"/>
      <c r="Q110" s="53"/>
      <c r="R110" s="53"/>
      <c r="S110" s="53"/>
      <c r="T110" s="53"/>
      <c r="U110" s="53"/>
      <c r="V110" s="53"/>
      <c r="W110" s="26"/>
      <c r="X110" s="26"/>
      <c r="Y110" s="263"/>
      <c r="Z110" s="263"/>
      <c r="AA110" s="263"/>
      <c r="AB110" s="26"/>
      <c r="AC110" s="26"/>
      <c r="AD110" s="26"/>
      <c r="AE110" s="26"/>
      <c r="AF110" s="26"/>
      <c r="AG110" s="26"/>
      <c r="AH110" s="26"/>
      <c r="AI110" s="26"/>
      <c r="AJ110" s="26"/>
      <c r="AK110" s="26"/>
      <c r="AL110" s="26"/>
      <c r="AM110" s="26"/>
      <c r="AN110" s="267">
        <v>105468</v>
      </c>
      <c r="AO110" s="24" t="s">
        <v>93</v>
      </c>
      <c r="AP110" s="37"/>
      <c r="AQ110" s="245"/>
      <c r="AR110" s="26" t="s">
        <v>384</v>
      </c>
      <c r="AS110" s="26"/>
      <c r="AT110" s="308"/>
      <c r="AU110" s="245"/>
      <c r="AV110" s="43" t="s">
        <v>190</v>
      </c>
      <c r="AW110" s="245"/>
      <c r="AX110" s="289"/>
      <c r="AY110" s="289"/>
      <c r="AZ110" s="290"/>
      <c r="BA110" s="290"/>
      <c r="BB110" s="25"/>
      <c r="BC110" s="291"/>
      <c r="BD110" s="25" t="s">
        <v>192</v>
      </c>
      <c r="BE110" s="297">
        <v>124080</v>
      </c>
      <c r="BF110" s="298">
        <f t="shared" si="1"/>
        <v>1</v>
      </c>
      <c r="BG110" s="297" t="e">
        <f>VLOOKUP(B110,[1]Sheet2!$B:$X,23,0)</f>
        <v>#N/A</v>
      </c>
    </row>
    <row r="111" spans="1:59" s="28" customFormat="1" ht="33" customHeight="1">
      <c r="A111" s="84" t="s">
        <v>1677</v>
      </c>
      <c r="B111" s="18" t="s">
        <v>1678</v>
      </c>
      <c r="C111" s="19" t="s">
        <v>1675</v>
      </c>
      <c r="D111" s="221" t="s">
        <v>1679</v>
      </c>
      <c r="E111" s="26"/>
      <c r="F111" s="24" t="s">
        <v>1350</v>
      </c>
      <c r="G111" s="24" t="s">
        <v>1350</v>
      </c>
      <c r="H111" s="218" t="s">
        <v>1277</v>
      </c>
      <c r="I111" s="26"/>
      <c r="J111" s="26"/>
      <c r="K111" s="295" t="s">
        <v>1285</v>
      </c>
      <c r="L111" s="26"/>
      <c r="M111" s="219">
        <v>234000</v>
      </c>
      <c r="N111" s="243"/>
      <c r="O111" s="53"/>
      <c r="P111" s="53"/>
      <c r="Q111" s="53"/>
      <c r="R111" s="53"/>
      <c r="S111" s="53"/>
      <c r="T111" s="53"/>
      <c r="U111" s="53"/>
      <c r="V111" s="53"/>
      <c r="W111" s="26"/>
      <c r="X111" s="26"/>
      <c r="Y111" s="263"/>
      <c r="Z111" s="263"/>
      <c r="AA111" s="263"/>
      <c r="AB111" s="26"/>
      <c r="AC111" s="26"/>
      <c r="AD111" s="26"/>
      <c r="AE111" s="26"/>
      <c r="AF111" s="26"/>
      <c r="AG111" s="26"/>
      <c r="AH111" s="26"/>
      <c r="AI111" s="26"/>
      <c r="AJ111" s="26"/>
      <c r="AK111" s="26"/>
      <c r="AL111" s="26"/>
      <c r="AM111" s="26"/>
      <c r="AN111" s="267">
        <v>198900</v>
      </c>
      <c r="AO111" s="24" t="s">
        <v>93</v>
      </c>
      <c r="AP111" s="37"/>
      <c r="AQ111" s="245"/>
      <c r="AR111" s="26" t="s">
        <v>384</v>
      </c>
      <c r="AS111" s="26"/>
      <c r="AT111" s="308"/>
      <c r="AU111" s="245"/>
      <c r="AV111" s="43" t="s">
        <v>190</v>
      </c>
      <c r="AW111" s="245"/>
      <c r="AX111" s="289"/>
      <c r="AY111" s="289"/>
      <c r="AZ111" s="290"/>
      <c r="BA111" s="290"/>
      <c r="BB111" s="25"/>
      <c r="BC111" s="291"/>
      <c r="BD111" s="25" t="s">
        <v>192</v>
      </c>
      <c r="BE111" s="297">
        <v>234000</v>
      </c>
      <c r="BF111" s="298">
        <f t="shared" si="1"/>
        <v>1</v>
      </c>
      <c r="BG111" s="297" t="e">
        <f>VLOOKUP(B111,[1]Sheet2!$B:$X,23,0)</f>
        <v>#N/A</v>
      </c>
    </row>
    <row r="112" spans="1:59" s="28" customFormat="1" ht="33" customHeight="1">
      <c r="A112" s="84"/>
      <c r="B112" s="18" t="s">
        <v>1680</v>
      </c>
      <c r="C112" s="19" t="s">
        <v>1681</v>
      </c>
      <c r="D112" s="221" t="s">
        <v>1682</v>
      </c>
      <c r="E112" s="26" t="s">
        <v>294</v>
      </c>
      <c r="F112" s="37" t="s">
        <v>315</v>
      </c>
      <c r="G112" s="37" t="s">
        <v>315</v>
      </c>
      <c r="H112" s="218"/>
      <c r="I112" s="244"/>
      <c r="J112" s="303"/>
      <c r="K112" s="295" t="s">
        <v>1285</v>
      </c>
      <c r="L112" s="26"/>
      <c r="M112" s="219"/>
      <c r="N112" s="243"/>
      <c r="O112" s="53"/>
      <c r="P112" s="53"/>
      <c r="Q112" s="53"/>
      <c r="R112" s="53"/>
      <c r="S112" s="53"/>
      <c r="T112" s="53"/>
      <c r="U112" s="53"/>
      <c r="V112" s="53"/>
      <c r="W112" s="26"/>
      <c r="X112" s="26"/>
      <c r="Y112" s="263"/>
      <c r="Z112" s="263"/>
      <c r="AA112" s="263"/>
      <c r="AB112" s="26"/>
      <c r="AC112" s="26"/>
      <c r="AD112" s="26"/>
      <c r="AE112" s="26"/>
      <c r="AF112" s="26"/>
      <c r="AG112" s="26"/>
      <c r="AH112" s="26"/>
      <c r="AI112" s="26"/>
      <c r="AJ112" s="26"/>
      <c r="AK112" s="26"/>
      <c r="AL112" s="26"/>
      <c r="AM112" s="26"/>
      <c r="AN112" s="267">
        <v>7650000</v>
      </c>
      <c r="AO112" s="24" t="s">
        <v>76</v>
      </c>
      <c r="AP112" s="37" t="s">
        <v>1371</v>
      </c>
      <c r="AQ112" s="245"/>
      <c r="AR112" s="26" t="s">
        <v>384</v>
      </c>
      <c r="AS112" s="26"/>
      <c r="AT112" s="308">
        <v>42616</v>
      </c>
      <c r="AU112" s="245"/>
      <c r="AV112" s="43" t="s">
        <v>66</v>
      </c>
      <c r="AW112" s="245"/>
      <c r="AX112" s="289" t="s">
        <v>86</v>
      </c>
      <c r="AY112" s="289"/>
      <c r="AZ112" s="290">
        <v>43025</v>
      </c>
      <c r="BA112" s="290"/>
      <c r="BB112" s="24" t="s">
        <v>78</v>
      </c>
      <c r="BC112" s="291">
        <v>43389</v>
      </c>
      <c r="BD112" s="113" t="s">
        <v>122</v>
      </c>
      <c r="BE112" s="297">
        <v>0</v>
      </c>
      <c r="BF112" s="298" t="e">
        <f t="shared" si="1"/>
        <v>#DIV/0!</v>
      </c>
      <c r="BG112" s="297" t="e">
        <f>VLOOKUP(B112,[1]Sheet2!$B:$X,23,0)</f>
        <v>#N/A</v>
      </c>
    </row>
    <row r="113" spans="1:59" s="28" customFormat="1" ht="33" customHeight="1">
      <c r="A113" s="84" t="s">
        <v>495</v>
      </c>
      <c r="B113" s="18" t="s">
        <v>1683</v>
      </c>
      <c r="C113" s="19" t="s">
        <v>1684</v>
      </c>
      <c r="D113" s="221" t="s">
        <v>1685</v>
      </c>
      <c r="E113" s="26" t="s">
        <v>1093</v>
      </c>
      <c r="F113" s="37" t="s">
        <v>315</v>
      </c>
      <c r="G113" s="37" t="s">
        <v>315</v>
      </c>
      <c r="H113" s="218" t="s">
        <v>1275</v>
      </c>
      <c r="I113" s="244"/>
      <c r="J113" s="303"/>
      <c r="K113" s="295" t="s">
        <v>1285</v>
      </c>
      <c r="L113" s="26"/>
      <c r="M113" s="219">
        <v>197440</v>
      </c>
      <c r="N113" s="243"/>
      <c r="O113" s="53"/>
      <c r="P113" s="53"/>
      <c r="Q113" s="53"/>
      <c r="R113" s="53"/>
      <c r="S113" s="53"/>
      <c r="T113" s="53"/>
      <c r="U113" s="53"/>
      <c r="V113" s="53"/>
      <c r="W113" s="26"/>
      <c r="X113" s="26"/>
      <c r="Y113" s="263"/>
      <c r="Z113" s="263"/>
      <c r="AA113" s="263"/>
      <c r="AB113" s="26"/>
      <c r="AC113" s="26"/>
      <c r="AD113" s="26"/>
      <c r="AE113" s="26"/>
      <c r="AF113" s="26"/>
      <c r="AG113" s="26"/>
      <c r="AH113" s="26"/>
      <c r="AI113" s="26"/>
      <c r="AJ113" s="26"/>
      <c r="AK113" s="26"/>
      <c r="AL113" s="26"/>
      <c r="AM113" s="26"/>
      <c r="AN113" s="267">
        <v>177000</v>
      </c>
      <c r="AO113" s="24" t="s">
        <v>132</v>
      </c>
      <c r="AP113" s="37" t="s">
        <v>1497</v>
      </c>
      <c r="AQ113" s="245"/>
      <c r="AR113" s="26" t="s">
        <v>384</v>
      </c>
      <c r="AS113" s="26"/>
      <c r="AT113" s="308">
        <v>42644</v>
      </c>
      <c r="AU113" s="245"/>
      <c r="AV113" s="43" t="s">
        <v>66</v>
      </c>
      <c r="AW113" s="245"/>
      <c r="AX113" s="289" t="s">
        <v>86</v>
      </c>
      <c r="AY113" s="289"/>
      <c r="AZ113" s="290">
        <v>42745</v>
      </c>
      <c r="BA113" s="290">
        <v>42801</v>
      </c>
      <c r="BB113" s="24" t="s">
        <v>78</v>
      </c>
      <c r="BC113" s="291">
        <v>43109</v>
      </c>
      <c r="BD113" s="113" t="s">
        <v>122</v>
      </c>
      <c r="BE113" s="297">
        <v>197440</v>
      </c>
      <c r="BF113" s="298">
        <f t="shared" si="1"/>
        <v>1</v>
      </c>
      <c r="BG113" s="297" t="e">
        <f>VLOOKUP(B113,[1]Sheet2!$B:$X,23,0)</f>
        <v>#N/A</v>
      </c>
    </row>
    <row r="114" spans="1:59" s="28" customFormat="1" ht="33" customHeight="1">
      <c r="A114" s="84" t="s">
        <v>1686</v>
      </c>
      <c r="B114" s="18" t="s">
        <v>1687</v>
      </c>
      <c r="C114" s="19" t="s">
        <v>1688</v>
      </c>
      <c r="D114" s="221" t="s">
        <v>1689</v>
      </c>
      <c r="E114" s="26" t="s">
        <v>1093</v>
      </c>
      <c r="F114" s="37" t="s">
        <v>315</v>
      </c>
      <c r="G114" s="37" t="s">
        <v>315</v>
      </c>
      <c r="H114" s="218"/>
      <c r="I114" s="244"/>
      <c r="J114" s="303"/>
      <c r="K114" s="295" t="s">
        <v>1285</v>
      </c>
      <c r="L114" s="26"/>
      <c r="M114" s="219">
        <v>1638574.25</v>
      </c>
      <c r="N114" s="243"/>
      <c r="O114" s="53"/>
      <c r="P114" s="53"/>
      <c r="Q114" s="53"/>
      <c r="R114" s="53"/>
      <c r="S114" s="53"/>
      <c r="T114" s="53"/>
      <c r="U114" s="53"/>
      <c r="V114" s="53"/>
      <c r="W114" s="26"/>
      <c r="X114" s="26"/>
      <c r="Y114" s="263"/>
      <c r="Z114" s="263"/>
      <c r="AA114" s="263"/>
      <c r="AB114" s="26"/>
      <c r="AC114" s="26"/>
      <c r="AD114" s="26"/>
      <c r="AE114" s="26"/>
      <c r="AF114" s="26"/>
      <c r="AG114" s="26"/>
      <c r="AH114" s="26"/>
      <c r="AI114" s="26"/>
      <c r="AJ114" s="26"/>
      <c r="AK114" s="26"/>
      <c r="AL114" s="26"/>
      <c r="AM114" s="26"/>
      <c r="AN114" s="26">
        <v>1203859</v>
      </c>
      <c r="AO114" s="24" t="s">
        <v>132</v>
      </c>
      <c r="AP114" s="37" t="s">
        <v>1497</v>
      </c>
      <c r="AQ114" s="245"/>
      <c r="AR114" s="26" t="s">
        <v>384</v>
      </c>
      <c r="AS114" s="26"/>
      <c r="AT114" s="308"/>
      <c r="AU114" s="245"/>
      <c r="AV114" s="43" t="s">
        <v>133</v>
      </c>
      <c r="AW114" s="245"/>
      <c r="AX114" s="289"/>
      <c r="AY114" s="289"/>
      <c r="AZ114" s="290"/>
      <c r="BA114" s="290"/>
      <c r="BB114" s="25"/>
      <c r="BC114" s="291"/>
      <c r="BD114" s="113"/>
      <c r="BE114" s="297">
        <v>1000000</v>
      </c>
      <c r="BF114" s="298">
        <f t="shared" si="1"/>
        <v>0.61028665621957623</v>
      </c>
      <c r="BG114" s="297" t="e">
        <f>VLOOKUP(B114,[1]Sheet2!$B:$X,23,0)</f>
        <v>#N/A</v>
      </c>
    </row>
    <row r="115" spans="1:59" s="28" customFormat="1" ht="33" customHeight="1">
      <c r="A115" s="84" t="s">
        <v>1690</v>
      </c>
      <c r="B115" s="18" t="s">
        <v>1691</v>
      </c>
      <c r="C115" s="19" t="s">
        <v>1692</v>
      </c>
      <c r="D115" s="221" t="s">
        <v>1693</v>
      </c>
      <c r="E115" s="26"/>
      <c r="F115" s="24" t="s">
        <v>1637</v>
      </c>
      <c r="G115" s="24" t="s">
        <v>1637</v>
      </c>
      <c r="H115" s="218"/>
      <c r="I115" s="244"/>
      <c r="J115" s="303"/>
      <c r="K115" s="295" t="s">
        <v>1285</v>
      </c>
      <c r="L115" s="26"/>
      <c r="M115" s="219">
        <v>10000000</v>
      </c>
      <c r="N115" s="243"/>
      <c r="O115" s="53"/>
      <c r="P115" s="53"/>
      <c r="Q115" s="53"/>
      <c r="R115" s="53"/>
      <c r="S115" s="53"/>
      <c r="T115" s="53"/>
      <c r="U115" s="53"/>
      <c r="V115" s="53"/>
      <c r="W115" s="26"/>
      <c r="X115" s="26"/>
      <c r="Y115" s="263"/>
      <c r="Z115" s="263"/>
      <c r="AA115" s="263"/>
      <c r="AB115" s="26"/>
      <c r="AC115" s="26"/>
      <c r="AD115" s="26"/>
      <c r="AE115" s="26"/>
      <c r="AF115" s="26"/>
      <c r="AG115" s="26"/>
      <c r="AH115" s="26"/>
      <c r="AI115" s="26"/>
      <c r="AJ115" s="26"/>
      <c r="AK115" s="26"/>
      <c r="AL115" s="26"/>
      <c r="AM115" s="26"/>
      <c r="AN115" s="267">
        <v>9000000</v>
      </c>
      <c r="AO115" s="24" t="s">
        <v>77</v>
      </c>
      <c r="AP115" s="37"/>
      <c r="AQ115" s="245"/>
      <c r="AR115" s="26" t="s">
        <v>384</v>
      </c>
      <c r="AS115" s="26"/>
      <c r="AT115" s="308"/>
      <c r="AU115" s="245"/>
      <c r="AV115" s="43"/>
      <c r="AW115" s="245"/>
      <c r="AX115" s="289"/>
      <c r="AY115" s="289"/>
      <c r="AZ115" s="290"/>
      <c r="BA115" s="290"/>
      <c r="BB115" s="25"/>
      <c r="BC115" s="291"/>
      <c r="BD115" s="113"/>
      <c r="BE115" s="297">
        <v>3000000</v>
      </c>
      <c r="BF115" s="298">
        <f t="shared" si="1"/>
        <v>0.3</v>
      </c>
      <c r="BG115" s="297" t="e">
        <f>VLOOKUP(B115,[1]Sheet2!$B:$X,23,0)</f>
        <v>#N/A</v>
      </c>
    </row>
    <row r="116" spans="1:59" s="28" customFormat="1" ht="33" customHeight="1">
      <c r="A116" s="84" t="s">
        <v>1694</v>
      </c>
      <c r="B116" s="18" t="s">
        <v>1695</v>
      </c>
      <c r="C116" s="19" t="s">
        <v>1696</v>
      </c>
      <c r="D116" s="221" t="s">
        <v>1697</v>
      </c>
      <c r="E116" s="26"/>
      <c r="F116" s="24" t="s">
        <v>1637</v>
      </c>
      <c r="G116" s="24" t="s">
        <v>1637</v>
      </c>
      <c r="H116" s="218" t="s">
        <v>1275</v>
      </c>
      <c r="I116" s="244"/>
      <c r="J116" s="303"/>
      <c r="K116" s="295" t="s">
        <v>1285</v>
      </c>
      <c r="L116" s="26"/>
      <c r="M116" s="219">
        <v>3393787.86</v>
      </c>
      <c r="N116" s="243"/>
      <c r="O116" s="53"/>
      <c r="P116" s="53"/>
      <c r="Q116" s="53"/>
      <c r="R116" s="53"/>
      <c r="S116" s="53"/>
      <c r="T116" s="53"/>
      <c r="U116" s="53"/>
      <c r="V116" s="53"/>
      <c r="W116" s="26"/>
      <c r="X116" s="26"/>
      <c r="Y116" s="263"/>
      <c r="Z116" s="263"/>
      <c r="AA116" s="263"/>
      <c r="AB116" s="26"/>
      <c r="AC116" s="26"/>
      <c r="AD116" s="26"/>
      <c r="AE116" s="26"/>
      <c r="AF116" s="26"/>
      <c r="AG116" s="26"/>
      <c r="AH116" s="26"/>
      <c r="AI116" s="26"/>
      <c r="AJ116" s="26"/>
      <c r="AK116" s="26"/>
      <c r="AL116" s="26"/>
      <c r="AM116" s="26"/>
      <c r="AN116" s="26">
        <v>3083380</v>
      </c>
      <c r="AO116" s="24" t="s">
        <v>77</v>
      </c>
      <c r="AP116" s="37"/>
      <c r="AQ116" s="245"/>
      <c r="AR116" s="26" t="s">
        <v>384</v>
      </c>
      <c r="AS116" s="26"/>
      <c r="AT116" s="308">
        <v>42835</v>
      </c>
      <c r="AU116" s="245"/>
      <c r="AV116" s="43" t="s">
        <v>66</v>
      </c>
      <c r="AW116" s="245"/>
      <c r="AX116" s="289" t="s">
        <v>1698</v>
      </c>
      <c r="AY116" s="289"/>
      <c r="AZ116" s="290">
        <v>43132</v>
      </c>
      <c r="BA116" s="290"/>
      <c r="BB116" s="24" t="s">
        <v>78</v>
      </c>
      <c r="BC116" s="291">
        <v>43497</v>
      </c>
      <c r="BD116" s="113" t="s">
        <v>122</v>
      </c>
      <c r="BE116" s="297">
        <v>3393787.86</v>
      </c>
      <c r="BF116" s="298">
        <f t="shared" si="1"/>
        <v>1</v>
      </c>
      <c r="BG116" s="297" t="e">
        <f>VLOOKUP(B116,[1]Sheet2!$B:$X,23,0)</f>
        <v>#N/A</v>
      </c>
    </row>
    <row r="117" spans="1:59" s="28" customFormat="1" ht="33" customHeight="1">
      <c r="A117" s="84" t="s">
        <v>1699</v>
      </c>
      <c r="B117" s="18" t="s">
        <v>1700</v>
      </c>
      <c r="C117" s="19" t="s">
        <v>1701</v>
      </c>
      <c r="D117" s="221" t="s">
        <v>1702</v>
      </c>
      <c r="E117" s="26" t="s">
        <v>271</v>
      </c>
      <c r="F117" s="37" t="s">
        <v>315</v>
      </c>
      <c r="G117" s="37" t="s">
        <v>315</v>
      </c>
      <c r="H117" s="218" t="s">
        <v>1275</v>
      </c>
      <c r="I117" s="244"/>
      <c r="J117" s="303"/>
      <c r="K117" s="295" t="s">
        <v>1285</v>
      </c>
      <c r="L117" s="26"/>
      <c r="M117" s="219">
        <v>176769</v>
      </c>
      <c r="N117" s="243"/>
      <c r="O117" s="53"/>
      <c r="P117" s="53"/>
      <c r="Q117" s="53"/>
      <c r="R117" s="53"/>
      <c r="S117" s="53"/>
      <c r="T117" s="53"/>
      <c r="U117" s="53"/>
      <c r="V117" s="53"/>
      <c r="W117" s="26"/>
      <c r="X117" s="26"/>
      <c r="Y117" s="263"/>
      <c r="Z117" s="263"/>
      <c r="AA117" s="263"/>
      <c r="AB117" s="26"/>
      <c r="AC117" s="26"/>
      <c r="AD117" s="26"/>
      <c r="AE117" s="26"/>
      <c r="AF117" s="26"/>
      <c r="AG117" s="26"/>
      <c r="AH117" s="26"/>
      <c r="AI117" s="26"/>
      <c r="AJ117" s="26"/>
      <c r="AK117" s="26"/>
      <c r="AL117" s="26"/>
      <c r="AM117" s="26"/>
      <c r="AN117" s="267">
        <v>155500</v>
      </c>
      <c r="AO117" s="25" t="s">
        <v>132</v>
      </c>
      <c r="AP117" s="37" t="s">
        <v>1308</v>
      </c>
      <c r="AQ117" s="245"/>
      <c r="AR117" s="26" t="s">
        <v>384</v>
      </c>
      <c r="AS117" s="26"/>
      <c r="AT117" s="308">
        <v>42771</v>
      </c>
      <c r="AU117" s="245"/>
      <c r="AV117" s="43" t="s">
        <v>66</v>
      </c>
      <c r="AW117" s="245"/>
      <c r="AX117" s="289" t="s">
        <v>1698</v>
      </c>
      <c r="AY117" s="289"/>
      <c r="AZ117" s="290">
        <v>42822</v>
      </c>
      <c r="BA117" s="290">
        <v>42846</v>
      </c>
      <c r="BB117" s="24" t="s">
        <v>78</v>
      </c>
      <c r="BC117" s="291">
        <v>43186</v>
      </c>
      <c r="BD117" s="113" t="s">
        <v>122</v>
      </c>
      <c r="BE117" s="297">
        <v>176769</v>
      </c>
      <c r="BF117" s="298">
        <f t="shared" si="1"/>
        <v>1</v>
      </c>
      <c r="BG117" s="297" t="e">
        <f>VLOOKUP(B117,[1]Sheet2!$B:$X,23,0)</f>
        <v>#N/A</v>
      </c>
    </row>
    <row r="118" spans="1:59" s="28" customFormat="1" ht="33" customHeight="1">
      <c r="A118" s="84" t="s">
        <v>1703</v>
      </c>
      <c r="B118" s="18" t="s">
        <v>1704</v>
      </c>
      <c r="C118" s="19" t="s">
        <v>1705</v>
      </c>
      <c r="D118" s="221" t="s">
        <v>1706</v>
      </c>
      <c r="E118" s="26" t="s">
        <v>271</v>
      </c>
      <c r="F118" s="37" t="s">
        <v>315</v>
      </c>
      <c r="G118" s="37" t="s">
        <v>315</v>
      </c>
      <c r="H118" s="218" t="s">
        <v>1275</v>
      </c>
      <c r="I118" s="244"/>
      <c r="J118" s="303"/>
      <c r="K118" s="295" t="s">
        <v>1285</v>
      </c>
      <c r="L118" s="26"/>
      <c r="M118" s="219">
        <v>420195</v>
      </c>
      <c r="N118" s="243"/>
      <c r="O118" s="53"/>
      <c r="P118" s="53"/>
      <c r="Q118" s="53"/>
      <c r="R118" s="53"/>
      <c r="S118" s="53"/>
      <c r="T118" s="53"/>
      <c r="U118" s="53"/>
      <c r="V118" s="53"/>
      <c r="W118" s="26"/>
      <c r="X118" s="26"/>
      <c r="Y118" s="263"/>
      <c r="Z118" s="263"/>
      <c r="AA118" s="263"/>
      <c r="AB118" s="26"/>
      <c r="AC118" s="26"/>
      <c r="AD118" s="26"/>
      <c r="AE118" s="26"/>
      <c r="AF118" s="26"/>
      <c r="AG118" s="26"/>
      <c r="AH118" s="26"/>
      <c r="AI118" s="26"/>
      <c r="AJ118" s="26"/>
      <c r="AK118" s="26"/>
      <c r="AL118" s="26"/>
      <c r="AM118" s="26"/>
      <c r="AN118" s="267">
        <v>369700</v>
      </c>
      <c r="AO118" s="25" t="s">
        <v>132</v>
      </c>
      <c r="AP118" s="37" t="s">
        <v>1308</v>
      </c>
      <c r="AQ118" s="245"/>
      <c r="AR118" s="26" t="s">
        <v>384</v>
      </c>
      <c r="AS118" s="26"/>
      <c r="AT118" s="308">
        <v>42771</v>
      </c>
      <c r="AU118" s="245"/>
      <c r="AV118" s="43" t="s">
        <v>66</v>
      </c>
      <c r="AW118" s="245"/>
      <c r="AX118" s="289" t="s">
        <v>1698</v>
      </c>
      <c r="AY118" s="289"/>
      <c r="AZ118" s="290">
        <v>42822</v>
      </c>
      <c r="BA118" s="290">
        <v>42846</v>
      </c>
      <c r="BB118" s="24" t="s">
        <v>78</v>
      </c>
      <c r="BC118" s="291">
        <v>43186</v>
      </c>
      <c r="BD118" s="113" t="s">
        <v>122</v>
      </c>
      <c r="BE118" s="297">
        <v>420195</v>
      </c>
      <c r="BF118" s="298">
        <f t="shared" si="1"/>
        <v>1</v>
      </c>
      <c r="BG118" s="297" t="e">
        <f>VLOOKUP(B118,[1]Sheet2!$B:$X,23,0)</f>
        <v>#N/A</v>
      </c>
    </row>
    <row r="119" spans="1:59" s="28" customFormat="1" ht="33" customHeight="1">
      <c r="A119" s="84" t="s">
        <v>1707</v>
      </c>
      <c r="B119" s="18" t="s">
        <v>1708</v>
      </c>
      <c r="C119" s="19" t="s">
        <v>1709</v>
      </c>
      <c r="D119" s="221" t="s">
        <v>1710</v>
      </c>
      <c r="E119" s="26"/>
      <c r="F119" s="24" t="s">
        <v>1637</v>
      </c>
      <c r="G119" s="24" t="s">
        <v>1637</v>
      </c>
      <c r="H119" s="218" t="s">
        <v>1275</v>
      </c>
      <c r="I119" s="244"/>
      <c r="J119" s="303"/>
      <c r="K119" s="295" t="s">
        <v>1285</v>
      </c>
      <c r="L119" s="26"/>
      <c r="M119" s="219">
        <v>1023825</v>
      </c>
      <c r="N119" s="243"/>
      <c r="O119" s="53"/>
      <c r="P119" s="53"/>
      <c r="Q119" s="53"/>
      <c r="R119" s="53"/>
      <c r="S119" s="53"/>
      <c r="T119" s="53"/>
      <c r="U119" s="53"/>
      <c r="V119" s="53"/>
      <c r="W119" s="26"/>
      <c r="X119" s="26"/>
      <c r="Y119" s="263"/>
      <c r="Z119" s="263"/>
      <c r="AA119" s="263"/>
      <c r="AB119" s="26"/>
      <c r="AC119" s="26"/>
      <c r="AD119" s="26"/>
      <c r="AE119" s="26"/>
      <c r="AF119" s="26"/>
      <c r="AG119" s="26"/>
      <c r="AH119" s="26"/>
      <c r="AI119" s="26"/>
      <c r="AJ119" s="26"/>
      <c r="AK119" s="26"/>
      <c r="AL119" s="26"/>
      <c r="AM119" s="26"/>
      <c r="AN119" s="267">
        <v>24000</v>
      </c>
      <c r="AO119" s="24" t="s">
        <v>93</v>
      </c>
      <c r="AP119" s="37"/>
      <c r="AQ119" s="245"/>
      <c r="AR119" s="26" t="s">
        <v>384</v>
      </c>
      <c r="AS119" s="26"/>
      <c r="AT119" s="308"/>
      <c r="AU119" s="245"/>
      <c r="AV119" s="43" t="s">
        <v>66</v>
      </c>
      <c r="AW119" s="245"/>
      <c r="AX119" s="289" t="s">
        <v>1698</v>
      </c>
      <c r="AY119" s="289"/>
      <c r="AZ119" s="290">
        <v>42818</v>
      </c>
      <c r="BA119" s="290">
        <v>42907</v>
      </c>
      <c r="BB119" s="24" t="s">
        <v>78</v>
      </c>
      <c r="BC119" s="291">
        <v>43182</v>
      </c>
      <c r="BD119" s="113" t="s">
        <v>122</v>
      </c>
      <c r="BE119" s="297">
        <v>29000</v>
      </c>
      <c r="BF119" s="298">
        <f t="shared" si="1"/>
        <v>2.8325153224428003E-2</v>
      </c>
      <c r="BG119" s="297" t="e">
        <f>VLOOKUP(B119,[1]Sheet2!$B:$X,23,0)</f>
        <v>#N/A</v>
      </c>
    </row>
    <row r="120" spans="1:59" s="28" customFormat="1" ht="33" customHeight="1">
      <c r="A120" s="84" t="s">
        <v>1711</v>
      </c>
      <c r="B120" s="18" t="s">
        <v>1712</v>
      </c>
      <c r="C120" s="19" t="s">
        <v>1713</v>
      </c>
      <c r="D120" s="221" t="s">
        <v>1714</v>
      </c>
      <c r="E120" s="26" t="s">
        <v>168</v>
      </c>
      <c r="F120" s="37" t="s">
        <v>315</v>
      </c>
      <c r="G120" s="37" t="s">
        <v>315</v>
      </c>
      <c r="H120" s="218" t="s">
        <v>1275</v>
      </c>
      <c r="I120" s="244"/>
      <c r="J120" s="303"/>
      <c r="K120" s="295" t="s">
        <v>1285</v>
      </c>
      <c r="L120" s="26"/>
      <c r="M120" s="219">
        <v>286209</v>
      </c>
      <c r="N120" s="243"/>
      <c r="O120" s="53"/>
      <c r="P120" s="53"/>
      <c r="Q120" s="53"/>
      <c r="R120" s="53"/>
      <c r="S120" s="53"/>
      <c r="T120" s="53"/>
      <c r="U120" s="53"/>
      <c r="V120" s="53"/>
      <c r="W120" s="26"/>
      <c r="X120" s="26"/>
      <c r="Y120" s="263"/>
      <c r="Z120" s="263"/>
      <c r="AA120" s="263"/>
      <c r="AB120" s="26"/>
      <c r="AC120" s="26"/>
      <c r="AD120" s="26"/>
      <c r="AE120" s="26"/>
      <c r="AF120" s="26"/>
      <c r="AG120" s="26"/>
      <c r="AH120" s="26"/>
      <c r="AI120" s="26"/>
      <c r="AJ120" s="26"/>
      <c r="AK120" s="26"/>
      <c r="AL120" s="26"/>
      <c r="AM120" s="26"/>
      <c r="AN120" s="267">
        <v>243000</v>
      </c>
      <c r="AO120" s="24" t="s">
        <v>1411</v>
      </c>
      <c r="AP120" s="37" t="s">
        <v>1308</v>
      </c>
      <c r="AQ120" s="245"/>
      <c r="AR120" s="26" t="s">
        <v>384</v>
      </c>
      <c r="AS120" s="26"/>
      <c r="AT120" s="308"/>
      <c r="AU120" s="245"/>
      <c r="AV120" s="43" t="s">
        <v>66</v>
      </c>
      <c r="AW120" s="245"/>
      <c r="AX120" s="289" t="s">
        <v>1698</v>
      </c>
      <c r="AY120" s="289"/>
      <c r="AZ120" s="290">
        <v>42979</v>
      </c>
      <c r="BA120" s="290">
        <v>42998</v>
      </c>
      <c r="BB120" s="24" t="s">
        <v>78</v>
      </c>
      <c r="BC120" s="291">
        <v>43344</v>
      </c>
      <c r="BD120" s="113" t="s">
        <v>122</v>
      </c>
      <c r="BE120" s="297">
        <v>257128.2</v>
      </c>
      <c r="BF120" s="298">
        <f t="shared" si="1"/>
        <v>0.89839313229143747</v>
      </c>
      <c r="BG120" s="297" t="e">
        <f>VLOOKUP(B120,[1]Sheet2!$B:$X,23,0)</f>
        <v>#N/A</v>
      </c>
    </row>
    <row r="121" spans="1:59" s="28" customFormat="1" ht="33" customHeight="1">
      <c r="A121" s="84" t="s">
        <v>1715</v>
      </c>
      <c r="B121" s="20" t="s">
        <v>124</v>
      </c>
      <c r="C121" s="26" t="s">
        <v>123</v>
      </c>
      <c r="D121" s="300" t="s">
        <v>125</v>
      </c>
      <c r="E121" s="23" t="s">
        <v>126</v>
      </c>
      <c r="F121" s="31" t="s">
        <v>315</v>
      </c>
      <c r="G121" s="31" t="s">
        <v>315</v>
      </c>
      <c r="H121" s="218"/>
      <c r="I121" s="306" t="s">
        <v>127</v>
      </c>
      <c r="J121" s="306" t="s">
        <v>128</v>
      </c>
      <c r="K121" s="295" t="s">
        <v>1285</v>
      </c>
      <c r="L121" s="24"/>
      <c r="M121" s="29">
        <v>5656755.0499999998</v>
      </c>
      <c r="N121" s="254">
        <v>5656755.0499999998</v>
      </c>
      <c r="O121" s="307"/>
      <c r="P121" s="249"/>
      <c r="Q121" s="249"/>
      <c r="R121" s="249"/>
      <c r="S121" s="249"/>
      <c r="T121" s="249"/>
      <c r="U121" s="249"/>
      <c r="V121" s="249" t="s">
        <v>130</v>
      </c>
      <c r="W121" s="254"/>
      <c r="X121" s="59"/>
      <c r="Y121" s="262"/>
      <c r="Z121" s="262"/>
      <c r="AA121" s="262">
        <v>0.15</v>
      </c>
      <c r="AB121" s="20" t="s">
        <v>131</v>
      </c>
      <c r="AC121" s="20"/>
      <c r="AD121" s="20"/>
      <c r="AE121" s="254"/>
      <c r="AF121" s="254"/>
      <c r="AG121" s="254"/>
      <c r="AH121" s="254"/>
      <c r="AI121" s="254"/>
      <c r="AJ121" s="254"/>
      <c r="AK121" s="254"/>
      <c r="AL121" s="254"/>
      <c r="AM121" s="254"/>
      <c r="AN121" s="266">
        <v>4795939</v>
      </c>
      <c r="AO121" s="20" t="s">
        <v>132</v>
      </c>
      <c r="AP121" s="37" t="s">
        <v>1497</v>
      </c>
      <c r="AQ121" s="24"/>
      <c r="AR121" s="26" t="s">
        <v>384</v>
      </c>
      <c r="AS121" s="26"/>
      <c r="AT121" s="290"/>
      <c r="AU121" s="24"/>
      <c r="AV121" s="43" t="s">
        <v>133</v>
      </c>
      <c r="AW121" s="24"/>
      <c r="AX121" s="289"/>
      <c r="AY121" s="289"/>
      <c r="AZ121" s="290"/>
      <c r="BA121" s="290"/>
      <c r="BB121" s="25"/>
      <c r="BC121" s="291"/>
      <c r="BD121" s="113" t="s">
        <v>134</v>
      </c>
      <c r="BE121" s="297">
        <v>3600000</v>
      </c>
      <c r="BF121" s="298">
        <f t="shared" si="1"/>
        <v>0.63640726320649155</v>
      </c>
      <c r="BG121" s="297" t="e">
        <f>VLOOKUP(B121,[1]Sheet2!$B:$X,23,0)</f>
        <v>#N/A</v>
      </c>
    </row>
    <row r="122" spans="1:59" s="28" customFormat="1" ht="33" customHeight="1">
      <c r="A122" s="84" t="s">
        <v>1716</v>
      </c>
      <c r="B122" s="18" t="s">
        <v>1717</v>
      </c>
      <c r="C122" s="19" t="s">
        <v>1718</v>
      </c>
      <c r="D122" s="221" t="s">
        <v>1719</v>
      </c>
      <c r="E122" s="23" t="s">
        <v>271</v>
      </c>
      <c r="F122" s="31" t="s">
        <v>315</v>
      </c>
      <c r="G122" s="31" t="s">
        <v>315</v>
      </c>
      <c r="H122" s="218" t="s">
        <v>1275</v>
      </c>
      <c r="I122" s="306"/>
      <c r="J122" s="306"/>
      <c r="K122" s="295" t="s">
        <v>1285</v>
      </c>
      <c r="L122" s="24"/>
      <c r="M122" s="219">
        <v>46990</v>
      </c>
      <c r="N122" s="254"/>
      <c r="O122" s="307"/>
      <c r="P122" s="249"/>
      <c r="Q122" s="249"/>
      <c r="R122" s="249"/>
      <c r="S122" s="249"/>
      <c r="T122" s="249"/>
      <c r="U122" s="249"/>
      <c r="V122" s="249"/>
      <c r="W122" s="254"/>
      <c r="X122" s="59"/>
      <c r="Y122" s="262"/>
      <c r="Z122" s="262"/>
      <c r="AA122" s="262"/>
      <c r="AB122" s="20"/>
      <c r="AC122" s="20"/>
      <c r="AD122" s="20"/>
      <c r="AE122" s="254"/>
      <c r="AF122" s="254"/>
      <c r="AG122" s="254"/>
      <c r="AH122" s="254"/>
      <c r="AI122" s="254"/>
      <c r="AJ122" s="254"/>
      <c r="AK122" s="254"/>
      <c r="AL122" s="254"/>
      <c r="AM122" s="254"/>
      <c r="AN122" s="267">
        <v>39940</v>
      </c>
      <c r="AO122" s="20" t="s">
        <v>132</v>
      </c>
      <c r="AP122" s="37" t="s">
        <v>1308</v>
      </c>
      <c r="AQ122" s="24"/>
      <c r="AR122" s="26" t="s">
        <v>384</v>
      </c>
      <c r="AS122" s="26"/>
      <c r="AT122" s="290">
        <v>42828</v>
      </c>
      <c r="AU122" s="24"/>
      <c r="AV122" s="43" t="s">
        <v>66</v>
      </c>
      <c r="AW122" s="24"/>
      <c r="AX122" s="289" t="s">
        <v>86</v>
      </c>
      <c r="AY122" s="289"/>
      <c r="AZ122" s="290">
        <v>42842</v>
      </c>
      <c r="BA122" s="290">
        <v>42846</v>
      </c>
      <c r="BB122" s="25" t="s">
        <v>78</v>
      </c>
      <c r="BC122" s="291">
        <v>43206</v>
      </c>
      <c r="BD122" s="113" t="s">
        <v>122</v>
      </c>
      <c r="BE122" s="297">
        <v>46990</v>
      </c>
      <c r="BF122" s="298">
        <f t="shared" si="1"/>
        <v>1</v>
      </c>
      <c r="BG122" s="297" t="e">
        <f>VLOOKUP(B122,[1]Sheet2!$B:$X,23,0)</f>
        <v>#N/A</v>
      </c>
    </row>
    <row r="123" spans="1:59" s="28" customFormat="1" ht="33" customHeight="1">
      <c r="A123" s="5" t="s">
        <v>658</v>
      </c>
      <c r="B123" s="31" t="s">
        <v>660</v>
      </c>
      <c r="C123" s="26" t="s">
        <v>659</v>
      </c>
      <c r="D123" s="5" t="s">
        <v>661</v>
      </c>
      <c r="E123" s="31" t="s">
        <v>83</v>
      </c>
      <c r="F123" s="24" t="s">
        <v>196</v>
      </c>
      <c r="G123" s="24" t="s">
        <v>196</v>
      </c>
      <c r="H123" s="218" t="s">
        <v>1275</v>
      </c>
      <c r="I123" s="6" t="s">
        <v>157</v>
      </c>
      <c r="J123" s="6"/>
      <c r="K123" s="292">
        <v>43182</v>
      </c>
      <c r="L123" s="5"/>
      <c r="M123" s="26">
        <v>67416</v>
      </c>
      <c r="N123" s="238">
        <v>67416</v>
      </c>
      <c r="O123" s="239"/>
      <c r="P123" s="239"/>
      <c r="Q123" s="239"/>
      <c r="R123" s="239"/>
      <c r="S123" s="239"/>
      <c r="T123" s="239"/>
      <c r="U123" s="68">
        <v>67416</v>
      </c>
      <c r="V123" s="239"/>
      <c r="W123" s="26"/>
      <c r="X123" s="5"/>
      <c r="Y123" s="261"/>
      <c r="Z123" s="261"/>
      <c r="AA123" s="261">
        <v>0.25</v>
      </c>
      <c r="AB123" s="5"/>
      <c r="AC123" s="5"/>
      <c r="AD123" s="5"/>
      <c r="AE123" s="5"/>
      <c r="AF123" s="5"/>
      <c r="AG123" s="5"/>
      <c r="AH123" s="5">
        <v>47700</v>
      </c>
      <c r="AI123" s="5"/>
      <c r="AJ123" s="5"/>
      <c r="AK123" s="5"/>
      <c r="AL123" s="5"/>
      <c r="AM123" s="5"/>
      <c r="AN123" s="238">
        <f>SUM(AB123:AH123)</f>
        <v>47700</v>
      </c>
      <c r="AO123" s="31" t="s">
        <v>145</v>
      </c>
      <c r="AP123" s="37" t="s">
        <v>1308</v>
      </c>
      <c r="AQ123" s="68"/>
      <c r="AR123" s="26" t="s">
        <v>384</v>
      </c>
      <c r="AS123" s="26"/>
      <c r="AT123" s="72"/>
      <c r="AU123" s="68"/>
      <c r="AV123" s="43" t="s">
        <v>190</v>
      </c>
      <c r="AW123" s="68"/>
      <c r="AX123" s="289"/>
      <c r="AY123" s="289"/>
      <c r="AZ123" s="290"/>
      <c r="BA123" s="290"/>
      <c r="BB123" s="31" t="s">
        <v>662</v>
      </c>
      <c r="BC123" s="291" t="s">
        <v>122</v>
      </c>
      <c r="BD123" s="291" t="s">
        <v>122</v>
      </c>
      <c r="BE123" s="297"/>
      <c r="BF123" s="298">
        <f t="shared" si="1"/>
        <v>0</v>
      </c>
      <c r="BG123" s="297" t="e">
        <f>VLOOKUP(B123,[1]Sheet2!$B:$X,23,0)</f>
        <v>#N/A</v>
      </c>
    </row>
    <row r="124" spans="1:59" s="28" customFormat="1" ht="33" customHeight="1">
      <c r="A124" s="84" t="s">
        <v>1720</v>
      </c>
      <c r="B124" s="18" t="s">
        <v>1721</v>
      </c>
      <c r="C124" s="19" t="s">
        <v>1722</v>
      </c>
      <c r="D124" s="221" t="s">
        <v>1723</v>
      </c>
      <c r="E124" s="31" t="s">
        <v>92</v>
      </c>
      <c r="F124" s="24" t="s">
        <v>196</v>
      </c>
      <c r="G124" s="24" t="s">
        <v>196</v>
      </c>
      <c r="H124" s="218" t="s">
        <v>1275</v>
      </c>
      <c r="I124" s="6"/>
      <c r="J124" s="6"/>
      <c r="K124" s="295" t="s">
        <v>1285</v>
      </c>
      <c r="L124" s="5"/>
      <c r="M124" s="219">
        <v>400000</v>
      </c>
      <c r="N124" s="238"/>
      <c r="O124" s="239"/>
      <c r="P124" s="239"/>
      <c r="Q124" s="239"/>
      <c r="R124" s="239"/>
      <c r="S124" s="239"/>
      <c r="T124" s="239"/>
      <c r="U124" s="68"/>
      <c r="V124" s="239"/>
      <c r="W124" s="26"/>
      <c r="X124" s="5"/>
      <c r="Y124" s="261"/>
      <c r="Z124" s="261"/>
      <c r="AA124" s="261"/>
      <c r="AB124" s="5"/>
      <c r="AC124" s="5"/>
      <c r="AD124" s="5"/>
      <c r="AE124" s="5"/>
      <c r="AF124" s="5"/>
      <c r="AG124" s="5"/>
      <c r="AH124" s="5"/>
      <c r="AI124" s="5"/>
      <c r="AJ124" s="5"/>
      <c r="AK124" s="5"/>
      <c r="AL124" s="5"/>
      <c r="AM124" s="5"/>
      <c r="AN124" s="267">
        <v>359744</v>
      </c>
      <c r="AO124" s="31" t="s">
        <v>145</v>
      </c>
      <c r="AP124" s="37" t="s">
        <v>1442</v>
      </c>
      <c r="AQ124" s="68"/>
      <c r="AR124" s="26" t="s">
        <v>384</v>
      </c>
      <c r="AS124" s="26"/>
      <c r="AT124" s="72"/>
      <c r="AU124" s="68"/>
      <c r="AV124" s="43" t="s">
        <v>196</v>
      </c>
      <c r="AW124" s="68"/>
      <c r="AX124" s="289"/>
      <c r="AY124" s="289"/>
      <c r="AZ124" s="290"/>
      <c r="BA124" s="290"/>
      <c r="BB124" s="31"/>
      <c r="BC124" s="291"/>
      <c r="BD124" s="43" t="s">
        <v>1515</v>
      </c>
      <c r="BE124" s="297">
        <v>200000</v>
      </c>
      <c r="BF124" s="298">
        <f t="shared" si="1"/>
        <v>0.5</v>
      </c>
      <c r="BG124" s="297" t="e">
        <f>VLOOKUP(B124,[1]Sheet2!$B:$X,23,0)</f>
        <v>#N/A</v>
      </c>
    </row>
    <row r="125" spans="1:59" s="28" customFormat="1" ht="33" customHeight="1">
      <c r="A125" s="84" t="s">
        <v>1724</v>
      </c>
      <c r="B125" s="18" t="s">
        <v>1725</v>
      </c>
      <c r="C125" s="19" t="s">
        <v>1726</v>
      </c>
      <c r="D125" s="221" t="s">
        <v>1727</v>
      </c>
      <c r="E125" s="31"/>
      <c r="F125" s="24" t="s">
        <v>196</v>
      </c>
      <c r="G125" s="24" t="s">
        <v>196</v>
      </c>
      <c r="H125" s="218" t="s">
        <v>1275</v>
      </c>
      <c r="I125" s="6"/>
      <c r="J125" s="6"/>
      <c r="K125" s="295" t="s">
        <v>1285</v>
      </c>
      <c r="L125" s="5"/>
      <c r="M125" s="219">
        <v>1950288.3</v>
      </c>
      <c r="N125" s="238"/>
      <c r="O125" s="239"/>
      <c r="P125" s="239"/>
      <c r="Q125" s="239"/>
      <c r="R125" s="239"/>
      <c r="S125" s="239"/>
      <c r="T125" s="239"/>
      <c r="U125" s="68"/>
      <c r="V125" s="239"/>
      <c r="W125" s="26"/>
      <c r="X125" s="5"/>
      <c r="Y125" s="261"/>
      <c r="Z125" s="261"/>
      <c r="AA125" s="261"/>
      <c r="AB125" s="5"/>
      <c r="AC125" s="5"/>
      <c r="AD125" s="5"/>
      <c r="AE125" s="5"/>
      <c r="AF125" s="5"/>
      <c r="AG125" s="5"/>
      <c r="AH125" s="5"/>
      <c r="AI125" s="5"/>
      <c r="AJ125" s="5"/>
      <c r="AK125" s="5"/>
      <c r="AL125" s="5"/>
      <c r="AM125" s="5"/>
      <c r="AN125" s="267">
        <v>1605084.5</v>
      </c>
      <c r="AO125" s="31" t="s">
        <v>145</v>
      </c>
      <c r="AP125" s="37" t="e">
        <v>#N/A</v>
      </c>
      <c r="AQ125" s="68"/>
      <c r="AR125" s="26" t="s">
        <v>384</v>
      </c>
      <c r="AS125" s="26"/>
      <c r="AT125" s="72"/>
      <c r="AU125" s="68"/>
      <c r="AV125" s="43" t="s">
        <v>196</v>
      </c>
      <c r="AW125" s="68"/>
      <c r="AX125" s="289"/>
      <c r="AY125" s="289"/>
      <c r="AZ125" s="290"/>
      <c r="BA125" s="290"/>
      <c r="BB125" s="31"/>
      <c r="BC125" s="291"/>
      <c r="BD125" s="43" t="s">
        <v>1728</v>
      </c>
      <c r="BE125" s="297">
        <v>737796.6</v>
      </c>
      <c r="BF125" s="298">
        <f t="shared" si="1"/>
        <v>0.37830130037697501</v>
      </c>
      <c r="BG125" s="297" t="e">
        <f>VLOOKUP(B125,[1]Sheet2!$B:$X,23,0)</f>
        <v>#N/A</v>
      </c>
    </row>
    <row r="126" spans="1:59" s="28" customFormat="1" ht="33" customHeight="1">
      <c r="A126" s="84" t="s">
        <v>1729</v>
      </c>
      <c r="B126" s="7" t="s">
        <v>73</v>
      </c>
      <c r="C126" s="26" t="s">
        <v>72</v>
      </c>
      <c r="D126" s="24" t="s">
        <v>74</v>
      </c>
      <c r="E126" s="24" t="s">
        <v>75</v>
      </c>
      <c r="F126" s="25" t="s">
        <v>315</v>
      </c>
      <c r="G126" s="25" t="s">
        <v>315</v>
      </c>
      <c r="H126" s="218" t="s">
        <v>1314</v>
      </c>
      <c r="I126" s="306" t="s">
        <v>76</v>
      </c>
      <c r="J126" s="303" t="s">
        <v>63</v>
      </c>
      <c r="K126" s="75" t="s">
        <v>64</v>
      </c>
      <c r="L126" s="24"/>
      <c r="M126" s="29">
        <v>11460000</v>
      </c>
      <c r="N126" s="248">
        <v>11460000</v>
      </c>
      <c r="O126" s="249"/>
      <c r="P126" s="249"/>
      <c r="Q126" s="249"/>
      <c r="R126" s="249">
        <v>11460000</v>
      </c>
      <c r="S126" s="249"/>
      <c r="T126" s="249"/>
      <c r="U126" s="249"/>
      <c r="V126" s="249"/>
      <c r="W126" s="254"/>
      <c r="X126" s="59"/>
      <c r="Y126" s="262"/>
      <c r="Z126" s="262"/>
      <c r="AA126" s="262">
        <v>0.15</v>
      </c>
      <c r="AB126" s="20" t="s">
        <v>65</v>
      </c>
      <c r="AC126" s="20"/>
      <c r="AD126" s="20"/>
      <c r="AE126" s="254"/>
      <c r="AF126" s="254"/>
      <c r="AG126" s="254"/>
      <c r="AH126" s="254"/>
      <c r="AI126" s="254"/>
      <c r="AJ126" s="254"/>
      <c r="AK126" s="254"/>
      <c r="AL126" s="254"/>
      <c r="AM126" s="254"/>
      <c r="AN126" s="266">
        <v>9657910</v>
      </c>
      <c r="AO126" s="24" t="s">
        <v>77</v>
      </c>
      <c r="AP126" s="37"/>
      <c r="AQ126" s="24"/>
      <c r="AR126" s="26" t="s">
        <v>384</v>
      </c>
      <c r="AS126" s="26"/>
      <c r="AT126" s="290"/>
      <c r="AU126" s="24"/>
      <c r="AV126" s="43" t="s">
        <v>66</v>
      </c>
      <c r="AW126" s="24"/>
      <c r="AX126" s="289" t="s">
        <v>1730</v>
      </c>
      <c r="AY126" s="289"/>
      <c r="AZ126" s="290">
        <v>43173</v>
      </c>
      <c r="BA126" s="290"/>
      <c r="BB126" s="24" t="s">
        <v>78</v>
      </c>
      <c r="BC126" s="291">
        <v>43525</v>
      </c>
      <c r="BD126" s="310" t="s">
        <v>1731</v>
      </c>
      <c r="BE126" s="297">
        <v>9168000</v>
      </c>
      <c r="BF126" s="298">
        <f t="shared" si="1"/>
        <v>0.8</v>
      </c>
      <c r="BG126" s="297" t="e">
        <f>VLOOKUP(B126,[1]Sheet2!$B:$X,23,0)</f>
        <v>#N/A</v>
      </c>
    </row>
    <row r="127" spans="1:59" s="28" customFormat="1" ht="33" customHeight="1">
      <c r="A127" s="84" t="s">
        <v>1732</v>
      </c>
      <c r="B127" s="7" t="s">
        <v>81</v>
      </c>
      <c r="C127" s="26" t="s">
        <v>80</v>
      </c>
      <c r="D127" s="24" t="s">
        <v>82</v>
      </c>
      <c r="E127" s="24" t="s">
        <v>83</v>
      </c>
      <c r="F127" s="25" t="s">
        <v>315</v>
      </c>
      <c r="G127" s="25" t="s">
        <v>315</v>
      </c>
      <c r="H127" s="218" t="s">
        <v>1275</v>
      </c>
      <c r="I127" s="303" t="s">
        <v>76</v>
      </c>
      <c r="J127" s="303" t="s">
        <v>84</v>
      </c>
      <c r="K127" s="75" t="s">
        <v>64</v>
      </c>
      <c r="L127" s="24"/>
      <c r="M127" s="29">
        <v>29900000</v>
      </c>
      <c r="N127" s="254">
        <v>29900000</v>
      </c>
      <c r="O127" s="249">
        <v>19354140</v>
      </c>
      <c r="P127" s="249"/>
      <c r="Q127" s="249"/>
      <c r="R127" s="249"/>
      <c r="S127" s="249"/>
      <c r="T127" s="249"/>
      <c r="U127" s="249">
        <v>10545860</v>
      </c>
      <c r="V127" s="249"/>
      <c r="W127" s="254"/>
      <c r="X127" s="255"/>
      <c r="Y127" s="264"/>
      <c r="Z127" s="264"/>
      <c r="AA127" s="262">
        <v>0.15</v>
      </c>
      <c r="AB127" s="20" t="s">
        <v>65</v>
      </c>
      <c r="AC127" s="20"/>
      <c r="AD127" s="20"/>
      <c r="AE127" s="254"/>
      <c r="AF127" s="254"/>
      <c r="AG127" s="254"/>
      <c r="AH127" s="254"/>
      <c r="AI127" s="254"/>
      <c r="AJ127" s="254"/>
      <c r="AK127" s="254"/>
      <c r="AL127" s="254"/>
      <c r="AM127" s="254"/>
      <c r="AN127" s="266">
        <v>27252285</v>
      </c>
      <c r="AO127" s="24" t="s">
        <v>85</v>
      </c>
      <c r="AP127" s="37" t="s">
        <v>1308</v>
      </c>
      <c r="AQ127" s="24"/>
      <c r="AR127" s="26" t="s">
        <v>384</v>
      </c>
      <c r="AS127" s="26"/>
      <c r="AT127" s="290">
        <v>42835</v>
      </c>
      <c r="AU127" s="24"/>
      <c r="AV127" s="43" t="s">
        <v>66</v>
      </c>
      <c r="AW127" s="24"/>
      <c r="AX127" s="289" t="s">
        <v>86</v>
      </c>
      <c r="AY127" s="289"/>
      <c r="AZ127" s="290">
        <v>42998</v>
      </c>
      <c r="BA127" s="290">
        <v>43032</v>
      </c>
      <c r="BB127" s="25" t="s">
        <v>87</v>
      </c>
      <c r="BC127" s="291">
        <v>44093</v>
      </c>
      <c r="BD127" s="310" t="s">
        <v>88</v>
      </c>
      <c r="BE127" s="297">
        <v>31375200</v>
      </c>
      <c r="BF127" s="298">
        <f t="shared" si="1"/>
        <v>1.0493377926421406</v>
      </c>
      <c r="BG127" s="297" t="e">
        <f>VLOOKUP(B127,[1]Sheet2!$B:$X,23,0)</f>
        <v>#N/A</v>
      </c>
    </row>
    <row r="128" spans="1:59" s="28" customFormat="1" ht="33" customHeight="1">
      <c r="A128" s="26" t="s">
        <v>277</v>
      </c>
      <c r="B128" s="25" t="s">
        <v>279</v>
      </c>
      <c r="C128" s="26" t="s">
        <v>278</v>
      </c>
      <c r="D128" s="26" t="s">
        <v>280</v>
      </c>
      <c r="E128" s="25" t="s">
        <v>281</v>
      </c>
      <c r="F128" s="25" t="s">
        <v>315</v>
      </c>
      <c r="G128" s="25" t="s">
        <v>315</v>
      </c>
      <c r="H128" s="218"/>
      <c r="I128" s="53" t="s">
        <v>76</v>
      </c>
      <c r="J128" s="53" t="s">
        <v>84</v>
      </c>
      <c r="K128" s="295">
        <v>43073</v>
      </c>
      <c r="L128" s="26"/>
      <c r="M128" s="29">
        <v>1475200</v>
      </c>
      <c r="N128" s="243">
        <v>1475200</v>
      </c>
      <c r="O128" s="245">
        <v>1475200</v>
      </c>
      <c r="P128" s="244"/>
      <c r="Q128" s="244"/>
      <c r="R128" s="244"/>
      <c r="S128" s="244"/>
      <c r="T128" s="244"/>
      <c r="U128" s="244"/>
      <c r="V128" s="244"/>
      <c r="W128" s="7"/>
      <c r="X128" s="7"/>
      <c r="Y128" s="262"/>
      <c r="Z128" s="262"/>
      <c r="AA128" s="262">
        <f>1-(AB128+AE128+AH128)/N128</f>
        <v>0.15000000000000002</v>
      </c>
      <c r="AB128" s="26">
        <v>1253920</v>
      </c>
      <c r="AC128" s="26"/>
      <c r="AD128" s="26"/>
      <c r="AE128" s="26"/>
      <c r="AF128" s="26"/>
      <c r="AG128" s="26"/>
      <c r="AH128" s="26"/>
      <c r="AI128" s="26"/>
      <c r="AJ128" s="26"/>
      <c r="AK128" s="26"/>
      <c r="AL128" s="26"/>
      <c r="AM128" s="26"/>
      <c r="AN128" s="266">
        <f t="shared" ref="AN128:AN148" si="2">SUM(AB128:AH128)</f>
        <v>1253920</v>
      </c>
      <c r="AO128" s="25" t="s">
        <v>85</v>
      </c>
      <c r="AP128" s="37" t="e">
        <v>#N/A</v>
      </c>
      <c r="AQ128" s="245"/>
      <c r="AR128" s="26" t="s">
        <v>384</v>
      </c>
      <c r="AS128" s="26"/>
      <c r="AT128" s="308"/>
      <c r="AU128" s="245"/>
      <c r="AV128" s="43" t="s">
        <v>933</v>
      </c>
      <c r="AW128" s="245"/>
      <c r="AX128" s="43" t="s">
        <v>933</v>
      </c>
      <c r="AY128" s="289"/>
      <c r="AZ128" s="290" t="s">
        <v>933</v>
      </c>
      <c r="BA128" s="290"/>
      <c r="BB128" s="25"/>
      <c r="BC128" s="291">
        <v>44075</v>
      </c>
      <c r="BD128" s="43" t="s">
        <v>88</v>
      </c>
      <c r="BE128" s="297"/>
      <c r="BF128" s="298">
        <f t="shared" si="1"/>
        <v>0</v>
      </c>
      <c r="BG128" s="297" t="e">
        <f>VLOOKUP(B128,[1]Sheet2!$B:$X,23,0)</f>
        <v>#N/A</v>
      </c>
    </row>
    <row r="129" spans="1:59" s="28" customFormat="1" ht="33" customHeight="1">
      <c r="A129" s="7" t="s">
        <v>146</v>
      </c>
      <c r="B129" s="7" t="s">
        <v>148</v>
      </c>
      <c r="C129" s="26" t="s">
        <v>147</v>
      </c>
      <c r="D129" s="7" t="s">
        <v>149</v>
      </c>
      <c r="E129" s="24" t="s">
        <v>139</v>
      </c>
      <c r="F129" s="7" t="s">
        <v>315</v>
      </c>
      <c r="G129" s="7" t="s">
        <v>315</v>
      </c>
      <c r="H129" s="218" t="s">
        <v>1275</v>
      </c>
      <c r="I129" s="303" t="s">
        <v>150</v>
      </c>
      <c r="J129" s="306" t="s">
        <v>128</v>
      </c>
      <c r="K129" s="75" t="s">
        <v>129</v>
      </c>
      <c r="L129" s="24" t="s">
        <v>143</v>
      </c>
      <c r="M129" s="29">
        <v>479462</v>
      </c>
      <c r="N129" s="7">
        <v>479462</v>
      </c>
      <c r="O129" s="307"/>
      <c r="P129" s="249"/>
      <c r="Q129" s="249"/>
      <c r="R129" s="249" t="s">
        <v>151</v>
      </c>
      <c r="S129" s="249"/>
      <c r="T129" s="249"/>
      <c r="U129" s="249"/>
      <c r="V129" s="249"/>
      <c r="W129" s="244"/>
      <c r="X129" s="59"/>
      <c r="Y129" s="262"/>
      <c r="Z129" s="262"/>
      <c r="AA129" s="262">
        <v>0.1</v>
      </c>
      <c r="AB129" s="254">
        <v>0</v>
      </c>
      <c r="AC129" s="254"/>
      <c r="AD129" s="254"/>
      <c r="AE129" s="254">
        <v>431515.8</v>
      </c>
      <c r="AF129" s="254"/>
      <c r="AG129" s="254"/>
      <c r="AH129" s="254">
        <v>0</v>
      </c>
      <c r="AI129" s="254"/>
      <c r="AJ129" s="254"/>
      <c r="AK129" s="254"/>
      <c r="AL129" s="254"/>
      <c r="AM129" s="254"/>
      <c r="AN129" s="266">
        <f t="shared" si="2"/>
        <v>431515.8</v>
      </c>
      <c r="AO129" s="25" t="s">
        <v>145</v>
      </c>
      <c r="AP129" s="216" t="s">
        <v>1442</v>
      </c>
      <c r="AQ129" s="7"/>
      <c r="AR129" s="26" t="s">
        <v>384</v>
      </c>
      <c r="AS129" s="26"/>
      <c r="AT129" s="309"/>
      <c r="AU129" s="7"/>
      <c r="AV129" s="43" t="s">
        <v>66</v>
      </c>
      <c r="AW129" s="7"/>
      <c r="AX129" s="7" t="s">
        <v>86</v>
      </c>
      <c r="AY129" s="289"/>
      <c r="AZ129" s="290">
        <v>43040</v>
      </c>
      <c r="BA129" s="290">
        <v>43231</v>
      </c>
      <c r="BB129" s="25" t="s">
        <v>78</v>
      </c>
      <c r="BC129" s="291">
        <v>43374</v>
      </c>
      <c r="BD129" s="113" t="s">
        <v>122</v>
      </c>
      <c r="BE129" s="297">
        <v>479462</v>
      </c>
      <c r="BF129" s="298">
        <f t="shared" si="1"/>
        <v>1</v>
      </c>
      <c r="BG129" s="297" t="e">
        <f>VLOOKUP(B129,[1]Sheet2!$B:$X,23,0)</f>
        <v>#N/A</v>
      </c>
    </row>
    <row r="130" spans="1:59" s="28" customFormat="1" ht="33" customHeight="1">
      <c r="A130" s="312" t="s">
        <v>1733</v>
      </c>
      <c r="B130" s="7" t="s">
        <v>116</v>
      </c>
      <c r="C130" s="26" t="s">
        <v>115</v>
      </c>
      <c r="D130" s="220" t="s">
        <v>117</v>
      </c>
      <c r="E130" s="24" t="s">
        <v>83</v>
      </c>
      <c r="F130" s="25" t="s">
        <v>315</v>
      </c>
      <c r="G130" s="25" t="s">
        <v>315</v>
      </c>
      <c r="H130" s="218" t="s">
        <v>1314</v>
      </c>
      <c r="I130" s="303" t="s">
        <v>118</v>
      </c>
      <c r="J130" s="303" t="s">
        <v>84</v>
      </c>
      <c r="K130" s="75" t="s">
        <v>119</v>
      </c>
      <c r="L130" s="24"/>
      <c r="M130" s="219">
        <v>27903800</v>
      </c>
      <c r="N130" s="254">
        <v>14783800</v>
      </c>
      <c r="O130" s="249"/>
      <c r="P130" s="249"/>
      <c r="Q130" s="249"/>
      <c r="R130" s="249">
        <v>14783800</v>
      </c>
      <c r="S130" s="249"/>
      <c r="T130" s="249"/>
      <c r="U130" s="249"/>
      <c r="V130" s="249"/>
      <c r="W130" s="254">
        <v>13120000</v>
      </c>
      <c r="X130" s="59"/>
      <c r="Y130" s="262">
        <v>0.11</v>
      </c>
      <c r="Z130" s="262"/>
      <c r="AA130" s="262">
        <v>0.1</v>
      </c>
      <c r="AB130" s="254">
        <v>9601052.4000000004</v>
      </c>
      <c r="AC130" s="254"/>
      <c r="AD130" s="254"/>
      <c r="AE130" s="254">
        <v>3674800</v>
      </c>
      <c r="AF130" s="254"/>
      <c r="AG130" s="254"/>
      <c r="AH130" s="254">
        <v>0</v>
      </c>
      <c r="AI130" s="254"/>
      <c r="AJ130" s="254"/>
      <c r="AK130" s="254"/>
      <c r="AL130" s="254"/>
      <c r="AM130" s="254"/>
      <c r="AN130" s="266">
        <f t="shared" si="2"/>
        <v>13275852.4</v>
      </c>
      <c r="AO130" s="24" t="s">
        <v>120</v>
      </c>
      <c r="AP130" s="216" t="s">
        <v>1308</v>
      </c>
      <c r="AQ130" s="24"/>
      <c r="AR130" s="26" t="s">
        <v>384</v>
      </c>
      <c r="AS130" s="26"/>
      <c r="AT130" s="290">
        <v>42872</v>
      </c>
      <c r="AU130" s="24"/>
      <c r="AV130" s="43" t="s">
        <v>66</v>
      </c>
      <c r="AW130" s="24"/>
      <c r="AX130" s="289" t="s">
        <v>86</v>
      </c>
      <c r="AY130" s="289"/>
      <c r="AZ130" s="290">
        <v>42987</v>
      </c>
      <c r="BA130" s="290" t="s">
        <v>121</v>
      </c>
      <c r="BB130" s="25" t="s">
        <v>78</v>
      </c>
      <c r="BC130" s="291">
        <v>43352</v>
      </c>
      <c r="BD130" s="113" t="s">
        <v>122</v>
      </c>
      <c r="BE130" s="297">
        <v>29668600</v>
      </c>
      <c r="BF130" s="298">
        <f t="shared" si="1"/>
        <v>1.0632458661544306</v>
      </c>
      <c r="BG130" s="297" t="e">
        <f>VLOOKUP(B130,[1]Sheet2!$B:$X,23,0)</f>
        <v>#N/A</v>
      </c>
    </row>
    <row r="131" spans="1:59" s="28" customFormat="1" ht="33" customHeight="1">
      <c r="A131" s="312" t="s">
        <v>1734</v>
      </c>
      <c r="B131" s="24" t="s">
        <v>1735</v>
      </c>
      <c r="C131" s="19" t="s">
        <v>1736</v>
      </c>
      <c r="D131" s="221" t="s">
        <v>1737</v>
      </c>
      <c r="E131" s="10" t="s">
        <v>75</v>
      </c>
      <c r="F131" s="25" t="s">
        <v>315</v>
      </c>
      <c r="G131" s="25" t="s">
        <v>315</v>
      </c>
      <c r="H131" s="218" t="s">
        <v>1275</v>
      </c>
      <c r="I131" s="303"/>
      <c r="J131" s="303"/>
      <c r="K131" s="75" t="s">
        <v>1738</v>
      </c>
      <c r="L131" s="24"/>
      <c r="M131" s="219">
        <v>433391</v>
      </c>
      <c r="N131" s="254"/>
      <c r="O131" s="249"/>
      <c r="P131" s="249"/>
      <c r="Q131" s="249"/>
      <c r="R131" s="249"/>
      <c r="S131" s="249"/>
      <c r="T131" s="249"/>
      <c r="U131" s="249"/>
      <c r="V131" s="249"/>
      <c r="W131" s="254"/>
      <c r="X131" s="59"/>
      <c r="Y131" s="262"/>
      <c r="Z131" s="262"/>
      <c r="AA131" s="262"/>
      <c r="AB131" s="254"/>
      <c r="AC131" s="254"/>
      <c r="AD131" s="254"/>
      <c r="AE131" s="254"/>
      <c r="AF131" s="254"/>
      <c r="AG131" s="254"/>
      <c r="AH131" s="254"/>
      <c r="AI131" s="254"/>
      <c r="AJ131" s="254"/>
      <c r="AK131" s="254"/>
      <c r="AL131" s="254"/>
      <c r="AM131" s="254"/>
      <c r="AN131" s="267">
        <v>389514</v>
      </c>
      <c r="AO131" s="24" t="s">
        <v>85</v>
      </c>
      <c r="AP131" s="216" t="s">
        <v>1274</v>
      </c>
      <c r="AQ131" s="24"/>
      <c r="AR131" s="26" t="s">
        <v>384</v>
      </c>
      <c r="AS131" s="26"/>
      <c r="AT131" s="290">
        <v>42855</v>
      </c>
      <c r="AU131" s="24"/>
      <c r="AV131" s="43" t="s">
        <v>66</v>
      </c>
      <c r="AW131" s="24" t="s">
        <v>86</v>
      </c>
      <c r="AX131" s="289" t="s">
        <v>86</v>
      </c>
      <c r="AY131" s="289" t="s">
        <v>177</v>
      </c>
      <c r="AZ131" s="290">
        <v>43435</v>
      </c>
      <c r="BA131" s="290" t="s">
        <v>1047</v>
      </c>
      <c r="BB131" s="25" t="s">
        <v>78</v>
      </c>
      <c r="BC131" s="291">
        <v>43800</v>
      </c>
      <c r="BD131" s="113" t="s">
        <v>88</v>
      </c>
      <c r="BE131" s="297">
        <v>433391</v>
      </c>
      <c r="BF131" s="298">
        <f t="shared" ref="BF131:BF194" si="3">BE131/M131</f>
        <v>1</v>
      </c>
      <c r="BG131" s="297" t="e">
        <f>VLOOKUP(B131,[1]Sheet2!$B:$X,23,0)</f>
        <v>#N/A</v>
      </c>
    </row>
    <row r="132" spans="1:59" s="28" customFormat="1" ht="33" customHeight="1">
      <c r="A132" s="312" t="s">
        <v>1739</v>
      </c>
      <c r="B132" s="18" t="s">
        <v>1740</v>
      </c>
      <c r="C132" s="19" t="s">
        <v>1741</v>
      </c>
      <c r="D132" s="221" t="s">
        <v>1742</v>
      </c>
      <c r="E132" s="24" t="s">
        <v>1356</v>
      </c>
      <c r="F132" s="25" t="s">
        <v>315</v>
      </c>
      <c r="G132" s="25" t="s">
        <v>315</v>
      </c>
      <c r="H132" s="218" t="s">
        <v>1275</v>
      </c>
      <c r="I132" s="303"/>
      <c r="J132" s="303"/>
      <c r="K132" s="75" t="s">
        <v>1738</v>
      </c>
      <c r="L132" s="24"/>
      <c r="M132" s="219">
        <v>198800</v>
      </c>
      <c r="N132" s="254"/>
      <c r="O132" s="249"/>
      <c r="P132" s="249"/>
      <c r="Q132" s="249"/>
      <c r="R132" s="249"/>
      <c r="S132" s="249"/>
      <c r="T132" s="249"/>
      <c r="U132" s="249"/>
      <c r="V132" s="249"/>
      <c r="W132" s="254"/>
      <c r="X132" s="59"/>
      <c r="Y132" s="262"/>
      <c r="Z132" s="262"/>
      <c r="AA132" s="262"/>
      <c r="AB132" s="254"/>
      <c r="AC132" s="254"/>
      <c r="AD132" s="254"/>
      <c r="AE132" s="254"/>
      <c r="AF132" s="254"/>
      <c r="AG132" s="254"/>
      <c r="AH132" s="254"/>
      <c r="AI132" s="254"/>
      <c r="AJ132" s="254"/>
      <c r="AK132" s="254"/>
      <c r="AL132" s="254"/>
      <c r="AM132" s="254"/>
      <c r="AN132" s="267">
        <v>168900</v>
      </c>
      <c r="AO132" s="24" t="s">
        <v>77</v>
      </c>
      <c r="AP132" s="216"/>
      <c r="AQ132" s="24"/>
      <c r="AR132" s="26" t="s">
        <v>384</v>
      </c>
      <c r="AS132" s="26"/>
      <c r="AT132" s="290"/>
      <c r="AU132" s="24"/>
      <c r="AV132" s="43"/>
      <c r="AW132" s="24"/>
      <c r="AX132" s="289"/>
      <c r="AY132" s="289"/>
      <c r="AZ132" s="290"/>
      <c r="BA132" s="290"/>
      <c r="BB132" s="25"/>
      <c r="BC132" s="291"/>
      <c r="BD132" s="113"/>
      <c r="BE132" s="297">
        <v>198800</v>
      </c>
      <c r="BF132" s="298">
        <f t="shared" si="3"/>
        <v>1</v>
      </c>
      <c r="BG132" s="297" t="e">
        <f>VLOOKUP(B132,[1]Sheet2!$B:$X,23,0)</f>
        <v>#N/A</v>
      </c>
    </row>
    <row r="133" spans="1:59" s="28" customFormat="1" ht="33" customHeight="1">
      <c r="A133" s="312" t="s">
        <v>1743</v>
      </c>
      <c r="B133" s="7" t="s">
        <v>154</v>
      </c>
      <c r="C133" s="26" t="s">
        <v>153</v>
      </c>
      <c r="D133" s="24" t="s">
        <v>155</v>
      </c>
      <c r="E133" s="24" t="s">
        <v>156</v>
      </c>
      <c r="F133" s="10" t="s">
        <v>315</v>
      </c>
      <c r="G133" s="10" t="s">
        <v>315</v>
      </c>
      <c r="H133" s="218" t="s">
        <v>1275</v>
      </c>
      <c r="I133" s="303" t="s">
        <v>157</v>
      </c>
      <c r="J133" s="303" t="s">
        <v>128</v>
      </c>
      <c r="K133" s="75" t="s">
        <v>158</v>
      </c>
      <c r="L133" s="24"/>
      <c r="M133" s="242">
        <v>495000</v>
      </c>
      <c r="N133" s="7">
        <v>495000</v>
      </c>
      <c r="O133" s="307"/>
      <c r="P133" s="249"/>
      <c r="Q133" s="249"/>
      <c r="R133" s="249">
        <v>495000</v>
      </c>
      <c r="S133" s="249"/>
      <c r="T133" s="249"/>
      <c r="U133" s="249"/>
      <c r="V133" s="249"/>
      <c r="W133" s="244"/>
      <c r="X133" s="59"/>
      <c r="Y133" s="262"/>
      <c r="Z133" s="262"/>
      <c r="AA133" s="262">
        <v>0.15</v>
      </c>
      <c r="AB133" s="254">
        <v>155063.9</v>
      </c>
      <c r="AC133" s="254"/>
      <c r="AD133" s="254"/>
      <c r="AE133" s="254">
        <v>274276.59999999998</v>
      </c>
      <c r="AF133" s="254"/>
      <c r="AG133" s="254"/>
      <c r="AH133" s="254">
        <v>0</v>
      </c>
      <c r="AI133" s="254"/>
      <c r="AJ133" s="254"/>
      <c r="AK133" s="254"/>
      <c r="AL133" s="254"/>
      <c r="AM133" s="254"/>
      <c r="AN133" s="266">
        <f t="shared" si="2"/>
        <v>429340.5</v>
      </c>
      <c r="AO133" s="25" t="s">
        <v>145</v>
      </c>
      <c r="AP133" s="216" t="s">
        <v>1308</v>
      </c>
      <c r="AQ133" s="7"/>
      <c r="AR133" s="26" t="s">
        <v>384</v>
      </c>
      <c r="AS133" s="26"/>
      <c r="AT133" s="309"/>
      <c r="AU133" s="7"/>
      <c r="AV133" s="43" t="s">
        <v>66</v>
      </c>
      <c r="AW133" s="7"/>
      <c r="AX133" s="7" t="s">
        <v>86</v>
      </c>
      <c r="AY133" s="289"/>
      <c r="AZ133" s="290">
        <v>42949</v>
      </c>
      <c r="BA133" s="290">
        <v>43047</v>
      </c>
      <c r="BB133" s="25" t="s">
        <v>78</v>
      </c>
      <c r="BC133" s="291">
        <v>43313</v>
      </c>
      <c r="BD133" s="113" t="s">
        <v>122</v>
      </c>
      <c r="BE133" s="297">
        <v>749690</v>
      </c>
      <c r="BF133" s="298">
        <f t="shared" si="3"/>
        <v>1.5145252525252526</v>
      </c>
      <c r="BG133" s="297" t="e">
        <f>VLOOKUP(B133,[1]Sheet2!$B:$X,23,0)</f>
        <v>#N/A</v>
      </c>
    </row>
    <row r="134" spans="1:59" s="28" customFormat="1" ht="33" customHeight="1">
      <c r="A134" s="312" t="s">
        <v>1744</v>
      </c>
      <c r="B134" s="22" t="s">
        <v>160</v>
      </c>
      <c r="C134" s="26" t="s">
        <v>159</v>
      </c>
      <c r="D134" s="20" t="s">
        <v>161</v>
      </c>
      <c r="E134" s="24" t="s">
        <v>75</v>
      </c>
      <c r="F134" s="216" t="s">
        <v>315</v>
      </c>
      <c r="G134" s="216" t="s">
        <v>315</v>
      </c>
      <c r="H134" s="218" t="s">
        <v>1275</v>
      </c>
      <c r="I134" s="306" t="s">
        <v>76</v>
      </c>
      <c r="J134" s="303" t="s">
        <v>63</v>
      </c>
      <c r="K134" s="75" t="s">
        <v>162</v>
      </c>
      <c r="L134" s="24"/>
      <c r="M134" s="242">
        <v>5300000</v>
      </c>
      <c r="N134" s="7">
        <v>5300000</v>
      </c>
      <c r="O134" s="244" t="s">
        <v>163</v>
      </c>
      <c r="P134" s="249"/>
      <c r="Q134" s="249"/>
      <c r="R134" s="249"/>
      <c r="S134" s="249"/>
      <c r="T134" s="249"/>
      <c r="U134" s="249" t="s">
        <v>164</v>
      </c>
      <c r="V134" s="249"/>
      <c r="W134" s="244"/>
      <c r="X134" s="255"/>
      <c r="Y134" s="264"/>
      <c r="Z134" s="264"/>
      <c r="AA134" s="262">
        <v>0.15</v>
      </c>
      <c r="AB134" s="20" t="s">
        <v>131</v>
      </c>
      <c r="AC134" s="20"/>
      <c r="AD134" s="20"/>
      <c r="AE134" s="254"/>
      <c r="AF134" s="254"/>
      <c r="AG134" s="254"/>
      <c r="AH134" s="254"/>
      <c r="AI134" s="254"/>
      <c r="AJ134" s="254"/>
      <c r="AK134" s="254"/>
      <c r="AL134" s="254"/>
      <c r="AM134" s="254"/>
      <c r="AN134" s="266">
        <f t="shared" si="2"/>
        <v>0</v>
      </c>
      <c r="AO134" s="7" t="s">
        <v>114</v>
      </c>
      <c r="AP134" s="216"/>
      <c r="AQ134" s="7"/>
      <c r="AR134" s="26" t="s">
        <v>384</v>
      </c>
      <c r="AS134" s="26"/>
      <c r="AT134" s="309"/>
      <c r="AU134" s="7"/>
      <c r="AV134" s="43" t="s">
        <v>66</v>
      </c>
      <c r="AW134" s="7"/>
      <c r="AX134" s="7" t="s">
        <v>86</v>
      </c>
      <c r="AY134" s="289"/>
      <c r="AZ134" s="290">
        <v>43207</v>
      </c>
      <c r="BA134" s="290">
        <v>43215</v>
      </c>
      <c r="BB134" s="25" t="s">
        <v>78</v>
      </c>
      <c r="BC134" s="291">
        <v>43571</v>
      </c>
      <c r="BD134" s="25" t="s">
        <v>122</v>
      </c>
      <c r="BE134" s="297">
        <v>4240000</v>
      </c>
      <c r="BF134" s="298">
        <f t="shared" si="3"/>
        <v>0.8</v>
      </c>
      <c r="BG134" s="297" t="e">
        <f>VLOOKUP(B134,[1]Sheet2!$B:$X,23,0)</f>
        <v>#N/A</v>
      </c>
    </row>
    <row r="135" spans="1:59" s="28" customFormat="1" ht="33" customHeight="1">
      <c r="A135" s="312" t="s">
        <v>1744</v>
      </c>
      <c r="B135" s="18" t="s">
        <v>160</v>
      </c>
      <c r="C135" s="19" t="s">
        <v>1745</v>
      </c>
      <c r="D135" s="221" t="s">
        <v>161</v>
      </c>
      <c r="E135" s="24" t="s">
        <v>75</v>
      </c>
      <c r="F135" s="216" t="s">
        <v>315</v>
      </c>
      <c r="G135" s="216" t="s">
        <v>315</v>
      </c>
      <c r="H135" s="218" t="s">
        <v>1275</v>
      </c>
      <c r="I135" s="306"/>
      <c r="J135" s="303"/>
      <c r="K135" s="75" t="s">
        <v>1738</v>
      </c>
      <c r="L135" s="24"/>
      <c r="M135" s="219">
        <v>5300000</v>
      </c>
      <c r="N135" s="7"/>
      <c r="O135" s="244"/>
      <c r="P135" s="249"/>
      <c r="Q135" s="249"/>
      <c r="R135" s="249"/>
      <c r="S135" s="249"/>
      <c r="T135" s="249"/>
      <c r="U135" s="249"/>
      <c r="V135" s="249"/>
      <c r="W135" s="244"/>
      <c r="X135" s="255"/>
      <c r="Y135" s="264"/>
      <c r="Z135" s="264"/>
      <c r="AA135" s="262"/>
      <c r="AB135" s="20"/>
      <c r="AC135" s="20"/>
      <c r="AD135" s="20"/>
      <c r="AE135" s="254"/>
      <c r="AF135" s="254"/>
      <c r="AG135" s="254"/>
      <c r="AH135" s="254"/>
      <c r="AI135" s="254"/>
      <c r="AJ135" s="254"/>
      <c r="AK135" s="254"/>
      <c r="AL135" s="254"/>
      <c r="AM135" s="254"/>
      <c r="AN135" s="266"/>
      <c r="AO135" s="24" t="s">
        <v>76</v>
      </c>
      <c r="AP135" s="216" t="s">
        <v>1274</v>
      </c>
      <c r="AQ135" s="7"/>
      <c r="AR135" s="26" t="s">
        <v>384</v>
      </c>
      <c r="AS135" s="26"/>
      <c r="AT135" s="309"/>
      <c r="AU135" s="7"/>
      <c r="AV135" s="43"/>
      <c r="AW135" s="7"/>
      <c r="AX135" s="7"/>
      <c r="AY135" s="289"/>
      <c r="AZ135" s="290"/>
      <c r="BA135" s="290"/>
      <c r="BB135" s="25"/>
      <c r="BC135" s="291"/>
      <c r="BD135" s="113"/>
      <c r="BE135" s="297">
        <v>4240000</v>
      </c>
      <c r="BF135" s="298">
        <f t="shared" si="3"/>
        <v>0.8</v>
      </c>
      <c r="BG135" s="297" t="e">
        <f>VLOOKUP(B135,[1]Sheet2!$B:$X,23,0)</f>
        <v>#N/A</v>
      </c>
    </row>
    <row r="136" spans="1:59" s="28" customFormat="1" ht="33" customHeight="1">
      <c r="A136" s="312" t="s">
        <v>1746</v>
      </c>
      <c r="B136" s="22" t="s">
        <v>172</v>
      </c>
      <c r="C136" s="26" t="s">
        <v>171</v>
      </c>
      <c r="D136" s="221" t="s">
        <v>173</v>
      </c>
      <c r="E136" s="24" t="s">
        <v>174</v>
      </c>
      <c r="F136" s="25" t="s">
        <v>315</v>
      </c>
      <c r="G136" s="25" t="s">
        <v>315</v>
      </c>
      <c r="H136" s="218" t="s">
        <v>1275</v>
      </c>
      <c r="I136" s="306" t="s">
        <v>175</v>
      </c>
      <c r="J136" s="306" t="s">
        <v>128</v>
      </c>
      <c r="K136" s="75" t="s">
        <v>176</v>
      </c>
      <c r="L136" s="24"/>
      <c r="M136" s="242">
        <v>960000</v>
      </c>
      <c r="N136" s="7">
        <v>960000</v>
      </c>
      <c r="O136" s="239"/>
      <c r="P136" s="239"/>
      <c r="Q136" s="239"/>
      <c r="R136" s="244">
        <v>960000</v>
      </c>
      <c r="S136" s="239"/>
      <c r="T136" s="239"/>
      <c r="U136" s="239"/>
      <c r="V136" s="239"/>
      <c r="W136" s="248"/>
      <c r="X136" s="59"/>
      <c r="Y136" s="262"/>
      <c r="Z136" s="262"/>
      <c r="AA136" s="262">
        <v>0.15</v>
      </c>
      <c r="AB136" s="254">
        <v>0</v>
      </c>
      <c r="AC136" s="254"/>
      <c r="AD136" s="254"/>
      <c r="AE136" s="254">
        <v>816000</v>
      </c>
      <c r="AF136" s="254"/>
      <c r="AG136" s="254"/>
      <c r="AH136" s="254">
        <v>0</v>
      </c>
      <c r="AI136" s="254"/>
      <c r="AJ136" s="254"/>
      <c r="AK136" s="254"/>
      <c r="AL136" s="254"/>
      <c r="AM136" s="254"/>
      <c r="AN136" s="266">
        <f t="shared" si="2"/>
        <v>816000</v>
      </c>
      <c r="AO136" s="24" t="s">
        <v>85</v>
      </c>
      <c r="AP136" s="216" t="s">
        <v>1274</v>
      </c>
      <c r="AQ136" s="7"/>
      <c r="AR136" s="26" t="s">
        <v>384</v>
      </c>
      <c r="AS136" s="26"/>
      <c r="AT136" s="309"/>
      <c r="AU136" s="7"/>
      <c r="AV136" s="43" t="s">
        <v>66</v>
      </c>
      <c r="AW136" s="7"/>
      <c r="AX136" s="289" t="s">
        <v>86</v>
      </c>
      <c r="AY136" s="289" t="s">
        <v>177</v>
      </c>
      <c r="AZ136" s="290">
        <v>43074</v>
      </c>
      <c r="BA136" s="290">
        <v>43082</v>
      </c>
      <c r="BB136" s="25" t="s">
        <v>78</v>
      </c>
      <c r="BC136" s="291">
        <v>43439</v>
      </c>
      <c r="BD136" s="113" t="s">
        <v>122</v>
      </c>
      <c r="BE136" s="297">
        <v>640000</v>
      </c>
      <c r="BF136" s="298">
        <f t="shared" si="3"/>
        <v>0.66666666666666663</v>
      </c>
      <c r="BG136" s="297" t="e">
        <f>VLOOKUP(B136,[1]Sheet2!$B:$X,23,0)</f>
        <v>#N/A</v>
      </c>
    </row>
    <row r="137" spans="1:59" s="28" customFormat="1" ht="33" customHeight="1">
      <c r="A137" s="312" t="s">
        <v>1747</v>
      </c>
      <c r="B137" s="18" t="s">
        <v>166</v>
      </c>
      <c r="C137" s="26" t="s">
        <v>165</v>
      </c>
      <c r="D137" s="221" t="s">
        <v>167</v>
      </c>
      <c r="E137" s="24" t="s">
        <v>168</v>
      </c>
      <c r="F137" s="25" t="s">
        <v>315</v>
      </c>
      <c r="G137" s="25" t="s">
        <v>315</v>
      </c>
      <c r="H137" s="218" t="s">
        <v>1275</v>
      </c>
      <c r="I137" s="306" t="s">
        <v>157</v>
      </c>
      <c r="J137" s="306" t="s">
        <v>128</v>
      </c>
      <c r="K137" s="75" t="s">
        <v>162</v>
      </c>
      <c r="L137" s="24"/>
      <c r="M137" s="242">
        <v>1057000</v>
      </c>
      <c r="N137" s="7" t="s">
        <v>169</v>
      </c>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266">
        <f t="shared" si="2"/>
        <v>0</v>
      </c>
      <c r="AO137" s="7" t="s">
        <v>62</v>
      </c>
      <c r="AP137" s="216"/>
      <c r="AQ137" s="7"/>
      <c r="AR137" s="26" t="s">
        <v>384</v>
      </c>
      <c r="AS137" s="26"/>
      <c r="AT137" s="309">
        <v>42859</v>
      </c>
      <c r="AU137" s="7"/>
      <c r="AV137" s="43" t="s">
        <v>66</v>
      </c>
      <c r="AW137" s="7"/>
      <c r="AX137" s="289" t="s">
        <v>86</v>
      </c>
      <c r="AY137" s="289"/>
      <c r="AZ137" s="290">
        <v>42989</v>
      </c>
      <c r="BA137" s="290">
        <v>43047</v>
      </c>
      <c r="BB137" s="25" t="s">
        <v>78</v>
      </c>
      <c r="BC137" s="291">
        <v>43340</v>
      </c>
      <c r="BD137" s="113" t="s">
        <v>122</v>
      </c>
      <c r="BE137" s="297">
        <v>1057000</v>
      </c>
      <c r="BF137" s="298">
        <f t="shared" si="3"/>
        <v>1</v>
      </c>
      <c r="BG137" s="297" t="e">
        <f>VLOOKUP(B137,[1]Sheet2!$B:$X,23,0)</f>
        <v>#N/A</v>
      </c>
    </row>
    <row r="138" spans="1:59" s="28" customFormat="1" ht="33" customHeight="1">
      <c r="A138" s="312" t="s">
        <v>1748</v>
      </c>
      <c r="B138" s="18" t="s">
        <v>184</v>
      </c>
      <c r="C138" s="26" t="s">
        <v>183</v>
      </c>
      <c r="D138" s="24" t="s">
        <v>185</v>
      </c>
      <c r="E138" s="23" t="s">
        <v>75</v>
      </c>
      <c r="F138" s="25" t="s">
        <v>315</v>
      </c>
      <c r="G138" s="25" t="s">
        <v>315</v>
      </c>
      <c r="H138" s="218" t="s">
        <v>1275</v>
      </c>
      <c r="I138" s="306" t="s">
        <v>76</v>
      </c>
      <c r="J138" s="303" t="s">
        <v>142</v>
      </c>
      <c r="K138" s="314">
        <v>42941</v>
      </c>
      <c r="L138" s="7"/>
      <c r="M138" s="242">
        <v>1790648</v>
      </c>
      <c r="N138" s="7">
        <v>1790648</v>
      </c>
      <c r="O138" s="244">
        <v>1369370</v>
      </c>
      <c r="P138" s="315"/>
      <c r="Q138" s="315"/>
      <c r="R138" s="244">
        <v>421278</v>
      </c>
      <c r="S138" s="315"/>
      <c r="T138" s="315"/>
      <c r="U138" s="315"/>
      <c r="V138" s="315"/>
      <c r="W138" s="248"/>
      <c r="X138" s="255"/>
      <c r="Y138" s="264"/>
      <c r="Z138" s="264"/>
      <c r="AA138" s="262">
        <v>0.15</v>
      </c>
      <c r="AB138" s="254">
        <v>1163964.5</v>
      </c>
      <c r="AC138" s="254"/>
      <c r="AD138" s="254"/>
      <c r="AE138" s="254">
        <v>358086.3</v>
      </c>
      <c r="AF138" s="254"/>
      <c r="AG138" s="254"/>
      <c r="AH138" s="254">
        <v>0</v>
      </c>
      <c r="AI138" s="254"/>
      <c r="AJ138" s="254"/>
      <c r="AK138" s="254"/>
      <c r="AL138" s="254"/>
      <c r="AM138" s="254"/>
      <c r="AN138" s="266">
        <f t="shared" si="2"/>
        <v>1522050.8</v>
      </c>
      <c r="AO138" s="7" t="s">
        <v>145</v>
      </c>
      <c r="AP138" s="216" t="s">
        <v>1274</v>
      </c>
      <c r="AQ138" s="7"/>
      <c r="AR138" s="26" t="s">
        <v>384</v>
      </c>
      <c r="AS138" s="26"/>
      <c r="AT138" s="309">
        <v>42913</v>
      </c>
      <c r="AU138" s="7"/>
      <c r="AV138" s="43" t="s">
        <v>66</v>
      </c>
      <c r="AW138" s="7"/>
      <c r="AX138" s="289" t="s">
        <v>86</v>
      </c>
      <c r="AY138" s="289"/>
      <c r="AZ138" s="290">
        <v>42990</v>
      </c>
      <c r="BA138" s="290">
        <v>42997</v>
      </c>
      <c r="BB138" s="25" t="s">
        <v>78</v>
      </c>
      <c r="BC138" s="291">
        <v>43355</v>
      </c>
      <c r="BD138" s="113" t="s">
        <v>122</v>
      </c>
      <c r="BE138" s="297">
        <v>1790648</v>
      </c>
      <c r="BF138" s="298">
        <f t="shared" si="3"/>
        <v>1</v>
      </c>
      <c r="BG138" s="297" t="e">
        <f>VLOOKUP(B138,[1]Sheet2!$B:$X,23,0)</f>
        <v>#N/A</v>
      </c>
    </row>
    <row r="139" spans="1:59" s="28" customFormat="1" ht="33" customHeight="1">
      <c r="A139" s="17" t="s">
        <v>186</v>
      </c>
      <c r="B139" s="16" t="s">
        <v>188</v>
      </c>
      <c r="C139" s="26" t="s">
        <v>187</v>
      </c>
      <c r="D139" s="24" t="s">
        <v>189</v>
      </c>
      <c r="E139" s="23" t="s">
        <v>83</v>
      </c>
      <c r="F139" s="25" t="s">
        <v>190</v>
      </c>
      <c r="G139" s="25" t="s">
        <v>190</v>
      </c>
      <c r="H139" s="218"/>
      <c r="I139" s="306" t="s">
        <v>107</v>
      </c>
      <c r="J139" s="53" t="s">
        <v>84</v>
      </c>
      <c r="K139" s="295">
        <v>42957</v>
      </c>
      <c r="L139" s="26" t="s">
        <v>191</v>
      </c>
      <c r="M139" s="242">
        <v>15500000</v>
      </c>
      <c r="N139" s="7">
        <v>15500000</v>
      </c>
      <c r="O139" s="316">
        <v>635000</v>
      </c>
      <c r="P139" s="316"/>
      <c r="Q139" s="316"/>
      <c r="R139" s="244">
        <v>380000</v>
      </c>
      <c r="S139" s="316"/>
      <c r="T139" s="316"/>
      <c r="U139" s="316">
        <v>13385000</v>
      </c>
      <c r="V139" s="316"/>
      <c r="W139" s="10"/>
      <c r="X139" s="7">
        <v>1100000</v>
      </c>
      <c r="Y139" s="262">
        <v>0.06</v>
      </c>
      <c r="Z139" s="262"/>
      <c r="AA139" s="262">
        <v>0.128</v>
      </c>
      <c r="AB139" s="254">
        <v>632000</v>
      </c>
      <c r="AC139" s="254"/>
      <c r="AD139" s="254"/>
      <c r="AE139" s="254">
        <v>380000</v>
      </c>
      <c r="AF139" s="254"/>
      <c r="AG139" s="254"/>
      <c r="AH139" s="254">
        <f>11388400+1100000</f>
        <v>12488400</v>
      </c>
      <c r="AI139" s="254"/>
      <c r="AJ139" s="254"/>
      <c r="AK139" s="254"/>
      <c r="AL139" s="254"/>
      <c r="AM139" s="254"/>
      <c r="AN139" s="266">
        <f t="shared" si="2"/>
        <v>13500400</v>
      </c>
      <c r="AO139" s="7" t="s">
        <v>132</v>
      </c>
      <c r="AP139" s="216" t="s">
        <v>1308</v>
      </c>
      <c r="AQ139" s="7"/>
      <c r="AR139" s="26" t="s">
        <v>384</v>
      </c>
      <c r="AS139" s="26"/>
      <c r="AT139" s="309"/>
      <c r="AU139" s="7"/>
      <c r="AV139" s="43" t="s">
        <v>122</v>
      </c>
      <c r="AW139" s="7"/>
      <c r="AX139" s="289"/>
      <c r="AY139" s="289"/>
      <c r="AZ139" s="290"/>
      <c r="BA139" s="290"/>
      <c r="BB139" s="25"/>
      <c r="BC139" s="291">
        <v>43008</v>
      </c>
      <c r="BD139" s="113" t="s">
        <v>192</v>
      </c>
      <c r="BE139" s="297">
        <v>15500000</v>
      </c>
      <c r="BF139" s="298">
        <f t="shared" si="3"/>
        <v>1</v>
      </c>
      <c r="BG139" s="297" t="e">
        <f>VLOOKUP(B139,[1]Sheet2!$B:$X,23,0)</f>
        <v>#N/A</v>
      </c>
    </row>
    <row r="140" spans="1:59" s="28" customFormat="1" ht="33" customHeight="1">
      <c r="A140" s="312"/>
      <c r="B140" s="25" t="s">
        <v>199</v>
      </c>
      <c r="C140" s="26" t="s">
        <v>198</v>
      </c>
      <c r="D140" s="26" t="s">
        <v>200</v>
      </c>
      <c r="E140" s="25" t="s">
        <v>75</v>
      </c>
      <c r="F140" s="25" t="s">
        <v>315</v>
      </c>
      <c r="G140" s="25" t="s">
        <v>315</v>
      </c>
      <c r="H140" s="218"/>
      <c r="I140" s="53" t="s">
        <v>175</v>
      </c>
      <c r="J140" s="53" t="s">
        <v>128</v>
      </c>
      <c r="K140" s="295">
        <v>42965</v>
      </c>
      <c r="L140" s="26" t="s">
        <v>201</v>
      </c>
      <c r="M140" s="242">
        <v>547995</v>
      </c>
      <c r="N140" s="243">
        <v>547995</v>
      </c>
      <c r="O140" s="244"/>
      <c r="P140" s="240">
        <v>547995</v>
      </c>
      <c r="Q140" s="240"/>
      <c r="R140" s="316"/>
      <c r="S140" s="316"/>
      <c r="T140" s="316"/>
      <c r="U140" s="316"/>
      <c r="V140" s="316"/>
      <c r="W140" s="10"/>
      <c r="X140" s="7"/>
      <c r="Y140" s="262"/>
      <c r="Z140" s="262"/>
      <c r="AA140" s="262">
        <v>0.15</v>
      </c>
      <c r="AB140" s="254">
        <v>0</v>
      </c>
      <c r="AC140" s="254"/>
      <c r="AD140" s="254"/>
      <c r="AE140" s="254">
        <v>465795.75</v>
      </c>
      <c r="AF140" s="254"/>
      <c r="AG140" s="254"/>
      <c r="AH140" s="254">
        <v>0</v>
      </c>
      <c r="AI140" s="254"/>
      <c r="AJ140" s="254"/>
      <c r="AK140" s="254"/>
      <c r="AL140" s="254"/>
      <c r="AM140" s="254"/>
      <c r="AN140" s="266">
        <f t="shared" si="2"/>
        <v>465795.75</v>
      </c>
      <c r="AO140" s="25" t="s">
        <v>85</v>
      </c>
      <c r="AP140" s="216" t="s">
        <v>1274</v>
      </c>
      <c r="AQ140" s="245"/>
      <c r="AR140" s="26" t="s">
        <v>384</v>
      </c>
      <c r="AS140" s="26"/>
      <c r="AT140" s="308">
        <v>42988</v>
      </c>
      <c r="AU140" s="245"/>
      <c r="AV140" s="43" t="s">
        <v>66</v>
      </c>
      <c r="AW140" s="245"/>
      <c r="AX140" s="289" t="s">
        <v>86</v>
      </c>
      <c r="AY140" s="289"/>
      <c r="AZ140" s="290">
        <v>43038</v>
      </c>
      <c r="BA140" s="290">
        <v>43125</v>
      </c>
      <c r="BB140" s="25" t="s">
        <v>78</v>
      </c>
      <c r="BC140" s="291">
        <v>43402</v>
      </c>
      <c r="BD140" s="113" t="s">
        <v>122</v>
      </c>
      <c r="BE140" s="297"/>
      <c r="BF140" s="298">
        <f t="shared" si="3"/>
        <v>0</v>
      </c>
      <c r="BG140" s="297" t="e">
        <f>VLOOKUP(B140,[1]Sheet2!$B:$X,23,0)</f>
        <v>#N/A</v>
      </c>
    </row>
    <row r="141" spans="1:59" s="28" customFormat="1" ht="33" customHeight="1">
      <c r="A141" s="312"/>
      <c r="B141" s="25" t="s">
        <v>194</v>
      </c>
      <c r="C141" s="26" t="s">
        <v>193</v>
      </c>
      <c r="D141" s="26" t="s">
        <v>195</v>
      </c>
      <c r="E141" s="25" t="s">
        <v>75</v>
      </c>
      <c r="F141" s="24" t="s">
        <v>196</v>
      </c>
      <c r="G141" s="24" t="s">
        <v>196</v>
      </c>
      <c r="H141" s="218"/>
      <c r="I141" s="53" t="s">
        <v>175</v>
      </c>
      <c r="J141" s="53" t="s">
        <v>128</v>
      </c>
      <c r="K141" s="295">
        <v>42965</v>
      </c>
      <c r="L141" s="26"/>
      <c r="M141" s="242">
        <v>565000</v>
      </c>
      <c r="N141" s="243">
        <v>565000</v>
      </c>
      <c r="O141" s="316"/>
      <c r="P141" s="240">
        <v>565000</v>
      </c>
      <c r="Q141" s="240"/>
      <c r="R141" s="316"/>
      <c r="S141" s="316"/>
      <c r="T141" s="316"/>
      <c r="U141" s="244"/>
      <c r="V141" s="316"/>
      <c r="W141" s="10"/>
      <c r="X141" s="7"/>
      <c r="Y141" s="262"/>
      <c r="Z141" s="262"/>
      <c r="AA141" s="262">
        <v>0.15</v>
      </c>
      <c r="AB141" s="254">
        <v>0</v>
      </c>
      <c r="AC141" s="254"/>
      <c r="AD141" s="254"/>
      <c r="AE141" s="254">
        <v>0</v>
      </c>
      <c r="AF141" s="254"/>
      <c r="AG141" s="254"/>
      <c r="AH141" s="254">
        <f>48000+423744</f>
        <v>471744</v>
      </c>
      <c r="AI141" s="254"/>
      <c r="AJ141" s="254"/>
      <c r="AK141" s="254"/>
      <c r="AL141" s="254"/>
      <c r="AM141" s="254"/>
      <c r="AN141" s="266">
        <f t="shared" si="2"/>
        <v>471744</v>
      </c>
      <c r="AO141" s="25" t="s">
        <v>85</v>
      </c>
      <c r="AP141" s="216" t="s">
        <v>1274</v>
      </c>
      <c r="AQ141" s="245"/>
      <c r="AR141" s="26" t="s">
        <v>384</v>
      </c>
      <c r="AS141" s="26"/>
      <c r="AT141" s="308"/>
      <c r="AU141" s="245"/>
      <c r="AV141" s="43" t="s">
        <v>122</v>
      </c>
      <c r="AW141" s="245"/>
      <c r="AX141" s="289"/>
      <c r="AY141" s="289"/>
      <c r="AZ141" s="290"/>
      <c r="BA141" s="290"/>
      <c r="BB141" s="25"/>
      <c r="BC141" s="291" t="s">
        <v>122</v>
      </c>
      <c r="BD141" s="113" t="s">
        <v>192</v>
      </c>
      <c r="BE141" s="297"/>
      <c r="BF141" s="298">
        <f t="shared" si="3"/>
        <v>0</v>
      </c>
      <c r="BG141" s="297" t="e">
        <f>VLOOKUP(B141,[1]Sheet2!$B:$X,23,0)</f>
        <v>#N/A</v>
      </c>
    </row>
    <row r="142" spans="1:59" s="28" customFormat="1" ht="33" customHeight="1">
      <c r="A142" s="17" t="s">
        <v>202</v>
      </c>
      <c r="B142" s="16" t="s">
        <v>204</v>
      </c>
      <c r="C142" s="26" t="s">
        <v>203</v>
      </c>
      <c r="D142" s="26" t="s">
        <v>205</v>
      </c>
      <c r="E142" s="25" t="s">
        <v>126</v>
      </c>
      <c r="F142" s="25" t="s">
        <v>315</v>
      </c>
      <c r="G142" s="25" t="s">
        <v>315</v>
      </c>
      <c r="H142" s="218" t="s">
        <v>1275</v>
      </c>
      <c r="I142" s="53" t="s">
        <v>157</v>
      </c>
      <c r="J142" s="53" t="s">
        <v>128</v>
      </c>
      <c r="K142" s="295">
        <v>42969</v>
      </c>
      <c r="L142" s="26"/>
      <c r="M142" s="242">
        <v>500000</v>
      </c>
      <c r="N142" s="243">
        <v>500000</v>
      </c>
      <c r="O142" s="244"/>
      <c r="P142" s="316"/>
      <c r="Q142" s="316"/>
      <c r="R142" s="53">
        <v>500000</v>
      </c>
      <c r="S142" s="316"/>
      <c r="T142" s="316"/>
      <c r="U142" s="316"/>
      <c r="V142" s="316"/>
      <c r="W142" s="10"/>
      <c r="X142" s="7"/>
      <c r="Y142" s="262"/>
      <c r="Z142" s="262"/>
      <c r="AA142" s="262">
        <v>0.15</v>
      </c>
      <c r="AB142" s="26">
        <v>0</v>
      </c>
      <c r="AC142" s="26"/>
      <c r="AD142" s="26"/>
      <c r="AE142" s="26">
        <v>425000</v>
      </c>
      <c r="AF142" s="26"/>
      <c r="AG142" s="26"/>
      <c r="AH142" s="26">
        <v>0</v>
      </c>
      <c r="AI142" s="26"/>
      <c r="AJ142" s="26"/>
      <c r="AK142" s="26"/>
      <c r="AL142" s="26"/>
      <c r="AM142" s="26"/>
      <c r="AN142" s="266">
        <f t="shared" si="2"/>
        <v>425000</v>
      </c>
      <c r="AO142" s="25" t="s">
        <v>145</v>
      </c>
      <c r="AP142" s="216" t="s">
        <v>1276</v>
      </c>
      <c r="AQ142" s="245"/>
      <c r="AR142" s="26" t="s">
        <v>384</v>
      </c>
      <c r="AS142" s="26"/>
      <c r="AT142" s="308">
        <v>43060</v>
      </c>
      <c r="AU142" s="245"/>
      <c r="AV142" s="43" t="s">
        <v>66</v>
      </c>
      <c r="AW142" s="245"/>
      <c r="AX142" s="289" t="s">
        <v>86</v>
      </c>
      <c r="AY142" s="289"/>
      <c r="AZ142" s="290">
        <v>43110</v>
      </c>
      <c r="BA142" s="290">
        <v>43047</v>
      </c>
      <c r="BB142" s="25" t="s">
        <v>78</v>
      </c>
      <c r="BC142" s="291">
        <v>43474</v>
      </c>
      <c r="BD142" s="113" t="s">
        <v>122</v>
      </c>
      <c r="BE142" s="297">
        <v>475000</v>
      </c>
      <c r="BF142" s="298">
        <f t="shared" si="3"/>
        <v>0.95</v>
      </c>
      <c r="BG142" s="297" t="e">
        <f>VLOOKUP(B142,[1]Sheet2!$B:$X,23,0)</f>
        <v>#N/A</v>
      </c>
    </row>
    <row r="143" spans="1:59" s="28" customFormat="1" ht="33" customHeight="1">
      <c r="A143" s="26" t="s">
        <v>588</v>
      </c>
      <c r="B143" s="7" t="s">
        <v>154</v>
      </c>
      <c r="C143" s="26" t="s">
        <v>589</v>
      </c>
      <c r="D143" s="26" t="s">
        <v>590</v>
      </c>
      <c r="E143" s="25" t="s">
        <v>156</v>
      </c>
      <c r="F143" s="25" t="s">
        <v>315</v>
      </c>
      <c r="G143" s="25" t="s">
        <v>315</v>
      </c>
      <c r="H143" s="218" t="s">
        <v>1275</v>
      </c>
      <c r="I143" s="53" t="s">
        <v>157</v>
      </c>
      <c r="J143" s="53"/>
      <c r="K143" s="295">
        <v>43160</v>
      </c>
      <c r="L143" s="26"/>
      <c r="M143" s="219">
        <v>254690</v>
      </c>
      <c r="N143" s="243">
        <f>192286+62404</f>
        <v>254690</v>
      </c>
      <c r="O143" s="53" t="s">
        <v>591</v>
      </c>
      <c r="P143" s="240"/>
      <c r="Q143" s="240"/>
      <c r="R143" s="53" t="s">
        <v>592</v>
      </c>
      <c r="S143" s="240"/>
      <c r="T143" s="240"/>
      <c r="U143" s="240"/>
      <c r="V143" s="240"/>
      <c r="W143" s="219"/>
      <c r="X143" s="26"/>
      <c r="Y143" s="263"/>
      <c r="Z143" s="263"/>
      <c r="AA143" s="262">
        <v>0.15</v>
      </c>
      <c r="AB143" s="26">
        <v>53043.4</v>
      </c>
      <c r="AC143" s="26"/>
      <c r="AD143" s="26"/>
      <c r="AE143" s="26">
        <v>163443.1</v>
      </c>
      <c r="AF143" s="26"/>
      <c r="AG143" s="26"/>
      <c r="AH143" s="26"/>
      <c r="AI143" s="26"/>
      <c r="AJ143" s="26"/>
      <c r="AK143" s="26"/>
      <c r="AL143" s="26"/>
      <c r="AM143" s="26"/>
      <c r="AN143" s="243">
        <f t="shared" si="2"/>
        <v>216486.5</v>
      </c>
      <c r="AO143" s="25" t="s">
        <v>145</v>
      </c>
      <c r="AP143" s="216" t="s">
        <v>1308</v>
      </c>
      <c r="AQ143" s="245"/>
      <c r="AR143" s="26" t="s">
        <v>384</v>
      </c>
      <c r="AS143" s="26"/>
      <c r="AT143" s="308">
        <v>42896</v>
      </c>
      <c r="AU143" s="245"/>
      <c r="AV143" s="43" t="s">
        <v>66</v>
      </c>
      <c r="AW143" s="245"/>
      <c r="AX143" s="289" t="s">
        <v>86</v>
      </c>
      <c r="AY143" s="289"/>
      <c r="AZ143" s="290">
        <v>43102</v>
      </c>
      <c r="BA143" s="290">
        <v>43047</v>
      </c>
      <c r="BB143" s="25" t="s">
        <v>78</v>
      </c>
      <c r="BC143" s="291">
        <v>43466</v>
      </c>
      <c r="BD143" s="113" t="s">
        <v>122</v>
      </c>
      <c r="BE143" s="297">
        <v>749690</v>
      </c>
      <c r="BF143" s="298">
        <f t="shared" si="3"/>
        <v>2.9435392045231459</v>
      </c>
      <c r="BG143" s="297" t="e">
        <f>VLOOKUP(B143,[1]Sheet2!$B:$X,23,0)</f>
        <v>#N/A</v>
      </c>
    </row>
    <row r="144" spans="1:59" s="28" customFormat="1" ht="33" customHeight="1">
      <c r="A144" s="26" t="s">
        <v>273</v>
      </c>
      <c r="B144" s="25" t="s">
        <v>1749</v>
      </c>
      <c r="C144" s="26" t="s">
        <v>274</v>
      </c>
      <c r="D144" s="26" t="s">
        <v>276</v>
      </c>
      <c r="E144" s="25" t="s">
        <v>168</v>
      </c>
      <c r="F144" s="24" t="s">
        <v>196</v>
      </c>
      <c r="G144" s="24" t="s">
        <v>196</v>
      </c>
      <c r="H144" s="218"/>
      <c r="I144" s="53" t="s">
        <v>157</v>
      </c>
      <c r="J144" s="53"/>
      <c r="K144" s="295">
        <v>43068</v>
      </c>
      <c r="L144" s="26"/>
      <c r="M144" s="242">
        <v>1457700</v>
      </c>
      <c r="N144" s="243">
        <v>1457700</v>
      </c>
      <c r="O144" s="244"/>
      <c r="P144" s="316"/>
      <c r="Q144" s="316"/>
      <c r="R144" s="245">
        <v>1457700</v>
      </c>
      <c r="S144" s="316"/>
      <c r="T144" s="316"/>
      <c r="U144" s="316"/>
      <c r="V144" s="316"/>
      <c r="W144" s="10"/>
      <c r="X144" s="7"/>
      <c r="Y144" s="262"/>
      <c r="Z144" s="262"/>
      <c r="AA144" s="262">
        <f>1-(AB144+AE144+AH144)/N144</f>
        <v>9.9999999999999978E-2</v>
      </c>
      <c r="AB144" s="26"/>
      <c r="AC144" s="26"/>
      <c r="AD144" s="26"/>
      <c r="AE144" s="26">
        <v>1311930</v>
      </c>
      <c r="AF144" s="26"/>
      <c r="AG144" s="26"/>
      <c r="AH144" s="26"/>
      <c r="AI144" s="26"/>
      <c r="AJ144" s="26"/>
      <c r="AK144" s="26"/>
      <c r="AL144" s="26"/>
      <c r="AM144" s="26"/>
      <c r="AN144" s="266">
        <f t="shared" si="2"/>
        <v>1311930</v>
      </c>
      <c r="AO144" s="25" t="s">
        <v>62</v>
      </c>
      <c r="AP144" s="216"/>
      <c r="AQ144" s="245"/>
      <c r="AR144" s="26" t="s">
        <v>384</v>
      </c>
      <c r="AS144" s="26"/>
      <c r="AT144" s="308"/>
      <c r="AU144" s="245"/>
      <c r="AV144" s="43" t="s">
        <v>66</v>
      </c>
      <c r="AW144" s="245"/>
      <c r="AX144" s="289" t="s">
        <v>86</v>
      </c>
      <c r="AY144" s="297" t="s">
        <v>1750</v>
      </c>
      <c r="AZ144" s="290">
        <v>43441</v>
      </c>
      <c r="BA144" s="290">
        <v>43657</v>
      </c>
      <c r="BB144" s="25" t="s">
        <v>78</v>
      </c>
      <c r="BC144" s="291">
        <v>44022</v>
      </c>
      <c r="BD144" s="113" t="s">
        <v>931</v>
      </c>
      <c r="BE144" s="297"/>
      <c r="BF144" s="298">
        <f t="shared" si="3"/>
        <v>0</v>
      </c>
      <c r="BG144" s="297" t="e">
        <f>VLOOKUP(B144,[1]Sheet2!$B:$X,23,0)</f>
        <v>#N/A</v>
      </c>
    </row>
    <row r="145" spans="1:59" s="28" customFormat="1" ht="33" customHeight="1">
      <c r="A145" s="26" t="s">
        <v>370</v>
      </c>
      <c r="B145" s="26" t="s">
        <v>372</v>
      </c>
      <c r="C145" s="26" t="s">
        <v>371</v>
      </c>
      <c r="D145" s="26" t="s">
        <v>373</v>
      </c>
      <c r="E145" s="25" t="s">
        <v>374</v>
      </c>
      <c r="F145" s="25" t="s">
        <v>315</v>
      </c>
      <c r="G145" s="25" t="s">
        <v>315</v>
      </c>
      <c r="H145" s="218" t="s">
        <v>1314</v>
      </c>
      <c r="I145" s="53" t="s">
        <v>286</v>
      </c>
      <c r="J145" s="53" t="s">
        <v>128</v>
      </c>
      <c r="K145" s="295">
        <v>43088</v>
      </c>
      <c r="L145" s="26"/>
      <c r="M145" s="242">
        <v>2822586</v>
      </c>
      <c r="N145" s="243">
        <v>2822586</v>
      </c>
      <c r="O145" s="239"/>
      <c r="P145" s="317"/>
      <c r="Q145" s="317"/>
      <c r="R145" s="239"/>
      <c r="S145" s="317"/>
      <c r="T145" s="317"/>
      <c r="U145" s="277">
        <v>2822586</v>
      </c>
      <c r="V145" s="317"/>
      <c r="W145" s="14"/>
      <c r="X145" s="59"/>
      <c r="Y145" s="262"/>
      <c r="Z145" s="262"/>
      <c r="AA145" s="262">
        <v>0.1</v>
      </c>
      <c r="AB145" s="26"/>
      <c r="AC145" s="26"/>
      <c r="AD145" s="26"/>
      <c r="AE145" s="26"/>
      <c r="AF145" s="26"/>
      <c r="AG145" s="26"/>
      <c r="AH145" s="26">
        <f>2219040+285000</f>
        <v>2504040</v>
      </c>
      <c r="AI145" s="26"/>
      <c r="AJ145" s="26"/>
      <c r="AK145" s="26"/>
      <c r="AL145" s="26"/>
      <c r="AM145" s="26"/>
      <c r="AN145" s="243">
        <f t="shared" si="2"/>
        <v>2504040</v>
      </c>
      <c r="AO145" s="25" t="s">
        <v>77</v>
      </c>
      <c r="AP145" s="216"/>
      <c r="AQ145" s="245"/>
      <c r="AR145" s="26" t="s">
        <v>384</v>
      </c>
      <c r="AS145" s="26"/>
      <c r="AT145" s="308">
        <v>42993</v>
      </c>
      <c r="AU145" s="245"/>
      <c r="AV145" s="43" t="s">
        <v>66</v>
      </c>
      <c r="AW145" s="245"/>
      <c r="AX145" s="289" t="s">
        <v>86</v>
      </c>
      <c r="AY145" s="289"/>
      <c r="AZ145" s="290">
        <v>43136</v>
      </c>
      <c r="BA145" s="290">
        <v>43145</v>
      </c>
      <c r="BB145" s="25" t="s">
        <v>78</v>
      </c>
      <c r="BC145" s="291">
        <v>43500</v>
      </c>
      <c r="BD145" s="113" t="s">
        <v>122</v>
      </c>
      <c r="BE145" s="297">
        <v>2822586</v>
      </c>
      <c r="BF145" s="298">
        <f t="shared" si="3"/>
        <v>1</v>
      </c>
      <c r="BG145" s="297" t="e">
        <f>VLOOKUP(B145,[1]Sheet2!$B:$X,23,0)</f>
        <v>#N/A</v>
      </c>
    </row>
    <row r="146" spans="1:59" s="28" customFormat="1" ht="33" customHeight="1">
      <c r="A146" s="17" t="s">
        <v>206</v>
      </c>
      <c r="B146" s="16" t="s">
        <v>208</v>
      </c>
      <c r="C146" s="26" t="s">
        <v>207</v>
      </c>
      <c r="D146" s="26" t="s">
        <v>209</v>
      </c>
      <c r="E146" s="25" t="s">
        <v>75</v>
      </c>
      <c r="F146" s="25" t="s">
        <v>315</v>
      </c>
      <c r="G146" s="25" t="s">
        <v>315</v>
      </c>
      <c r="H146" s="218" t="s">
        <v>1275</v>
      </c>
      <c r="I146" s="53" t="s">
        <v>175</v>
      </c>
      <c r="J146" s="53" t="s">
        <v>128</v>
      </c>
      <c r="K146" s="295">
        <v>42990</v>
      </c>
      <c r="L146" s="26" t="s">
        <v>210</v>
      </c>
      <c r="M146" s="242">
        <v>6800000</v>
      </c>
      <c r="N146" s="243">
        <v>6800000</v>
      </c>
      <c r="O146" s="244"/>
      <c r="P146" s="316"/>
      <c r="Q146" s="316"/>
      <c r="R146" s="53" t="s">
        <v>211</v>
      </c>
      <c r="S146" s="316"/>
      <c r="T146" s="316"/>
      <c r="U146" s="316"/>
      <c r="V146" s="316"/>
      <c r="W146" s="10"/>
      <c r="X146" s="7"/>
      <c r="Y146" s="262"/>
      <c r="Z146" s="262"/>
      <c r="AA146" s="262">
        <v>0.15</v>
      </c>
      <c r="AB146" s="26">
        <v>0</v>
      </c>
      <c r="AC146" s="26"/>
      <c r="AD146" s="26"/>
      <c r="AE146" s="26">
        <v>5724900</v>
      </c>
      <c r="AF146" s="26"/>
      <c r="AG146" s="26"/>
      <c r="AH146" s="26">
        <v>0</v>
      </c>
      <c r="AI146" s="26"/>
      <c r="AJ146" s="26"/>
      <c r="AK146" s="26"/>
      <c r="AL146" s="26"/>
      <c r="AM146" s="26"/>
      <c r="AN146" s="266">
        <f t="shared" si="2"/>
        <v>5724900</v>
      </c>
      <c r="AO146" s="25" t="s">
        <v>85</v>
      </c>
      <c r="AP146" s="216" t="s">
        <v>1274</v>
      </c>
      <c r="AQ146" s="245"/>
      <c r="AR146" s="26" t="s">
        <v>384</v>
      </c>
      <c r="AS146" s="26"/>
      <c r="AT146" s="308"/>
      <c r="AU146" s="245"/>
      <c r="AV146" s="43" t="s">
        <v>212</v>
      </c>
      <c r="AW146" s="245"/>
      <c r="AX146" s="289"/>
      <c r="AY146" s="289"/>
      <c r="AZ146" s="290"/>
      <c r="BA146" s="290"/>
      <c r="BB146" s="25"/>
      <c r="BC146" s="291"/>
      <c r="BD146" s="113" t="s">
        <v>213</v>
      </c>
      <c r="BE146" s="297">
        <v>2720000</v>
      </c>
      <c r="BF146" s="298">
        <f t="shared" si="3"/>
        <v>0.4</v>
      </c>
      <c r="BG146" s="297" t="e">
        <f>VLOOKUP(B146,[1]Sheet2!$B:$X,23,0)</f>
        <v>#N/A</v>
      </c>
    </row>
    <row r="147" spans="1:59" s="28" customFormat="1" ht="33" customHeight="1">
      <c r="A147" s="312" t="s">
        <v>1751</v>
      </c>
      <c r="B147" s="25" t="s">
        <v>217</v>
      </c>
      <c r="C147" s="26" t="s">
        <v>216</v>
      </c>
      <c r="D147" s="24" t="s">
        <v>218</v>
      </c>
      <c r="E147" s="24" t="s">
        <v>83</v>
      </c>
      <c r="F147" s="25" t="s">
        <v>315</v>
      </c>
      <c r="G147" s="25" t="s">
        <v>315</v>
      </c>
      <c r="H147" s="218" t="s">
        <v>1275</v>
      </c>
      <c r="I147" s="24" t="s">
        <v>150</v>
      </c>
      <c r="J147" s="24" t="s">
        <v>84</v>
      </c>
      <c r="K147" s="75">
        <v>43004</v>
      </c>
      <c r="L147" s="26"/>
      <c r="M147" s="242">
        <v>363600</v>
      </c>
      <c r="N147" s="7">
        <f>94200+269400</f>
        <v>363600</v>
      </c>
      <c r="O147" s="244">
        <v>94200</v>
      </c>
      <c r="P147" s="316"/>
      <c r="Q147" s="316"/>
      <c r="R147" s="244">
        <v>269400</v>
      </c>
      <c r="S147" s="316"/>
      <c r="T147" s="316"/>
      <c r="U147" s="316"/>
      <c r="V147" s="316"/>
      <c r="W147" s="10"/>
      <c r="X147" s="7"/>
      <c r="Y147" s="262"/>
      <c r="Z147" s="262"/>
      <c r="AA147" s="262">
        <v>0.3</v>
      </c>
      <c r="AB147" s="254">
        <v>61110</v>
      </c>
      <c r="AC147" s="254"/>
      <c r="AD147" s="254"/>
      <c r="AE147" s="254">
        <v>194608</v>
      </c>
      <c r="AF147" s="254"/>
      <c r="AG147" s="254"/>
      <c r="AH147" s="254">
        <v>0</v>
      </c>
      <c r="AI147" s="254"/>
      <c r="AJ147" s="254"/>
      <c r="AK147" s="254"/>
      <c r="AL147" s="254"/>
      <c r="AM147" s="254"/>
      <c r="AN147" s="266">
        <f t="shared" si="2"/>
        <v>255718</v>
      </c>
      <c r="AO147" s="24" t="s">
        <v>132</v>
      </c>
      <c r="AP147" s="216" t="s">
        <v>1308</v>
      </c>
      <c r="AQ147" s="24"/>
      <c r="AR147" s="26" t="s">
        <v>384</v>
      </c>
      <c r="AS147" s="26"/>
      <c r="AT147" s="290">
        <v>42968</v>
      </c>
      <c r="AU147" s="24"/>
      <c r="AV147" s="43" t="s">
        <v>66</v>
      </c>
      <c r="AW147" s="24"/>
      <c r="AX147" s="289" t="s">
        <v>86</v>
      </c>
      <c r="AY147" s="289"/>
      <c r="AZ147" s="290">
        <v>43008</v>
      </c>
      <c r="BA147" s="290">
        <v>43059</v>
      </c>
      <c r="BB147" s="25" t="s">
        <v>219</v>
      </c>
      <c r="BC147" s="291">
        <v>43008</v>
      </c>
      <c r="BD147" s="113" t="s">
        <v>219</v>
      </c>
      <c r="BE147" s="297">
        <v>363600</v>
      </c>
      <c r="BF147" s="298">
        <f t="shared" si="3"/>
        <v>1</v>
      </c>
      <c r="BG147" s="297" t="e">
        <f>VLOOKUP(B147,[1]Sheet2!$B:$X,23,0)</f>
        <v>#N/A</v>
      </c>
    </row>
    <row r="148" spans="1:59" s="28" customFormat="1" ht="33" customHeight="1">
      <c r="A148" s="26" t="s">
        <v>245</v>
      </c>
      <c r="B148" s="25" t="s">
        <v>247</v>
      </c>
      <c r="C148" s="26" t="s">
        <v>246</v>
      </c>
      <c r="D148" s="26" t="s">
        <v>248</v>
      </c>
      <c r="E148" s="25" t="s">
        <v>249</v>
      </c>
      <c r="F148" s="24" t="s">
        <v>196</v>
      </c>
      <c r="G148" s="24" t="s">
        <v>196</v>
      </c>
      <c r="H148" s="218"/>
      <c r="I148" s="53" t="s">
        <v>157</v>
      </c>
      <c r="J148" s="53"/>
      <c r="K148" s="295">
        <v>43021</v>
      </c>
      <c r="L148" s="26"/>
      <c r="M148" s="242">
        <v>105000</v>
      </c>
      <c r="N148" s="243">
        <v>105000</v>
      </c>
      <c r="O148" s="244"/>
      <c r="P148" s="316"/>
      <c r="Q148" s="316"/>
      <c r="R148" s="244"/>
      <c r="S148" s="316"/>
      <c r="T148" s="316"/>
      <c r="U148" s="277">
        <v>105000</v>
      </c>
      <c r="V148" s="316"/>
      <c r="W148" s="10"/>
      <c r="X148" s="7"/>
      <c r="Y148" s="262"/>
      <c r="Z148" s="262"/>
      <c r="AA148" s="262">
        <f>1-(AB148+AE148+AH148)/N148</f>
        <v>0.15000000000000002</v>
      </c>
      <c r="AB148" s="26">
        <v>0</v>
      </c>
      <c r="AC148" s="26"/>
      <c r="AD148" s="26"/>
      <c r="AE148" s="26">
        <v>0</v>
      </c>
      <c r="AF148" s="26"/>
      <c r="AG148" s="26"/>
      <c r="AH148" s="26">
        <v>89250</v>
      </c>
      <c r="AI148" s="26"/>
      <c r="AJ148" s="26"/>
      <c r="AK148" s="26"/>
      <c r="AL148" s="26"/>
      <c r="AM148" s="26"/>
      <c r="AN148" s="266">
        <f t="shared" si="2"/>
        <v>89250</v>
      </c>
      <c r="AO148" s="25" t="s">
        <v>77</v>
      </c>
      <c r="AP148" s="216"/>
      <c r="AQ148" s="245"/>
      <c r="AR148" s="26" t="s">
        <v>384</v>
      </c>
      <c r="AS148" s="26"/>
      <c r="AT148" s="308">
        <v>43028</v>
      </c>
      <c r="AU148" s="245"/>
      <c r="AV148" s="43" t="s">
        <v>66</v>
      </c>
      <c r="AW148" s="245"/>
      <c r="AX148" s="289" t="s">
        <v>86</v>
      </c>
      <c r="AY148" s="289"/>
      <c r="AZ148" s="290">
        <v>43061</v>
      </c>
      <c r="BA148" s="290">
        <v>43068</v>
      </c>
      <c r="BB148" s="25" t="s">
        <v>78</v>
      </c>
      <c r="BC148" s="291">
        <v>43405</v>
      </c>
      <c r="BD148" s="113" t="s">
        <v>122</v>
      </c>
      <c r="BE148" s="297"/>
      <c r="BF148" s="298">
        <f t="shared" si="3"/>
        <v>0</v>
      </c>
      <c r="BG148" s="297" t="e">
        <f>VLOOKUP(B148,[1]Sheet2!$B:$X,23,0)</f>
        <v>#N/A</v>
      </c>
    </row>
    <row r="149" spans="1:59" s="28" customFormat="1" ht="33" customHeight="1">
      <c r="A149" s="312" t="s">
        <v>1752</v>
      </c>
      <c r="B149" s="18" t="s">
        <v>775</v>
      </c>
      <c r="C149" s="26" t="s">
        <v>774</v>
      </c>
      <c r="D149" s="26" t="s">
        <v>776</v>
      </c>
      <c r="E149" s="26" t="s">
        <v>576</v>
      </c>
      <c r="F149" s="24" t="s">
        <v>196</v>
      </c>
      <c r="G149" s="24" t="s">
        <v>196</v>
      </c>
      <c r="H149" s="218" t="s">
        <v>1275</v>
      </c>
      <c r="I149" s="26"/>
      <c r="J149" s="26"/>
      <c r="K149" s="295" t="s">
        <v>1285</v>
      </c>
      <c r="L149" s="26"/>
      <c r="M149" s="219">
        <v>127200</v>
      </c>
      <c r="N149" s="243"/>
      <c r="O149" s="53"/>
      <c r="P149" s="277"/>
      <c r="Q149" s="277"/>
      <c r="R149" s="245"/>
      <c r="S149" s="277"/>
      <c r="T149" s="277"/>
      <c r="U149" s="277"/>
      <c r="V149" s="277"/>
      <c r="W149" s="219"/>
      <c r="X149" s="26"/>
      <c r="Y149" s="262"/>
      <c r="Z149" s="262"/>
      <c r="AA149" s="263"/>
      <c r="AB149" s="26"/>
      <c r="AC149" s="26"/>
      <c r="AD149" s="26"/>
      <c r="AE149" s="26"/>
      <c r="AF149" s="26"/>
      <c r="AG149" s="26"/>
      <c r="AH149" s="26"/>
      <c r="AI149" s="26"/>
      <c r="AJ149" s="26"/>
      <c r="AK149" s="26"/>
      <c r="AL149" s="26"/>
      <c r="AM149" s="26"/>
      <c r="AN149" s="267">
        <v>108120</v>
      </c>
      <c r="AO149" s="25" t="s">
        <v>85</v>
      </c>
      <c r="AP149" s="216" t="s">
        <v>1287</v>
      </c>
      <c r="AQ149" s="245"/>
      <c r="AR149" s="26" t="s">
        <v>384</v>
      </c>
      <c r="AS149" s="26"/>
      <c r="AT149" s="308"/>
      <c r="AU149" s="245"/>
      <c r="AV149" s="43" t="s">
        <v>66</v>
      </c>
      <c r="AW149" s="245"/>
      <c r="AX149" s="289" t="s">
        <v>86</v>
      </c>
      <c r="AY149" s="289"/>
      <c r="AZ149" s="290">
        <v>43238</v>
      </c>
      <c r="BA149" s="290">
        <v>43238</v>
      </c>
      <c r="BB149" s="25" t="s">
        <v>78</v>
      </c>
      <c r="BC149" s="291">
        <v>43602</v>
      </c>
      <c r="BD149" s="25" t="s">
        <v>122</v>
      </c>
      <c r="BE149" s="297">
        <v>120840</v>
      </c>
      <c r="BF149" s="298">
        <f t="shared" si="3"/>
        <v>0.95</v>
      </c>
      <c r="BG149" s="297" t="e">
        <f>VLOOKUP(B149,[1]Sheet2!$B:$X,23,0)</f>
        <v>#N/A</v>
      </c>
    </row>
    <row r="150" spans="1:59" s="28" customFormat="1" ht="33" customHeight="1">
      <c r="A150" s="26" t="s">
        <v>290</v>
      </c>
      <c r="B150" s="25" t="s">
        <v>292</v>
      </c>
      <c r="C150" s="26" t="s">
        <v>291</v>
      </c>
      <c r="D150" s="26" t="s">
        <v>293</v>
      </c>
      <c r="E150" s="25" t="s">
        <v>294</v>
      </c>
      <c r="F150" s="25" t="s">
        <v>315</v>
      </c>
      <c r="G150" s="25" t="s">
        <v>315</v>
      </c>
      <c r="H150" s="218"/>
      <c r="I150" s="53" t="s">
        <v>76</v>
      </c>
      <c r="J150" s="53" t="s">
        <v>63</v>
      </c>
      <c r="K150" s="295">
        <v>43073</v>
      </c>
      <c r="L150" s="26" t="s">
        <v>295</v>
      </c>
      <c r="M150" s="242">
        <v>191020</v>
      </c>
      <c r="N150" s="243">
        <v>191020</v>
      </c>
      <c r="O150" s="244"/>
      <c r="P150" s="316"/>
      <c r="Q150" s="316"/>
      <c r="R150" s="245">
        <v>191020</v>
      </c>
      <c r="S150" s="316"/>
      <c r="T150" s="316"/>
      <c r="U150" s="316"/>
      <c r="V150" s="316"/>
      <c r="W150" s="10"/>
      <c r="X150" s="7"/>
      <c r="Y150" s="262"/>
      <c r="Z150" s="262"/>
      <c r="AA150" s="262">
        <f>1-(AB150+AE150+AH150)/N150</f>
        <v>9.9099570725578512E-2</v>
      </c>
      <c r="AB150" s="26"/>
      <c r="AC150" s="26"/>
      <c r="AD150" s="26"/>
      <c r="AE150" s="26">
        <v>172090</v>
      </c>
      <c r="AF150" s="26"/>
      <c r="AG150" s="26"/>
      <c r="AH150" s="26"/>
      <c r="AI150" s="26"/>
      <c r="AJ150" s="26"/>
      <c r="AK150" s="26"/>
      <c r="AL150" s="26"/>
      <c r="AM150" s="26"/>
      <c r="AN150" s="266">
        <f t="shared" ref="AN150:AN170" si="4">SUM(AB150:AH150)</f>
        <v>172090</v>
      </c>
      <c r="AO150" s="25" t="s">
        <v>77</v>
      </c>
      <c r="AP150" s="216"/>
      <c r="AQ150" s="245"/>
      <c r="AR150" s="26" t="s">
        <v>384</v>
      </c>
      <c r="AS150" s="26"/>
      <c r="AT150" s="308">
        <v>42981</v>
      </c>
      <c r="AU150" s="245"/>
      <c r="AV150" s="43" t="s">
        <v>66</v>
      </c>
      <c r="AW150" s="245"/>
      <c r="AX150" s="289" t="s">
        <v>86</v>
      </c>
      <c r="AY150" s="289"/>
      <c r="AZ150" s="290">
        <v>43053</v>
      </c>
      <c r="BA150" s="290"/>
      <c r="BB150" s="25" t="s">
        <v>78</v>
      </c>
      <c r="BC150" s="291">
        <v>43417</v>
      </c>
      <c r="BD150" s="113" t="s">
        <v>122</v>
      </c>
      <c r="BE150" s="297"/>
      <c r="BF150" s="298">
        <f t="shared" si="3"/>
        <v>0</v>
      </c>
      <c r="BG150" s="297" t="e">
        <f>VLOOKUP(B150,[1]Sheet2!$B:$X,23,0)</f>
        <v>#N/A</v>
      </c>
    </row>
    <row r="151" spans="1:59" s="28" customFormat="1" ht="33" customHeight="1">
      <c r="A151" s="17" t="s">
        <v>239</v>
      </c>
      <c r="B151" s="16" t="s">
        <v>241</v>
      </c>
      <c r="C151" s="26" t="s">
        <v>240</v>
      </c>
      <c r="D151" s="26" t="s">
        <v>242</v>
      </c>
      <c r="E151" s="25" t="s">
        <v>126</v>
      </c>
      <c r="F151" s="25" t="s">
        <v>315</v>
      </c>
      <c r="G151" s="25" t="s">
        <v>315</v>
      </c>
      <c r="H151" s="218" t="s">
        <v>1275</v>
      </c>
      <c r="I151" s="53" t="s">
        <v>76</v>
      </c>
      <c r="J151" s="53"/>
      <c r="K151" s="295">
        <v>43031</v>
      </c>
      <c r="L151" s="26"/>
      <c r="M151" s="242">
        <v>118414</v>
      </c>
      <c r="N151" s="243">
        <f>54386+64028</f>
        <v>118414</v>
      </c>
      <c r="O151" s="318" t="s">
        <v>243</v>
      </c>
      <c r="P151" s="316"/>
      <c r="Q151" s="316"/>
      <c r="R151" s="318" t="s">
        <v>244</v>
      </c>
      <c r="S151" s="316"/>
      <c r="T151" s="316"/>
      <c r="U151" s="244"/>
      <c r="V151" s="316"/>
      <c r="W151" s="10"/>
      <c r="X151" s="7"/>
      <c r="Y151" s="263"/>
      <c r="Z151" s="263"/>
      <c r="AA151" s="262">
        <f>1-(AB151+AE151)/N151</f>
        <v>0.14999915550526122</v>
      </c>
      <c r="AB151" s="26">
        <v>46228</v>
      </c>
      <c r="AC151" s="26"/>
      <c r="AD151" s="26"/>
      <c r="AE151" s="26">
        <v>54424</v>
      </c>
      <c r="AF151" s="26"/>
      <c r="AG151" s="26"/>
      <c r="AH151" s="26">
        <v>0</v>
      </c>
      <c r="AI151" s="26"/>
      <c r="AJ151" s="26"/>
      <c r="AK151" s="26"/>
      <c r="AL151" s="26"/>
      <c r="AM151" s="26"/>
      <c r="AN151" s="266">
        <f t="shared" si="4"/>
        <v>100652</v>
      </c>
      <c r="AO151" s="25" t="s">
        <v>145</v>
      </c>
      <c r="AP151" s="216" t="s">
        <v>1276</v>
      </c>
      <c r="AQ151" s="245"/>
      <c r="AR151" s="26" t="s">
        <v>384</v>
      </c>
      <c r="AS151" s="26"/>
      <c r="AT151" s="308"/>
      <c r="AU151" s="245"/>
      <c r="AV151" s="43" t="s">
        <v>66</v>
      </c>
      <c r="AW151" s="245"/>
      <c r="AX151" s="289" t="s">
        <v>86</v>
      </c>
      <c r="AY151" s="289"/>
      <c r="AZ151" s="290">
        <v>43189</v>
      </c>
      <c r="BA151" s="290">
        <v>43223</v>
      </c>
      <c r="BB151" s="25" t="s">
        <v>78</v>
      </c>
      <c r="BC151" s="291">
        <v>43554</v>
      </c>
      <c r="BD151" s="113" t="s">
        <v>122</v>
      </c>
      <c r="BE151" s="297">
        <v>118414</v>
      </c>
      <c r="BF151" s="298">
        <f t="shared" si="3"/>
        <v>1</v>
      </c>
      <c r="BG151" s="297" t="e">
        <f>VLOOKUP(B151,[1]Sheet2!$B:$X,23,0)</f>
        <v>#N/A</v>
      </c>
    </row>
    <row r="152" spans="1:59" s="28" customFormat="1" ht="33" customHeight="1">
      <c r="A152" s="26" t="s">
        <v>677</v>
      </c>
      <c r="B152" s="25" t="s">
        <v>679</v>
      </c>
      <c r="C152" s="26" t="s">
        <v>678</v>
      </c>
      <c r="D152" s="26" t="s">
        <v>680</v>
      </c>
      <c r="E152" s="25" t="s">
        <v>126</v>
      </c>
      <c r="F152" s="25" t="s">
        <v>315</v>
      </c>
      <c r="G152" s="25" t="s">
        <v>315</v>
      </c>
      <c r="H152" s="218" t="s">
        <v>1275</v>
      </c>
      <c r="I152" s="53" t="s">
        <v>76</v>
      </c>
      <c r="J152" s="53" t="s">
        <v>128</v>
      </c>
      <c r="K152" s="295">
        <v>43202</v>
      </c>
      <c r="L152" s="26"/>
      <c r="M152" s="219">
        <v>138615</v>
      </c>
      <c r="N152" s="243">
        <f>58251+80364</f>
        <v>138615</v>
      </c>
      <c r="O152" s="53" t="s">
        <v>681</v>
      </c>
      <c r="P152" s="240"/>
      <c r="Q152" s="240"/>
      <c r="R152" s="240" t="s">
        <v>682</v>
      </c>
      <c r="S152" s="240"/>
      <c r="T152" s="240"/>
      <c r="U152" s="53"/>
      <c r="V152" s="240"/>
      <c r="W152" s="219"/>
      <c r="X152" s="26"/>
      <c r="Y152" s="263"/>
      <c r="Z152" s="263"/>
      <c r="AA152" s="263">
        <v>0.15</v>
      </c>
      <c r="AB152" s="26">
        <v>49513</v>
      </c>
      <c r="AC152" s="26"/>
      <c r="AD152" s="26"/>
      <c r="AE152" s="26">
        <v>68309</v>
      </c>
      <c r="AF152" s="26"/>
      <c r="AG152" s="26"/>
      <c r="AH152" s="26"/>
      <c r="AI152" s="26"/>
      <c r="AJ152" s="26"/>
      <c r="AK152" s="26"/>
      <c r="AL152" s="26"/>
      <c r="AM152" s="26"/>
      <c r="AN152" s="243">
        <f t="shared" si="4"/>
        <v>117822</v>
      </c>
      <c r="AO152" s="25" t="s">
        <v>145</v>
      </c>
      <c r="AP152" s="216" t="s">
        <v>1276</v>
      </c>
      <c r="AQ152" s="245"/>
      <c r="AR152" s="26" t="s">
        <v>384</v>
      </c>
      <c r="AS152" s="26"/>
      <c r="AT152" s="308">
        <v>43275</v>
      </c>
      <c r="AU152" s="245"/>
      <c r="AV152" s="43" t="s">
        <v>66</v>
      </c>
      <c r="AW152" s="245"/>
      <c r="AX152" s="289" t="s">
        <v>86</v>
      </c>
      <c r="AY152" s="289" t="s">
        <v>1753</v>
      </c>
      <c r="AZ152" s="290">
        <v>42921</v>
      </c>
      <c r="BA152" s="290">
        <v>43202</v>
      </c>
      <c r="BB152" s="25"/>
      <c r="BC152" s="291" t="s">
        <v>219</v>
      </c>
      <c r="BD152" s="113" t="s">
        <v>219</v>
      </c>
      <c r="BE152" s="297">
        <v>138615</v>
      </c>
      <c r="BF152" s="298">
        <f t="shared" si="3"/>
        <v>1</v>
      </c>
      <c r="BG152" s="297" t="e">
        <f>VLOOKUP(B152,[1]Sheet2!$B:$X,23,0)</f>
        <v>#N/A</v>
      </c>
    </row>
    <row r="153" spans="1:59" s="28" customFormat="1" ht="33" customHeight="1">
      <c r="A153" s="17" t="s">
        <v>227</v>
      </c>
      <c r="B153" s="16" t="s">
        <v>229</v>
      </c>
      <c r="C153" s="26" t="s">
        <v>228</v>
      </c>
      <c r="D153" s="26" t="s">
        <v>230</v>
      </c>
      <c r="E153" s="25" t="s">
        <v>126</v>
      </c>
      <c r="F153" s="25" t="s">
        <v>315</v>
      </c>
      <c r="G153" s="25" t="s">
        <v>315</v>
      </c>
      <c r="H153" s="218" t="s">
        <v>1275</v>
      </c>
      <c r="I153" s="53" t="s">
        <v>76</v>
      </c>
      <c r="J153" s="53"/>
      <c r="K153" s="295">
        <v>43031</v>
      </c>
      <c r="L153" s="26"/>
      <c r="M153" s="242">
        <v>180417</v>
      </c>
      <c r="N153" s="243">
        <f>117117+63300</f>
        <v>180417</v>
      </c>
      <c r="O153" s="307" t="s">
        <v>231</v>
      </c>
      <c r="P153" s="316"/>
      <c r="Q153" s="316"/>
      <c r="R153" s="307" t="s">
        <v>232</v>
      </c>
      <c r="S153" s="316"/>
      <c r="T153" s="316"/>
      <c r="U153" s="316"/>
      <c r="V153" s="316"/>
      <c r="W153" s="10"/>
      <c r="X153" s="7"/>
      <c r="Y153" s="263"/>
      <c r="Z153" s="263"/>
      <c r="AA153" s="262">
        <f>1-(AB153+AE153)/N153</f>
        <v>0.15000249422171963</v>
      </c>
      <c r="AB153" s="26">
        <v>99549</v>
      </c>
      <c r="AC153" s="26"/>
      <c r="AD153" s="26"/>
      <c r="AE153" s="26">
        <v>53805</v>
      </c>
      <c r="AF153" s="26"/>
      <c r="AG153" s="26"/>
      <c r="AH153" s="26"/>
      <c r="AI153" s="26"/>
      <c r="AJ153" s="26"/>
      <c r="AK153" s="26"/>
      <c r="AL153" s="26"/>
      <c r="AM153" s="26"/>
      <c r="AN153" s="266">
        <f t="shared" si="4"/>
        <v>153354</v>
      </c>
      <c r="AO153" s="25" t="s">
        <v>145</v>
      </c>
      <c r="AP153" s="216" t="s">
        <v>1276</v>
      </c>
      <c r="AQ153" s="245"/>
      <c r="AR153" s="26" t="s">
        <v>384</v>
      </c>
      <c r="AS153" s="26"/>
      <c r="AT153" s="308"/>
      <c r="AU153" s="245"/>
      <c r="AV153" s="43" t="s">
        <v>66</v>
      </c>
      <c r="AW153" s="245"/>
      <c r="AX153" s="289" t="s">
        <v>86</v>
      </c>
      <c r="AY153" s="289"/>
      <c r="AZ153" s="290">
        <v>43251</v>
      </c>
      <c r="BA153" s="290"/>
      <c r="BB153" s="25" t="s">
        <v>78</v>
      </c>
      <c r="BC153" s="291">
        <v>43525</v>
      </c>
      <c r="BD153" s="113" t="s">
        <v>122</v>
      </c>
      <c r="BE153" s="297">
        <v>180417</v>
      </c>
      <c r="BF153" s="298">
        <f t="shared" si="3"/>
        <v>1</v>
      </c>
      <c r="BG153" s="297" t="e">
        <f>VLOOKUP(B153,[1]Sheet2!$B:$X,23,0)</f>
        <v>#N/A</v>
      </c>
    </row>
    <row r="154" spans="1:59" s="28" customFormat="1" ht="33" customHeight="1">
      <c r="A154" s="17" t="s">
        <v>233</v>
      </c>
      <c r="B154" s="16" t="s">
        <v>235</v>
      </c>
      <c r="C154" s="26" t="s">
        <v>234</v>
      </c>
      <c r="D154" s="26" t="s">
        <v>236</v>
      </c>
      <c r="E154" s="25" t="s">
        <v>126</v>
      </c>
      <c r="F154" s="25" t="s">
        <v>315</v>
      </c>
      <c r="G154" s="25" t="s">
        <v>315</v>
      </c>
      <c r="H154" s="218" t="s">
        <v>1275</v>
      </c>
      <c r="I154" s="53" t="s">
        <v>76</v>
      </c>
      <c r="J154" s="53"/>
      <c r="K154" s="295">
        <v>43031</v>
      </c>
      <c r="L154" s="26"/>
      <c r="M154" s="242">
        <v>126588</v>
      </c>
      <c r="N154" s="243">
        <f>100088+26500</f>
        <v>126588</v>
      </c>
      <c r="O154" s="307" t="s">
        <v>237</v>
      </c>
      <c r="P154" s="316"/>
      <c r="Q154" s="316"/>
      <c r="R154" s="307" t="s">
        <v>238</v>
      </c>
      <c r="S154" s="316"/>
      <c r="T154" s="316"/>
      <c r="U154" s="244"/>
      <c r="V154" s="316"/>
      <c r="W154" s="10"/>
      <c r="X154" s="7"/>
      <c r="Y154" s="263"/>
      <c r="Z154" s="263"/>
      <c r="AA154" s="262">
        <f>1-(AB154+AE154)/N154</f>
        <v>0.14999842007141273</v>
      </c>
      <c r="AB154" s="26">
        <v>85075</v>
      </c>
      <c r="AC154" s="26"/>
      <c r="AD154" s="26"/>
      <c r="AE154" s="26">
        <v>22525</v>
      </c>
      <c r="AF154" s="26"/>
      <c r="AG154" s="26"/>
      <c r="AH154" s="26"/>
      <c r="AI154" s="26"/>
      <c r="AJ154" s="26"/>
      <c r="AK154" s="26"/>
      <c r="AL154" s="26"/>
      <c r="AM154" s="26"/>
      <c r="AN154" s="266">
        <f t="shared" si="4"/>
        <v>107600</v>
      </c>
      <c r="AO154" s="25" t="s">
        <v>145</v>
      </c>
      <c r="AP154" s="216" t="s">
        <v>1276</v>
      </c>
      <c r="AQ154" s="245"/>
      <c r="AR154" s="26" t="s">
        <v>384</v>
      </c>
      <c r="AS154" s="26"/>
      <c r="AT154" s="308"/>
      <c r="AU154" s="245"/>
      <c r="AV154" s="43" t="s">
        <v>66</v>
      </c>
      <c r="AW154" s="245"/>
      <c r="AX154" s="289" t="s">
        <v>86</v>
      </c>
      <c r="AY154" s="289"/>
      <c r="AZ154" s="290">
        <v>43251</v>
      </c>
      <c r="BA154" s="290"/>
      <c r="BB154" s="25" t="s">
        <v>78</v>
      </c>
      <c r="BC154" s="291">
        <v>43525</v>
      </c>
      <c r="BD154" s="113" t="s">
        <v>122</v>
      </c>
      <c r="BE154" s="297">
        <v>126588</v>
      </c>
      <c r="BF154" s="298">
        <f t="shared" si="3"/>
        <v>1</v>
      </c>
      <c r="BG154" s="297" t="e">
        <f>VLOOKUP(B154,[1]Sheet2!$B:$X,23,0)</f>
        <v>#N/A</v>
      </c>
    </row>
    <row r="155" spans="1:59" s="28" customFormat="1" ht="33" customHeight="1">
      <c r="A155" s="26" t="s">
        <v>257</v>
      </c>
      <c r="B155" s="25" t="s">
        <v>259</v>
      </c>
      <c r="C155" s="26" t="s">
        <v>258</v>
      </c>
      <c r="D155" s="26" t="s">
        <v>260</v>
      </c>
      <c r="E155" s="25" t="s">
        <v>261</v>
      </c>
      <c r="F155" s="25" t="s">
        <v>315</v>
      </c>
      <c r="G155" s="25" t="s">
        <v>315</v>
      </c>
      <c r="H155" s="218" t="s">
        <v>1275</v>
      </c>
      <c r="I155" s="53" t="s">
        <v>157</v>
      </c>
      <c r="J155" s="53" t="s">
        <v>128</v>
      </c>
      <c r="K155" s="295">
        <v>43048</v>
      </c>
      <c r="L155" s="26"/>
      <c r="M155" s="242">
        <v>737454</v>
      </c>
      <c r="N155" s="243">
        <v>737454</v>
      </c>
      <c r="O155" s="244"/>
      <c r="P155" s="316"/>
      <c r="Q155" s="316"/>
      <c r="R155" s="277">
        <v>737454</v>
      </c>
      <c r="S155" s="316"/>
      <c r="T155" s="316"/>
      <c r="U155" s="244"/>
      <c r="V155" s="316"/>
      <c r="W155" s="10"/>
      <c r="X155" s="7"/>
      <c r="Y155" s="262"/>
      <c r="Z155" s="262"/>
      <c r="AA155" s="262">
        <f>1-(AB155+AE155+AH155)/N155</f>
        <v>0.15000000000000002</v>
      </c>
      <c r="AB155" s="26"/>
      <c r="AC155" s="26"/>
      <c r="AD155" s="26"/>
      <c r="AE155" s="26">
        <v>626835.9</v>
      </c>
      <c r="AF155" s="26"/>
      <c r="AG155" s="26"/>
      <c r="AH155" s="26"/>
      <c r="AI155" s="26"/>
      <c r="AJ155" s="26"/>
      <c r="AK155" s="26"/>
      <c r="AL155" s="26"/>
      <c r="AM155" s="26"/>
      <c r="AN155" s="266">
        <f t="shared" si="4"/>
        <v>626835.9</v>
      </c>
      <c r="AO155" s="25" t="s">
        <v>108</v>
      </c>
      <c r="AP155" s="216"/>
      <c r="AQ155" s="245"/>
      <c r="AR155" s="26" t="s">
        <v>384</v>
      </c>
      <c r="AS155" s="26"/>
      <c r="AT155" s="308"/>
      <c r="AU155" s="245"/>
      <c r="AV155" s="43" t="s">
        <v>66</v>
      </c>
      <c r="AW155" s="245"/>
      <c r="AX155" s="289" t="s">
        <v>86</v>
      </c>
      <c r="AY155" s="289"/>
      <c r="AZ155" s="290">
        <v>43099</v>
      </c>
      <c r="BA155" s="290">
        <v>43110</v>
      </c>
      <c r="BB155" s="25" t="s">
        <v>78</v>
      </c>
      <c r="BC155" s="291">
        <v>43463</v>
      </c>
      <c r="BD155" s="113" t="s">
        <v>122</v>
      </c>
      <c r="BE155" s="297">
        <v>737454</v>
      </c>
      <c r="BF155" s="298">
        <f t="shared" si="3"/>
        <v>1</v>
      </c>
      <c r="BG155" s="297" t="e">
        <f>VLOOKUP(B155,[1]Sheet2!$B:$X,23,0)</f>
        <v>#N/A</v>
      </c>
    </row>
    <row r="156" spans="1:59" s="28" customFormat="1" ht="33" customHeight="1">
      <c r="A156" s="26" t="s">
        <v>267</v>
      </c>
      <c r="B156" s="29" t="s">
        <v>269</v>
      </c>
      <c r="C156" s="26" t="s">
        <v>268</v>
      </c>
      <c r="D156" s="24" t="s">
        <v>270</v>
      </c>
      <c r="E156" s="25" t="s">
        <v>271</v>
      </c>
      <c r="F156" s="24" t="s">
        <v>196</v>
      </c>
      <c r="G156" s="24" t="s">
        <v>196</v>
      </c>
      <c r="H156" s="218"/>
      <c r="I156" s="306" t="s">
        <v>157</v>
      </c>
      <c r="J156" s="53" t="s">
        <v>63</v>
      </c>
      <c r="K156" s="295">
        <v>43062</v>
      </c>
      <c r="L156" s="26" t="s">
        <v>272</v>
      </c>
      <c r="M156" s="242">
        <v>12043900</v>
      </c>
      <c r="N156" s="7">
        <v>12043900</v>
      </c>
      <c r="O156" s="239"/>
      <c r="P156" s="317"/>
      <c r="Q156" s="317"/>
      <c r="R156" s="239"/>
      <c r="S156" s="317"/>
      <c r="T156" s="317"/>
      <c r="U156" s="316">
        <v>12043900</v>
      </c>
      <c r="V156" s="317"/>
      <c r="W156" s="14"/>
      <c r="X156" s="59"/>
      <c r="Y156" s="262"/>
      <c r="Z156" s="262"/>
      <c r="AA156" s="262">
        <v>0.1</v>
      </c>
      <c r="AB156" s="254">
        <v>10839510</v>
      </c>
      <c r="AC156" s="254"/>
      <c r="AD156" s="254"/>
      <c r="AE156" s="254"/>
      <c r="AF156" s="254"/>
      <c r="AG156" s="254"/>
      <c r="AH156" s="254"/>
      <c r="AI156" s="254"/>
      <c r="AJ156" s="254"/>
      <c r="AK156" s="254"/>
      <c r="AL156" s="254"/>
      <c r="AM156" s="254"/>
      <c r="AN156" s="266">
        <f t="shared" si="4"/>
        <v>10839510</v>
      </c>
      <c r="AO156" s="7" t="s">
        <v>132</v>
      </c>
      <c r="AP156" s="216" t="s">
        <v>1308</v>
      </c>
      <c r="AQ156" s="245"/>
      <c r="AR156" s="26" t="s">
        <v>384</v>
      </c>
      <c r="AS156" s="26"/>
      <c r="AT156" s="308">
        <v>42946</v>
      </c>
      <c r="AU156" s="245"/>
      <c r="AV156" s="43" t="s">
        <v>66</v>
      </c>
      <c r="AW156" s="245"/>
      <c r="AX156" s="289" t="s">
        <v>86</v>
      </c>
      <c r="AY156" s="289" t="s">
        <v>1754</v>
      </c>
      <c r="AZ156" s="290">
        <v>43056</v>
      </c>
      <c r="BA156" s="290" t="s">
        <v>1755</v>
      </c>
      <c r="BB156" s="25" t="s">
        <v>87</v>
      </c>
      <c r="BC156" s="291">
        <v>44151</v>
      </c>
      <c r="BD156" s="113" t="s">
        <v>931</v>
      </c>
      <c r="BE156" s="297">
        <v>4014600</v>
      </c>
      <c r="BF156" s="298">
        <f t="shared" si="3"/>
        <v>0.33333056568055197</v>
      </c>
      <c r="BG156" s="297" t="e">
        <f>VLOOKUP(B156,[1]Sheet2!$B:$X,23,0)</f>
        <v>#N/A</v>
      </c>
    </row>
    <row r="157" spans="1:59" s="28" customFormat="1" ht="33" customHeight="1">
      <c r="A157" s="26" t="s">
        <v>311</v>
      </c>
      <c r="B157" s="26" t="s">
        <v>313</v>
      </c>
      <c r="C157" s="26" t="s">
        <v>312</v>
      </c>
      <c r="D157" s="26" t="s">
        <v>314</v>
      </c>
      <c r="E157" s="25" t="s">
        <v>83</v>
      </c>
      <c r="F157" s="25" t="s">
        <v>315</v>
      </c>
      <c r="G157" s="25" t="s">
        <v>315</v>
      </c>
      <c r="H157" s="218"/>
      <c r="I157" s="53" t="s">
        <v>76</v>
      </c>
      <c r="J157" s="53" t="s">
        <v>128</v>
      </c>
      <c r="K157" s="295">
        <v>43082</v>
      </c>
      <c r="L157" s="26"/>
      <c r="M157" s="242">
        <v>23000</v>
      </c>
      <c r="N157" s="243">
        <v>23000</v>
      </c>
      <c r="O157" s="239"/>
      <c r="P157" s="239"/>
      <c r="Q157" s="239"/>
      <c r="R157" s="239"/>
      <c r="S157" s="239"/>
      <c r="T157" s="239"/>
      <c r="U157" s="245">
        <v>23000</v>
      </c>
      <c r="V157" s="239"/>
      <c r="W157" s="248"/>
      <c r="X157" s="59"/>
      <c r="Y157" s="262"/>
      <c r="Z157" s="262"/>
      <c r="AA157" s="262">
        <f>1-(AB157+AE157+AH157)/N157</f>
        <v>0.15000000000000002</v>
      </c>
      <c r="AB157" s="26"/>
      <c r="AC157" s="26"/>
      <c r="AD157" s="26"/>
      <c r="AE157" s="26"/>
      <c r="AF157" s="26"/>
      <c r="AG157" s="26"/>
      <c r="AH157" s="26">
        <v>19550</v>
      </c>
      <c r="AI157" s="26"/>
      <c r="AJ157" s="26"/>
      <c r="AK157" s="26"/>
      <c r="AL157" s="26"/>
      <c r="AM157" s="26"/>
      <c r="AN157" s="266">
        <f t="shared" si="4"/>
        <v>19550</v>
      </c>
      <c r="AO157" s="25" t="s">
        <v>145</v>
      </c>
      <c r="AP157" s="216" t="s">
        <v>1308</v>
      </c>
      <c r="AQ157" s="245"/>
      <c r="AR157" s="26" t="s">
        <v>384</v>
      </c>
      <c r="AS157" s="26"/>
      <c r="AT157" s="308" t="s">
        <v>1633</v>
      </c>
      <c r="AU157" s="245"/>
      <c r="AV157" s="43" t="s">
        <v>66</v>
      </c>
      <c r="AW157" s="245"/>
      <c r="AX157" s="289" t="s">
        <v>86</v>
      </c>
      <c r="AY157" s="289"/>
      <c r="AZ157" s="290">
        <v>42948</v>
      </c>
      <c r="BA157" s="290">
        <v>43174</v>
      </c>
      <c r="BB157" s="25" t="s">
        <v>78</v>
      </c>
      <c r="BC157" s="291">
        <v>43313</v>
      </c>
      <c r="BD157" s="113" t="s">
        <v>122</v>
      </c>
      <c r="BE157" s="297"/>
      <c r="BF157" s="298">
        <f t="shared" si="3"/>
        <v>0</v>
      </c>
      <c r="BG157" s="297" t="e">
        <f>VLOOKUP(B157,[1]Sheet2!$B:$X,23,0)</f>
        <v>#N/A</v>
      </c>
    </row>
    <row r="158" spans="1:59" s="28" customFormat="1" ht="33" customHeight="1">
      <c r="A158" s="26" t="s">
        <v>316</v>
      </c>
      <c r="B158" s="26" t="s">
        <v>318</v>
      </c>
      <c r="C158" s="26" t="s">
        <v>317</v>
      </c>
      <c r="D158" s="26" t="s">
        <v>319</v>
      </c>
      <c r="E158" s="25" t="s">
        <v>126</v>
      </c>
      <c r="F158" s="25" t="s">
        <v>315</v>
      </c>
      <c r="G158" s="25" t="s">
        <v>315</v>
      </c>
      <c r="H158" s="218" t="s">
        <v>1275</v>
      </c>
      <c r="I158" s="53" t="s">
        <v>76</v>
      </c>
      <c r="J158" s="53" t="s">
        <v>128</v>
      </c>
      <c r="K158" s="295">
        <v>43082</v>
      </c>
      <c r="L158" s="26"/>
      <c r="M158" s="242">
        <v>197335</v>
      </c>
      <c r="N158" s="243">
        <f>115435+81900</f>
        <v>197335</v>
      </c>
      <c r="O158" s="53" t="s">
        <v>320</v>
      </c>
      <c r="P158" s="53"/>
      <c r="Q158" s="53"/>
      <c r="R158" s="53" t="s">
        <v>321</v>
      </c>
      <c r="S158" s="53"/>
      <c r="T158" s="53"/>
      <c r="U158" s="53"/>
      <c r="V158" s="53"/>
      <c r="W158" s="248"/>
      <c r="X158" s="26"/>
      <c r="Y158" s="263"/>
      <c r="Z158" s="263"/>
      <c r="AA158" s="262">
        <v>0.15</v>
      </c>
      <c r="AB158" s="26">
        <v>98120</v>
      </c>
      <c r="AC158" s="26"/>
      <c r="AD158" s="26"/>
      <c r="AE158" s="26">
        <v>69615</v>
      </c>
      <c r="AF158" s="26"/>
      <c r="AG158" s="26"/>
      <c r="AH158" s="26"/>
      <c r="AI158" s="26"/>
      <c r="AJ158" s="26"/>
      <c r="AK158" s="26"/>
      <c r="AL158" s="26"/>
      <c r="AM158" s="26"/>
      <c r="AN158" s="266">
        <f t="shared" si="4"/>
        <v>167735</v>
      </c>
      <c r="AO158" s="25" t="s">
        <v>145</v>
      </c>
      <c r="AP158" s="216" t="s">
        <v>1276</v>
      </c>
      <c r="AQ158" s="245"/>
      <c r="AR158" s="26" t="s">
        <v>384</v>
      </c>
      <c r="AS158" s="26"/>
      <c r="AT158" s="308"/>
      <c r="AU158" s="245"/>
      <c r="AV158" s="43" t="s">
        <v>66</v>
      </c>
      <c r="AW158" s="245"/>
      <c r="AX158" s="289" t="s">
        <v>86</v>
      </c>
      <c r="AY158" s="289"/>
      <c r="AZ158" s="290">
        <v>43164</v>
      </c>
      <c r="BA158" s="290">
        <v>43117</v>
      </c>
      <c r="BB158" s="25" t="s">
        <v>78</v>
      </c>
      <c r="BC158" s="291">
        <v>43525</v>
      </c>
      <c r="BD158" s="113" t="s">
        <v>122</v>
      </c>
      <c r="BE158" s="297">
        <v>197335</v>
      </c>
      <c r="BF158" s="298">
        <f t="shared" si="3"/>
        <v>1</v>
      </c>
      <c r="BG158" s="297" t="e">
        <f>VLOOKUP(B158,[1]Sheet2!$B:$X,23,0)</f>
        <v>#N/A</v>
      </c>
    </row>
    <row r="159" spans="1:59" s="28" customFormat="1" ht="33" customHeight="1">
      <c r="A159" s="26" t="s">
        <v>322</v>
      </c>
      <c r="B159" s="26" t="s">
        <v>324</v>
      </c>
      <c r="C159" s="26" t="s">
        <v>323</v>
      </c>
      <c r="D159" s="26" t="s">
        <v>325</v>
      </c>
      <c r="E159" s="25" t="s">
        <v>126</v>
      </c>
      <c r="F159" s="25" t="s">
        <v>315</v>
      </c>
      <c r="G159" s="25" t="s">
        <v>315</v>
      </c>
      <c r="H159" s="218" t="s">
        <v>1275</v>
      </c>
      <c r="I159" s="53" t="s">
        <v>76</v>
      </c>
      <c r="J159" s="53" t="s">
        <v>128</v>
      </c>
      <c r="K159" s="295">
        <v>43082</v>
      </c>
      <c r="L159" s="26"/>
      <c r="M159" s="242">
        <v>606640</v>
      </c>
      <c r="N159" s="243">
        <f>437876+168764</f>
        <v>606640</v>
      </c>
      <c r="O159" s="53" t="s">
        <v>326</v>
      </c>
      <c r="P159" s="53"/>
      <c r="Q159" s="53"/>
      <c r="R159" s="53" t="s">
        <v>327</v>
      </c>
      <c r="S159" s="53"/>
      <c r="T159" s="53"/>
      <c r="U159" s="53"/>
      <c r="V159" s="53"/>
      <c r="W159" s="248"/>
      <c r="X159" s="26"/>
      <c r="Y159" s="263"/>
      <c r="Z159" s="263"/>
      <c r="AA159" s="262">
        <v>0.15</v>
      </c>
      <c r="AB159" s="26">
        <v>372194</v>
      </c>
      <c r="AC159" s="26"/>
      <c r="AD159" s="26"/>
      <c r="AE159" s="26">
        <v>143449</v>
      </c>
      <c r="AF159" s="26"/>
      <c r="AG159" s="26"/>
      <c r="AH159" s="26"/>
      <c r="AI159" s="26"/>
      <c r="AJ159" s="26"/>
      <c r="AK159" s="26"/>
      <c r="AL159" s="26"/>
      <c r="AM159" s="26"/>
      <c r="AN159" s="266">
        <f t="shared" si="4"/>
        <v>515643</v>
      </c>
      <c r="AO159" s="25" t="s">
        <v>145</v>
      </c>
      <c r="AP159" s="216" t="s">
        <v>1276</v>
      </c>
      <c r="AQ159" s="245"/>
      <c r="AR159" s="26" t="s">
        <v>384</v>
      </c>
      <c r="AS159" s="26"/>
      <c r="AT159" s="308"/>
      <c r="AU159" s="245"/>
      <c r="AV159" s="43" t="s">
        <v>66</v>
      </c>
      <c r="AW159" s="245"/>
      <c r="AX159" s="289" t="s">
        <v>86</v>
      </c>
      <c r="AY159" s="289"/>
      <c r="AZ159" s="290">
        <v>43164</v>
      </c>
      <c r="BA159" s="290">
        <v>43117</v>
      </c>
      <c r="BB159" s="25" t="s">
        <v>78</v>
      </c>
      <c r="BC159" s="291">
        <v>43525</v>
      </c>
      <c r="BD159" s="113" t="s">
        <v>122</v>
      </c>
      <c r="BE159" s="297">
        <v>606639.5</v>
      </c>
      <c r="BF159" s="298">
        <f t="shared" si="3"/>
        <v>0.99999917578794673</v>
      </c>
      <c r="BG159" s="297" t="e">
        <f>VLOOKUP(B159,[1]Sheet2!$B:$X,23,0)</f>
        <v>#N/A</v>
      </c>
    </row>
    <row r="160" spans="1:59" ht="33" customHeight="1">
      <c r="A160" s="26" t="s">
        <v>328</v>
      </c>
      <c r="B160" s="26" t="s">
        <v>330</v>
      </c>
      <c r="C160" s="26" t="s">
        <v>329</v>
      </c>
      <c r="D160" s="26" t="s">
        <v>331</v>
      </c>
      <c r="E160" s="25" t="s">
        <v>126</v>
      </c>
      <c r="F160" s="25" t="s">
        <v>315</v>
      </c>
      <c r="G160" s="25" t="s">
        <v>315</v>
      </c>
      <c r="H160" s="218" t="s">
        <v>1275</v>
      </c>
      <c r="I160" s="53" t="s">
        <v>76</v>
      </c>
      <c r="J160" s="53" t="s">
        <v>128</v>
      </c>
      <c r="K160" s="295">
        <v>43082</v>
      </c>
      <c r="L160" s="26"/>
      <c r="M160" s="242">
        <v>36619</v>
      </c>
      <c r="N160" s="243">
        <f>19000+17619</f>
        <v>36619</v>
      </c>
      <c r="O160" s="53" t="s">
        <v>332</v>
      </c>
      <c r="P160" s="53"/>
      <c r="Q160" s="53"/>
      <c r="R160" s="53" t="s">
        <v>333</v>
      </c>
      <c r="S160" s="53"/>
      <c r="T160" s="53"/>
      <c r="U160" s="53"/>
      <c r="V160" s="53"/>
      <c r="W160" s="248"/>
      <c r="X160" s="26"/>
      <c r="Y160" s="263"/>
      <c r="Z160" s="263"/>
      <c r="AA160" s="262">
        <v>0.15</v>
      </c>
      <c r="AB160" s="26">
        <v>16150</v>
      </c>
      <c r="AC160" s="26"/>
      <c r="AD160" s="26"/>
      <c r="AE160" s="26">
        <v>14976</v>
      </c>
      <c r="AF160" s="26"/>
      <c r="AG160" s="26"/>
      <c r="AH160" s="26"/>
      <c r="AI160" s="26"/>
      <c r="AJ160" s="26"/>
      <c r="AK160" s="26"/>
      <c r="AL160" s="26"/>
      <c r="AM160" s="26"/>
      <c r="AN160" s="243">
        <f t="shared" si="4"/>
        <v>31126</v>
      </c>
      <c r="AO160" s="25" t="s">
        <v>145</v>
      </c>
      <c r="AP160" s="37" t="s">
        <v>1276</v>
      </c>
      <c r="AQ160" s="245"/>
      <c r="AR160" s="26" t="s">
        <v>384</v>
      </c>
      <c r="AS160" s="26"/>
      <c r="AT160" s="308"/>
      <c r="AU160" s="245"/>
      <c r="AV160" s="43" t="s">
        <v>66</v>
      </c>
      <c r="AW160" s="245"/>
      <c r="AX160" s="289" t="s">
        <v>86</v>
      </c>
      <c r="AY160" s="289"/>
      <c r="AZ160" s="290">
        <v>43165</v>
      </c>
      <c r="BA160" s="290">
        <v>43117</v>
      </c>
      <c r="BB160" s="25" t="s">
        <v>78</v>
      </c>
      <c r="BC160" s="291">
        <v>43525</v>
      </c>
      <c r="BD160" s="113" t="s">
        <v>122</v>
      </c>
      <c r="BE160" s="297">
        <v>36618.9</v>
      </c>
      <c r="BF160" s="298">
        <f t="shared" si="3"/>
        <v>0.99999726917720311</v>
      </c>
      <c r="BG160" s="297" t="e">
        <f>VLOOKUP(B160,[1]Sheet2!$B:$X,23,0)</f>
        <v>#N/A</v>
      </c>
    </row>
    <row r="161" spans="1:59" ht="33" customHeight="1">
      <c r="A161" s="26" t="s">
        <v>334</v>
      </c>
      <c r="B161" s="26" t="s">
        <v>336</v>
      </c>
      <c r="C161" s="26" t="s">
        <v>335</v>
      </c>
      <c r="D161" s="26" t="s">
        <v>337</v>
      </c>
      <c r="E161" s="25" t="s">
        <v>126</v>
      </c>
      <c r="F161" s="25" t="s">
        <v>315</v>
      </c>
      <c r="G161" s="25" t="s">
        <v>315</v>
      </c>
      <c r="H161" s="218" t="s">
        <v>1275</v>
      </c>
      <c r="I161" s="53" t="s">
        <v>76</v>
      </c>
      <c r="J161" s="53" t="s">
        <v>128</v>
      </c>
      <c r="K161" s="295">
        <v>43082</v>
      </c>
      <c r="L161" s="26"/>
      <c r="M161" s="242">
        <v>4947</v>
      </c>
      <c r="N161" s="243">
        <f>442+4505</f>
        <v>4947</v>
      </c>
      <c r="O161" s="53" t="s">
        <v>338</v>
      </c>
      <c r="P161" s="53"/>
      <c r="Q161" s="53"/>
      <c r="R161" s="53" t="s">
        <v>339</v>
      </c>
      <c r="S161" s="53"/>
      <c r="T161" s="53"/>
      <c r="U161" s="53"/>
      <c r="V161" s="53"/>
      <c r="W161" s="248"/>
      <c r="X161" s="26"/>
      <c r="Y161" s="263"/>
      <c r="Z161" s="263"/>
      <c r="AA161" s="262">
        <v>0.15</v>
      </c>
      <c r="AB161" s="26">
        <v>376</v>
      </c>
      <c r="AC161" s="26"/>
      <c r="AD161" s="26"/>
      <c r="AE161" s="26">
        <v>3829</v>
      </c>
      <c r="AF161" s="26"/>
      <c r="AG161" s="26"/>
      <c r="AH161" s="26"/>
      <c r="AI161" s="26"/>
      <c r="AJ161" s="26"/>
      <c r="AK161" s="26"/>
      <c r="AL161" s="26"/>
      <c r="AM161" s="26"/>
      <c r="AN161" s="243">
        <f t="shared" si="4"/>
        <v>4205</v>
      </c>
      <c r="AO161" s="25" t="s">
        <v>145</v>
      </c>
      <c r="AP161" s="37" t="s">
        <v>1276</v>
      </c>
      <c r="AQ161" s="245"/>
      <c r="AR161" s="26" t="s">
        <v>384</v>
      </c>
      <c r="AS161" s="26"/>
      <c r="AT161" s="308"/>
      <c r="AU161" s="245"/>
      <c r="AV161" s="43" t="s">
        <v>66</v>
      </c>
      <c r="AW161" s="245"/>
      <c r="AX161" s="289" t="s">
        <v>86</v>
      </c>
      <c r="AY161" s="289"/>
      <c r="AZ161" s="290">
        <v>43165</v>
      </c>
      <c r="BA161" s="290">
        <v>43117</v>
      </c>
      <c r="BB161" s="25" t="s">
        <v>78</v>
      </c>
      <c r="BC161" s="291">
        <v>43525</v>
      </c>
      <c r="BD161" s="113" t="s">
        <v>122</v>
      </c>
      <c r="BE161" s="297">
        <v>4947.0200000000004</v>
      </c>
      <c r="BF161" s="298">
        <f t="shared" si="3"/>
        <v>1.0000040428542551</v>
      </c>
      <c r="BG161" s="297" t="e">
        <f>VLOOKUP(B161,[1]Sheet2!$B:$X,23,0)</f>
        <v>#N/A</v>
      </c>
    </row>
    <row r="162" spans="1:59" ht="33" customHeight="1">
      <c r="A162" s="26" t="s">
        <v>352</v>
      </c>
      <c r="B162" s="26" t="s">
        <v>354</v>
      </c>
      <c r="C162" s="26" t="s">
        <v>353</v>
      </c>
      <c r="D162" s="26" t="s">
        <v>355</v>
      </c>
      <c r="E162" s="25" t="s">
        <v>126</v>
      </c>
      <c r="F162" s="25" t="s">
        <v>315</v>
      </c>
      <c r="G162" s="25" t="s">
        <v>315</v>
      </c>
      <c r="H162" s="218" t="s">
        <v>1275</v>
      </c>
      <c r="I162" s="53" t="s">
        <v>76</v>
      </c>
      <c r="J162" s="53" t="s">
        <v>128</v>
      </c>
      <c r="K162" s="295">
        <v>43082</v>
      </c>
      <c r="L162" s="26"/>
      <c r="M162" s="242">
        <v>177521</v>
      </c>
      <c r="N162" s="243">
        <f>114250+63271</f>
        <v>177521</v>
      </c>
      <c r="O162" s="53" t="s">
        <v>356</v>
      </c>
      <c r="P162" s="53"/>
      <c r="Q162" s="53"/>
      <c r="R162" s="53" t="s">
        <v>357</v>
      </c>
      <c r="S162" s="53"/>
      <c r="T162" s="53"/>
      <c r="U162" s="53"/>
      <c r="V162" s="53"/>
      <c r="W162" s="248"/>
      <c r="X162" s="26"/>
      <c r="Y162" s="263"/>
      <c r="Z162" s="263"/>
      <c r="AA162" s="262">
        <v>0.15</v>
      </c>
      <c r="AB162" s="26">
        <v>97113</v>
      </c>
      <c r="AC162" s="26"/>
      <c r="AD162" s="26"/>
      <c r="AE162" s="26">
        <v>53780</v>
      </c>
      <c r="AF162" s="26"/>
      <c r="AG162" s="26"/>
      <c r="AH162" s="26"/>
      <c r="AI162" s="26"/>
      <c r="AJ162" s="26"/>
      <c r="AK162" s="26"/>
      <c r="AL162" s="26"/>
      <c r="AM162" s="26"/>
      <c r="AN162" s="243">
        <f t="shared" si="4"/>
        <v>150893</v>
      </c>
      <c r="AO162" s="25" t="s">
        <v>145</v>
      </c>
      <c r="AP162" s="37" t="s">
        <v>1276</v>
      </c>
      <c r="AQ162" s="245"/>
      <c r="AR162" s="26" t="s">
        <v>384</v>
      </c>
      <c r="AS162" s="26"/>
      <c r="AT162" s="308"/>
      <c r="AU162" s="245"/>
      <c r="AV162" s="43" t="s">
        <v>66</v>
      </c>
      <c r="AW162" s="245"/>
      <c r="AX162" s="289" t="s">
        <v>86</v>
      </c>
      <c r="AY162" s="289"/>
      <c r="AZ162" s="290">
        <v>43167</v>
      </c>
      <c r="BA162" s="290">
        <v>43117</v>
      </c>
      <c r="BB162" s="25" t="s">
        <v>78</v>
      </c>
      <c r="BC162" s="291">
        <v>43525</v>
      </c>
      <c r="BD162" s="113" t="s">
        <v>122</v>
      </c>
      <c r="BE162" s="297">
        <v>177520.5</v>
      </c>
      <c r="BF162" s="298">
        <f t="shared" si="3"/>
        <v>0.99999718343181931</v>
      </c>
      <c r="BG162" s="297" t="e">
        <f>VLOOKUP(B162,[1]Sheet2!$B:$X,23,0)</f>
        <v>#N/A</v>
      </c>
    </row>
    <row r="163" spans="1:59" ht="33" customHeight="1">
      <c r="A163" s="26" t="s">
        <v>358</v>
      </c>
      <c r="B163" s="26" t="s">
        <v>360</v>
      </c>
      <c r="C163" s="26" t="s">
        <v>359</v>
      </c>
      <c r="D163" s="26" t="s">
        <v>361</v>
      </c>
      <c r="E163" s="25" t="s">
        <v>126</v>
      </c>
      <c r="F163" s="25" t="s">
        <v>315</v>
      </c>
      <c r="G163" s="25" t="s">
        <v>315</v>
      </c>
      <c r="H163" s="218" t="s">
        <v>1275</v>
      </c>
      <c r="I163" s="53" t="s">
        <v>76</v>
      </c>
      <c r="J163" s="53" t="s">
        <v>128</v>
      </c>
      <c r="K163" s="295">
        <v>43082</v>
      </c>
      <c r="L163" s="26"/>
      <c r="M163" s="29">
        <v>185317</v>
      </c>
      <c r="N163" s="243">
        <f>126487+58830</f>
        <v>185317</v>
      </c>
      <c r="O163" s="53" t="s">
        <v>362</v>
      </c>
      <c r="P163" s="53"/>
      <c r="Q163" s="53"/>
      <c r="R163" s="53" t="s">
        <v>363</v>
      </c>
      <c r="S163" s="53"/>
      <c r="T163" s="53"/>
      <c r="U163" s="53"/>
      <c r="V163" s="53"/>
      <c r="W163" s="248"/>
      <c r="X163" s="26"/>
      <c r="Y163" s="263"/>
      <c r="Z163" s="263"/>
      <c r="AA163" s="262">
        <v>0.15</v>
      </c>
      <c r="AB163" s="26">
        <v>107514</v>
      </c>
      <c r="AC163" s="26"/>
      <c r="AD163" s="26"/>
      <c r="AE163" s="26">
        <v>50006</v>
      </c>
      <c r="AF163" s="26"/>
      <c r="AG163" s="26"/>
      <c r="AH163" s="26"/>
      <c r="AI163" s="26"/>
      <c r="AJ163" s="26"/>
      <c r="AK163" s="26"/>
      <c r="AL163" s="26"/>
      <c r="AM163" s="26"/>
      <c r="AN163" s="243">
        <f t="shared" si="4"/>
        <v>157520</v>
      </c>
      <c r="AO163" s="25" t="s">
        <v>145</v>
      </c>
      <c r="AP163" s="37" t="s">
        <v>1276</v>
      </c>
      <c r="AQ163" s="245"/>
      <c r="AR163" s="26" t="s">
        <v>384</v>
      </c>
      <c r="AS163" s="26"/>
      <c r="AT163" s="308"/>
      <c r="AU163" s="245"/>
      <c r="AV163" s="43" t="s">
        <v>66</v>
      </c>
      <c r="AW163" s="245"/>
      <c r="AX163" s="289" t="s">
        <v>86</v>
      </c>
      <c r="AY163" s="289"/>
      <c r="AZ163" s="290">
        <v>43167</v>
      </c>
      <c r="BA163" s="290">
        <v>43117</v>
      </c>
      <c r="BB163" s="25" t="s">
        <v>78</v>
      </c>
      <c r="BC163" s="291">
        <v>43525</v>
      </c>
      <c r="BD163" s="113" t="s">
        <v>122</v>
      </c>
      <c r="BE163" s="297">
        <v>185317.23</v>
      </c>
      <c r="BF163" s="298">
        <f t="shared" si="3"/>
        <v>1.0000012411165733</v>
      </c>
      <c r="BG163" s="297" t="e">
        <f>VLOOKUP(B163,[1]Sheet2!$B:$X,23,0)</f>
        <v>#N/A</v>
      </c>
    </row>
    <row r="164" spans="1:59" ht="33" customHeight="1">
      <c r="A164" s="26" t="s">
        <v>364</v>
      </c>
      <c r="B164" s="26" t="s">
        <v>366</v>
      </c>
      <c r="C164" s="26" t="s">
        <v>365</v>
      </c>
      <c r="D164" s="26" t="s">
        <v>367</v>
      </c>
      <c r="E164" s="25" t="s">
        <v>126</v>
      </c>
      <c r="F164" s="25" t="s">
        <v>315</v>
      </c>
      <c r="G164" s="25" t="s">
        <v>315</v>
      </c>
      <c r="H164" s="218" t="s">
        <v>1275</v>
      </c>
      <c r="I164" s="53" t="s">
        <v>76</v>
      </c>
      <c r="J164" s="53" t="s">
        <v>128</v>
      </c>
      <c r="K164" s="295">
        <v>43082</v>
      </c>
      <c r="L164" s="26"/>
      <c r="M164" s="29">
        <v>529255</v>
      </c>
      <c r="N164" s="243">
        <f>417155+112100</f>
        <v>529255</v>
      </c>
      <c r="O164" s="53" t="s">
        <v>368</v>
      </c>
      <c r="P164" s="53"/>
      <c r="Q164" s="53"/>
      <c r="R164" s="53" t="s">
        <v>369</v>
      </c>
      <c r="S164" s="53"/>
      <c r="T164" s="53"/>
      <c r="U164" s="53"/>
      <c r="V164" s="53"/>
      <c r="W164" s="248"/>
      <c r="X164" s="26"/>
      <c r="Y164" s="263"/>
      <c r="Z164" s="263"/>
      <c r="AA164" s="262">
        <v>0.15</v>
      </c>
      <c r="AB164" s="26">
        <v>354582</v>
      </c>
      <c r="AC164" s="26"/>
      <c r="AD164" s="26"/>
      <c r="AE164" s="26">
        <v>95285</v>
      </c>
      <c r="AF164" s="26"/>
      <c r="AG164" s="26"/>
      <c r="AH164" s="26"/>
      <c r="AI164" s="26"/>
      <c r="AJ164" s="26"/>
      <c r="AK164" s="26"/>
      <c r="AL164" s="26"/>
      <c r="AM164" s="26"/>
      <c r="AN164" s="243">
        <f t="shared" si="4"/>
        <v>449867</v>
      </c>
      <c r="AO164" s="25" t="s">
        <v>145</v>
      </c>
      <c r="AP164" s="37" t="s">
        <v>1276</v>
      </c>
      <c r="AQ164" s="245"/>
      <c r="AR164" s="26" t="s">
        <v>384</v>
      </c>
      <c r="AS164" s="26"/>
      <c r="AT164" s="308"/>
      <c r="AU164" s="245"/>
      <c r="AV164" s="43" t="s">
        <v>66</v>
      </c>
      <c r="AW164" s="245"/>
      <c r="AX164" s="289" t="s">
        <v>86</v>
      </c>
      <c r="AY164" s="289"/>
      <c r="AZ164" s="290">
        <v>43167</v>
      </c>
      <c r="BA164" s="290">
        <v>43117</v>
      </c>
      <c r="BB164" s="25" t="s">
        <v>78</v>
      </c>
      <c r="BC164" s="291">
        <v>43525</v>
      </c>
      <c r="BD164" s="113" t="s">
        <v>122</v>
      </c>
      <c r="BE164" s="297">
        <v>529255</v>
      </c>
      <c r="BF164" s="298">
        <f t="shared" si="3"/>
        <v>1</v>
      </c>
      <c r="BG164" s="297" t="e">
        <f>VLOOKUP(B164,[1]Sheet2!$B:$X,23,0)</f>
        <v>#N/A</v>
      </c>
    </row>
    <row r="165" spans="1:59" ht="33" customHeight="1">
      <c r="A165" s="26" t="s">
        <v>340</v>
      </c>
      <c r="B165" s="26" t="s">
        <v>342</v>
      </c>
      <c r="C165" s="26" t="s">
        <v>341</v>
      </c>
      <c r="D165" s="26" t="s">
        <v>343</v>
      </c>
      <c r="E165" s="25" t="s">
        <v>126</v>
      </c>
      <c r="F165" s="25" t="s">
        <v>315</v>
      </c>
      <c r="G165" s="25" t="s">
        <v>315</v>
      </c>
      <c r="H165" s="218" t="s">
        <v>1275</v>
      </c>
      <c r="I165" s="53" t="s">
        <v>76</v>
      </c>
      <c r="J165" s="53" t="s">
        <v>128</v>
      </c>
      <c r="K165" s="295">
        <v>43082</v>
      </c>
      <c r="L165" s="26"/>
      <c r="M165" s="29">
        <v>71290</v>
      </c>
      <c r="N165" s="243">
        <f>33420+37870</f>
        <v>71290</v>
      </c>
      <c r="O165" s="53" t="s">
        <v>344</v>
      </c>
      <c r="P165" s="53"/>
      <c r="Q165" s="53"/>
      <c r="R165" s="53" t="s">
        <v>345</v>
      </c>
      <c r="S165" s="53"/>
      <c r="T165" s="53"/>
      <c r="U165" s="53"/>
      <c r="V165" s="53"/>
      <c r="W165" s="248"/>
      <c r="X165" s="26"/>
      <c r="Y165" s="263"/>
      <c r="Z165" s="263"/>
      <c r="AA165" s="262">
        <v>0.15</v>
      </c>
      <c r="AB165" s="26">
        <v>28407</v>
      </c>
      <c r="AC165" s="26"/>
      <c r="AD165" s="26"/>
      <c r="AE165" s="26">
        <v>32190</v>
      </c>
      <c r="AF165" s="26"/>
      <c r="AG165" s="26"/>
      <c r="AH165" s="26"/>
      <c r="AI165" s="26"/>
      <c r="AJ165" s="26"/>
      <c r="AK165" s="26"/>
      <c r="AL165" s="26"/>
      <c r="AM165" s="26"/>
      <c r="AN165" s="243">
        <f t="shared" si="4"/>
        <v>60597</v>
      </c>
      <c r="AO165" s="25" t="s">
        <v>145</v>
      </c>
      <c r="AP165" s="37" t="s">
        <v>1276</v>
      </c>
      <c r="AQ165" s="245"/>
      <c r="AR165" s="26" t="s">
        <v>384</v>
      </c>
      <c r="AS165" s="26"/>
      <c r="AT165" s="308"/>
      <c r="AU165" s="245"/>
      <c r="AV165" s="43" t="s">
        <v>66</v>
      </c>
      <c r="AW165" s="245"/>
      <c r="AX165" s="289" t="s">
        <v>86</v>
      </c>
      <c r="AY165" s="289"/>
      <c r="AZ165" s="290">
        <v>43167</v>
      </c>
      <c r="BA165" s="290">
        <v>43117</v>
      </c>
      <c r="BB165" s="25" t="s">
        <v>78</v>
      </c>
      <c r="BC165" s="291">
        <v>43525</v>
      </c>
      <c r="BD165" s="113" t="s">
        <v>122</v>
      </c>
      <c r="BE165" s="297">
        <v>71290</v>
      </c>
      <c r="BF165" s="298">
        <f t="shared" si="3"/>
        <v>1</v>
      </c>
      <c r="BG165" s="297" t="e">
        <f>VLOOKUP(B165,[1]Sheet2!$B:$X,23,0)</f>
        <v>#N/A</v>
      </c>
    </row>
    <row r="166" spans="1:59" ht="33" customHeight="1">
      <c r="A166" s="26" t="s">
        <v>346</v>
      </c>
      <c r="B166" s="26" t="s">
        <v>348</v>
      </c>
      <c r="C166" s="26" t="s">
        <v>347</v>
      </c>
      <c r="D166" s="26" t="s">
        <v>349</v>
      </c>
      <c r="E166" s="25" t="s">
        <v>126</v>
      </c>
      <c r="F166" s="25" t="s">
        <v>315</v>
      </c>
      <c r="G166" s="25" t="s">
        <v>315</v>
      </c>
      <c r="H166" s="218" t="s">
        <v>1275</v>
      </c>
      <c r="I166" s="53" t="s">
        <v>76</v>
      </c>
      <c r="J166" s="53" t="s">
        <v>128</v>
      </c>
      <c r="K166" s="295">
        <v>43082</v>
      </c>
      <c r="L166" s="26"/>
      <c r="M166" s="29">
        <v>66490</v>
      </c>
      <c r="N166" s="243">
        <f>30930+35560</f>
        <v>66490</v>
      </c>
      <c r="O166" s="53" t="s">
        <v>350</v>
      </c>
      <c r="P166" s="53"/>
      <c r="Q166" s="53"/>
      <c r="R166" s="53" t="s">
        <v>351</v>
      </c>
      <c r="S166" s="53"/>
      <c r="T166" s="53"/>
      <c r="U166" s="53"/>
      <c r="V166" s="53"/>
      <c r="W166" s="248"/>
      <c r="X166" s="26"/>
      <c r="Y166" s="263"/>
      <c r="Z166" s="263"/>
      <c r="AA166" s="262">
        <v>0.15</v>
      </c>
      <c r="AB166" s="26">
        <v>26291</v>
      </c>
      <c r="AC166" s="26"/>
      <c r="AD166" s="26"/>
      <c r="AE166" s="26">
        <v>30226</v>
      </c>
      <c r="AF166" s="26"/>
      <c r="AG166" s="26"/>
      <c r="AH166" s="26"/>
      <c r="AI166" s="26"/>
      <c r="AJ166" s="26"/>
      <c r="AK166" s="26"/>
      <c r="AL166" s="26"/>
      <c r="AM166" s="26"/>
      <c r="AN166" s="243">
        <f t="shared" si="4"/>
        <v>56517</v>
      </c>
      <c r="AO166" s="25" t="s">
        <v>145</v>
      </c>
      <c r="AP166" s="37" t="s">
        <v>1276</v>
      </c>
      <c r="AQ166" s="245"/>
      <c r="AR166" s="26" t="s">
        <v>384</v>
      </c>
      <c r="AS166" s="26"/>
      <c r="AT166" s="308"/>
      <c r="AU166" s="245"/>
      <c r="AV166" s="43" t="s">
        <v>66</v>
      </c>
      <c r="AW166" s="245"/>
      <c r="AX166" s="289" t="s">
        <v>86</v>
      </c>
      <c r="AY166" s="289"/>
      <c r="AZ166" s="290">
        <v>43167</v>
      </c>
      <c r="BA166" s="290">
        <v>43117</v>
      </c>
      <c r="BB166" s="25" t="s">
        <v>78</v>
      </c>
      <c r="BC166" s="291">
        <v>43525</v>
      </c>
      <c r="BD166" s="113" t="s">
        <v>122</v>
      </c>
      <c r="BE166" s="297">
        <v>66490</v>
      </c>
      <c r="BF166" s="298">
        <f t="shared" si="3"/>
        <v>1</v>
      </c>
      <c r="BG166" s="297" t="e">
        <f>VLOOKUP(B166,[1]Sheet2!$B:$X,23,0)</f>
        <v>#N/A</v>
      </c>
    </row>
    <row r="167" spans="1:59" ht="33" customHeight="1">
      <c r="A167" s="26" t="s">
        <v>135</v>
      </c>
      <c r="B167" s="25" t="s">
        <v>386</v>
      </c>
      <c r="C167" s="26" t="s">
        <v>385</v>
      </c>
      <c r="D167" s="26" t="s">
        <v>387</v>
      </c>
      <c r="E167" s="25" t="s">
        <v>261</v>
      </c>
      <c r="F167" s="25" t="s">
        <v>315</v>
      </c>
      <c r="G167" s="25" t="s">
        <v>315</v>
      </c>
      <c r="H167" s="218"/>
      <c r="I167" s="53" t="s">
        <v>107</v>
      </c>
      <c r="J167" s="53" t="s">
        <v>63</v>
      </c>
      <c r="K167" s="295">
        <v>43096</v>
      </c>
      <c r="L167" s="26"/>
      <c r="M167" s="29">
        <v>187000</v>
      </c>
      <c r="N167" s="243">
        <f>154000+33000</f>
        <v>187000</v>
      </c>
      <c r="O167" s="53" t="s">
        <v>388</v>
      </c>
      <c r="P167" s="53"/>
      <c r="Q167" s="53"/>
      <c r="R167" s="53" t="s">
        <v>389</v>
      </c>
      <c r="S167" s="53"/>
      <c r="T167" s="53"/>
      <c r="U167" s="53"/>
      <c r="V167" s="53"/>
      <c r="W167" s="248"/>
      <c r="X167" s="245"/>
      <c r="Y167" s="263"/>
      <c r="Z167" s="263"/>
      <c r="AA167" s="262">
        <v>0.15</v>
      </c>
      <c r="AB167" s="26">
        <v>126700</v>
      </c>
      <c r="AC167" s="26"/>
      <c r="AD167" s="26"/>
      <c r="AE167" s="26">
        <v>32000</v>
      </c>
      <c r="AF167" s="26"/>
      <c r="AG167" s="26"/>
      <c r="AH167" s="26"/>
      <c r="AI167" s="26"/>
      <c r="AJ167" s="26"/>
      <c r="AK167" s="26"/>
      <c r="AL167" s="26"/>
      <c r="AM167" s="26"/>
      <c r="AN167" s="243">
        <f t="shared" si="4"/>
        <v>158700</v>
      </c>
      <c r="AO167" s="25" t="s">
        <v>85</v>
      </c>
      <c r="AP167" s="37" t="s">
        <v>1295</v>
      </c>
      <c r="AQ167" s="245"/>
      <c r="AR167" s="26" t="s">
        <v>384</v>
      </c>
      <c r="AS167" s="26"/>
      <c r="AT167" s="308">
        <v>42979</v>
      </c>
      <c r="AU167" s="245"/>
      <c r="AV167" s="43" t="s">
        <v>66</v>
      </c>
      <c r="AW167" s="245"/>
      <c r="AX167" s="289" t="s">
        <v>86</v>
      </c>
      <c r="AY167" s="289"/>
      <c r="AZ167" s="290">
        <v>43008</v>
      </c>
      <c r="BA167" s="290">
        <v>43208</v>
      </c>
      <c r="BB167" s="25" t="s">
        <v>78</v>
      </c>
      <c r="BC167" s="291">
        <v>43372</v>
      </c>
      <c r="BD167" s="113" t="s">
        <v>122</v>
      </c>
      <c r="BE167" s="297"/>
      <c r="BF167" s="298">
        <f t="shared" si="3"/>
        <v>0</v>
      </c>
      <c r="BG167" s="297" t="e">
        <f>VLOOKUP(B167,[1]Sheet2!$B:$X,23,0)</f>
        <v>#N/A</v>
      </c>
    </row>
    <row r="168" spans="1:59" ht="33" customHeight="1">
      <c r="A168" s="26" t="s">
        <v>305</v>
      </c>
      <c r="B168" s="29" t="s">
        <v>391</v>
      </c>
      <c r="C168" s="26" t="s">
        <v>390</v>
      </c>
      <c r="D168" s="26" t="s">
        <v>392</v>
      </c>
      <c r="E168" s="25" t="s">
        <v>168</v>
      </c>
      <c r="F168" s="25" t="s">
        <v>315</v>
      </c>
      <c r="G168" s="25" t="s">
        <v>315</v>
      </c>
      <c r="H168" s="218" t="s">
        <v>1314</v>
      </c>
      <c r="I168" s="53" t="s">
        <v>107</v>
      </c>
      <c r="J168" s="53" t="s">
        <v>63</v>
      </c>
      <c r="K168" s="295">
        <v>43096</v>
      </c>
      <c r="L168" s="26" t="s">
        <v>393</v>
      </c>
      <c r="M168" s="29">
        <v>8275000</v>
      </c>
      <c r="N168" s="243">
        <f>5900000+1073684+306316</f>
        <v>7280000</v>
      </c>
      <c r="O168" s="53" t="s">
        <v>394</v>
      </c>
      <c r="P168" s="53"/>
      <c r="Q168" s="53"/>
      <c r="R168" s="53" t="s">
        <v>395</v>
      </c>
      <c r="S168" s="53"/>
      <c r="T168" s="53"/>
      <c r="U168" s="53" t="s">
        <v>396</v>
      </c>
      <c r="V168" s="53"/>
      <c r="W168" s="248">
        <v>995000</v>
      </c>
      <c r="X168" s="245"/>
      <c r="Y168" s="263">
        <v>0.06</v>
      </c>
      <c r="Z168" s="263"/>
      <c r="AA168" s="262">
        <v>0.05</v>
      </c>
      <c r="AB168" s="26">
        <v>1050000</v>
      </c>
      <c r="AC168" s="26"/>
      <c r="AD168" s="26"/>
      <c r="AE168" s="26">
        <v>291000</v>
      </c>
      <c r="AF168" s="26"/>
      <c r="AG168" s="26"/>
      <c r="AH168" s="26">
        <f>4580000+556159.68+305000+100000+33840.32</f>
        <v>5575000</v>
      </c>
      <c r="AI168" s="26"/>
      <c r="AJ168" s="26"/>
      <c r="AK168" s="26"/>
      <c r="AL168" s="26"/>
      <c r="AM168" s="26"/>
      <c r="AN168" s="243">
        <f t="shared" si="4"/>
        <v>6916000</v>
      </c>
      <c r="AO168" s="216" t="s">
        <v>62</v>
      </c>
      <c r="AP168" s="37"/>
      <c r="AQ168" s="245"/>
      <c r="AR168" s="26" t="s">
        <v>384</v>
      </c>
      <c r="AS168" s="26"/>
      <c r="AT168" s="308"/>
      <c r="AU168" s="245"/>
      <c r="AV168" s="43" t="s">
        <v>66</v>
      </c>
      <c r="AW168" s="245"/>
      <c r="AX168" s="289" t="s">
        <v>86</v>
      </c>
      <c r="AY168" s="207" t="s">
        <v>1750</v>
      </c>
      <c r="AZ168" s="290">
        <v>43463</v>
      </c>
      <c r="BA168" s="290" t="s">
        <v>1756</v>
      </c>
      <c r="BB168" s="25"/>
      <c r="BC168" s="291">
        <v>43827</v>
      </c>
      <c r="BD168" s="113" t="s">
        <v>88</v>
      </c>
      <c r="BE168" s="297">
        <v>6717672</v>
      </c>
      <c r="BF168" s="298">
        <f t="shared" si="3"/>
        <v>0.81180326283987914</v>
      </c>
      <c r="BG168" s="297" t="e">
        <f>VLOOKUP(B168,[1]Sheet2!$B:$X,23,0)</f>
        <v>#N/A</v>
      </c>
    </row>
    <row r="169" spans="1:59" ht="33" customHeight="1">
      <c r="A169" s="26" t="s">
        <v>1757</v>
      </c>
      <c r="B169" s="18" t="s">
        <v>307</v>
      </c>
      <c r="C169" s="26" t="s">
        <v>306</v>
      </c>
      <c r="D169" s="26" t="s">
        <v>308</v>
      </c>
      <c r="E169" s="25" t="s">
        <v>83</v>
      </c>
      <c r="F169" s="25" t="s">
        <v>315</v>
      </c>
      <c r="G169" s="25" t="s">
        <v>315</v>
      </c>
      <c r="H169" s="218" t="s">
        <v>1275</v>
      </c>
      <c r="I169" s="53" t="s">
        <v>107</v>
      </c>
      <c r="J169" s="53" t="s">
        <v>84</v>
      </c>
      <c r="K169" s="295">
        <v>43096</v>
      </c>
      <c r="L169" s="26" t="s">
        <v>310</v>
      </c>
      <c r="M169" s="29">
        <v>3050000</v>
      </c>
      <c r="N169" s="243">
        <v>3050000</v>
      </c>
      <c r="O169" s="245">
        <v>3050000</v>
      </c>
      <c r="P169" s="239"/>
      <c r="Q169" s="239"/>
      <c r="R169" s="239"/>
      <c r="S169" s="239"/>
      <c r="T169" s="239"/>
      <c r="U169" s="239"/>
      <c r="V169" s="239"/>
      <c r="W169" s="248"/>
      <c r="X169" s="59"/>
      <c r="Y169" s="262"/>
      <c r="Z169" s="262"/>
      <c r="AA169" s="262">
        <v>0.17380000000000001</v>
      </c>
      <c r="AB169" s="26">
        <v>587209</v>
      </c>
      <c r="AC169" s="26"/>
      <c r="AD169" s="26"/>
      <c r="AE169" s="26">
        <v>1997791</v>
      </c>
      <c r="AF169" s="26"/>
      <c r="AG169" s="26"/>
      <c r="AH169" s="26"/>
      <c r="AI169" s="26"/>
      <c r="AJ169" s="26"/>
      <c r="AK169" s="26"/>
      <c r="AL169" s="26"/>
      <c r="AM169" s="26"/>
      <c r="AN169" s="266">
        <f t="shared" si="4"/>
        <v>2585000</v>
      </c>
      <c r="AO169" s="216" t="s">
        <v>145</v>
      </c>
      <c r="AP169" s="37" t="s">
        <v>1308</v>
      </c>
      <c r="AQ169" s="245"/>
      <c r="AR169" s="26" t="s">
        <v>384</v>
      </c>
      <c r="AS169" s="26"/>
      <c r="AT169" s="308"/>
      <c r="AU169" s="245"/>
      <c r="AV169" s="43" t="s">
        <v>66</v>
      </c>
      <c r="AW169" s="245"/>
      <c r="AX169" s="289" t="s">
        <v>86</v>
      </c>
      <c r="AY169" s="289"/>
      <c r="AZ169" s="290">
        <v>43228</v>
      </c>
      <c r="BA169" s="290">
        <v>43329</v>
      </c>
      <c r="BB169" s="25"/>
      <c r="BC169" s="291">
        <v>43592</v>
      </c>
      <c r="BD169" s="25" t="s">
        <v>122</v>
      </c>
      <c r="BE169" s="297">
        <v>3050000</v>
      </c>
      <c r="BF169" s="298">
        <f t="shared" si="3"/>
        <v>1</v>
      </c>
      <c r="BG169" s="297" t="e">
        <f>VLOOKUP(B169,[1]Sheet2!$B:$X,23,0)</f>
        <v>#N/A</v>
      </c>
    </row>
    <row r="170" spans="1:59" ht="33" customHeight="1">
      <c r="A170" s="5" t="s">
        <v>398</v>
      </c>
      <c r="B170" s="31" t="s">
        <v>400</v>
      </c>
      <c r="C170" s="26" t="s">
        <v>399</v>
      </c>
      <c r="D170" s="5" t="s">
        <v>401</v>
      </c>
      <c r="E170" s="31" t="s">
        <v>265</v>
      </c>
      <c r="F170" s="31" t="s">
        <v>315</v>
      </c>
      <c r="G170" s="31" t="s">
        <v>315</v>
      </c>
      <c r="H170" s="218" t="s">
        <v>1275</v>
      </c>
      <c r="I170" s="6" t="s">
        <v>175</v>
      </c>
      <c r="J170" s="6" t="s">
        <v>402</v>
      </c>
      <c r="K170" s="292">
        <v>43102</v>
      </c>
      <c r="L170" s="5"/>
      <c r="M170" s="29">
        <v>249660</v>
      </c>
      <c r="N170" s="238">
        <f>172292+77368</f>
        <v>249660</v>
      </c>
      <c r="O170" s="6" t="s">
        <v>403</v>
      </c>
      <c r="P170" s="6"/>
      <c r="Q170" s="6"/>
      <c r="R170" s="6"/>
      <c r="S170" s="6"/>
      <c r="T170" s="6"/>
      <c r="U170" s="6" t="s">
        <v>404</v>
      </c>
      <c r="V170" s="6"/>
      <c r="W170" s="248"/>
      <c r="X170" s="68"/>
      <c r="Y170" s="261"/>
      <c r="Z170" s="261"/>
      <c r="AA170" s="262">
        <v>0.1</v>
      </c>
      <c r="AB170" s="5">
        <v>153062.85999999999</v>
      </c>
      <c r="AC170" s="5"/>
      <c r="AD170" s="5"/>
      <c r="AE170" s="5"/>
      <c r="AF170" s="5"/>
      <c r="AG170" s="5"/>
      <c r="AH170" s="5">
        <v>67831.14</v>
      </c>
      <c r="AI170" s="5"/>
      <c r="AJ170" s="5"/>
      <c r="AK170" s="5"/>
      <c r="AL170" s="5"/>
      <c r="AM170" s="5"/>
      <c r="AN170" s="238">
        <f t="shared" si="4"/>
        <v>220894</v>
      </c>
      <c r="AO170" s="37" t="s">
        <v>85</v>
      </c>
      <c r="AP170" s="37" t="s">
        <v>1276</v>
      </c>
      <c r="AQ170" s="68"/>
      <c r="AR170" s="26" t="s">
        <v>384</v>
      </c>
      <c r="AS170" s="26"/>
      <c r="AT170" s="72">
        <v>43109</v>
      </c>
      <c r="AU170" s="68"/>
      <c r="AV170" s="43" t="s">
        <v>66</v>
      </c>
      <c r="AW170" s="68"/>
      <c r="AX170" s="289" t="s">
        <v>86</v>
      </c>
      <c r="AY170" s="289"/>
      <c r="AZ170" s="290">
        <v>43188</v>
      </c>
      <c r="BA170" s="290">
        <v>43187</v>
      </c>
      <c r="BB170" s="25" t="s">
        <v>78</v>
      </c>
      <c r="BC170" s="82">
        <v>43552</v>
      </c>
      <c r="BD170" s="113" t="s">
        <v>122</v>
      </c>
      <c r="BE170" s="297">
        <v>249660</v>
      </c>
      <c r="BF170" s="298">
        <f t="shared" si="3"/>
        <v>1</v>
      </c>
      <c r="BG170" s="297" t="e">
        <f>VLOOKUP(B170,[1]Sheet2!$B:$X,23,0)</f>
        <v>#N/A</v>
      </c>
    </row>
    <row r="171" spans="1:59" ht="33" customHeight="1">
      <c r="A171" s="26" t="s">
        <v>375</v>
      </c>
      <c r="B171" s="26" t="s">
        <v>377</v>
      </c>
      <c r="C171" s="26" t="s">
        <v>376</v>
      </c>
      <c r="D171" s="26" t="s">
        <v>378</v>
      </c>
      <c r="E171" s="25" t="s">
        <v>83</v>
      </c>
      <c r="F171" s="25" t="s">
        <v>315</v>
      </c>
      <c r="G171" s="25" t="s">
        <v>315</v>
      </c>
      <c r="H171" s="218" t="s">
        <v>1314</v>
      </c>
      <c r="I171" s="53" t="s">
        <v>175</v>
      </c>
      <c r="J171" s="53" t="s">
        <v>63</v>
      </c>
      <c r="K171" s="295">
        <v>43090</v>
      </c>
      <c r="L171" s="26" t="s">
        <v>379</v>
      </c>
      <c r="M171" s="29">
        <v>2800000</v>
      </c>
      <c r="N171" s="243">
        <f>953125+802875</f>
        <v>1756000</v>
      </c>
      <c r="O171" s="53" t="s">
        <v>380</v>
      </c>
      <c r="P171" s="53"/>
      <c r="Q171" s="53"/>
      <c r="R171" s="53"/>
      <c r="S171" s="53"/>
      <c r="T171" s="53"/>
      <c r="U171" s="53" t="s">
        <v>381</v>
      </c>
      <c r="V171" s="53"/>
      <c r="W171" s="248">
        <v>1044000</v>
      </c>
      <c r="X171" s="245"/>
      <c r="Y171" s="263">
        <v>0.06</v>
      </c>
      <c r="Z171" s="263"/>
      <c r="AA171" s="262">
        <v>0.32850000000000001</v>
      </c>
      <c r="AB171" s="26">
        <f>552475+202400</f>
        <v>754875</v>
      </c>
      <c r="AC171" s="26"/>
      <c r="AD171" s="26"/>
      <c r="AE171" s="26"/>
      <c r="AF171" s="26"/>
      <c r="AG171" s="26"/>
      <c r="AH171" s="26">
        <f>510000+1044000</f>
        <v>1554000</v>
      </c>
      <c r="AI171" s="26"/>
      <c r="AJ171" s="26"/>
      <c r="AK171" s="26"/>
      <c r="AL171" s="26"/>
      <c r="AM171" s="26"/>
      <c r="AN171" s="243">
        <v>2438875</v>
      </c>
      <c r="AO171" s="216" t="s">
        <v>108</v>
      </c>
      <c r="AP171" s="37"/>
      <c r="AQ171" s="245"/>
      <c r="AR171" s="26" t="s">
        <v>384</v>
      </c>
      <c r="AS171" s="26"/>
      <c r="AT171" s="308">
        <v>43108</v>
      </c>
      <c r="AU171" s="245"/>
      <c r="AV171" s="43" t="s">
        <v>66</v>
      </c>
      <c r="AW171" s="245"/>
      <c r="AX171" s="289" t="s">
        <v>86</v>
      </c>
      <c r="AY171" s="289"/>
      <c r="AZ171" s="290">
        <v>43417</v>
      </c>
      <c r="BA171" s="290"/>
      <c r="BB171" s="25" t="s">
        <v>78</v>
      </c>
      <c r="BC171" s="291">
        <v>43781</v>
      </c>
      <c r="BD171" s="113" t="s">
        <v>88</v>
      </c>
      <c r="BE171" s="297">
        <v>2800000</v>
      </c>
      <c r="BF171" s="298">
        <f t="shared" si="3"/>
        <v>1</v>
      </c>
      <c r="BG171" s="297" t="e">
        <f>VLOOKUP(B171,[1]Sheet2!$B:$X,23,0)</f>
        <v>#N/A</v>
      </c>
    </row>
    <row r="172" spans="1:59" ht="33" customHeight="1">
      <c r="A172" s="5" t="s">
        <v>572</v>
      </c>
      <c r="B172" s="31" t="s">
        <v>574</v>
      </c>
      <c r="C172" s="26" t="s">
        <v>573</v>
      </c>
      <c r="D172" s="5" t="s">
        <v>575</v>
      </c>
      <c r="E172" s="31" t="s">
        <v>576</v>
      </c>
      <c r="F172" s="31" t="s">
        <v>315</v>
      </c>
      <c r="G172" s="31" t="s">
        <v>315</v>
      </c>
      <c r="H172" s="218"/>
      <c r="I172" s="6" t="s">
        <v>175</v>
      </c>
      <c r="J172" s="6" t="s">
        <v>128</v>
      </c>
      <c r="K172" s="292">
        <v>43158</v>
      </c>
      <c r="L172" s="5"/>
      <c r="M172" s="26">
        <v>80000</v>
      </c>
      <c r="N172" s="238">
        <v>80000</v>
      </c>
      <c r="O172" s="239"/>
      <c r="P172" s="239"/>
      <c r="Q172" s="239"/>
      <c r="R172" s="239"/>
      <c r="S172" s="239"/>
      <c r="T172" s="239"/>
      <c r="U172" s="68">
        <v>80000</v>
      </c>
      <c r="V172" s="239"/>
      <c r="W172" s="26"/>
      <c r="X172" s="5"/>
      <c r="Y172" s="261"/>
      <c r="Z172" s="261"/>
      <c r="AA172" s="262">
        <v>0.15</v>
      </c>
      <c r="AB172" s="5"/>
      <c r="AC172" s="5"/>
      <c r="AD172" s="5"/>
      <c r="AE172" s="5"/>
      <c r="AF172" s="5"/>
      <c r="AG172" s="5"/>
      <c r="AH172" s="5">
        <v>68000</v>
      </c>
      <c r="AI172" s="5"/>
      <c r="AJ172" s="5"/>
      <c r="AK172" s="5"/>
      <c r="AL172" s="5"/>
      <c r="AM172" s="5"/>
      <c r="AN172" s="238">
        <f t="shared" ref="AN172:AN240" si="5">SUM(AB172:AH172)</f>
        <v>68000</v>
      </c>
      <c r="AO172" s="37" t="s">
        <v>93</v>
      </c>
      <c r="AP172" s="37"/>
      <c r="AQ172" s="68"/>
      <c r="AR172" s="26" t="s">
        <v>384</v>
      </c>
      <c r="AS172" s="26"/>
      <c r="AT172" s="72">
        <v>43081</v>
      </c>
      <c r="AU172" s="68"/>
      <c r="AV172" s="43" t="s">
        <v>66</v>
      </c>
      <c r="AW172" s="68"/>
      <c r="AX172" s="289" t="s">
        <v>86</v>
      </c>
      <c r="AY172" s="289"/>
      <c r="AZ172" s="291">
        <v>43188</v>
      </c>
      <c r="BA172" s="290">
        <v>43188</v>
      </c>
      <c r="BB172" s="25" t="s">
        <v>78</v>
      </c>
      <c r="BC172" s="291">
        <v>43552</v>
      </c>
      <c r="BD172" s="43" t="s">
        <v>122</v>
      </c>
      <c r="BE172" s="297"/>
      <c r="BF172" s="298">
        <f t="shared" si="3"/>
        <v>0</v>
      </c>
      <c r="BG172" s="297" t="e">
        <f>VLOOKUP(B172,[1]Sheet2!$B:$X,23,0)</f>
        <v>#N/A</v>
      </c>
    </row>
    <row r="173" spans="1:59" ht="33" customHeight="1">
      <c r="A173" s="5" t="s">
        <v>419</v>
      </c>
      <c r="B173" s="31" t="s">
        <v>421</v>
      </c>
      <c r="C173" s="26" t="s">
        <v>420</v>
      </c>
      <c r="D173" s="5" t="s">
        <v>422</v>
      </c>
      <c r="E173" s="31" t="s">
        <v>224</v>
      </c>
      <c r="F173" s="31" t="s">
        <v>315</v>
      </c>
      <c r="G173" s="31" t="s">
        <v>315</v>
      </c>
      <c r="H173" s="218"/>
      <c r="I173" s="6" t="s">
        <v>150</v>
      </c>
      <c r="J173" s="6" t="s">
        <v>84</v>
      </c>
      <c r="K173" s="292">
        <v>43112</v>
      </c>
      <c r="L173" s="5"/>
      <c r="M173" s="29">
        <v>179847</v>
      </c>
      <c r="N173" s="238">
        <f>6930+172917</f>
        <v>179847</v>
      </c>
      <c r="O173" s="6" t="s">
        <v>423</v>
      </c>
      <c r="P173" s="6"/>
      <c r="Q173" s="6"/>
      <c r="R173" s="6" t="s">
        <v>424</v>
      </c>
      <c r="S173" s="6"/>
      <c r="T173" s="6"/>
      <c r="U173" s="6"/>
      <c r="V173" s="6"/>
      <c r="W173" s="5"/>
      <c r="X173" s="68"/>
      <c r="Y173" s="261"/>
      <c r="Z173" s="261"/>
      <c r="AA173" s="262">
        <v>0.15</v>
      </c>
      <c r="AB173" s="5">
        <v>5890.5</v>
      </c>
      <c r="AC173" s="5"/>
      <c r="AD173" s="5"/>
      <c r="AE173" s="5">
        <v>146979.45000000001</v>
      </c>
      <c r="AF173" s="5"/>
      <c r="AG173" s="5"/>
      <c r="AH173" s="5"/>
      <c r="AI173" s="5"/>
      <c r="AJ173" s="5"/>
      <c r="AK173" s="5"/>
      <c r="AL173" s="5"/>
      <c r="AM173" s="5"/>
      <c r="AN173" s="238">
        <f t="shared" si="5"/>
        <v>152869.95000000001</v>
      </c>
      <c r="AO173" s="37" t="s">
        <v>132</v>
      </c>
      <c r="AP173" s="37" t="s">
        <v>1308</v>
      </c>
      <c r="AQ173" s="68"/>
      <c r="AR173" s="26" t="s">
        <v>384</v>
      </c>
      <c r="AS173" s="26"/>
      <c r="AT173" s="72"/>
      <c r="AU173" s="68"/>
      <c r="AV173" s="43" t="s">
        <v>66</v>
      </c>
      <c r="AW173" s="68"/>
      <c r="AX173" s="289" t="s">
        <v>86</v>
      </c>
      <c r="AY173" s="289"/>
      <c r="AZ173" s="290">
        <v>43101</v>
      </c>
      <c r="BA173" s="290">
        <v>43126</v>
      </c>
      <c r="BB173" s="25" t="s">
        <v>78</v>
      </c>
      <c r="BC173" s="82">
        <v>43466</v>
      </c>
      <c r="BD173" s="43" t="s">
        <v>122</v>
      </c>
      <c r="BE173" s="297">
        <v>179847</v>
      </c>
      <c r="BF173" s="298">
        <f t="shared" si="3"/>
        <v>1</v>
      </c>
      <c r="BG173" s="297" t="e">
        <f>VLOOKUP(B173,[1]Sheet2!$B:$X,23,0)</f>
        <v>#N/A</v>
      </c>
    </row>
    <row r="174" spans="1:59" ht="33" customHeight="1">
      <c r="A174" s="5" t="s">
        <v>412</v>
      </c>
      <c r="B174" s="31" t="s">
        <v>414</v>
      </c>
      <c r="C174" s="26" t="s">
        <v>413</v>
      </c>
      <c r="D174" s="5" t="s">
        <v>415</v>
      </c>
      <c r="E174" s="31" t="s">
        <v>61</v>
      </c>
      <c r="F174" s="31" t="s">
        <v>315</v>
      </c>
      <c r="G174" s="31" t="s">
        <v>315</v>
      </c>
      <c r="H174" s="218"/>
      <c r="I174" s="6" t="s">
        <v>76</v>
      </c>
      <c r="J174" s="6" t="s">
        <v>128</v>
      </c>
      <c r="K174" s="292">
        <v>43111</v>
      </c>
      <c r="L174" s="5"/>
      <c r="M174" s="29">
        <v>675000</v>
      </c>
      <c r="N174" s="238">
        <f>624000+33000+18000</f>
        <v>675000</v>
      </c>
      <c r="O174" s="6" t="s">
        <v>416</v>
      </c>
      <c r="P174" s="6"/>
      <c r="Q174" s="6"/>
      <c r="R174" s="6" t="s">
        <v>417</v>
      </c>
      <c r="S174" s="6"/>
      <c r="T174" s="6"/>
      <c r="U174" s="6" t="s">
        <v>418</v>
      </c>
      <c r="V174" s="6"/>
      <c r="W174" s="5"/>
      <c r="X174" s="68"/>
      <c r="Y174" s="261"/>
      <c r="Z174" s="261"/>
      <c r="AA174" s="262">
        <v>0.15</v>
      </c>
      <c r="AB174" s="5">
        <v>530400</v>
      </c>
      <c r="AC174" s="5"/>
      <c r="AD174" s="5"/>
      <c r="AE174" s="5">
        <v>28050</v>
      </c>
      <c r="AF174" s="5"/>
      <c r="AG174" s="5"/>
      <c r="AH174" s="5">
        <v>15300</v>
      </c>
      <c r="AI174" s="5"/>
      <c r="AJ174" s="5"/>
      <c r="AK174" s="5"/>
      <c r="AL174" s="5"/>
      <c r="AM174" s="5"/>
      <c r="AN174" s="238">
        <f t="shared" si="5"/>
        <v>573750</v>
      </c>
      <c r="AO174" s="37" t="s">
        <v>85</v>
      </c>
      <c r="AP174" s="37" t="e">
        <v>#N/A</v>
      </c>
      <c r="AQ174" s="68"/>
      <c r="AR174" s="26" t="s">
        <v>384</v>
      </c>
      <c r="AS174" s="26"/>
      <c r="AT174" s="72">
        <v>43089</v>
      </c>
      <c r="AU174" s="68"/>
      <c r="AV174" s="43" t="s">
        <v>66</v>
      </c>
      <c r="AW174" s="68"/>
      <c r="AX174" s="289" t="s">
        <v>86</v>
      </c>
      <c r="AY174" s="289"/>
      <c r="AZ174" s="290">
        <v>43124</v>
      </c>
      <c r="BA174" s="290">
        <v>43174</v>
      </c>
      <c r="BB174" s="25" t="s">
        <v>78</v>
      </c>
      <c r="BC174" s="291">
        <v>43488</v>
      </c>
      <c r="BD174" s="113" t="s">
        <v>122</v>
      </c>
      <c r="BE174" s="297">
        <v>675000</v>
      </c>
      <c r="BF174" s="298">
        <f t="shared" si="3"/>
        <v>1</v>
      </c>
      <c r="BG174" s="297" t="e">
        <f>VLOOKUP(B174,[1]Sheet2!$B:$X,23,0)</f>
        <v>#N/A</v>
      </c>
    </row>
    <row r="175" spans="1:59" s="28" customFormat="1" ht="33" customHeight="1">
      <c r="A175" s="26" t="s">
        <v>437</v>
      </c>
      <c r="B175" s="25" t="s">
        <v>439</v>
      </c>
      <c r="C175" s="26" t="s">
        <v>438</v>
      </c>
      <c r="D175" s="26" t="s">
        <v>440</v>
      </c>
      <c r="E175" s="25" t="s">
        <v>168</v>
      </c>
      <c r="F175" s="25" t="s">
        <v>1277</v>
      </c>
      <c r="G175" s="25" t="s">
        <v>1277</v>
      </c>
      <c r="H175" s="218"/>
      <c r="I175" s="53" t="s">
        <v>175</v>
      </c>
      <c r="J175" s="53" t="s">
        <v>84</v>
      </c>
      <c r="K175" s="295">
        <v>43130</v>
      </c>
      <c r="L175" s="26"/>
      <c r="M175" s="29">
        <v>25200</v>
      </c>
      <c r="N175" s="243">
        <v>25200</v>
      </c>
      <c r="O175" s="239"/>
      <c r="P175" s="239"/>
      <c r="Q175" s="239"/>
      <c r="R175" s="239"/>
      <c r="S175" s="239"/>
      <c r="T175" s="239"/>
      <c r="U175" s="53" t="s">
        <v>441</v>
      </c>
      <c r="V175" s="239"/>
      <c r="W175" s="26"/>
      <c r="X175" s="26"/>
      <c r="Y175" s="263"/>
      <c r="Z175" s="263"/>
      <c r="AA175" s="262">
        <v>0.15</v>
      </c>
      <c r="AB175" s="26"/>
      <c r="AC175" s="26"/>
      <c r="AD175" s="26"/>
      <c r="AE175" s="26"/>
      <c r="AF175" s="26"/>
      <c r="AG175" s="26"/>
      <c r="AH175" s="26">
        <f>6000+15420</f>
        <v>21420</v>
      </c>
      <c r="AI175" s="26"/>
      <c r="AJ175" s="26"/>
      <c r="AK175" s="26"/>
      <c r="AL175" s="26"/>
      <c r="AM175" s="26"/>
      <c r="AN175" s="243">
        <f t="shared" si="5"/>
        <v>21420</v>
      </c>
      <c r="AO175" s="216" t="s">
        <v>442</v>
      </c>
      <c r="AP175" s="216"/>
      <c r="AQ175" s="245"/>
      <c r="AR175" s="26" t="s">
        <v>384</v>
      </c>
      <c r="AS175" s="26"/>
      <c r="AT175" s="308"/>
      <c r="AU175" s="245"/>
      <c r="AV175" s="43" t="s">
        <v>190</v>
      </c>
      <c r="AW175" s="245"/>
      <c r="AX175" s="289"/>
      <c r="AY175" s="289"/>
      <c r="AZ175" s="290"/>
      <c r="BA175" s="290"/>
      <c r="BB175" s="25" t="s">
        <v>443</v>
      </c>
      <c r="BC175" s="291">
        <v>44927</v>
      </c>
      <c r="BD175" s="113" t="s">
        <v>1758</v>
      </c>
      <c r="BE175" s="297">
        <v>5040</v>
      </c>
      <c r="BF175" s="298">
        <f t="shared" si="3"/>
        <v>0.2</v>
      </c>
      <c r="BG175" s="297" t="e">
        <f>VLOOKUP(B175,[1]Sheet2!$B:$X,23,0)</f>
        <v>#N/A</v>
      </c>
    </row>
    <row r="176" spans="1:59" s="28" customFormat="1" ht="33" customHeight="1">
      <c r="A176" s="26" t="s">
        <v>444</v>
      </c>
      <c r="B176" s="25" t="s">
        <v>446</v>
      </c>
      <c r="C176" s="26" t="s">
        <v>445</v>
      </c>
      <c r="D176" s="26" t="s">
        <v>440</v>
      </c>
      <c r="E176" s="25" t="s">
        <v>168</v>
      </c>
      <c r="F176" s="25" t="s">
        <v>1277</v>
      </c>
      <c r="G176" s="25" t="s">
        <v>1277</v>
      </c>
      <c r="H176" s="218"/>
      <c r="I176" s="53" t="s">
        <v>175</v>
      </c>
      <c r="J176" s="53" t="s">
        <v>84</v>
      </c>
      <c r="K176" s="295">
        <v>43130</v>
      </c>
      <c r="L176" s="26"/>
      <c r="M176" s="29">
        <v>73200</v>
      </c>
      <c r="N176" s="243">
        <v>73200</v>
      </c>
      <c r="O176" s="239"/>
      <c r="P176" s="239"/>
      <c r="Q176" s="239"/>
      <c r="R176" s="239"/>
      <c r="S176" s="239"/>
      <c r="T176" s="239"/>
      <c r="U176" s="245">
        <v>73200</v>
      </c>
      <c r="V176" s="239"/>
      <c r="W176" s="26"/>
      <c r="X176" s="26"/>
      <c r="Y176" s="263"/>
      <c r="Z176" s="263"/>
      <c r="AA176" s="262">
        <v>0.15</v>
      </c>
      <c r="AB176" s="26"/>
      <c r="AC176" s="26"/>
      <c r="AD176" s="26"/>
      <c r="AE176" s="26"/>
      <c r="AF176" s="26"/>
      <c r="AG176" s="26"/>
      <c r="AH176" s="26">
        <f>6000+56220</f>
        <v>62220</v>
      </c>
      <c r="AI176" s="26"/>
      <c r="AJ176" s="26"/>
      <c r="AK176" s="26"/>
      <c r="AL176" s="26"/>
      <c r="AM176" s="26"/>
      <c r="AN176" s="243">
        <f t="shared" si="5"/>
        <v>62220</v>
      </c>
      <c r="AO176" s="216" t="s">
        <v>442</v>
      </c>
      <c r="AP176" s="216"/>
      <c r="AQ176" s="245"/>
      <c r="AR176" s="26" t="s">
        <v>384</v>
      </c>
      <c r="AS176" s="26"/>
      <c r="AT176" s="308"/>
      <c r="AU176" s="245"/>
      <c r="AV176" s="43" t="s">
        <v>190</v>
      </c>
      <c r="AW176" s="245"/>
      <c r="AX176" s="289"/>
      <c r="AY176" s="289"/>
      <c r="AZ176" s="290"/>
      <c r="BA176" s="290"/>
      <c r="BB176" s="25" t="s">
        <v>443</v>
      </c>
      <c r="BC176" s="291">
        <v>44927</v>
      </c>
      <c r="BD176" s="113" t="s">
        <v>1758</v>
      </c>
      <c r="BE176" s="297">
        <v>14640</v>
      </c>
      <c r="BF176" s="298">
        <f t="shared" si="3"/>
        <v>0.2</v>
      </c>
      <c r="BG176" s="297" t="e">
        <f>VLOOKUP(B176,[1]Sheet2!$B:$X,23,0)</f>
        <v>#N/A</v>
      </c>
    </row>
    <row r="177" spans="1:59" s="28" customFormat="1" ht="33" customHeight="1">
      <c r="A177" s="26" t="s">
        <v>447</v>
      </c>
      <c r="B177" s="25" t="s">
        <v>449</v>
      </c>
      <c r="C177" s="26" t="s">
        <v>448</v>
      </c>
      <c r="D177" s="26" t="s">
        <v>440</v>
      </c>
      <c r="E177" s="25" t="s">
        <v>168</v>
      </c>
      <c r="F177" s="25" t="s">
        <v>1277</v>
      </c>
      <c r="G177" s="25" t="s">
        <v>1277</v>
      </c>
      <c r="H177" s="218"/>
      <c r="I177" s="53" t="s">
        <v>175</v>
      </c>
      <c r="J177" s="53" t="s">
        <v>84</v>
      </c>
      <c r="K177" s="295">
        <v>43130</v>
      </c>
      <c r="L177" s="26"/>
      <c r="M177" s="29">
        <v>325200</v>
      </c>
      <c r="N177" s="243">
        <v>325200</v>
      </c>
      <c r="O177" s="239"/>
      <c r="P177" s="239"/>
      <c r="Q177" s="239"/>
      <c r="R177" s="239"/>
      <c r="S177" s="239"/>
      <c r="T177" s="239"/>
      <c r="U177" s="245">
        <v>325200</v>
      </c>
      <c r="V177" s="239"/>
      <c r="W177" s="26"/>
      <c r="X177" s="26"/>
      <c r="Y177" s="263"/>
      <c r="Z177" s="263"/>
      <c r="AA177" s="262">
        <v>0.15</v>
      </c>
      <c r="AB177" s="26"/>
      <c r="AC177" s="26"/>
      <c r="AD177" s="26"/>
      <c r="AE177" s="26"/>
      <c r="AF177" s="26"/>
      <c r="AG177" s="26"/>
      <c r="AH177" s="26">
        <f>6000+270420</f>
        <v>276420</v>
      </c>
      <c r="AI177" s="26"/>
      <c r="AJ177" s="26"/>
      <c r="AK177" s="26"/>
      <c r="AL177" s="26"/>
      <c r="AM177" s="26"/>
      <c r="AN177" s="243">
        <f t="shared" si="5"/>
        <v>276420</v>
      </c>
      <c r="AO177" s="216" t="s">
        <v>442</v>
      </c>
      <c r="AP177" s="216"/>
      <c r="AQ177" s="245"/>
      <c r="AR177" s="26" t="s">
        <v>384</v>
      </c>
      <c r="AS177" s="26"/>
      <c r="AT177" s="308"/>
      <c r="AU177" s="245"/>
      <c r="AV177" s="43" t="s">
        <v>190</v>
      </c>
      <c r="AW177" s="245"/>
      <c r="AX177" s="289"/>
      <c r="AY177" s="289"/>
      <c r="AZ177" s="290"/>
      <c r="BA177" s="290"/>
      <c r="BB177" s="25" t="s">
        <v>443</v>
      </c>
      <c r="BC177" s="291">
        <v>44927</v>
      </c>
      <c r="BD177" s="113" t="s">
        <v>1758</v>
      </c>
      <c r="BE177" s="297">
        <v>65040</v>
      </c>
      <c r="BF177" s="298">
        <f t="shared" si="3"/>
        <v>0.2</v>
      </c>
      <c r="BG177" s="297" t="e">
        <f>VLOOKUP(B177,[1]Sheet2!$B:$X,23,0)</f>
        <v>#N/A</v>
      </c>
    </row>
    <row r="178" spans="1:59" s="28" customFormat="1" ht="33" customHeight="1">
      <c r="A178" s="25" t="s">
        <v>462</v>
      </c>
      <c r="B178" s="313" t="s">
        <v>463</v>
      </c>
      <c r="C178" s="26" t="s">
        <v>1759</v>
      </c>
      <c r="D178" s="219" t="s">
        <v>464</v>
      </c>
      <c r="E178" s="216" t="s">
        <v>139</v>
      </c>
      <c r="F178" s="25" t="s">
        <v>315</v>
      </c>
      <c r="G178" s="25" t="s">
        <v>315</v>
      </c>
      <c r="H178" s="218" t="s">
        <v>1275</v>
      </c>
      <c r="I178" s="53" t="s">
        <v>150</v>
      </c>
      <c r="J178" s="53" t="s">
        <v>128</v>
      </c>
      <c r="K178" s="295">
        <v>43131</v>
      </c>
      <c r="L178" s="26"/>
      <c r="M178" s="25">
        <v>152360</v>
      </c>
      <c r="N178" s="243"/>
      <c r="O178" s="53"/>
      <c r="P178" s="53"/>
      <c r="Q178" s="53"/>
      <c r="R178" s="53"/>
      <c r="S178" s="53"/>
      <c r="T178" s="53"/>
      <c r="U178" s="53"/>
      <c r="V178" s="53"/>
      <c r="W178" s="26"/>
      <c r="X178" s="26"/>
      <c r="Y178" s="263"/>
      <c r="Z178" s="263"/>
      <c r="AA178" s="319"/>
      <c r="AB178" s="26"/>
      <c r="AC178" s="26"/>
      <c r="AD178" s="26"/>
      <c r="AE178" s="26"/>
      <c r="AF178" s="26"/>
      <c r="AG178" s="26"/>
      <c r="AH178" s="26"/>
      <c r="AI178" s="25"/>
      <c r="AJ178" s="25"/>
      <c r="AK178" s="26"/>
      <c r="AL178" s="26"/>
      <c r="AM178" s="26"/>
      <c r="AN178" s="243"/>
      <c r="AO178" s="43" t="s">
        <v>85</v>
      </c>
      <c r="AP178" s="216" t="s">
        <v>1442</v>
      </c>
      <c r="AQ178" s="245"/>
      <c r="AR178" s="26" t="s">
        <v>384</v>
      </c>
      <c r="AS178" s="26"/>
      <c r="AT178" s="308"/>
      <c r="AU178" s="245"/>
      <c r="AV178" s="43" t="s">
        <v>66</v>
      </c>
      <c r="AW178" s="245"/>
      <c r="AX178" s="289" t="s">
        <v>86</v>
      </c>
      <c r="AY178" s="320"/>
      <c r="AZ178" s="291">
        <v>43131</v>
      </c>
      <c r="BA178" s="291">
        <v>43131</v>
      </c>
      <c r="BB178" s="25" t="s">
        <v>78</v>
      </c>
      <c r="BC178" s="291">
        <v>43495</v>
      </c>
      <c r="BD178" s="43" t="s">
        <v>122</v>
      </c>
      <c r="BE178" s="297">
        <v>152360</v>
      </c>
      <c r="BF178" s="298">
        <f t="shared" si="3"/>
        <v>1</v>
      </c>
      <c r="BG178" s="297" t="e">
        <f>VLOOKUP(B178,[1]Sheet2!$B:$X,23,0)</f>
        <v>#N/A</v>
      </c>
    </row>
    <row r="179" spans="1:59" ht="33" customHeight="1">
      <c r="A179" s="31" t="s">
        <v>468</v>
      </c>
      <c r="B179" s="32" t="s">
        <v>469</v>
      </c>
      <c r="C179" s="26" t="s">
        <v>1760</v>
      </c>
      <c r="D179" s="5" t="s">
        <v>470</v>
      </c>
      <c r="E179" s="31" t="s">
        <v>139</v>
      </c>
      <c r="F179" s="31" t="s">
        <v>315</v>
      </c>
      <c r="G179" s="31" t="s">
        <v>315</v>
      </c>
      <c r="H179" s="218" t="s">
        <v>1275</v>
      </c>
      <c r="I179" s="6" t="s">
        <v>150</v>
      </c>
      <c r="J179" s="6" t="s">
        <v>128</v>
      </c>
      <c r="K179" s="292">
        <v>43131</v>
      </c>
      <c r="L179" s="5"/>
      <c r="M179" s="25">
        <v>199280</v>
      </c>
      <c r="N179" s="238"/>
      <c r="O179" s="6"/>
      <c r="P179" s="6"/>
      <c r="Q179" s="6"/>
      <c r="R179" s="6"/>
      <c r="S179" s="6"/>
      <c r="T179" s="6"/>
      <c r="U179" s="6"/>
      <c r="V179" s="6"/>
      <c r="W179" s="5"/>
      <c r="X179" s="5"/>
      <c r="Y179" s="261"/>
      <c r="Z179" s="261"/>
      <c r="AA179" s="319"/>
      <c r="AB179" s="5"/>
      <c r="AC179" s="5"/>
      <c r="AD179" s="5"/>
      <c r="AE179" s="5"/>
      <c r="AF179" s="5"/>
      <c r="AG179" s="5"/>
      <c r="AH179" s="5"/>
      <c r="AI179" s="31"/>
      <c r="AJ179" s="31"/>
      <c r="AK179" s="5"/>
      <c r="AL179" s="5"/>
      <c r="AM179" s="5"/>
      <c r="AN179" s="238"/>
      <c r="AO179" s="43" t="s">
        <v>85</v>
      </c>
      <c r="AP179" s="37" t="s">
        <v>1442</v>
      </c>
      <c r="AQ179" s="68"/>
      <c r="AR179" s="26" t="s">
        <v>384</v>
      </c>
      <c r="AS179" s="26"/>
      <c r="AT179" s="72"/>
      <c r="AU179" s="68"/>
      <c r="AV179" s="43" t="s">
        <v>66</v>
      </c>
      <c r="AW179" s="68"/>
      <c r="AX179" s="289" t="s">
        <v>86</v>
      </c>
      <c r="AY179" s="320"/>
      <c r="AZ179" s="291">
        <v>43131</v>
      </c>
      <c r="BA179" s="321">
        <v>43131</v>
      </c>
      <c r="BB179" s="25" t="s">
        <v>78</v>
      </c>
      <c r="BC179" s="291">
        <v>43495</v>
      </c>
      <c r="BD179" s="43" t="s">
        <v>122</v>
      </c>
      <c r="BE179" s="297">
        <v>199280</v>
      </c>
      <c r="BF179" s="298">
        <f t="shared" si="3"/>
        <v>1</v>
      </c>
      <c r="BG179" s="297" t="e">
        <f>VLOOKUP(B179,[1]Sheet2!$B:$X,23,0)</f>
        <v>#N/A</v>
      </c>
    </row>
    <row r="180" spans="1:59" ht="33" customHeight="1">
      <c r="A180" s="31" t="s">
        <v>465</v>
      </c>
      <c r="B180" s="32" t="s">
        <v>466</v>
      </c>
      <c r="C180" s="26" t="s">
        <v>1761</v>
      </c>
      <c r="D180" s="5" t="s">
        <v>467</v>
      </c>
      <c r="E180" s="31" t="s">
        <v>139</v>
      </c>
      <c r="F180" s="31" t="s">
        <v>315</v>
      </c>
      <c r="G180" s="31" t="s">
        <v>315</v>
      </c>
      <c r="H180" s="218" t="s">
        <v>1275</v>
      </c>
      <c r="I180" s="6" t="s">
        <v>150</v>
      </c>
      <c r="J180" s="6" t="s">
        <v>128</v>
      </c>
      <c r="K180" s="292">
        <v>43131</v>
      </c>
      <c r="L180" s="5"/>
      <c r="M180" s="25">
        <v>176242</v>
      </c>
      <c r="N180" s="238"/>
      <c r="O180" s="6"/>
      <c r="P180" s="6"/>
      <c r="Q180" s="6"/>
      <c r="R180" s="6"/>
      <c r="S180" s="6"/>
      <c r="T180" s="6"/>
      <c r="U180" s="6"/>
      <c r="V180" s="6"/>
      <c r="W180" s="5"/>
      <c r="X180" s="5"/>
      <c r="Y180" s="261"/>
      <c r="Z180" s="261"/>
      <c r="AA180" s="319"/>
      <c r="AB180" s="5"/>
      <c r="AC180" s="5"/>
      <c r="AD180" s="5"/>
      <c r="AE180" s="5"/>
      <c r="AF180" s="5"/>
      <c r="AG180" s="5"/>
      <c r="AH180" s="5"/>
      <c r="AI180" s="31"/>
      <c r="AJ180" s="31"/>
      <c r="AK180" s="5"/>
      <c r="AL180" s="5"/>
      <c r="AM180" s="5"/>
      <c r="AN180" s="238"/>
      <c r="AO180" s="43" t="s">
        <v>85</v>
      </c>
      <c r="AP180" s="37" t="s">
        <v>1442</v>
      </c>
      <c r="AQ180" s="68"/>
      <c r="AR180" s="26" t="s">
        <v>384</v>
      </c>
      <c r="AS180" s="26"/>
      <c r="AT180" s="72"/>
      <c r="AU180" s="68"/>
      <c r="AV180" s="43" t="s">
        <v>66</v>
      </c>
      <c r="AW180" s="68"/>
      <c r="AX180" s="289" t="s">
        <v>86</v>
      </c>
      <c r="AY180" s="320"/>
      <c r="AZ180" s="291">
        <v>43131</v>
      </c>
      <c r="BA180" s="321">
        <v>43131</v>
      </c>
      <c r="BB180" s="25" t="s">
        <v>78</v>
      </c>
      <c r="BC180" s="291">
        <v>43495</v>
      </c>
      <c r="BD180" s="43" t="s">
        <v>122</v>
      </c>
      <c r="BE180" s="297">
        <v>176242</v>
      </c>
      <c r="BF180" s="298">
        <f t="shared" si="3"/>
        <v>1</v>
      </c>
      <c r="BG180" s="297" t="e">
        <f>VLOOKUP(B180,[1]Sheet2!$B:$X,23,0)</f>
        <v>#N/A</v>
      </c>
    </row>
    <row r="181" spans="1:59" ht="33" customHeight="1">
      <c r="A181" s="31" t="s">
        <v>471</v>
      </c>
      <c r="B181" s="32" t="s">
        <v>472</v>
      </c>
      <c r="C181" s="26" t="s">
        <v>1762</v>
      </c>
      <c r="D181" s="5" t="s">
        <v>473</v>
      </c>
      <c r="E181" s="31" t="s">
        <v>139</v>
      </c>
      <c r="F181" s="31" t="s">
        <v>315</v>
      </c>
      <c r="G181" s="31" t="s">
        <v>315</v>
      </c>
      <c r="H181" s="218" t="s">
        <v>1275</v>
      </c>
      <c r="I181" s="6" t="s">
        <v>150</v>
      </c>
      <c r="J181" s="6" t="s">
        <v>128</v>
      </c>
      <c r="K181" s="292">
        <v>43131</v>
      </c>
      <c r="L181" s="5"/>
      <c r="M181" s="25">
        <v>196236</v>
      </c>
      <c r="N181" s="238"/>
      <c r="O181" s="6"/>
      <c r="P181" s="6"/>
      <c r="Q181" s="6"/>
      <c r="R181" s="6"/>
      <c r="S181" s="6"/>
      <c r="T181" s="6"/>
      <c r="U181" s="6"/>
      <c r="V181" s="6"/>
      <c r="W181" s="5"/>
      <c r="X181" s="5"/>
      <c r="Y181" s="261"/>
      <c r="Z181" s="261"/>
      <c r="AA181" s="319"/>
      <c r="AB181" s="5"/>
      <c r="AC181" s="5"/>
      <c r="AD181" s="5"/>
      <c r="AE181" s="5"/>
      <c r="AF181" s="5"/>
      <c r="AG181" s="5"/>
      <c r="AH181" s="5"/>
      <c r="AI181" s="31"/>
      <c r="AJ181" s="31"/>
      <c r="AK181" s="5"/>
      <c r="AL181" s="5"/>
      <c r="AM181" s="5"/>
      <c r="AN181" s="238"/>
      <c r="AO181" s="43" t="s">
        <v>85</v>
      </c>
      <c r="AP181" s="37" t="s">
        <v>1442</v>
      </c>
      <c r="AQ181" s="68"/>
      <c r="AR181" s="26" t="s">
        <v>384</v>
      </c>
      <c r="AS181" s="26"/>
      <c r="AT181" s="72"/>
      <c r="AU181" s="68"/>
      <c r="AV181" s="43" t="s">
        <v>66</v>
      </c>
      <c r="AW181" s="68"/>
      <c r="AX181" s="289" t="s">
        <v>86</v>
      </c>
      <c r="AY181" s="320"/>
      <c r="AZ181" s="291">
        <v>43131</v>
      </c>
      <c r="BA181" s="321">
        <v>43131</v>
      </c>
      <c r="BB181" s="25" t="s">
        <v>78</v>
      </c>
      <c r="BC181" s="291">
        <v>43495</v>
      </c>
      <c r="BD181" s="43" t="s">
        <v>122</v>
      </c>
      <c r="BE181" s="297">
        <v>196236</v>
      </c>
      <c r="BF181" s="298">
        <f t="shared" si="3"/>
        <v>1</v>
      </c>
      <c r="BG181" s="297" t="e">
        <f>VLOOKUP(B181,[1]Sheet2!$B:$X,23,0)</f>
        <v>#N/A</v>
      </c>
    </row>
    <row r="182" spans="1:59" ht="33" customHeight="1">
      <c r="A182" s="31" t="s">
        <v>474</v>
      </c>
      <c r="B182" s="32" t="s">
        <v>475</v>
      </c>
      <c r="C182" s="26" t="s">
        <v>1763</v>
      </c>
      <c r="D182" s="5" t="s">
        <v>476</v>
      </c>
      <c r="E182" s="31" t="s">
        <v>139</v>
      </c>
      <c r="F182" s="31" t="s">
        <v>315</v>
      </c>
      <c r="G182" s="31" t="s">
        <v>315</v>
      </c>
      <c r="H182" s="218" t="s">
        <v>1275</v>
      </c>
      <c r="I182" s="6" t="s">
        <v>150</v>
      </c>
      <c r="J182" s="6" t="s">
        <v>128</v>
      </c>
      <c r="K182" s="292">
        <v>43131</v>
      </c>
      <c r="L182" s="5"/>
      <c r="M182" s="25">
        <v>108615</v>
      </c>
      <c r="N182" s="238"/>
      <c r="O182" s="6"/>
      <c r="P182" s="6"/>
      <c r="Q182" s="6"/>
      <c r="R182" s="6"/>
      <c r="S182" s="6"/>
      <c r="T182" s="6"/>
      <c r="U182" s="6"/>
      <c r="V182" s="6"/>
      <c r="W182" s="5"/>
      <c r="X182" s="5"/>
      <c r="Y182" s="261"/>
      <c r="Z182" s="261"/>
      <c r="AA182" s="319"/>
      <c r="AB182" s="5"/>
      <c r="AC182" s="5"/>
      <c r="AD182" s="5"/>
      <c r="AE182" s="5"/>
      <c r="AF182" s="5"/>
      <c r="AG182" s="5"/>
      <c r="AH182" s="5"/>
      <c r="AI182" s="31"/>
      <c r="AJ182" s="31"/>
      <c r="AK182" s="5"/>
      <c r="AL182" s="5"/>
      <c r="AM182" s="5"/>
      <c r="AN182" s="238"/>
      <c r="AO182" s="43" t="s">
        <v>85</v>
      </c>
      <c r="AP182" s="37" t="s">
        <v>1442</v>
      </c>
      <c r="AQ182" s="68"/>
      <c r="AR182" s="26" t="s">
        <v>384</v>
      </c>
      <c r="AS182" s="26"/>
      <c r="AT182" s="72"/>
      <c r="AU182" s="68"/>
      <c r="AV182" s="43" t="s">
        <v>66</v>
      </c>
      <c r="AW182" s="68"/>
      <c r="AX182" s="289" t="s">
        <v>86</v>
      </c>
      <c r="AY182" s="320"/>
      <c r="AZ182" s="291">
        <v>43131</v>
      </c>
      <c r="BA182" s="321">
        <v>43131</v>
      </c>
      <c r="BB182" s="25" t="s">
        <v>78</v>
      </c>
      <c r="BC182" s="291">
        <v>43495</v>
      </c>
      <c r="BD182" s="43" t="s">
        <v>122</v>
      </c>
      <c r="BE182" s="297">
        <v>108615</v>
      </c>
      <c r="BF182" s="298">
        <f t="shared" si="3"/>
        <v>1</v>
      </c>
      <c r="BG182" s="297" t="e">
        <f>VLOOKUP(B182,[1]Sheet2!$B:$X,23,0)</f>
        <v>#N/A</v>
      </c>
    </row>
    <row r="183" spans="1:59" ht="33" customHeight="1">
      <c r="A183" s="31" t="s">
        <v>501</v>
      </c>
      <c r="B183" s="32" t="s">
        <v>502</v>
      </c>
      <c r="C183" s="26" t="s">
        <v>1764</v>
      </c>
      <c r="D183" s="5" t="s">
        <v>503</v>
      </c>
      <c r="E183" s="31" t="s">
        <v>139</v>
      </c>
      <c r="F183" s="31" t="s">
        <v>315</v>
      </c>
      <c r="G183" s="31" t="s">
        <v>315</v>
      </c>
      <c r="H183" s="218" t="s">
        <v>1275</v>
      </c>
      <c r="I183" s="6" t="s">
        <v>150</v>
      </c>
      <c r="J183" s="6" t="s">
        <v>128</v>
      </c>
      <c r="K183" s="292">
        <v>43131</v>
      </c>
      <c r="L183" s="5"/>
      <c r="M183" s="25">
        <v>167251</v>
      </c>
      <c r="N183" s="238"/>
      <c r="O183" s="6"/>
      <c r="P183" s="6"/>
      <c r="Q183" s="6"/>
      <c r="R183" s="6"/>
      <c r="S183" s="6"/>
      <c r="T183" s="6"/>
      <c r="U183" s="6"/>
      <c r="V183" s="6"/>
      <c r="W183" s="5"/>
      <c r="X183" s="5"/>
      <c r="Y183" s="261"/>
      <c r="Z183" s="261"/>
      <c r="AA183" s="319"/>
      <c r="AB183" s="5"/>
      <c r="AC183" s="5"/>
      <c r="AD183" s="5"/>
      <c r="AE183" s="5"/>
      <c r="AF183" s="5"/>
      <c r="AG183" s="5"/>
      <c r="AH183" s="5"/>
      <c r="AI183" s="31"/>
      <c r="AJ183" s="31"/>
      <c r="AK183" s="5"/>
      <c r="AL183" s="5"/>
      <c r="AM183" s="5"/>
      <c r="AN183" s="238"/>
      <c r="AO183" s="43" t="s">
        <v>85</v>
      </c>
      <c r="AP183" s="37" t="s">
        <v>1442</v>
      </c>
      <c r="AQ183" s="68"/>
      <c r="AR183" s="26" t="s">
        <v>384</v>
      </c>
      <c r="AS183" s="26"/>
      <c r="AT183" s="72"/>
      <c r="AU183" s="68"/>
      <c r="AV183" s="43" t="s">
        <v>66</v>
      </c>
      <c r="AW183" s="68"/>
      <c r="AX183" s="289" t="s">
        <v>86</v>
      </c>
      <c r="AY183" s="320"/>
      <c r="AZ183" s="291">
        <v>43131</v>
      </c>
      <c r="BA183" s="321">
        <v>43131</v>
      </c>
      <c r="BB183" s="25" t="s">
        <v>78</v>
      </c>
      <c r="BC183" s="291">
        <v>43495</v>
      </c>
      <c r="BD183" s="43" t="s">
        <v>122</v>
      </c>
      <c r="BE183" s="297">
        <v>167251</v>
      </c>
      <c r="BF183" s="298">
        <f t="shared" si="3"/>
        <v>1</v>
      </c>
      <c r="BG183" s="297" t="e">
        <f>VLOOKUP(B183,[1]Sheet2!$B:$X,23,0)</f>
        <v>#N/A</v>
      </c>
    </row>
    <row r="184" spans="1:59" ht="33" customHeight="1">
      <c r="A184" s="31" t="s">
        <v>495</v>
      </c>
      <c r="B184" s="32" t="s">
        <v>496</v>
      </c>
      <c r="C184" s="26" t="s">
        <v>1765</v>
      </c>
      <c r="D184" s="5" t="s">
        <v>497</v>
      </c>
      <c r="E184" s="31" t="s">
        <v>139</v>
      </c>
      <c r="F184" s="31" t="s">
        <v>315</v>
      </c>
      <c r="G184" s="31" t="s">
        <v>315</v>
      </c>
      <c r="H184" s="218" t="s">
        <v>1275</v>
      </c>
      <c r="I184" s="6" t="s">
        <v>150</v>
      </c>
      <c r="J184" s="6" t="s">
        <v>128</v>
      </c>
      <c r="K184" s="292">
        <v>43131</v>
      </c>
      <c r="L184" s="5"/>
      <c r="M184" s="25">
        <v>190340</v>
      </c>
      <c r="N184" s="238"/>
      <c r="O184" s="6"/>
      <c r="P184" s="6"/>
      <c r="Q184" s="6"/>
      <c r="R184" s="6"/>
      <c r="S184" s="6"/>
      <c r="T184" s="6"/>
      <c r="U184" s="6"/>
      <c r="V184" s="6"/>
      <c r="W184" s="5"/>
      <c r="X184" s="5"/>
      <c r="Y184" s="261"/>
      <c r="Z184" s="261"/>
      <c r="AA184" s="319"/>
      <c r="AB184" s="5"/>
      <c r="AC184" s="5"/>
      <c r="AD184" s="5"/>
      <c r="AE184" s="5"/>
      <c r="AF184" s="5"/>
      <c r="AG184" s="5"/>
      <c r="AH184" s="5"/>
      <c r="AI184" s="31"/>
      <c r="AJ184" s="31"/>
      <c r="AK184" s="5"/>
      <c r="AL184" s="5"/>
      <c r="AM184" s="5"/>
      <c r="AN184" s="238"/>
      <c r="AO184" s="43" t="s">
        <v>85</v>
      </c>
      <c r="AP184" s="37" t="s">
        <v>1442</v>
      </c>
      <c r="AQ184" s="68"/>
      <c r="AR184" s="26" t="s">
        <v>384</v>
      </c>
      <c r="AS184" s="26"/>
      <c r="AT184" s="72"/>
      <c r="AU184" s="68"/>
      <c r="AV184" s="43" t="s">
        <v>66</v>
      </c>
      <c r="AW184" s="68"/>
      <c r="AX184" s="289" t="s">
        <v>86</v>
      </c>
      <c r="AY184" s="320"/>
      <c r="AZ184" s="291">
        <v>43131</v>
      </c>
      <c r="BA184" s="321">
        <v>43131</v>
      </c>
      <c r="BB184" s="25" t="s">
        <v>78</v>
      </c>
      <c r="BC184" s="291">
        <v>43495</v>
      </c>
      <c r="BD184" s="43" t="s">
        <v>122</v>
      </c>
      <c r="BE184" s="297">
        <v>190340</v>
      </c>
      <c r="BF184" s="298">
        <f t="shared" si="3"/>
        <v>1</v>
      </c>
      <c r="BG184" s="297" t="e">
        <f>VLOOKUP(B184,[1]Sheet2!$B:$X,23,0)</f>
        <v>#N/A</v>
      </c>
    </row>
    <row r="185" spans="1:59" ht="33" customHeight="1">
      <c r="A185" s="31" t="s">
        <v>498</v>
      </c>
      <c r="B185" s="32" t="s">
        <v>499</v>
      </c>
      <c r="C185" s="26" t="s">
        <v>1766</v>
      </c>
      <c r="D185" s="5" t="s">
        <v>500</v>
      </c>
      <c r="E185" s="31" t="s">
        <v>139</v>
      </c>
      <c r="F185" s="31" t="s">
        <v>315</v>
      </c>
      <c r="G185" s="31" t="s">
        <v>315</v>
      </c>
      <c r="H185" s="218" t="s">
        <v>1275</v>
      </c>
      <c r="I185" s="6" t="s">
        <v>150</v>
      </c>
      <c r="J185" s="6" t="s">
        <v>128</v>
      </c>
      <c r="K185" s="292">
        <v>43131</v>
      </c>
      <c r="L185" s="5"/>
      <c r="M185" s="25">
        <v>184067</v>
      </c>
      <c r="N185" s="238"/>
      <c r="O185" s="6"/>
      <c r="P185" s="6"/>
      <c r="Q185" s="6"/>
      <c r="R185" s="6"/>
      <c r="S185" s="6"/>
      <c r="T185" s="6"/>
      <c r="U185" s="6"/>
      <c r="V185" s="6"/>
      <c r="W185" s="5"/>
      <c r="X185" s="5"/>
      <c r="Y185" s="261"/>
      <c r="Z185" s="261"/>
      <c r="AA185" s="319"/>
      <c r="AB185" s="5"/>
      <c r="AC185" s="5"/>
      <c r="AD185" s="5"/>
      <c r="AE185" s="5"/>
      <c r="AF185" s="5"/>
      <c r="AG185" s="5"/>
      <c r="AH185" s="5"/>
      <c r="AI185" s="31"/>
      <c r="AJ185" s="31"/>
      <c r="AK185" s="5"/>
      <c r="AL185" s="5"/>
      <c r="AM185" s="5"/>
      <c r="AN185" s="238"/>
      <c r="AO185" s="43" t="s">
        <v>85</v>
      </c>
      <c r="AP185" s="37" t="s">
        <v>1442</v>
      </c>
      <c r="AQ185" s="68"/>
      <c r="AR185" s="26" t="s">
        <v>384</v>
      </c>
      <c r="AS185" s="26"/>
      <c r="AT185" s="72"/>
      <c r="AU185" s="68"/>
      <c r="AV185" s="43" t="s">
        <v>66</v>
      </c>
      <c r="AW185" s="68"/>
      <c r="AX185" s="289" t="s">
        <v>86</v>
      </c>
      <c r="AY185" s="320"/>
      <c r="AZ185" s="291">
        <v>43131</v>
      </c>
      <c r="BA185" s="321">
        <v>43131</v>
      </c>
      <c r="BB185" s="25" t="s">
        <v>78</v>
      </c>
      <c r="BC185" s="291">
        <v>43495</v>
      </c>
      <c r="BD185" s="43" t="s">
        <v>122</v>
      </c>
      <c r="BE185" s="297">
        <v>184067</v>
      </c>
      <c r="BF185" s="298">
        <f t="shared" si="3"/>
        <v>1</v>
      </c>
      <c r="BG185" s="297" t="e">
        <f>VLOOKUP(B185,[1]Sheet2!$B:$X,23,0)</f>
        <v>#N/A</v>
      </c>
    </row>
    <row r="186" spans="1:59" ht="33" customHeight="1">
      <c r="A186" s="31" t="s">
        <v>492</v>
      </c>
      <c r="B186" s="32" t="s">
        <v>493</v>
      </c>
      <c r="C186" s="26" t="s">
        <v>1767</v>
      </c>
      <c r="D186" s="5" t="s">
        <v>494</v>
      </c>
      <c r="E186" s="31" t="s">
        <v>139</v>
      </c>
      <c r="F186" s="31" t="s">
        <v>315</v>
      </c>
      <c r="G186" s="31" t="s">
        <v>315</v>
      </c>
      <c r="H186" s="218" t="s">
        <v>1275</v>
      </c>
      <c r="I186" s="6" t="s">
        <v>150</v>
      </c>
      <c r="J186" s="6" t="s">
        <v>128</v>
      </c>
      <c r="K186" s="292">
        <v>43131</v>
      </c>
      <c r="L186" s="5"/>
      <c r="M186" s="25">
        <v>180882</v>
      </c>
      <c r="N186" s="238"/>
      <c r="O186" s="6"/>
      <c r="P186" s="6"/>
      <c r="Q186" s="6"/>
      <c r="R186" s="6"/>
      <c r="S186" s="6"/>
      <c r="T186" s="6"/>
      <c r="U186" s="6"/>
      <c r="V186" s="6"/>
      <c r="W186" s="5"/>
      <c r="X186" s="5"/>
      <c r="Y186" s="261"/>
      <c r="Z186" s="261"/>
      <c r="AA186" s="319"/>
      <c r="AB186" s="5"/>
      <c r="AC186" s="5"/>
      <c r="AD186" s="5"/>
      <c r="AE186" s="5"/>
      <c r="AF186" s="5"/>
      <c r="AG186" s="5"/>
      <c r="AH186" s="5"/>
      <c r="AI186" s="31"/>
      <c r="AJ186" s="31"/>
      <c r="AK186" s="5"/>
      <c r="AL186" s="5"/>
      <c r="AM186" s="5"/>
      <c r="AN186" s="238"/>
      <c r="AO186" s="43" t="s">
        <v>85</v>
      </c>
      <c r="AP186" s="37" t="s">
        <v>1442</v>
      </c>
      <c r="AQ186" s="68"/>
      <c r="AR186" s="26" t="s">
        <v>384</v>
      </c>
      <c r="AS186" s="26"/>
      <c r="AT186" s="72"/>
      <c r="AU186" s="68"/>
      <c r="AV186" s="43" t="s">
        <v>66</v>
      </c>
      <c r="AW186" s="68"/>
      <c r="AX186" s="289" t="s">
        <v>86</v>
      </c>
      <c r="AY186" s="320"/>
      <c r="AZ186" s="291">
        <v>43131</v>
      </c>
      <c r="BA186" s="321">
        <v>43131</v>
      </c>
      <c r="BB186" s="25" t="s">
        <v>78</v>
      </c>
      <c r="BC186" s="291">
        <v>43495</v>
      </c>
      <c r="BD186" s="43" t="s">
        <v>122</v>
      </c>
      <c r="BE186" s="297">
        <v>180882</v>
      </c>
      <c r="BF186" s="298">
        <f t="shared" si="3"/>
        <v>1</v>
      </c>
      <c r="BG186" s="297" t="e">
        <f>VLOOKUP(B186,[1]Sheet2!$B:$X,23,0)</f>
        <v>#N/A</v>
      </c>
    </row>
    <row r="187" spans="1:59" ht="33" customHeight="1">
      <c r="A187" s="31" t="s">
        <v>486</v>
      </c>
      <c r="B187" s="32" t="s">
        <v>487</v>
      </c>
      <c r="C187" s="26" t="s">
        <v>1768</v>
      </c>
      <c r="D187" s="5" t="s">
        <v>488</v>
      </c>
      <c r="E187" s="31" t="s">
        <v>139</v>
      </c>
      <c r="F187" s="31" t="s">
        <v>315</v>
      </c>
      <c r="G187" s="31" t="s">
        <v>315</v>
      </c>
      <c r="H187" s="218" t="s">
        <v>1275</v>
      </c>
      <c r="I187" s="6" t="s">
        <v>150</v>
      </c>
      <c r="J187" s="6" t="s">
        <v>128</v>
      </c>
      <c r="K187" s="292">
        <v>43131</v>
      </c>
      <c r="L187" s="5"/>
      <c r="M187" s="25">
        <v>129663</v>
      </c>
      <c r="N187" s="238"/>
      <c r="O187" s="6"/>
      <c r="P187" s="6"/>
      <c r="Q187" s="6"/>
      <c r="R187" s="6"/>
      <c r="S187" s="6"/>
      <c r="T187" s="6"/>
      <c r="U187" s="6"/>
      <c r="V187" s="6"/>
      <c r="W187" s="5"/>
      <c r="X187" s="5"/>
      <c r="Y187" s="261"/>
      <c r="Z187" s="261"/>
      <c r="AA187" s="319"/>
      <c r="AB187" s="5"/>
      <c r="AC187" s="5"/>
      <c r="AD187" s="5"/>
      <c r="AE187" s="5"/>
      <c r="AF187" s="5"/>
      <c r="AG187" s="5"/>
      <c r="AH187" s="5"/>
      <c r="AI187" s="31"/>
      <c r="AJ187" s="31"/>
      <c r="AK187" s="5"/>
      <c r="AL187" s="5"/>
      <c r="AM187" s="5"/>
      <c r="AN187" s="238"/>
      <c r="AO187" s="43" t="s">
        <v>85</v>
      </c>
      <c r="AP187" s="37" t="s">
        <v>1442</v>
      </c>
      <c r="AQ187" s="68"/>
      <c r="AR187" s="26" t="s">
        <v>384</v>
      </c>
      <c r="AS187" s="26"/>
      <c r="AT187" s="72"/>
      <c r="AU187" s="68"/>
      <c r="AV187" s="43" t="s">
        <v>66</v>
      </c>
      <c r="AW187" s="68"/>
      <c r="AX187" s="289" t="s">
        <v>86</v>
      </c>
      <c r="AY187" s="320"/>
      <c r="AZ187" s="291">
        <v>43131</v>
      </c>
      <c r="BA187" s="321">
        <v>43131</v>
      </c>
      <c r="BB187" s="25" t="s">
        <v>78</v>
      </c>
      <c r="BC187" s="291">
        <v>43495</v>
      </c>
      <c r="BD187" s="43" t="s">
        <v>122</v>
      </c>
      <c r="BE187" s="297">
        <v>129663</v>
      </c>
      <c r="BF187" s="298">
        <f t="shared" si="3"/>
        <v>1</v>
      </c>
      <c r="BG187" s="297" t="e">
        <f>VLOOKUP(B187,[1]Sheet2!$B:$X,23,0)</f>
        <v>#N/A</v>
      </c>
    </row>
    <row r="188" spans="1:59" ht="33" customHeight="1">
      <c r="A188" s="31" t="s">
        <v>477</v>
      </c>
      <c r="B188" s="32" t="s">
        <v>478</v>
      </c>
      <c r="C188" s="26" t="s">
        <v>1769</v>
      </c>
      <c r="D188" s="5" t="s">
        <v>479</v>
      </c>
      <c r="E188" s="31" t="s">
        <v>139</v>
      </c>
      <c r="F188" s="31" t="s">
        <v>315</v>
      </c>
      <c r="G188" s="31" t="s">
        <v>315</v>
      </c>
      <c r="H188" s="218" t="s">
        <v>1275</v>
      </c>
      <c r="I188" s="6" t="s">
        <v>150</v>
      </c>
      <c r="J188" s="6" t="s">
        <v>128</v>
      </c>
      <c r="K188" s="292">
        <v>43131</v>
      </c>
      <c r="L188" s="5"/>
      <c r="M188" s="25">
        <v>163033</v>
      </c>
      <c r="N188" s="238"/>
      <c r="O188" s="6"/>
      <c r="P188" s="6"/>
      <c r="Q188" s="6"/>
      <c r="R188" s="6"/>
      <c r="S188" s="6"/>
      <c r="T188" s="6"/>
      <c r="U188" s="6"/>
      <c r="V188" s="6"/>
      <c r="W188" s="5"/>
      <c r="X188" s="5"/>
      <c r="Y188" s="261"/>
      <c r="Z188" s="261"/>
      <c r="AA188" s="319"/>
      <c r="AB188" s="5"/>
      <c r="AC188" s="5"/>
      <c r="AD188" s="5"/>
      <c r="AE188" s="5"/>
      <c r="AF188" s="5"/>
      <c r="AG188" s="5"/>
      <c r="AH188" s="5"/>
      <c r="AI188" s="31"/>
      <c r="AJ188" s="31"/>
      <c r="AK188" s="5"/>
      <c r="AL188" s="5"/>
      <c r="AM188" s="5"/>
      <c r="AN188" s="238"/>
      <c r="AO188" s="43" t="s">
        <v>85</v>
      </c>
      <c r="AP188" s="37" t="s">
        <v>1442</v>
      </c>
      <c r="AQ188" s="68"/>
      <c r="AR188" s="26" t="s">
        <v>384</v>
      </c>
      <c r="AS188" s="26"/>
      <c r="AT188" s="72"/>
      <c r="AU188" s="68"/>
      <c r="AV188" s="43" t="s">
        <v>66</v>
      </c>
      <c r="AW188" s="68"/>
      <c r="AX188" s="289" t="s">
        <v>86</v>
      </c>
      <c r="AY188" s="320"/>
      <c r="AZ188" s="291">
        <v>43131</v>
      </c>
      <c r="BA188" s="321">
        <v>43131</v>
      </c>
      <c r="BB188" s="25" t="s">
        <v>78</v>
      </c>
      <c r="BC188" s="291">
        <v>43495</v>
      </c>
      <c r="BD188" s="43" t="s">
        <v>122</v>
      </c>
      <c r="BE188" s="297">
        <v>163033</v>
      </c>
      <c r="BF188" s="298">
        <f t="shared" si="3"/>
        <v>1</v>
      </c>
      <c r="BG188" s="297" t="e">
        <f>VLOOKUP(B188,[1]Sheet2!$B:$X,23,0)</f>
        <v>#N/A</v>
      </c>
    </row>
    <row r="189" spans="1:59" ht="33" customHeight="1">
      <c r="A189" s="31" t="s">
        <v>483</v>
      </c>
      <c r="B189" s="32" t="s">
        <v>484</v>
      </c>
      <c r="C189" s="26" t="s">
        <v>1770</v>
      </c>
      <c r="D189" s="5" t="s">
        <v>485</v>
      </c>
      <c r="E189" s="31" t="s">
        <v>139</v>
      </c>
      <c r="F189" s="31" t="s">
        <v>315</v>
      </c>
      <c r="G189" s="31" t="s">
        <v>315</v>
      </c>
      <c r="H189" s="218" t="s">
        <v>1275</v>
      </c>
      <c r="I189" s="6" t="s">
        <v>150</v>
      </c>
      <c r="J189" s="6" t="s">
        <v>128</v>
      </c>
      <c r="K189" s="292">
        <v>43131</v>
      </c>
      <c r="L189" s="5"/>
      <c r="M189" s="25">
        <v>112728</v>
      </c>
      <c r="N189" s="238"/>
      <c r="O189" s="6"/>
      <c r="P189" s="6"/>
      <c r="Q189" s="6"/>
      <c r="R189" s="6"/>
      <c r="S189" s="6"/>
      <c r="T189" s="6"/>
      <c r="U189" s="6"/>
      <c r="V189" s="6"/>
      <c r="W189" s="5"/>
      <c r="X189" s="5"/>
      <c r="Y189" s="261"/>
      <c r="Z189" s="261"/>
      <c r="AA189" s="319"/>
      <c r="AB189" s="5"/>
      <c r="AC189" s="5"/>
      <c r="AD189" s="5"/>
      <c r="AE189" s="5"/>
      <c r="AF189" s="5"/>
      <c r="AG189" s="5"/>
      <c r="AH189" s="5"/>
      <c r="AI189" s="31"/>
      <c r="AJ189" s="31"/>
      <c r="AK189" s="5"/>
      <c r="AL189" s="5"/>
      <c r="AM189" s="5"/>
      <c r="AN189" s="238"/>
      <c r="AO189" s="43" t="s">
        <v>85</v>
      </c>
      <c r="AP189" s="37" t="s">
        <v>1442</v>
      </c>
      <c r="AQ189" s="68"/>
      <c r="AR189" s="26" t="s">
        <v>384</v>
      </c>
      <c r="AS189" s="26"/>
      <c r="AT189" s="72"/>
      <c r="AU189" s="68"/>
      <c r="AV189" s="43" t="s">
        <v>66</v>
      </c>
      <c r="AW189" s="68"/>
      <c r="AX189" s="289" t="s">
        <v>86</v>
      </c>
      <c r="AY189" s="320"/>
      <c r="AZ189" s="291">
        <v>43131</v>
      </c>
      <c r="BA189" s="321">
        <v>43131</v>
      </c>
      <c r="BB189" s="25" t="s">
        <v>78</v>
      </c>
      <c r="BC189" s="291">
        <v>43495</v>
      </c>
      <c r="BD189" s="43" t="s">
        <v>122</v>
      </c>
      <c r="BE189" s="297">
        <v>112728</v>
      </c>
      <c r="BF189" s="298">
        <f t="shared" si="3"/>
        <v>1</v>
      </c>
      <c r="BG189" s="297" t="e">
        <f>VLOOKUP(B189,[1]Sheet2!$B:$X,23,0)</f>
        <v>#N/A</v>
      </c>
    </row>
    <row r="190" spans="1:59" ht="33" customHeight="1">
      <c r="A190" s="31" t="s">
        <v>480</v>
      </c>
      <c r="B190" s="32" t="s">
        <v>481</v>
      </c>
      <c r="C190" s="26" t="s">
        <v>1771</v>
      </c>
      <c r="D190" s="5" t="s">
        <v>482</v>
      </c>
      <c r="E190" s="31" t="s">
        <v>139</v>
      </c>
      <c r="F190" s="31" t="s">
        <v>315</v>
      </c>
      <c r="G190" s="31" t="s">
        <v>315</v>
      </c>
      <c r="H190" s="218" t="s">
        <v>1275</v>
      </c>
      <c r="I190" s="6" t="s">
        <v>150</v>
      </c>
      <c r="J190" s="6" t="s">
        <v>128</v>
      </c>
      <c r="K190" s="292">
        <v>43131</v>
      </c>
      <c r="L190" s="5"/>
      <c r="M190" s="25">
        <v>168151</v>
      </c>
      <c r="N190" s="238"/>
      <c r="O190" s="6"/>
      <c r="P190" s="6"/>
      <c r="Q190" s="6"/>
      <c r="R190" s="6"/>
      <c r="S190" s="6"/>
      <c r="T190" s="6"/>
      <c r="U190" s="6"/>
      <c r="V190" s="6"/>
      <c r="W190" s="5"/>
      <c r="X190" s="5"/>
      <c r="Y190" s="261"/>
      <c r="Z190" s="261"/>
      <c r="AA190" s="319"/>
      <c r="AB190" s="5"/>
      <c r="AC190" s="5"/>
      <c r="AD190" s="5"/>
      <c r="AE190" s="5"/>
      <c r="AF190" s="5"/>
      <c r="AG190" s="5"/>
      <c r="AH190" s="5"/>
      <c r="AI190" s="31"/>
      <c r="AJ190" s="31"/>
      <c r="AK190" s="5"/>
      <c r="AL190" s="5"/>
      <c r="AM190" s="5"/>
      <c r="AN190" s="238"/>
      <c r="AO190" s="43" t="s">
        <v>85</v>
      </c>
      <c r="AP190" s="37" t="s">
        <v>1442</v>
      </c>
      <c r="AQ190" s="68"/>
      <c r="AR190" s="26" t="s">
        <v>384</v>
      </c>
      <c r="AS190" s="26"/>
      <c r="AT190" s="72"/>
      <c r="AU190" s="68"/>
      <c r="AV190" s="43" t="s">
        <v>66</v>
      </c>
      <c r="AW190" s="68"/>
      <c r="AX190" s="289" t="s">
        <v>86</v>
      </c>
      <c r="AY190" s="320"/>
      <c r="AZ190" s="291">
        <v>43131</v>
      </c>
      <c r="BA190" s="321">
        <v>43131</v>
      </c>
      <c r="BB190" s="25" t="s">
        <v>78</v>
      </c>
      <c r="BC190" s="291">
        <v>43495</v>
      </c>
      <c r="BD190" s="43" t="s">
        <v>122</v>
      </c>
      <c r="BE190" s="297">
        <v>168151</v>
      </c>
      <c r="BF190" s="298">
        <f t="shared" si="3"/>
        <v>1</v>
      </c>
      <c r="BG190" s="297" t="e">
        <f>VLOOKUP(B190,[1]Sheet2!$B:$X,23,0)</f>
        <v>#N/A</v>
      </c>
    </row>
    <row r="191" spans="1:59" ht="33" customHeight="1">
      <c r="A191" s="31" t="s">
        <v>489</v>
      </c>
      <c r="B191" s="32" t="s">
        <v>490</v>
      </c>
      <c r="C191" s="26" t="s">
        <v>1772</v>
      </c>
      <c r="D191" s="5" t="s">
        <v>491</v>
      </c>
      <c r="E191" s="31" t="s">
        <v>139</v>
      </c>
      <c r="F191" s="31" t="s">
        <v>315</v>
      </c>
      <c r="G191" s="31" t="s">
        <v>315</v>
      </c>
      <c r="H191" s="218" t="s">
        <v>1275</v>
      </c>
      <c r="I191" s="6" t="s">
        <v>150</v>
      </c>
      <c r="J191" s="6" t="s">
        <v>128</v>
      </c>
      <c r="K191" s="292">
        <v>43131</v>
      </c>
      <c r="L191" s="5"/>
      <c r="M191" s="25">
        <v>187562</v>
      </c>
      <c r="N191" s="238"/>
      <c r="O191" s="6"/>
      <c r="P191" s="6"/>
      <c r="Q191" s="6"/>
      <c r="R191" s="6"/>
      <c r="S191" s="6"/>
      <c r="T191" s="6"/>
      <c r="U191" s="6"/>
      <c r="V191" s="6"/>
      <c r="W191" s="5"/>
      <c r="X191" s="5"/>
      <c r="Y191" s="261"/>
      <c r="Z191" s="261"/>
      <c r="AA191" s="319"/>
      <c r="AB191" s="5"/>
      <c r="AC191" s="5"/>
      <c r="AD191" s="5"/>
      <c r="AE191" s="5"/>
      <c r="AF191" s="5"/>
      <c r="AG191" s="5"/>
      <c r="AH191" s="5"/>
      <c r="AI191" s="31"/>
      <c r="AJ191" s="31"/>
      <c r="AK191" s="5"/>
      <c r="AL191" s="5"/>
      <c r="AM191" s="5"/>
      <c r="AN191" s="238"/>
      <c r="AO191" s="43" t="s">
        <v>85</v>
      </c>
      <c r="AP191" s="37" t="s">
        <v>1442</v>
      </c>
      <c r="AQ191" s="68"/>
      <c r="AR191" s="26" t="s">
        <v>384</v>
      </c>
      <c r="AS191" s="26"/>
      <c r="AT191" s="72"/>
      <c r="AU191" s="68"/>
      <c r="AV191" s="43" t="s">
        <v>66</v>
      </c>
      <c r="AW191" s="68"/>
      <c r="AX191" s="289" t="s">
        <v>86</v>
      </c>
      <c r="AY191" s="320"/>
      <c r="AZ191" s="291">
        <v>43131</v>
      </c>
      <c r="BA191" s="321">
        <v>43131</v>
      </c>
      <c r="BB191" s="25" t="s">
        <v>78</v>
      </c>
      <c r="BC191" s="291">
        <v>43495</v>
      </c>
      <c r="BD191" s="43" t="s">
        <v>122</v>
      </c>
      <c r="BE191" s="297">
        <v>187562</v>
      </c>
      <c r="BF191" s="298">
        <f t="shared" si="3"/>
        <v>1</v>
      </c>
      <c r="BG191" s="297" t="e">
        <f>VLOOKUP(B191,[1]Sheet2!$B:$X,23,0)</f>
        <v>#N/A</v>
      </c>
    </row>
    <row r="192" spans="1:59" ht="33" customHeight="1">
      <c r="A192" s="31" t="s">
        <v>549</v>
      </c>
      <c r="B192" s="32" t="s">
        <v>550</v>
      </c>
      <c r="C192" s="26" t="s">
        <v>1773</v>
      </c>
      <c r="D192" s="5" t="s">
        <v>551</v>
      </c>
      <c r="E192" s="31" t="s">
        <v>139</v>
      </c>
      <c r="F192" s="31" t="s">
        <v>315</v>
      </c>
      <c r="G192" s="31" t="s">
        <v>315</v>
      </c>
      <c r="H192" s="218" t="s">
        <v>1275</v>
      </c>
      <c r="I192" s="6" t="s">
        <v>150</v>
      </c>
      <c r="J192" s="6" t="s">
        <v>128</v>
      </c>
      <c r="K192" s="292">
        <v>43131</v>
      </c>
      <c r="L192" s="5"/>
      <c r="M192" s="25">
        <v>164004</v>
      </c>
      <c r="N192" s="238"/>
      <c r="O192" s="6"/>
      <c r="P192" s="6"/>
      <c r="Q192" s="6"/>
      <c r="R192" s="6"/>
      <c r="S192" s="6"/>
      <c r="T192" s="6"/>
      <c r="U192" s="6"/>
      <c r="V192" s="6"/>
      <c r="W192" s="5"/>
      <c r="X192" s="5"/>
      <c r="Y192" s="261"/>
      <c r="Z192" s="261"/>
      <c r="AA192" s="319"/>
      <c r="AB192" s="5"/>
      <c r="AC192" s="5"/>
      <c r="AD192" s="5"/>
      <c r="AE192" s="5"/>
      <c r="AF192" s="5"/>
      <c r="AG192" s="5"/>
      <c r="AH192" s="5"/>
      <c r="AI192" s="31"/>
      <c r="AJ192" s="31"/>
      <c r="AK192" s="5"/>
      <c r="AL192" s="5"/>
      <c r="AM192" s="5"/>
      <c r="AN192" s="238"/>
      <c r="AO192" s="43" t="s">
        <v>85</v>
      </c>
      <c r="AP192" s="37" t="s">
        <v>1442</v>
      </c>
      <c r="AQ192" s="68"/>
      <c r="AR192" s="26" t="s">
        <v>384</v>
      </c>
      <c r="AS192" s="26"/>
      <c r="AT192" s="72"/>
      <c r="AU192" s="68"/>
      <c r="AV192" s="43" t="s">
        <v>66</v>
      </c>
      <c r="AW192" s="68"/>
      <c r="AX192" s="289" t="s">
        <v>86</v>
      </c>
      <c r="AY192" s="320"/>
      <c r="AZ192" s="291">
        <v>43131</v>
      </c>
      <c r="BA192" s="321">
        <v>43131</v>
      </c>
      <c r="BB192" s="25" t="s">
        <v>78</v>
      </c>
      <c r="BC192" s="291">
        <v>43495</v>
      </c>
      <c r="BD192" s="43" t="s">
        <v>122</v>
      </c>
      <c r="BE192" s="297">
        <v>164004</v>
      </c>
      <c r="BF192" s="298">
        <f t="shared" si="3"/>
        <v>1</v>
      </c>
      <c r="BG192" s="297" t="e">
        <f>VLOOKUP(B192,[1]Sheet2!$B:$X,23,0)</f>
        <v>#N/A</v>
      </c>
    </row>
    <row r="193" spans="1:59" ht="33" customHeight="1">
      <c r="A193" s="31" t="s">
        <v>546</v>
      </c>
      <c r="B193" s="32" t="s">
        <v>547</v>
      </c>
      <c r="C193" s="26" t="s">
        <v>1774</v>
      </c>
      <c r="D193" s="5" t="s">
        <v>548</v>
      </c>
      <c r="E193" s="31" t="s">
        <v>139</v>
      </c>
      <c r="F193" s="31" t="s">
        <v>315</v>
      </c>
      <c r="G193" s="31" t="s">
        <v>315</v>
      </c>
      <c r="H193" s="218" t="s">
        <v>1275</v>
      </c>
      <c r="I193" s="6" t="s">
        <v>150</v>
      </c>
      <c r="J193" s="6" t="s">
        <v>128</v>
      </c>
      <c r="K193" s="292">
        <v>43131</v>
      </c>
      <c r="L193" s="5"/>
      <c r="M193" s="25">
        <v>151161</v>
      </c>
      <c r="N193" s="238"/>
      <c r="O193" s="6"/>
      <c r="P193" s="6"/>
      <c r="Q193" s="6"/>
      <c r="R193" s="6"/>
      <c r="S193" s="6"/>
      <c r="T193" s="6"/>
      <c r="U193" s="6"/>
      <c r="V193" s="6"/>
      <c r="W193" s="5"/>
      <c r="X193" s="5"/>
      <c r="Y193" s="261"/>
      <c r="Z193" s="261"/>
      <c r="AA193" s="319"/>
      <c r="AB193" s="5"/>
      <c r="AC193" s="5"/>
      <c r="AD193" s="5"/>
      <c r="AE193" s="5"/>
      <c r="AF193" s="5"/>
      <c r="AG193" s="5"/>
      <c r="AH193" s="5"/>
      <c r="AI193" s="31"/>
      <c r="AJ193" s="31"/>
      <c r="AK193" s="5"/>
      <c r="AL193" s="5"/>
      <c r="AM193" s="5"/>
      <c r="AN193" s="238"/>
      <c r="AO193" s="43" t="s">
        <v>85</v>
      </c>
      <c r="AP193" s="37" t="s">
        <v>1442</v>
      </c>
      <c r="AQ193" s="68"/>
      <c r="AR193" s="26" t="s">
        <v>384</v>
      </c>
      <c r="AS193" s="26"/>
      <c r="AT193" s="72"/>
      <c r="AU193" s="68"/>
      <c r="AV193" s="43" t="s">
        <v>66</v>
      </c>
      <c r="AW193" s="68"/>
      <c r="AX193" s="289" t="s">
        <v>86</v>
      </c>
      <c r="AY193" s="320"/>
      <c r="AZ193" s="291">
        <v>43131</v>
      </c>
      <c r="BA193" s="321">
        <v>43131</v>
      </c>
      <c r="BB193" s="25" t="s">
        <v>78</v>
      </c>
      <c r="BC193" s="291">
        <v>43495</v>
      </c>
      <c r="BD193" s="43" t="s">
        <v>122</v>
      </c>
      <c r="BE193" s="297">
        <v>151161</v>
      </c>
      <c r="BF193" s="298">
        <f t="shared" si="3"/>
        <v>1</v>
      </c>
      <c r="BG193" s="297" t="e">
        <f>VLOOKUP(B193,[1]Sheet2!$B:$X,23,0)</f>
        <v>#N/A</v>
      </c>
    </row>
    <row r="194" spans="1:59" ht="33" customHeight="1">
      <c r="A194" s="31" t="s">
        <v>543</v>
      </c>
      <c r="B194" s="32" t="s">
        <v>544</v>
      </c>
      <c r="C194" s="26" t="s">
        <v>1775</v>
      </c>
      <c r="D194" s="5" t="s">
        <v>545</v>
      </c>
      <c r="E194" s="31" t="s">
        <v>139</v>
      </c>
      <c r="F194" s="31" t="s">
        <v>315</v>
      </c>
      <c r="G194" s="31" t="s">
        <v>315</v>
      </c>
      <c r="H194" s="218" t="s">
        <v>1275</v>
      </c>
      <c r="I194" s="6" t="s">
        <v>150</v>
      </c>
      <c r="J194" s="6" t="s">
        <v>128</v>
      </c>
      <c r="K194" s="292">
        <v>43131</v>
      </c>
      <c r="L194" s="5"/>
      <c r="M194" s="25">
        <v>79919</v>
      </c>
      <c r="N194" s="238"/>
      <c r="O194" s="6"/>
      <c r="P194" s="6"/>
      <c r="Q194" s="6"/>
      <c r="R194" s="6"/>
      <c r="S194" s="6"/>
      <c r="T194" s="6"/>
      <c r="U194" s="6"/>
      <c r="V194" s="6"/>
      <c r="W194" s="5"/>
      <c r="X194" s="5"/>
      <c r="Y194" s="261"/>
      <c r="Z194" s="261"/>
      <c r="AA194" s="319"/>
      <c r="AB194" s="5"/>
      <c r="AC194" s="5"/>
      <c r="AD194" s="5"/>
      <c r="AE194" s="5"/>
      <c r="AF194" s="5"/>
      <c r="AG194" s="5"/>
      <c r="AH194" s="5"/>
      <c r="AI194" s="31"/>
      <c r="AJ194" s="31"/>
      <c r="AK194" s="5"/>
      <c r="AL194" s="5"/>
      <c r="AM194" s="5"/>
      <c r="AN194" s="238"/>
      <c r="AO194" s="43" t="s">
        <v>85</v>
      </c>
      <c r="AP194" s="37" t="s">
        <v>1442</v>
      </c>
      <c r="AQ194" s="68"/>
      <c r="AR194" s="26" t="s">
        <v>384</v>
      </c>
      <c r="AS194" s="26"/>
      <c r="AT194" s="72"/>
      <c r="AU194" s="68"/>
      <c r="AV194" s="43" t="s">
        <v>66</v>
      </c>
      <c r="AW194" s="68"/>
      <c r="AX194" s="289" t="s">
        <v>86</v>
      </c>
      <c r="AY194" s="320"/>
      <c r="AZ194" s="291">
        <v>43131</v>
      </c>
      <c r="BA194" s="321">
        <v>43131</v>
      </c>
      <c r="BB194" s="25" t="s">
        <v>78</v>
      </c>
      <c r="BC194" s="291">
        <v>43495</v>
      </c>
      <c r="BD194" s="43" t="s">
        <v>122</v>
      </c>
      <c r="BE194" s="297">
        <v>79919</v>
      </c>
      <c r="BF194" s="298">
        <f t="shared" si="3"/>
        <v>1</v>
      </c>
      <c r="BG194" s="297" t="e">
        <f>VLOOKUP(B194,[1]Sheet2!$B:$X,23,0)</f>
        <v>#N/A</v>
      </c>
    </row>
    <row r="195" spans="1:59" ht="33" customHeight="1">
      <c r="A195" s="31" t="s">
        <v>540</v>
      </c>
      <c r="B195" s="32" t="s">
        <v>541</v>
      </c>
      <c r="C195" s="26" t="s">
        <v>1776</v>
      </c>
      <c r="D195" s="5" t="s">
        <v>542</v>
      </c>
      <c r="E195" s="31" t="s">
        <v>139</v>
      </c>
      <c r="F195" s="31" t="s">
        <v>315</v>
      </c>
      <c r="G195" s="31" t="s">
        <v>315</v>
      </c>
      <c r="H195" s="218" t="s">
        <v>1275</v>
      </c>
      <c r="I195" s="6" t="s">
        <v>150</v>
      </c>
      <c r="J195" s="6" t="s">
        <v>128</v>
      </c>
      <c r="K195" s="292">
        <v>43131</v>
      </c>
      <c r="L195" s="5"/>
      <c r="M195" s="25">
        <v>129745</v>
      </c>
      <c r="N195" s="238"/>
      <c r="O195" s="6"/>
      <c r="P195" s="6"/>
      <c r="Q195" s="6"/>
      <c r="R195" s="6"/>
      <c r="S195" s="6"/>
      <c r="T195" s="6"/>
      <c r="U195" s="6"/>
      <c r="V195" s="6"/>
      <c r="W195" s="5"/>
      <c r="X195" s="5"/>
      <c r="Y195" s="261"/>
      <c r="Z195" s="261"/>
      <c r="AA195" s="319"/>
      <c r="AB195" s="5"/>
      <c r="AC195" s="5"/>
      <c r="AD195" s="5"/>
      <c r="AE195" s="5"/>
      <c r="AF195" s="5"/>
      <c r="AG195" s="5"/>
      <c r="AH195" s="5"/>
      <c r="AI195" s="31"/>
      <c r="AJ195" s="31"/>
      <c r="AK195" s="5"/>
      <c r="AL195" s="5"/>
      <c r="AM195" s="5"/>
      <c r="AN195" s="238"/>
      <c r="AO195" s="43" t="s">
        <v>85</v>
      </c>
      <c r="AP195" s="37" t="s">
        <v>1442</v>
      </c>
      <c r="AQ195" s="68"/>
      <c r="AR195" s="26" t="s">
        <v>384</v>
      </c>
      <c r="AS195" s="26"/>
      <c r="AT195" s="72"/>
      <c r="AU195" s="68"/>
      <c r="AV195" s="43" t="s">
        <v>66</v>
      </c>
      <c r="AW195" s="68"/>
      <c r="AX195" s="289" t="s">
        <v>86</v>
      </c>
      <c r="AY195" s="320"/>
      <c r="AZ195" s="291">
        <v>43131</v>
      </c>
      <c r="BA195" s="291">
        <v>43131</v>
      </c>
      <c r="BB195" s="25" t="s">
        <v>78</v>
      </c>
      <c r="BC195" s="291">
        <v>43495</v>
      </c>
      <c r="BD195" s="43" t="s">
        <v>122</v>
      </c>
      <c r="BE195" s="297">
        <v>129745</v>
      </c>
      <c r="BF195" s="298">
        <f t="shared" ref="BF195:BF258" si="6">BE195/M195</f>
        <v>1</v>
      </c>
      <c r="BG195" s="297" t="e">
        <f>VLOOKUP(B195,[1]Sheet2!$B:$X,23,0)</f>
        <v>#N/A</v>
      </c>
    </row>
    <row r="196" spans="1:59" ht="33" customHeight="1">
      <c r="A196" s="31" t="s">
        <v>537</v>
      </c>
      <c r="B196" s="32" t="s">
        <v>538</v>
      </c>
      <c r="C196" s="26" t="s">
        <v>1777</v>
      </c>
      <c r="D196" s="5" t="s">
        <v>539</v>
      </c>
      <c r="E196" s="31" t="s">
        <v>139</v>
      </c>
      <c r="F196" s="31" t="s">
        <v>315</v>
      </c>
      <c r="G196" s="31" t="s">
        <v>315</v>
      </c>
      <c r="H196" s="218" t="s">
        <v>1275</v>
      </c>
      <c r="I196" s="6" t="s">
        <v>150</v>
      </c>
      <c r="J196" s="6" t="s">
        <v>128</v>
      </c>
      <c r="K196" s="292">
        <v>43131</v>
      </c>
      <c r="L196" s="5"/>
      <c r="M196" s="25">
        <v>147127</v>
      </c>
      <c r="N196" s="238"/>
      <c r="O196" s="6"/>
      <c r="P196" s="6"/>
      <c r="Q196" s="6"/>
      <c r="R196" s="6"/>
      <c r="S196" s="6"/>
      <c r="T196" s="6"/>
      <c r="U196" s="6"/>
      <c r="V196" s="6"/>
      <c r="W196" s="5"/>
      <c r="X196" s="5"/>
      <c r="Y196" s="261"/>
      <c r="Z196" s="261"/>
      <c r="AA196" s="319"/>
      <c r="AB196" s="5"/>
      <c r="AC196" s="5"/>
      <c r="AD196" s="5"/>
      <c r="AE196" s="5"/>
      <c r="AF196" s="5"/>
      <c r="AG196" s="5"/>
      <c r="AH196" s="5"/>
      <c r="AI196" s="31"/>
      <c r="AJ196" s="31"/>
      <c r="AK196" s="5"/>
      <c r="AL196" s="5"/>
      <c r="AM196" s="5"/>
      <c r="AN196" s="238"/>
      <c r="AO196" s="43" t="s">
        <v>85</v>
      </c>
      <c r="AP196" s="37" t="s">
        <v>1442</v>
      </c>
      <c r="AQ196" s="68"/>
      <c r="AR196" s="26" t="s">
        <v>384</v>
      </c>
      <c r="AS196" s="26"/>
      <c r="AT196" s="72"/>
      <c r="AU196" s="68"/>
      <c r="AV196" s="43" t="s">
        <v>66</v>
      </c>
      <c r="AW196" s="68"/>
      <c r="AX196" s="289" t="s">
        <v>86</v>
      </c>
      <c r="AY196" s="320"/>
      <c r="AZ196" s="291">
        <v>43131</v>
      </c>
      <c r="BA196" s="321">
        <v>43131</v>
      </c>
      <c r="BB196" s="25" t="s">
        <v>78</v>
      </c>
      <c r="BC196" s="291">
        <v>43495</v>
      </c>
      <c r="BD196" s="43" t="s">
        <v>122</v>
      </c>
      <c r="BE196" s="297">
        <v>147127</v>
      </c>
      <c r="BF196" s="298">
        <f t="shared" si="6"/>
        <v>1</v>
      </c>
      <c r="BG196" s="297" t="e">
        <f>VLOOKUP(B196,[1]Sheet2!$B:$X,23,0)</f>
        <v>#N/A</v>
      </c>
    </row>
    <row r="197" spans="1:59" ht="33" customHeight="1">
      <c r="A197" s="31" t="s">
        <v>534</v>
      </c>
      <c r="B197" s="32" t="s">
        <v>535</v>
      </c>
      <c r="C197" s="26" t="s">
        <v>1778</v>
      </c>
      <c r="D197" s="5" t="s">
        <v>536</v>
      </c>
      <c r="E197" s="31" t="s">
        <v>139</v>
      </c>
      <c r="F197" s="31" t="s">
        <v>315</v>
      </c>
      <c r="G197" s="31" t="s">
        <v>315</v>
      </c>
      <c r="H197" s="218" t="s">
        <v>1275</v>
      </c>
      <c r="I197" s="6" t="s">
        <v>150</v>
      </c>
      <c r="J197" s="6" t="s">
        <v>128</v>
      </c>
      <c r="K197" s="292">
        <v>43131</v>
      </c>
      <c r="L197" s="5"/>
      <c r="M197" s="25">
        <v>189311</v>
      </c>
      <c r="N197" s="238"/>
      <c r="O197" s="6"/>
      <c r="P197" s="6"/>
      <c r="Q197" s="6"/>
      <c r="R197" s="6"/>
      <c r="S197" s="6"/>
      <c r="T197" s="6"/>
      <c r="U197" s="6"/>
      <c r="V197" s="6"/>
      <c r="W197" s="5"/>
      <c r="X197" s="5"/>
      <c r="Y197" s="261"/>
      <c r="Z197" s="261"/>
      <c r="AA197" s="319"/>
      <c r="AB197" s="5"/>
      <c r="AC197" s="5"/>
      <c r="AD197" s="5"/>
      <c r="AE197" s="5"/>
      <c r="AF197" s="5"/>
      <c r="AG197" s="5"/>
      <c r="AH197" s="5"/>
      <c r="AI197" s="31"/>
      <c r="AJ197" s="31"/>
      <c r="AK197" s="5"/>
      <c r="AL197" s="5"/>
      <c r="AM197" s="5"/>
      <c r="AN197" s="238"/>
      <c r="AO197" s="43" t="s">
        <v>85</v>
      </c>
      <c r="AP197" s="37" t="s">
        <v>1442</v>
      </c>
      <c r="AQ197" s="68"/>
      <c r="AR197" s="26" t="s">
        <v>384</v>
      </c>
      <c r="AS197" s="26"/>
      <c r="AT197" s="72"/>
      <c r="AU197" s="68"/>
      <c r="AV197" s="43" t="s">
        <v>66</v>
      </c>
      <c r="AW197" s="68"/>
      <c r="AX197" s="289" t="s">
        <v>86</v>
      </c>
      <c r="AY197" s="320"/>
      <c r="AZ197" s="291">
        <v>43131</v>
      </c>
      <c r="BA197" s="321">
        <v>43131</v>
      </c>
      <c r="BB197" s="25" t="s">
        <v>78</v>
      </c>
      <c r="BC197" s="291">
        <v>43495</v>
      </c>
      <c r="BD197" s="43" t="s">
        <v>122</v>
      </c>
      <c r="BE197" s="297">
        <v>189311</v>
      </c>
      <c r="BF197" s="298">
        <f t="shared" si="6"/>
        <v>1</v>
      </c>
      <c r="BG197" s="297" t="e">
        <f>VLOOKUP(B197,[1]Sheet2!$B:$X,23,0)</f>
        <v>#N/A</v>
      </c>
    </row>
    <row r="198" spans="1:59" ht="33" customHeight="1">
      <c r="A198" s="31" t="s">
        <v>531</v>
      </c>
      <c r="B198" s="32" t="s">
        <v>532</v>
      </c>
      <c r="C198" s="26" t="s">
        <v>1779</v>
      </c>
      <c r="D198" s="5" t="s">
        <v>533</v>
      </c>
      <c r="E198" s="31" t="s">
        <v>139</v>
      </c>
      <c r="F198" s="31" t="s">
        <v>315</v>
      </c>
      <c r="G198" s="31" t="s">
        <v>315</v>
      </c>
      <c r="H198" s="218" t="s">
        <v>1275</v>
      </c>
      <c r="I198" s="6" t="s">
        <v>150</v>
      </c>
      <c r="J198" s="6" t="s">
        <v>128</v>
      </c>
      <c r="K198" s="292">
        <v>43131</v>
      </c>
      <c r="L198" s="5"/>
      <c r="M198" s="25">
        <v>197946</v>
      </c>
      <c r="N198" s="238"/>
      <c r="O198" s="6"/>
      <c r="P198" s="6"/>
      <c r="Q198" s="6"/>
      <c r="R198" s="6"/>
      <c r="S198" s="6"/>
      <c r="T198" s="6"/>
      <c r="U198" s="6"/>
      <c r="V198" s="6"/>
      <c r="W198" s="5"/>
      <c r="X198" s="5"/>
      <c r="Y198" s="261"/>
      <c r="Z198" s="261"/>
      <c r="AA198" s="319"/>
      <c r="AB198" s="5"/>
      <c r="AC198" s="5"/>
      <c r="AD198" s="5"/>
      <c r="AE198" s="5"/>
      <c r="AF198" s="5"/>
      <c r="AG198" s="5"/>
      <c r="AH198" s="5"/>
      <c r="AI198" s="31"/>
      <c r="AJ198" s="31"/>
      <c r="AK198" s="5"/>
      <c r="AL198" s="5"/>
      <c r="AM198" s="5"/>
      <c r="AN198" s="238"/>
      <c r="AO198" s="43" t="s">
        <v>85</v>
      </c>
      <c r="AP198" s="37" t="s">
        <v>1442</v>
      </c>
      <c r="AQ198" s="68"/>
      <c r="AR198" s="26" t="s">
        <v>384</v>
      </c>
      <c r="AS198" s="26"/>
      <c r="AT198" s="72"/>
      <c r="AU198" s="68"/>
      <c r="AV198" s="43" t="s">
        <v>66</v>
      </c>
      <c r="AW198" s="68"/>
      <c r="AX198" s="289" t="s">
        <v>86</v>
      </c>
      <c r="AY198" s="320"/>
      <c r="AZ198" s="291">
        <v>43131</v>
      </c>
      <c r="BA198" s="321">
        <v>43131</v>
      </c>
      <c r="BB198" s="25" t="s">
        <v>78</v>
      </c>
      <c r="BC198" s="291">
        <v>43495</v>
      </c>
      <c r="BD198" s="43" t="s">
        <v>122</v>
      </c>
      <c r="BE198" s="297">
        <v>197946</v>
      </c>
      <c r="BF198" s="298">
        <f t="shared" si="6"/>
        <v>1</v>
      </c>
      <c r="BG198" s="297" t="e">
        <f>VLOOKUP(B198,[1]Sheet2!$B:$X,23,0)</f>
        <v>#N/A</v>
      </c>
    </row>
    <row r="199" spans="1:59" ht="33" customHeight="1">
      <c r="A199" s="31" t="s">
        <v>528</v>
      </c>
      <c r="B199" s="32" t="s">
        <v>529</v>
      </c>
      <c r="C199" s="26" t="s">
        <v>1780</v>
      </c>
      <c r="D199" s="5" t="s">
        <v>530</v>
      </c>
      <c r="E199" s="31" t="s">
        <v>139</v>
      </c>
      <c r="F199" s="31" t="s">
        <v>315</v>
      </c>
      <c r="G199" s="31" t="s">
        <v>315</v>
      </c>
      <c r="H199" s="218" t="s">
        <v>1275</v>
      </c>
      <c r="I199" s="6" t="s">
        <v>150</v>
      </c>
      <c r="J199" s="6" t="s">
        <v>128</v>
      </c>
      <c r="K199" s="292">
        <v>43131</v>
      </c>
      <c r="L199" s="5"/>
      <c r="M199" s="25">
        <v>630000</v>
      </c>
      <c r="N199" s="238"/>
      <c r="O199" s="6"/>
      <c r="P199" s="6"/>
      <c r="Q199" s="6"/>
      <c r="R199" s="6"/>
      <c r="S199" s="6"/>
      <c r="T199" s="6"/>
      <c r="U199" s="6"/>
      <c r="V199" s="6"/>
      <c r="W199" s="5"/>
      <c r="X199" s="5"/>
      <c r="Y199" s="261"/>
      <c r="Z199" s="261"/>
      <c r="AA199" s="319"/>
      <c r="AB199" s="5"/>
      <c r="AC199" s="5"/>
      <c r="AD199" s="5"/>
      <c r="AE199" s="5"/>
      <c r="AF199" s="5"/>
      <c r="AG199" s="5"/>
      <c r="AH199" s="5"/>
      <c r="AI199" s="31"/>
      <c r="AJ199" s="31"/>
      <c r="AK199" s="5"/>
      <c r="AL199" s="5"/>
      <c r="AM199" s="5"/>
      <c r="AN199" s="238"/>
      <c r="AO199" s="43" t="s">
        <v>85</v>
      </c>
      <c r="AP199" s="37" t="s">
        <v>1442</v>
      </c>
      <c r="AQ199" s="68"/>
      <c r="AR199" s="26" t="s">
        <v>384</v>
      </c>
      <c r="AS199" s="26"/>
      <c r="AT199" s="72"/>
      <c r="AU199" s="68"/>
      <c r="AV199" s="43" t="s">
        <v>66</v>
      </c>
      <c r="AW199" s="68"/>
      <c r="AX199" s="289" t="s">
        <v>86</v>
      </c>
      <c r="AY199" s="320"/>
      <c r="AZ199" s="291">
        <v>43131</v>
      </c>
      <c r="BA199" s="321">
        <v>43131</v>
      </c>
      <c r="BB199" s="25" t="s">
        <v>78</v>
      </c>
      <c r="BC199" s="291">
        <v>43495</v>
      </c>
      <c r="BD199" s="43" t="s">
        <v>122</v>
      </c>
      <c r="BE199" s="297">
        <v>174755</v>
      </c>
      <c r="BF199" s="298">
        <f t="shared" si="6"/>
        <v>0.27738888888888891</v>
      </c>
      <c r="BG199" s="297" t="e">
        <f>VLOOKUP(B199,[1]Sheet2!$B:$X,23,0)</f>
        <v>#N/A</v>
      </c>
    </row>
    <row r="200" spans="1:59" ht="33" customHeight="1">
      <c r="A200" s="31" t="s">
        <v>525</v>
      </c>
      <c r="B200" s="32" t="s">
        <v>526</v>
      </c>
      <c r="C200" s="26" t="s">
        <v>1781</v>
      </c>
      <c r="D200" s="5" t="s">
        <v>527</v>
      </c>
      <c r="E200" s="31" t="s">
        <v>139</v>
      </c>
      <c r="F200" s="31" t="s">
        <v>315</v>
      </c>
      <c r="G200" s="31" t="s">
        <v>315</v>
      </c>
      <c r="H200" s="218" t="s">
        <v>1275</v>
      </c>
      <c r="I200" s="6" t="s">
        <v>150</v>
      </c>
      <c r="J200" s="6" t="s">
        <v>128</v>
      </c>
      <c r="K200" s="292">
        <v>43131</v>
      </c>
      <c r="L200" s="5"/>
      <c r="M200" s="25">
        <v>98224</v>
      </c>
      <c r="N200" s="238"/>
      <c r="O200" s="6"/>
      <c r="P200" s="6"/>
      <c r="Q200" s="6"/>
      <c r="R200" s="6"/>
      <c r="S200" s="6"/>
      <c r="T200" s="6"/>
      <c r="U200" s="6"/>
      <c r="V200" s="6"/>
      <c r="W200" s="5"/>
      <c r="X200" s="5"/>
      <c r="Y200" s="261"/>
      <c r="Z200" s="261"/>
      <c r="AA200" s="319"/>
      <c r="AB200" s="5"/>
      <c r="AC200" s="5"/>
      <c r="AD200" s="5"/>
      <c r="AE200" s="5"/>
      <c r="AF200" s="5"/>
      <c r="AG200" s="5"/>
      <c r="AH200" s="5"/>
      <c r="AI200" s="31"/>
      <c r="AJ200" s="31"/>
      <c r="AK200" s="5"/>
      <c r="AL200" s="5"/>
      <c r="AM200" s="5"/>
      <c r="AN200" s="238"/>
      <c r="AO200" s="43" t="s">
        <v>85</v>
      </c>
      <c r="AP200" s="37" t="s">
        <v>1442</v>
      </c>
      <c r="AQ200" s="68"/>
      <c r="AR200" s="26" t="s">
        <v>384</v>
      </c>
      <c r="AS200" s="26"/>
      <c r="AT200" s="72"/>
      <c r="AU200" s="68"/>
      <c r="AV200" s="43" t="s">
        <v>66</v>
      </c>
      <c r="AW200" s="68"/>
      <c r="AX200" s="289" t="s">
        <v>86</v>
      </c>
      <c r="AY200" s="320"/>
      <c r="AZ200" s="291">
        <v>43131</v>
      </c>
      <c r="BA200" s="321">
        <v>43131</v>
      </c>
      <c r="BB200" s="25" t="s">
        <v>78</v>
      </c>
      <c r="BC200" s="291">
        <v>43495</v>
      </c>
      <c r="BD200" s="43" t="s">
        <v>122</v>
      </c>
      <c r="BE200" s="297">
        <v>98224</v>
      </c>
      <c r="BF200" s="298">
        <f t="shared" si="6"/>
        <v>1</v>
      </c>
      <c r="BG200" s="297" t="e">
        <f>VLOOKUP(B200,[1]Sheet2!$B:$X,23,0)</f>
        <v>#N/A</v>
      </c>
    </row>
    <row r="201" spans="1:59" s="201" customFormat="1" ht="33" customHeight="1">
      <c r="A201" s="31" t="s">
        <v>522</v>
      </c>
      <c r="B201" s="32" t="s">
        <v>523</v>
      </c>
      <c r="C201" s="26" t="s">
        <v>1782</v>
      </c>
      <c r="D201" s="5" t="s">
        <v>524</v>
      </c>
      <c r="E201" s="31" t="s">
        <v>139</v>
      </c>
      <c r="F201" s="31" t="s">
        <v>315</v>
      </c>
      <c r="G201" s="31" t="s">
        <v>315</v>
      </c>
      <c r="H201" s="218" t="s">
        <v>1275</v>
      </c>
      <c r="I201" s="6" t="s">
        <v>150</v>
      </c>
      <c r="J201" s="6" t="s">
        <v>128</v>
      </c>
      <c r="K201" s="292">
        <v>43131</v>
      </c>
      <c r="L201" s="5"/>
      <c r="M201" s="25">
        <v>106782</v>
      </c>
      <c r="N201" s="238"/>
      <c r="O201" s="6"/>
      <c r="P201" s="6"/>
      <c r="Q201" s="6"/>
      <c r="R201" s="6"/>
      <c r="S201" s="6"/>
      <c r="T201" s="6"/>
      <c r="U201" s="6"/>
      <c r="V201" s="6"/>
      <c r="W201" s="5"/>
      <c r="X201" s="5"/>
      <c r="Y201" s="261"/>
      <c r="Z201" s="261"/>
      <c r="AA201" s="319"/>
      <c r="AB201" s="5"/>
      <c r="AC201" s="5"/>
      <c r="AD201" s="5"/>
      <c r="AE201" s="5"/>
      <c r="AF201" s="5"/>
      <c r="AG201" s="5"/>
      <c r="AH201" s="5"/>
      <c r="AI201" s="31"/>
      <c r="AJ201" s="31"/>
      <c r="AK201" s="5"/>
      <c r="AL201" s="5"/>
      <c r="AM201" s="5"/>
      <c r="AN201" s="238"/>
      <c r="AO201" s="43" t="s">
        <v>85</v>
      </c>
      <c r="AP201" s="37" t="s">
        <v>1442</v>
      </c>
      <c r="AQ201" s="68"/>
      <c r="AR201" s="26" t="s">
        <v>384</v>
      </c>
      <c r="AS201" s="26"/>
      <c r="AT201" s="72"/>
      <c r="AU201" s="68"/>
      <c r="AV201" s="43" t="s">
        <v>66</v>
      </c>
      <c r="AW201" s="68"/>
      <c r="AX201" s="289" t="s">
        <v>86</v>
      </c>
      <c r="AY201" s="320"/>
      <c r="AZ201" s="291">
        <v>43131</v>
      </c>
      <c r="BA201" s="321">
        <v>43131</v>
      </c>
      <c r="BB201" s="25" t="s">
        <v>78</v>
      </c>
      <c r="BC201" s="291">
        <v>43495</v>
      </c>
      <c r="BD201" s="43" t="s">
        <v>122</v>
      </c>
      <c r="BE201" s="297">
        <v>106782</v>
      </c>
      <c r="BF201" s="298">
        <f t="shared" si="6"/>
        <v>1</v>
      </c>
      <c r="BG201" s="297" t="e">
        <f>VLOOKUP(B201,[1]Sheet2!$B:$X,23,0)</f>
        <v>#N/A</v>
      </c>
    </row>
    <row r="202" spans="1:59" ht="33" customHeight="1">
      <c r="A202" s="31" t="s">
        <v>519</v>
      </c>
      <c r="B202" s="32" t="s">
        <v>520</v>
      </c>
      <c r="C202" s="26" t="s">
        <v>1783</v>
      </c>
      <c r="D202" s="5" t="s">
        <v>521</v>
      </c>
      <c r="E202" s="31" t="s">
        <v>139</v>
      </c>
      <c r="F202" s="31" t="s">
        <v>315</v>
      </c>
      <c r="G202" s="31" t="s">
        <v>315</v>
      </c>
      <c r="H202" s="218" t="s">
        <v>1275</v>
      </c>
      <c r="I202" s="6" t="s">
        <v>150</v>
      </c>
      <c r="J202" s="6" t="s">
        <v>128</v>
      </c>
      <c r="K202" s="292">
        <v>43131</v>
      </c>
      <c r="L202" s="5"/>
      <c r="M202" s="25">
        <v>132953</v>
      </c>
      <c r="N202" s="238"/>
      <c r="O202" s="6"/>
      <c r="P202" s="6"/>
      <c r="Q202" s="6"/>
      <c r="R202" s="6"/>
      <c r="S202" s="6"/>
      <c r="T202" s="6"/>
      <c r="U202" s="6"/>
      <c r="V202" s="6"/>
      <c r="W202" s="5"/>
      <c r="X202" s="5"/>
      <c r="Y202" s="261"/>
      <c r="Z202" s="261"/>
      <c r="AA202" s="319"/>
      <c r="AB202" s="5"/>
      <c r="AC202" s="5"/>
      <c r="AD202" s="5"/>
      <c r="AE202" s="5"/>
      <c r="AF202" s="5"/>
      <c r="AG202" s="5"/>
      <c r="AH202" s="5"/>
      <c r="AI202" s="31"/>
      <c r="AJ202" s="31"/>
      <c r="AK202" s="5"/>
      <c r="AL202" s="5"/>
      <c r="AM202" s="5"/>
      <c r="AN202" s="238"/>
      <c r="AO202" s="43" t="s">
        <v>85</v>
      </c>
      <c r="AP202" s="37" t="s">
        <v>1442</v>
      </c>
      <c r="AQ202" s="68"/>
      <c r="AR202" s="26" t="s">
        <v>384</v>
      </c>
      <c r="AS202" s="26"/>
      <c r="AT202" s="72"/>
      <c r="AU202" s="68"/>
      <c r="AV202" s="43" t="s">
        <v>66</v>
      </c>
      <c r="AW202" s="68"/>
      <c r="AX202" s="289" t="s">
        <v>86</v>
      </c>
      <c r="AY202" s="320"/>
      <c r="AZ202" s="291">
        <v>43131</v>
      </c>
      <c r="BA202" s="321">
        <v>43131</v>
      </c>
      <c r="BB202" s="25" t="s">
        <v>78</v>
      </c>
      <c r="BC202" s="291">
        <v>43495</v>
      </c>
      <c r="BD202" s="43" t="s">
        <v>122</v>
      </c>
      <c r="BE202" s="297">
        <v>132953</v>
      </c>
      <c r="BF202" s="298">
        <f t="shared" si="6"/>
        <v>1</v>
      </c>
      <c r="BG202" s="297" t="e">
        <f>VLOOKUP(B202,[1]Sheet2!$B:$X,23,0)</f>
        <v>#N/A</v>
      </c>
    </row>
    <row r="203" spans="1:59" ht="33" customHeight="1">
      <c r="A203" s="31" t="s">
        <v>516</v>
      </c>
      <c r="B203" s="32" t="s">
        <v>517</v>
      </c>
      <c r="C203" s="26" t="s">
        <v>1784</v>
      </c>
      <c r="D203" s="5" t="s">
        <v>518</v>
      </c>
      <c r="E203" s="31" t="s">
        <v>139</v>
      </c>
      <c r="F203" s="31" t="s">
        <v>315</v>
      </c>
      <c r="G203" s="31" t="s">
        <v>315</v>
      </c>
      <c r="H203" s="218" t="s">
        <v>1275</v>
      </c>
      <c r="I203" s="6" t="s">
        <v>150</v>
      </c>
      <c r="J203" s="6" t="s">
        <v>128</v>
      </c>
      <c r="K203" s="292">
        <v>43131</v>
      </c>
      <c r="L203" s="5"/>
      <c r="M203" s="25">
        <v>163569</v>
      </c>
      <c r="N203" s="238"/>
      <c r="O203" s="6"/>
      <c r="P203" s="6"/>
      <c r="Q203" s="6"/>
      <c r="R203" s="6"/>
      <c r="S203" s="6"/>
      <c r="T203" s="6"/>
      <c r="U203" s="6"/>
      <c r="V203" s="6"/>
      <c r="W203" s="5"/>
      <c r="X203" s="5"/>
      <c r="Y203" s="261"/>
      <c r="Z203" s="261"/>
      <c r="AA203" s="319"/>
      <c r="AB203" s="5"/>
      <c r="AC203" s="5"/>
      <c r="AD203" s="5"/>
      <c r="AE203" s="5"/>
      <c r="AF203" s="5"/>
      <c r="AG203" s="5"/>
      <c r="AH203" s="5"/>
      <c r="AI203" s="31"/>
      <c r="AJ203" s="31"/>
      <c r="AK203" s="5"/>
      <c r="AL203" s="5"/>
      <c r="AM203" s="5"/>
      <c r="AN203" s="238"/>
      <c r="AO203" s="43" t="s">
        <v>85</v>
      </c>
      <c r="AP203" s="37" t="s">
        <v>1442</v>
      </c>
      <c r="AQ203" s="68"/>
      <c r="AR203" s="26" t="s">
        <v>384</v>
      </c>
      <c r="AS203" s="26"/>
      <c r="AT203" s="72"/>
      <c r="AU203" s="68"/>
      <c r="AV203" s="43" t="s">
        <v>66</v>
      </c>
      <c r="AW203" s="68"/>
      <c r="AX203" s="289" t="s">
        <v>86</v>
      </c>
      <c r="AY203" s="320"/>
      <c r="AZ203" s="291">
        <v>43131</v>
      </c>
      <c r="BA203" s="321">
        <v>43131</v>
      </c>
      <c r="BB203" s="25" t="s">
        <v>78</v>
      </c>
      <c r="BC203" s="291">
        <v>43495</v>
      </c>
      <c r="BD203" s="43" t="s">
        <v>122</v>
      </c>
      <c r="BE203" s="297">
        <v>163569</v>
      </c>
      <c r="BF203" s="298">
        <f t="shared" si="6"/>
        <v>1</v>
      </c>
      <c r="BG203" s="297" t="e">
        <f>VLOOKUP(B203,[1]Sheet2!$B:$X,23,0)</f>
        <v>#N/A</v>
      </c>
    </row>
    <row r="204" spans="1:59" ht="33" customHeight="1">
      <c r="A204" s="31" t="s">
        <v>552</v>
      </c>
      <c r="B204" s="32" t="s">
        <v>553</v>
      </c>
      <c r="C204" s="26" t="s">
        <v>1785</v>
      </c>
      <c r="D204" s="5" t="s">
        <v>554</v>
      </c>
      <c r="E204" s="31" t="s">
        <v>139</v>
      </c>
      <c r="F204" s="31" t="s">
        <v>315</v>
      </c>
      <c r="G204" s="31" t="s">
        <v>315</v>
      </c>
      <c r="H204" s="218" t="s">
        <v>1275</v>
      </c>
      <c r="I204" s="6" t="s">
        <v>150</v>
      </c>
      <c r="J204" s="6" t="s">
        <v>128</v>
      </c>
      <c r="K204" s="292">
        <v>43131</v>
      </c>
      <c r="L204" s="5"/>
      <c r="M204" s="25">
        <v>126609</v>
      </c>
      <c r="N204" s="238"/>
      <c r="O204" s="6"/>
      <c r="P204" s="6"/>
      <c r="Q204" s="6"/>
      <c r="R204" s="6"/>
      <c r="S204" s="6"/>
      <c r="T204" s="6"/>
      <c r="U204" s="6"/>
      <c r="V204" s="6"/>
      <c r="W204" s="5"/>
      <c r="X204" s="5"/>
      <c r="Y204" s="261"/>
      <c r="Z204" s="261"/>
      <c r="AA204" s="319"/>
      <c r="AB204" s="5"/>
      <c r="AC204" s="5"/>
      <c r="AD204" s="5"/>
      <c r="AE204" s="5"/>
      <c r="AF204" s="5"/>
      <c r="AG204" s="5"/>
      <c r="AH204" s="5"/>
      <c r="AI204" s="31"/>
      <c r="AJ204" s="31"/>
      <c r="AK204" s="5"/>
      <c r="AL204" s="5"/>
      <c r="AM204" s="5"/>
      <c r="AN204" s="238"/>
      <c r="AO204" s="43" t="s">
        <v>85</v>
      </c>
      <c r="AP204" s="37" t="s">
        <v>1442</v>
      </c>
      <c r="AQ204" s="68"/>
      <c r="AR204" s="26" t="s">
        <v>384</v>
      </c>
      <c r="AS204" s="26"/>
      <c r="AT204" s="72"/>
      <c r="AU204" s="68"/>
      <c r="AV204" s="43" t="s">
        <v>66</v>
      </c>
      <c r="AW204" s="68"/>
      <c r="AX204" s="289" t="s">
        <v>86</v>
      </c>
      <c r="AY204" s="320"/>
      <c r="AZ204" s="291">
        <v>43131</v>
      </c>
      <c r="BA204" s="321">
        <v>43131</v>
      </c>
      <c r="BB204" s="25" t="s">
        <v>78</v>
      </c>
      <c r="BC204" s="291">
        <v>43495</v>
      </c>
      <c r="BD204" s="43" t="s">
        <v>122</v>
      </c>
      <c r="BE204" s="297">
        <v>126609</v>
      </c>
      <c r="BF204" s="298">
        <f t="shared" si="6"/>
        <v>1</v>
      </c>
      <c r="BG204" s="297" t="e">
        <f>VLOOKUP(B204,[1]Sheet2!$B:$X,23,0)</f>
        <v>#N/A</v>
      </c>
    </row>
    <row r="205" spans="1:59" ht="33" customHeight="1">
      <c r="A205" s="31" t="s">
        <v>513</v>
      </c>
      <c r="B205" s="32" t="s">
        <v>514</v>
      </c>
      <c r="C205" s="26" t="s">
        <v>1786</v>
      </c>
      <c r="D205" s="5" t="s">
        <v>515</v>
      </c>
      <c r="E205" s="31" t="s">
        <v>139</v>
      </c>
      <c r="F205" s="31" t="s">
        <v>315</v>
      </c>
      <c r="G205" s="31" t="s">
        <v>315</v>
      </c>
      <c r="H205" s="218" t="s">
        <v>1275</v>
      </c>
      <c r="I205" s="6" t="s">
        <v>150</v>
      </c>
      <c r="J205" s="6" t="s">
        <v>128</v>
      </c>
      <c r="K205" s="292">
        <v>43131</v>
      </c>
      <c r="L205" s="5"/>
      <c r="M205" s="25">
        <v>199848</v>
      </c>
      <c r="N205" s="238"/>
      <c r="O205" s="6"/>
      <c r="P205" s="6"/>
      <c r="Q205" s="6"/>
      <c r="R205" s="6"/>
      <c r="S205" s="6"/>
      <c r="T205" s="6"/>
      <c r="U205" s="6"/>
      <c r="V205" s="6"/>
      <c r="W205" s="5"/>
      <c r="X205" s="5"/>
      <c r="Y205" s="261"/>
      <c r="Z205" s="261"/>
      <c r="AA205" s="319"/>
      <c r="AB205" s="5"/>
      <c r="AC205" s="5"/>
      <c r="AD205" s="5"/>
      <c r="AE205" s="5"/>
      <c r="AF205" s="5"/>
      <c r="AG205" s="5"/>
      <c r="AH205" s="5"/>
      <c r="AI205" s="31"/>
      <c r="AJ205" s="31"/>
      <c r="AK205" s="5"/>
      <c r="AL205" s="5"/>
      <c r="AM205" s="5"/>
      <c r="AN205" s="238"/>
      <c r="AO205" s="43" t="s">
        <v>85</v>
      </c>
      <c r="AP205" s="37" t="s">
        <v>1442</v>
      </c>
      <c r="AQ205" s="68"/>
      <c r="AR205" s="26" t="s">
        <v>384</v>
      </c>
      <c r="AS205" s="26"/>
      <c r="AT205" s="72"/>
      <c r="AU205" s="68"/>
      <c r="AV205" s="43" t="s">
        <v>66</v>
      </c>
      <c r="AW205" s="68"/>
      <c r="AX205" s="289" t="s">
        <v>86</v>
      </c>
      <c r="AY205" s="320"/>
      <c r="AZ205" s="291">
        <v>43131</v>
      </c>
      <c r="BA205" s="321">
        <v>43131</v>
      </c>
      <c r="BB205" s="25" t="s">
        <v>78</v>
      </c>
      <c r="BC205" s="291">
        <v>43495</v>
      </c>
      <c r="BD205" s="43" t="s">
        <v>122</v>
      </c>
      <c r="BE205" s="297">
        <v>199848</v>
      </c>
      <c r="BF205" s="298">
        <f t="shared" si="6"/>
        <v>1</v>
      </c>
      <c r="BG205" s="297" t="e">
        <f>VLOOKUP(B205,[1]Sheet2!$B:$X,23,0)</f>
        <v>#N/A</v>
      </c>
    </row>
    <row r="206" spans="1:59" ht="33" customHeight="1">
      <c r="A206" s="31" t="s">
        <v>510</v>
      </c>
      <c r="B206" s="32" t="s">
        <v>511</v>
      </c>
      <c r="C206" s="26" t="s">
        <v>1787</v>
      </c>
      <c r="D206" s="5" t="s">
        <v>512</v>
      </c>
      <c r="E206" s="31" t="s">
        <v>139</v>
      </c>
      <c r="F206" s="31" t="s">
        <v>315</v>
      </c>
      <c r="G206" s="31" t="s">
        <v>315</v>
      </c>
      <c r="H206" s="218" t="s">
        <v>1275</v>
      </c>
      <c r="I206" s="6" t="s">
        <v>150</v>
      </c>
      <c r="J206" s="6" t="s">
        <v>128</v>
      </c>
      <c r="K206" s="292">
        <v>43131</v>
      </c>
      <c r="L206" s="5"/>
      <c r="M206" s="25">
        <v>99304</v>
      </c>
      <c r="N206" s="238"/>
      <c r="O206" s="6"/>
      <c r="P206" s="6"/>
      <c r="Q206" s="6"/>
      <c r="R206" s="6"/>
      <c r="S206" s="6"/>
      <c r="T206" s="6"/>
      <c r="U206" s="6"/>
      <c r="V206" s="6"/>
      <c r="W206" s="5"/>
      <c r="X206" s="5"/>
      <c r="Y206" s="261"/>
      <c r="Z206" s="261"/>
      <c r="AA206" s="319"/>
      <c r="AB206" s="5"/>
      <c r="AC206" s="5"/>
      <c r="AD206" s="5"/>
      <c r="AE206" s="5"/>
      <c r="AF206" s="5"/>
      <c r="AG206" s="5"/>
      <c r="AH206" s="5"/>
      <c r="AI206" s="31"/>
      <c r="AJ206" s="31"/>
      <c r="AK206" s="5"/>
      <c r="AL206" s="5"/>
      <c r="AM206" s="5"/>
      <c r="AN206" s="238"/>
      <c r="AO206" s="43" t="s">
        <v>85</v>
      </c>
      <c r="AP206" s="37" t="s">
        <v>1442</v>
      </c>
      <c r="AQ206" s="68"/>
      <c r="AR206" s="26" t="s">
        <v>384</v>
      </c>
      <c r="AS206" s="26"/>
      <c r="AT206" s="72"/>
      <c r="AU206" s="68"/>
      <c r="AV206" s="43" t="s">
        <v>66</v>
      </c>
      <c r="AW206" s="68"/>
      <c r="AX206" s="289" t="s">
        <v>86</v>
      </c>
      <c r="AY206" s="320"/>
      <c r="AZ206" s="291">
        <v>43131</v>
      </c>
      <c r="BA206" s="321">
        <v>43131</v>
      </c>
      <c r="BB206" s="25" t="s">
        <v>78</v>
      </c>
      <c r="BC206" s="291">
        <v>43495</v>
      </c>
      <c r="BD206" s="43" t="s">
        <v>122</v>
      </c>
      <c r="BE206" s="297">
        <v>99304</v>
      </c>
      <c r="BF206" s="298">
        <f t="shared" si="6"/>
        <v>1</v>
      </c>
      <c r="BG206" s="297" t="e">
        <f>VLOOKUP(B206,[1]Sheet2!$B:$X,23,0)</f>
        <v>#N/A</v>
      </c>
    </row>
    <row r="207" spans="1:59" ht="33" customHeight="1">
      <c r="A207" s="31" t="s">
        <v>507</v>
      </c>
      <c r="B207" s="32" t="s">
        <v>508</v>
      </c>
      <c r="C207" s="26" t="s">
        <v>1788</v>
      </c>
      <c r="D207" s="5" t="s">
        <v>509</v>
      </c>
      <c r="E207" s="31" t="s">
        <v>139</v>
      </c>
      <c r="F207" s="31" t="s">
        <v>315</v>
      </c>
      <c r="G207" s="31" t="s">
        <v>315</v>
      </c>
      <c r="H207" s="218" t="s">
        <v>1275</v>
      </c>
      <c r="I207" s="6" t="s">
        <v>150</v>
      </c>
      <c r="J207" s="6" t="s">
        <v>128</v>
      </c>
      <c r="K207" s="292">
        <v>43131</v>
      </c>
      <c r="L207" s="5"/>
      <c r="M207" s="25">
        <v>136510</v>
      </c>
      <c r="N207" s="238"/>
      <c r="O207" s="6"/>
      <c r="P207" s="6"/>
      <c r="Q207" s="6"/>
      <c r="R207" s="6"/>
      <c r="S207" s="6"/>
      <c r="T207" s="6"/>
      <c r="U207" s="6"/>
      <c r="V207" s="6"/>
      <c r="W207" s="5"/>
      <c r="X207" s="5"/>
      <c r="Y207" s="261"/>
      <c r="Z207" s="261"/>
      <c r="AA207" s="319"/>
      <c r="AB207" s="5"/>
      <c r="AC207" s="5"/>
      <c r="AD207" s="5"/>
      <c r="AE207" s="5"/>
      <c r="AF207" s="5"/>
      <c r="AG207" s="5"/>
      <c r="AH207" s="5"/>
      <c r="AI207" s="31"/>
      <c r="AJ207" s="31"/>
      <c r="AK207" s="5"/>
      <c r="AL207" s="5"/>
      <c r="AM207" s="5"/>
      <c r="AN207" s="238"/>
      <c r="AO207" s="43" t="s">
        <v>85</v>
      </c>
      <c r="AP207" s="37" t="s">
        <v>1442</v>
      </c>
      <c r="AQ207" s="68"/>
      <c r="AR207" s="26" t="s">
        <v>384</v>
      </c>
      <c r="AS207" s="26"/>
      <c r="AT207" s="72"/>
      <c r="AU207" s="68"/>
      <c r="AV207" s="43" t="s">
        <v>66</v>
      </c>
      <c r="AW207" s="68"/>
      <c r="AX207" s="289" t="s">
        <v>86</v>
      </c>
      <c r="AY207" s="320"/>
      <c r="AZ207" s="291">
        <v>43131</v>
      </c>
      <c r="BA207" s="321">
        <v>43131</v>
      </c>
      <c r="BB207" s="25" t="s">
        <v>78</v>
      </c>
      <c r="BC207" s="291">
        <v>43495</v>
      </c>
      <c r="BD207" s="43" t="s">
        <v>122</v>
      </c>
      <c r="BE207" s="297">
        <v>136510</v>
      </c>
      <c r="BF207" s="298">
        <f t="shared" si="6"/>
        <v>1</v>
      </c>
      <c r="BG207" s="297" t="e">
        <f>VLOOKUP(B207,[1]Sheet2!$B:$X,23,0)</f>
        <v>#N/A</v>
      </c>
    </row>
    <row r="208" spans="1:59" ht="33" customHeight="1">
      <c r="A208" s="31" t="s">
        <v>504</v>
      </c>
      <c r="B208" s="32" t="s">
        <v>505</v>
      </c>
      <c r="C208" s="26" t="s">
        <v>1789</v>
      </c>
      <c r="D208" s="5" t="s">
        <v>506</v>
      </c>
      <c r="E208" s="31" t="s">
        <v>139</v>
      </c>
      <c r="F208" s="31" t="s">
        <v>315</v>
      </c>
      <c r="G208" s="31" t="s">
        <v>315</v>
      </c>
      <c r="H208" s="218"/>
      <c r="I208" s="6" t="s">
        <v>150</v>
      </c>
      <c r="J208" s="6" t="s">
        <v>128</v>
      </c>
      <c r="K208" s="292">
        <v>43131</v>
      </c>
      <c r="L208" s="5"/>
      <c r="M208" s="25">
        <v>195000</v>
      </c>
      <c r="N208" s="238"/>
      <c r="O208" s="6"/>
      <c r="P208" s="6"/>
      <c r="Q208" s="6"/>
      <c r="R208" s="6"/>
      <c r="S208" s="6"/>
      <c r="T208" s="6"/>
      <c r="U208" s="6"/>
      <c r="V208" s="6"/>
      <c r="W208" s="5"/>
      <c r="X208" s="5"/>
      <c r="Y208" s="261"/>
      <c r="Z208" s="261"/>
      <c r="AA208" s="319"/>
      <c r="AB208" s="5"/>
      <c r="AC208" s="5"/>
      <c r="AD208" s="5"/>
      <c r="AE208" s="5"/>
      <c r="AF208" s="5"/>
      <c r="AG208" s="5"/>
      <c r="AH208" s="5"/>
      <c r="AI208" s="31"/>
      <c r="AJ208" s="31"/>
      <c r="AK208" s="5"/>
      <c r="AL208" s="5"/>
      <c r="AM208" s="5"/>
      <c r="AN208" s="238"/>
      <c r="AO208" s="43" t="s">
        <v>85</v>
      </c>
      <c r="AP208" s="37" t="s">
        <v>1442</v>
      </c>
      <c r="AQ208" s="68"/>
      <c r="AR208" s="26" t="s">
        <v>384</v>
      </c>
      <c r="AS208" s="26"/>
      <c r="AT208" s="72"/>
      <c r="AU208" s="68"/>
      <c r="AV208" s="43" t="s">
        <v>66</v>
      </c>
      <c r="AW208" s="68"/>
      <c r="AX208" s="289" t="s">
        <v>86</v>
      </c>
      <c r="AY208" s="320"/>
      <c r="AZ208" s="291">
        <v>43131</v>
      </c>
      <c r="BA208" s="321">
        <v>43131</v>
      </c>
      <c r="BB208" s="25" t="s">
        <v>78</v>
      </c>
      <c r="BC208" s="291">
        <v>43495</v>
      </c>
      <c r="BD208" s="43" t="s">
        <v>122</v>
      </c>
      <c r="BE208" s="297">
        <v>195000</v>
      </c>
      <c r="BF208" s="298">
        <f t="shared" si="6"/>
        <v>1</v>
      </c>
      <c r="BG208" s="297" t="e">
        <f>VLOOKUP(B208,[1]Sheet2!$B:$X,23,0)</f>
        <v>#N/A</v>
      </c>
    </row>
    <row r="209" spans="1:59" ht="33" customHeight="1">
      <c r="A209" s="5" t="s">
        <v>744</v>
      </c>
      <c r="B209" s="31" t="s">
        <v>746</v>
      </c>
      <c r="C209" s="26" t="s">
        <v>745</v>
      </c>
      <c r="D209" s="5" t="s">
        <v>747</v>
      </c>
      <c r="E209" s="31" t="s">
        <v>126</v>
      </c>
      <c r="F209" s="31" t="s">
        <v>315</v>
      </c>
      <c r="G209" s="31" t="s">
        <v>315</v>
      </c>
      <c r="H209" s="218"/>
      <c r="I209" s="6" t="s">
        <v>76</v>
      </c>
      <c r="J209" s="6" t="s">
        <v>63</v>
      </c>
      <c r="K209" s="292">
        <v>43237</v>
      </c>
      <c r="L209" s="5" t="s">
        <v>748</v>
      </c>
      <c r="M209" s="26">
        <v>126830</v>
      </c>
      <c r="N209" s="238">
        <f>50895+75935</f>
        <v>126830</v>
      </c>
      <c r="O209" s="6" t="s">
        <v>749</v>
      </c>
      <c r="P209" s="6"/>
      <c r="Q209" s="6"/>
      <c r="R209" s="6" t="s">
        <v>750</v>
      </c>
      <c r="S209" s="6"/>
      <c r="T209" s="6"/>
      <c r="U209" s="6"/>
      <c r="V209" s="6"/>
      <c r="W209" s="26"/>
      <c r="X209" s="5"/>
      <c r="Y209" s="262"/>
      <c r="Z209" s="262"/>
      <c r="AA209" s="261">
        <v>0.15</v>
      </c>
      <c r="AB209" s="5">
        <v>43261</v>
      </c>
      <c r="AC209" s="5"/>
      <c r="AD209" s="5"/>
      <c r="AE209" s="5">
        <v>64545</v>
      </c>
      <c r="AF209" s="5"/>
      <c r="AG209" s="5"/>
      <c r="AH209" s="5"/>
      <c r="AI209" s="5"/>
      <c r="AJ209" s="5"/>
      <c r="AK209" s="5"/>
      <c r="AL209" s="5"/>
      <c r="AM209" s="5"/>
      <c r="AN209" s="238">
        <f t="shared" si="5"/>
        <v>107806</v>
      </c>
      <c r="AO209" s="37" t="s">
        <v>145</v>
      </c>
      <c r="AP209" s="37" t="s">
        <v>1276</v>
      </c>
      <c r="AQ209" s="68"/>
      <c r="AR209" s="26" t="s">
        <v>384</v>
      </c>
      <c r="AS209" s="26"/>
      <c r="AT209" s="72"/>
      <c r="AU209" s="68"/>
      <c r="AV209" s="43" t="s">
        <v>66</v>
      </c>
      <c r="AW209" s="68"/>
      <c r="AX209" s="289" t="s">
        <v>86</v>
      </c>
      <c r="AY209" s="289"/>
      <c r="AZ209" s="290">
        <v>43313</v>
      </c>
      <c r="BA209" s="290"/>
      <c r="BB209" s="25" t="s">
        <v>78</v>
      </c>
      <c r="BC209" s="291">
        <v>43677</v>
      </c>
      <c r="BD209" s="43" t="s">
        <v>122</v>
      </c>
      <c r="BE209" s="297">
        <v>126830.1</v>
      </c>
      <c r="BF209" s="298">
        <f t="shared" si="6"/>
        <v>1.0000007884569897</v>
      </c>
      <c r="BG209" s="297" t="e">
        <f>VLOOKUP(B209,[1]Sheet2!$B:$X,23,0)</f>
        <v>#N/A</v>
      </c>
    </row>
    <row r="210" spans="1:59" ht="33" customHeight="1">
      <c r="A210" s="5" t="s">
        <v>426</v>
      </c>
      <c r="B210" s="31" t="s">
        <v>428</v>
      </c>
      <c r="C210" s="26" t="s">
        <v>427</v>
      </c>
      <c r="D210" s="5" t="s">
        <v>429</v>
      </c>
      <c r="E210" s="31" t="s">
        <v>83</v>
      </c>
      <c r="F210" s="31" t="s">
        <v>315</v>
      </c>
      <c r="G210" s="31" t="s">
        <v>315</v>
      </c>
      <c r="H210" s="218"/>
      <c r="I210" s="6" t="s">
        <v>76</v>
      </c>
      <c r="J210" s="6" t="s">
        <v>128</v>
      </c>
      <c r="K210" s="292">
        <v>43130</v>
      </c>
      <c r="L210" s="5"/>
      <c r="M210" s="29">
        <v>2453</v>
      </c>
      <c r="N210" s="238">
        <v>2453</v>
      </c>
      <c r="O210" s="239"/>
      <c r="P210" s="239"/>
      <c r="Q210" s="239"/>
      <c r="R210" s="239"/>
      <c r="S210" s="239"/>
      <c r="T210" s="239"/>
      <c r="U210" s="6" t="s">
        <v>430</v>
      </c>
      <c r="V210" s="239"/>
      <c r="W210" s="5"/>
      <c r="X210" s="5"/>
      <c r="Y210" s="261"/>
      <c r="Z210" s="261"/>
      <c r="AA210" s="262">
        <v>0.15</v>
      </c>
      <c r="AB210" s="5"/>
      <c r="AC210" s="5"/>
      <c r="AD210" s="5"/>
      <c r="AE210" s="5"/>
      <c r="AF210" s="5"/>
      <c r="AG210" s="5"/>
      <c r="AH210" s="5">
        <v>2085</v>
      </c>
      <c r="AI210" s="5"/>
      <c r="AJ210" s="5"/>
      <c r="AK210" s="5"/>
      <c r="AL210" s="5"/>
      <c r="AM210" s="5"/>
      <c r="AN210" s="238">
        <f t="shared" si="5"/>
        <v>2085</v>
      </c>
      <c r="AO210" s="37" t="s">
        <v>145</v>
      </c>
      <c r="AP210" s="37" t="s">
        <v>1308</v>
      </c>
      <c r="AQ210" s="68"/>
      <c r="AR210" s="26" t="s">
        <v>384</v>
      </c>
      <c r="AS210" s="26"/>
      <c r="AT210" s="72">
        <v>43169</v>
      </c>
      <c r="AU210" s="68"/>
      <c r="AV210" s="43" t="s">
        <v>66</v>
      </c>
      <c r="AW210" s="68"/>
      <c r="AX210" s="289" t="s">
        <v>86</v>
      </c>
      <c r="AY210" s="289"/>
      <c r="AZ210" s="290">
        <v>43171</v>
      </c>
      <c r="BA210" s="290">
        <v>43174</v>
      </c>
      <c r="BB210" s="25" t="s">
        <v>78</v>
      </c>
      <c r="BC210" s="291">
        <v>43535</v>
      </c>
      <c r="BD210" s="43" t="s">
        <v>122</v>
      </c>
      <c r="BE210" s="297">
        <v>2453.1</v>
      </c>
      <c r="BF210" s="298">
        <f t="shared" si="6"/>
        <v>1.0000407664084794</v>
      </c>
      <c r="BG210" s="297" t="e">
        <f>VLOOKUP(B210,[1]Sheet2!$B:$X,23,0)</f>
        <v>#N/A</v>
      </c>
    </row>
    <row r="211" spans="1:59" ht="33" customHeight="1">
      <c r="A211" s="5" t="s">
        <v>667</v>
      </c>
      <c r="B211" s="224" t="s">
        <v>1790</v>
      </c>
      <c r="C211" s="26" t="s">
        <v>668</v>
      </c>
      <c r="D211" s="5" t="s">
        <v>670</v>
      </c>
      <c r="E211" s="31" t="s">
        <v>126</v>
      </c>
      <c r="F211" s="25" t="s">
        <v>315</v>
      </c>
      <c r="G211" s="25" t="s">
        <v>315</v>
      </c>
      <c r="H211" s="218"/>
      <c r="I211" s="6" t="s">
        <v>76</v>
      </c>
      <c r="J211" s="6" t="s">
        <v>128</v>
      </c>
      <c r="K211" s="292">
        <v>43188</v>
      </c>
      <c r="L211" s="5"/>
      <c r="M211" s="26">
        <v>369440</v>
      </c>
      <c r="N211" s="238">
        <v>369440</v>
      </c>
      <c r="O211" s="68">
        <v>369440</v>
      </c>
      <c r="P211" s="239"/>
      <c r="Q211" s="239"/>
      <c r="R211" s="239"/>
      <c r="S211" s="239"/>
      <c r="T211" s="239"/>
      <c r="U211" s="239"/>
      <c r="V211" s="239"/>
      <c r="W211" s="26"/>
      <c r="X211" s="5"/>
      <c r="Y211" s="261"/>
      <c r="Z211" s="261"/>
      <c r="AA211" s="261">
        <v>0.12</v>
      </c>
      <c r="AB211" s="5">
        <v>325107</v>
      </c>
      <c r="AC211" s="5"/>
      <c r="AD211" s="5"/>
      <c r="AE211" s="5"/>
      <c r="AF211" s="5"/>
      <c r="AG211" s="5"/>
      <c r="AH211" s="5"/>
      <c r="AI211" s="5"/>
      <c r="AJ211" s="5"/>
      <c r="AK211" s="5"/>
      <c r="AL211" s="5"/>
      <c r="AM211" s="5"/>
      <c r="AN211" s="238">
        <f t="shared" si="5"/>
        <v>325107</v>
      </c>
      <c r="AO211" s="37" t="s">
        <v>145</v>
      </c>
      <c r="AP211" s="37" t="s">
        <v>1276</v>
      </c>
      <c r="AQ211" s="68"/>
      <c r="AR211" s="26" t="s">
        <v>384</v>
      </c>
      <c r="AS211" s="26"/>
      <c r="AT211" s="72"/>
      <c r="AU211" s="68"/>
      <c r="AV211" s="43" t="s">
        <v>66</v>
      </c>
      <c r="AW211" s="68"/>
      <c r="AX211" s="289" t="s">
        <v>86</v>
      </c>
      <c r="AY211" s="289"/>
      <c r="AZ211" s="290">
        <v>43282</v>
      </c>
      <c r="BA211" s="290">
        <v>43301</v>
      </c>
      <c r="BB211" s="25" t="s">
        <v>78</v>
      </c>
      <c r="BC211" s="291">
        <v>43646</v>
      </c>
      <c r="BD211" s="113" t="s">
        <v>122</v>
      </c>
      <c r="BE211" s="297">
        <v>369440</v>
      </c>
      <c r="BF211" s="298">
        <f t="shared" si="6"/>
        <v>1</v>
      </c>
      <c r="BG211" s="297" t="e">
        <f>VLOOKUP(B211,[1]Sheet2!$B:$X,23,0)</f>
        <v>#N/A</v>
      </c>
    </row>
    <row r="212" spans="1:59" ht="33" customHeight="1">
      <c r="A212" s="5" t="s">
        <v>431</v>
      </c>
      <c r="B212" s="31" t="s">
        <v>433</v>
      </c>
      <c r="C212" s="26" t="s">
        <v>432</v>
      </c>
      <c r="D212" s="5" t="s">
        <v>434</v>
      </c>
      <c r="E212" s="31" t="s">
        <v>83</v>
      </c>
      <c r="F212" s="31" t="s">
        <v>315</v>
      </c>
      <c r="G212" s="31" t="s">
        <v>315</v>
      </c>
      <c r="H212" s="218"/>
      <c r="I212" s="6" t="s">
        <v>76</v>
      </c>
      <c r="J212" s="6" t="s">
        <v>128</v>
      </c>
      <c r="K212" s="292">
        <v>43130</v>
      </c>
      <c r="L212" s="5"/>
      <c r="M212" s="29">
        <v>84000</v>
      </c>
      <c r="N212" s="238">
        <f>34718+49282</f>
        <v>84000</v>
      </c>
      <c r="O212" s="6" t="s">
        <v>435</v>
      </c>
      <c r="P212" s="6"/>
      <c r="Q212" s="6"/>
      <c r="R212" s="6" t="s">
        <v>436</v>
      </c>
      <c r="S212" s="6"/>
      <c r="T212" s="6"/>
      <c r="U212" s="6"/>
      <c r="V212" s="6"/>
      <c r="W212" s="5"/>
      <c r="X212" s="5"/>
      <c r="Y212" s="261"/>
      <c r="Z212" s="261"/>
      <c r="AA212" s="262">
        <v>0.15</v>
      </c>
      <c r="AB212" s="5">
        <v>29510</v>
      </c>
      <c r="AC212" s="5"/>
      <c r="AD212" s="5"/>
      <c r="AE212" s="5"/>
      <c r="AF212" s="5"/>
      <c r="AG212" s="5"/>
      <c r="AH212" s="5">
        <v>41889</v>
      </c>
      <c r="AI212" s="5"/>
      <c r="AJ212" s="5"/>
      <c r="AK212" s="5"/>
      <c r="AL212" s="5"/>
      <c r="AM212" s="5"/>
      <c r="AN212" s="238">
        <f t="shared" si="5"/>
        <v>71399</v>
      </c>
      <c r="AO212" s="37" t="s">
        <v>145</v>
      </c>
      <c r="AP212" s="37" t="s">
        <v>1308</v>
      </c>
      <c r="AQ212" s="68"/>
      <c r="AR212" s="26" t="s">
        <v>384</v>
      </c>
      <c r="AS212" s="26"/>
      <c r="AT212" s="72">
        <v>43169</v>
      </c>
      <c r="AU212" s="68"/>
      <c r="AV212" s="43" t="s">
        <v>66</v>
      </c>
      <c r="AW212" s="68"/>
      <c r="AX212" s="289" t="s">
        <v>86</v>
      </c>
      <c r="AY212" s="289"/>
      <c r="AZ212" s="290">
        <v>43175</v>
      </c>
      <c r="BA212" s="290">
        <v>43175</v>
      </c>
      <c r="BB212" s="25" t="s">
        <v>78</v>
      </c>
      <c r="BC212" s="291">
        <v>43539</v>
      </c>
      <c r="BD212" s="43" t="s">
        <v>122</v>
      </c>
      <c r="BE212" s="297"/>
      <c r="BF212" s="298">
        <f t="shared" si="6"/>
        <v>0</v>
      </c>
      <c r="BG212" s="297" t="e">
        <f>VLOOKUP(B212,[1]Sheet2!$B:$X,23,0)</f>
        <v>#N/A</v>
      </c>
    </row>
    <row r="213" spans="1:59" ht="33" customHeight="1">
      <c r="A213" s="17" t="s">
        <v>282</v>
      </c>
      <c r="B213" s="30" t="s">
        <v>284</v>
      </c>
      <c r="C213" s="26" t="s">
        <v>283</v>
      </c>
      <c r="D213" s="26" t="s">
        <v>285</v>
      </c>
      <c r="E213" s="25" t="s">
        <v>265</v>
      </c>
      <c r="F213" s="25" t="s">
        <v>315</v>
      </c>
      <c r="G213" s="25" t="s">
        <v>315</v>
      </c>
      <c r="H213" s="218"/>
      <c r="I213" s="53" t="s">
        <v>286</v>
      </c>
      <c r="J213" s="53" t="s">
        <v>63</v>
      </c>
      <c r="K213" s="295">
        <v>43075</v>
      </c>
      <c r="L213" s="26" t="s">
        <v>287</v>
      </c>
      <c r="M213" s="29">
        <v>11707800</v>
      </c>
      <c r="N213" s="243">
        <f>7557000+4150800</f>
        <v>11707800</v>
      </c>
      <c r="O213" s="53" t="s">
        <v>288</v>
      </c>
      <c r="P213" s="244"/>
      <c r="Q213" s="244"/>
      <c r="R213" s="53" t="s">
        <v>289</v>
      </c>
      <c r="S213" s="244"/>
      <c r="T213" s="244"/>
      <c r="U213" s="244"/>
      <c r="V213" s="244"/>
      <c r="W213" s="7"/>
      <c r="X213" s="7"/>
      <c r="Y213" s="264"/>
      <c r="Z213" s="264"/>
      <c r="AA213" s="262">
        <f>1-(AB213+AE213+AH213)/N213</f>
        <v>0.18003382360477627</v>
      </c>
      <c r="AB213" s="26">
        <v>6210000</v>
      </c>
      <c r="AC213" s="26"/>
      <c r="AD213" s="26"/>
      <c r="AE213" s="26">
        <v>3390000</v>
      </c>
      <c r="AF213" s="26"/>
      <c r="AG213" s="26"/>
      <c r="AH213" s="26"/>
      <c r="AI213" s="26"/>
      <c r="AJ213" s="26"/>
      <c r="AK213" s="26"/>
      <c r="AL213" s="26"/>
      <c r="AM213" s="26"/>
      <c r="AN213" s="266">
        <f t="shared" si="5"/>
        <v>9600000</v>
      </c>
      <c r="AO213" s="216" t="s">
        <v>62</v>
      </c>
      <c r="AP213" s="37"/>
      <c r="AQ213" s="245"/>
      <c r="AR213" s="26" t="s">
        <v>384</v>
      </c>
      <c r="AS213" s="26"/>
      <c r="AT213" s="308"/>
      <c r="AU213" s="245"/>
      <c r="AV213" s="43" t="s">
        <v>66</v>
      </c>
      <c r="AW213" s="245"/>
      <c r="AX213" s="289" t="s">
        <v>86</v>
      </c>
      <c r="AY213" s="289"/>
      <c r="AZ213" s="290">
        <v>43160</v>
      </c>
      <c r="BA213" s="290">
        <v>43145</v>
      </c>
      <c r="BB213" s="25" t="s">
        <v>78</v>
      </c>
      <c r="BC213" s="291">
        <v>43509</v>
      </c>
      <c r="BD213" s="43" t="s">
        <v>122</v>
      </c>
      <c r="BE213" s="297">
        <v>9884886</v>
      </c>
      <c r="BF213" s="298">
        <f t="shared" si="6"/>
        <v>0.84429918515861224</v>
      </c>
      <c r="BG213" s="297" t="e">
        <f>VLOOKUP(B213,[1]Sheet2!$B:$X,23,0)</f>
        <v>#N/A</v>
      </c>
    </row>
    <row r="214" spans="1:59" ht="33" customHeight="1">
      <c r="A214" s="5" t="s">
        <v>582</v>
      </c>
      <c r="B214" s="31" t="s">
        <v>584</v>
      </c>
      <c r="C214" s="26" t="s">
        <v>583</v>
      </c>
      <c r="D214" s="5" t="s">
        <v>585</v>
      </c>
      <c r="E214" s="31" t="s">
        <v>271</v>
      </c>
      <c r="F214" s="31" t="s">
        <v>315</v>
      </c>
      <c r="G214" s="31" t="s">
        <v>315</v>
      </c>
      <c r="H214" s="218"/>
      <c r="I214" s="6" t="s">
        <v>157</v>
      </c>
      <c r="J214" s="6" t="s">
        <v>63</v>
      </c>
      <c r="K214" s="292">
        <v>43160</v>
      </c>
      <c r="L214" s="5"/>
      <c r="M214" s="26">
        <v>135000</v>
      </c>
      <c r="N214" s="238">
        <f>94300+40700</f>
        <v>135000</v>
      </c>
      <c r="O214" s="6" t="s">
        <v>586</v>
      </c>
      <c r="P214" s="6"/>
      <c r="Q214" s="6"/>
      <c r="R214" s="6" t="s">
        <v>587</v>
      </c>
      <c r="S214" s="6"/>
      <c r="T214" s="6"/>
      <c r="U214" s="6"/>
      <c r="V214" s="6"/>
      <c r="W214" s="26"/>
      <c r="X214" s="5"/>
      <c r="Y214" s="261"/>
      <c r="Z214" s="261"/>
      <c r="AA214" s="262">
        <v>0.15</v>
      </c>
      <c r="AB214" s="5">
        <v>34595</v>
      </c>
      <c r="AC214" s="5"/>
      <c r="AD214" s="5"/>
      <c r="AE214" s="5">
        <v>80155</v>
      </c>
      <c r="AF214" s="5"/>
      <c r="AG214" s="5"/>
      <c r="AH214" s="5"/>
      <c r="AI214" s="5"/>
      <c r="AJ214" s="5"/>
      <c r="AK214" s="5"/>
      <c r="AL214" s="5"/>
      <c r="AM214" s="5"/>
      <c r="AN214" s="238">
        <f t="shared" si="5"/>
        <v>114750</v>
      </c>
      <c r="AO214" s="37" t="s">
        <v>132</v>
      </c>
      <c r="AP214" s="37" t="s">
        <v>1308</v>
      </c>
      <c r="AQ214" s="68"/>
      <c r="AR214" s="26" t="s">
        <v>384</v>
      </c>
      <c r="AS214" s="26"/>
      <c r="AT214" s="72"/>
      <c r="AU214" s="68"/>
      <c r="AV214" s="43" t="s">
        <v>66</v>
      </c>
      <c r="AW214" s="68"/>
      <c r="AX214" s="289" t="s">
        <v>86</v>
      </c>
      <c r="AY214" s="289"/>
      <c r="AZ214" s="291">
        <v>43200</v>
      </c>
      <c r="BA214" s="290">
        <v>43216</v>
      </c>
      <c r="BB214" s="25" t="s">
        <v>78</v>
      </c>
      <c r="BC214" s="291">
        <v>43564</v>
      </c>
      <c r="BD214" s="25" t="s">
        <v>122</v>
      </c>
      <c r="BE214" s="297">
        <v>135000</v>
      </c>
      <c r="BF214" s="298">
        <f t="shared" si="6"/>
        <v>1</v>
      </c>
      <c r="BG214" s="297" t="e">
        <f>VLOOKUP(B214,[1]Sheet2!$B:$X,23,0)</f>
        <v>#N/A</v>
      </c>
    </row>
    <row r="215" spans="1:59" ht="33" customHeight="1">
      <c r="A215" s="5" t="s">
        <v>456</v>
      </c>
      <c r="B215" s="31" t="s">
        <v>458</v>
      </c>
      <c r="C215" s="26" t="s">
        <v>457</v>
      </c>
      <c r="D215" s="5" t="s">
        <v>459</v>
      </c>
      <c r="E215" s="31" t="s">
        <v>249</v>
      </c>
      <c r="F215" s="31" t="s">
        <v>315</v>
      </c>
      <c r="G215" s="31" t="s">
        <v>315</v>
      </c>
      <c r="H215" s="218"/>
      <c r="I215" s="6" t="s">
        <v>157</v>
      </c>
      <c r="J215" s="6" t="s">
        <v>63</v>
      </c>
      <c r="K215" s="292">
        <v>43132</v>
      </c>
      <c r="L215" s="5"/>
      <c r="M215" s="29">
        <v>315745</v>
      </c>
      <c r="N215" s="238">
        <f>165085+150660</f>
        <v>315745</v>
      </c>
      <c r="O215" s="6" t="s">
        <v>460</v>
      </c>
      <c r="P215" s="6"/>
      <c r="Q215" s="6"/>
      <c r="R215" s="6" t="s">
        <v>461</v>
      </c>
      <c r="S215" s="6"/>
      <c r="T215" s="6"/>
      <c r="U215" s="6"/>
      <c r="V215" s="6"/>
      <c r="W215" s="5"/>
      <c r="X215" s="5"/>
      <c r="Y215" s="261"/>
      <c r="Z215" s="261"/>
      <c r="AA215" s="262">
        <v>0.15</v>
      </c>
      <c r="AB215" s="5">
        <v>128010</v>
      </c>
      <c r="AC215" s="5"/>
      <c r="AD215" s="5"/>
      <c r="AE215" s="5">
        <v>140322.25</v>
      </c>
      <c r="AF215" s="5"/>
      <c r="AG215" s="5"/>
      <c r="AH215" s="5"/>
      <c r="AI215" s="5"/>
      <c r="AJ215" s="5"/>
      <c r="AK215" s="5"/>
      <c r="AL215" s="5"/>
      <c r="AM215" s="5"/>
      <c r="AN215" s="238">
        <f t="shared" si="5"/>
        <v>268332.25</v>
      </c>
      <c r="AO215" s="37" t="s">
        <v>132</v>
      </c>
      <c r="AP215" s="37" t="s">
        <v>1371</v>
      </c>
      <c r="AQ215" s="68"/>
      <c r="AR215" s="26" t="s">
        <v>384</v>
      </c>
      <c r="AS215" s="26"/>
      <c r="AT215" s="72">
        <v>43070</v>
      </c>
      <c r="AU215" s="68"/>
      <c r="AV215" s="43" t="s">
        <v>66</v>
      </c>
      <c r="AW215" s="68"/>
      <c r="AX215" s="289" t="s">
        <v>86</v>
      </c>
      <c r="AY215" s="289"/>
      <c r="AZ215" s="290">
        <v>43108</v>
      </c>
      <c r="BA215" s="290">
        <v>43108</v>
      </c>
      <c r="BB215" s="25" t="s">
        <v>78</v>
      </c>
      <c r="BC215" s="291">
        <v>43472</v>
      </c>
      <c r="BD215" s="113" t="s">
        <v>122</v>
      </c>
      <c r="BE215" s="297">
        <v>315745</v>
      </c>
      <c r="BF215" s="298">
        <f t="shared" si="6"/>
        <v>1</v>
      </c>
      <c r="BG215" s="297" t="e">
        <f>VLOOKUP(B215,[1]Sheet2!$B:$X,23,0)</f>
        <v>#N/A</v>
      </c>
    </row>
    <row r="216" spans="1:59" ht="33" customHeight="1">
      <c r="A216" s="5" t="s">
        <v>612</v>
      </c>
      <c r="B216" s="31" t="s">
        <v>614</v>
      </c>
      <c r="C216" s="26" t="s">
        <v>613</v>
      </c>
      <c r="D216" s="5" t="s">
        <v>615</v>
      </c>
      <c r="E216" s="31" t="s">
        <v>75</v>
      </c>
      <c r="F216" s="31" t="s">
        <v>315</v>
      </c>
      <c r="G216" s="31" t="s">
        <v>315</v>
      </c>
      <c r="H216" s="218"/>
      <c r="I216" s="6" t="s">
        <v>76</v>
      </c>
      <c r="J216" s="6"/>
      <c r="K216" s="292">
        <v>43174</v>
      </c>
      <c r="L216" s="5"/>
      <c r="M216" s="26">
        <v>18000</v>
      </c>
      <c r="N216" s="238">
        <f>1200+16800</f>
        <v>18000</v>
      </c>
      <c r="O216" s="6" t="s">
        <v>616</v>
      </c>
      <c r="P216" s="6"/>
      <c r="Q216" s="6"/>
      <c r="R216" s="6" t="s">
        <v>617</v>
      </c>
      <c r="S216" s="6"/>
      <c r="T216" s="6"/>
      <c r="U216" s="6"/>
      <c r="V216" s="6"/>
      <c r="W216" s="26"/>
      <c r="X216" s="5"/>
      <c r="Y216" s="261"/>
      <c r="Z216" s="261"/>
      <c r="AA216" s="262">
        <v>0.15</v>
      </c>
      <c r="AB216" s="5">
        <v>1020</v>
      </c>
      <c r="AC216" s="5"/>
      <c r="AD216" s="5"/>
      <c r="AE216" s="5">
        <v>14280</v>
      </c>
      <c r="AF216" s="5"/>
      <c r="AG216" s="5"/>
      <c r="AH216" s="5"/>
      <c r="AI216" s="5"/>
      <c r="AJ216" s="5"/>
      <c r="AK216" s="5"/>
      <c r="AL216" s="5"/>
      <c r="AM216" s="5"/>
      <c r="AN216" s="238">
        <f t="shared" si="5"/>
        <v>15300</v>
      </c>
      <c r="AO216" s="37" t="s">
        <v>93</v>
      </c>
      <c r="AP216" s="37"/>
      <c r="AQ216" s="68"/>
      <c r="AR216" s="26" t="s">
        <v>384</v>
      </c>
      <c r="AS216" s="26"/>
      <c r="AT216" s="72"/>
      <c r="AU216" s="68"/>
      <c r="AV216" s="43" t="s">
        <v>66</v>
      </c>
      <c r="AW216" s="68"/>
      <c r="AX216" s="289" t="s">
        <v>86</v>
      </c>
      <c r="AY216" s="289"/>
      <c r="AZ216" s="290">
        <v>43282</v>
      </c>
      <c r="BA216" s="290">
        <v>43311</v>
      </c>
      <c r="BB216" s="25" t="s">
        <v>78</v>
      </c>
      <c r="BC216" s="291">
        <v>43647</v>
      </c>
      <c r="BD216" s="113" t="s">
        <v>122</v>
      </c>
      <c r="BE216" s="297">
        <v>18000</v>
      </c>
      <c r="BF216" s="298">
        <f t="shared" si="6"/>
        <v>1</v>
      </c>
      <c r="BG216" s="297" t="e">
        <f>VLOOKUP(B216,[1]Sheet2!$B:$X,23,0)</f>
        <v>#N/A</v>
      </c>
    </row>
    <row r="217" spans="1:59" ht="33" customHeight="1">
      <c r="A217" s="5" t="s">
        <v>740</v>
      </c>
      <c r="B217" s="31" t="s">
        <v>742</v>
      </c>
      <c r="C217" s="26" t="s">
        <v>741</v>
      </c>
      <c r="D217" s="5" t="s">
        <v>743</v>
      </c>
      <c r="E217" s="31" t="s">
        <v>249</v>
      </c>
      <c r="F217" s="25" t="s">
        <v>315</v>
      </c>
      <c r="G217" s="25" t="s">
        <v>315</v>
      </c>
      <c r="H217" s="218" t="s">
        <v>1275</v>
      </c>
      <c r="I217" s="6" t="s">
        <v>107</v>
      </c>
      <c r="J217" s="6" t="s">
        <v>63</v>
      </c>
      <c r="K217" s="292">
        <v>43223</v>
      </c>
      <c r="L217" s="5"/>
      <c r="M217" s="26">
        <v>150228</v>
      </c>
      <c r="N217" s="238">
        <v>150228</v>
      </c>
      <c r="O217" s="68">
        <v>150228</v>
      </c>
      <c r="P217" s="239"/>
      <c r="Q217" s="239"/>
      <c r="R217" s="239"/>
      <c r="S217" s="239"/>
      <c r="T217" s="239"/>
      <c r="U217" s="239"/>
      <c r="V217" s="239"/>
      <c r="W217" s="26"/>
      <c r="X217" s="5"/>
      <c r="Y217" s="262"/>
      <c r="Z217" s="262"/>
      <c r="AA217" s="261">
        <v>0.1</v>
      </c>
      <c r="AB217" s="5">
        <v>135205</v>
      </c>
      <c r="AC217" s="5"/>
      <c r="AD217" s="5"/>
      <c r="AE217" s="5"/>
      <c r="AF217" s="5"/>
      <c r="AG217" s="5"/>
      <c r="AH217" s="5"/>
      <c r="AI217" s="5"/>
      <c r="AJ217" s="5"/>
      <c r="AK217" s="5"/>
      <c r="AL217" s="5"/>
      <c r="AM217" s="5"/>
      <c r="AN217" s="238">
        <f t="shared" si="5"/>
        <v>135205</v>
      </c>
      <c r="AO217" s="37" t="s">
        <v>132</v>
      </c>
      <c r="AP217" s="37" t="s">
        <v>1371</v>
      </c>
      <c r="AQ217" s="68"/>
      <c r="AR217" s="26" t="s">
        <v>384</v>
      </c>
      <c r="AS217" s="26"/>
      <c r="AT217" s="72"/>
      <c r="AU217" s="68"/>
      <c r="AV217" s="43" t="s">
        <v>66</v>
      </c>
      <c r="AW217" s="68"/>
      <c r="AX217" s="289" t="s">
        <v>86</v>
      </c>
      <c r="AY217" s="289"/>
      <c r="AZ217" s="289" t="s">
        <v>1791</v>
      </c>
      <c r="BA217" s="290"/>
      <c r="BB217" s="31"/>
      <c r="BC217" s="291">
        <v>43472</v>
      </c>
      <c r="BD217" s="43" t="s">
        <v>122</v>
      </c>
      <c r="BE217" s="297">
        <v>23150088</v>
      </c>
      <c r="BF217" s="298">
        <f t="shared" si="6"/>
        <v>154.09968847352025</v>
      </c>
      <c r="BG217" s="297" t="e">
        <f>VLOOKUP(B217,[1]Sheet2!$B:$X,23,0)</f>
        <v>#N/A</v>
      </c>
    </row>
    <row r="218" spans="1:59" ht="33" customHeight="1">
      <c r="A218" s="5" t="s">
        <v>740</v>
      </c>
      <c r="B218" s="31" t="s">
        <v>742</v>
      </c>
      <c r="C218" s="26" t="s">
        <v>741</v>
      </c>
      <c r="D218" s="5" t="s">
        <v>870</v>
      </c>
      <c r="E218" s="31" t="s">
        <v>249</v>
      </c>
      <c r="F218" s="25" t="s">
        <v>315</v>
      </c>
      <c r="G218" s="25" t="s">
        <v>315</v>
      </c>
      <c r="H218" s="218" t="s">
        <v>1275</v>
      </c>
      <c r="I218" s="6" t="s">
        <v>107</v>
      </c>
      <c r="J218" s="6" t="s">
        <v>63</v>
      </c>
      <c r="K218" s="292">
        <v>43238</v>
      </c>
      <c r="L218" s="5"/>
      <c r="M218" s="26">
        <v>150228</v>
      </c>
      <c r="N218" s="238">
        <f>SUM(O218:V218)</f>
        <v>150228</v>
      </c>
      <c r="O218" s="6"/>
      <c r="P218" s="68">
        <v>150228</v>
      </c>
      <c r="Q218" s="68"/>
      <c r="R218" s="68"/>
      <c r="S218" s="68"/>
      <c r="T218" s="68"/>
      <c r="U218" s="68"/>
      <c r="V218" s="68"/>
      <c r="W218" s="5"/>
      <c r="X218" s="5"/>
      <c r="Y218" s="261"/>
      <c r="Z218" s="261"/>
      <c r="AA218" s="261">
        <v>0.1</v>
      </c>
      <c r="AB218" s="5"/>
      <c r="AC218" s="5"/>
      <c r="AD218" s="5"/>
      <c r="AE218" s="5"/>
      <c r="AF218" s="5">
        <v>135205</v>
      </c>
      <c r="AG218" s="5"/>
      <c r="AH218" s="5"/>
      <c r="AI218" s="5"/>
      <c r="AJ218" s="5"/>
      <c r="AK218" s="5"/>
      <c r="AL218" s="5"/>
      <c r="AM218" s="5"/>
      <c r="AN218" s="238">
        <f t="shared" si="5"/>
        <v>135205</v>
      </c>
      <c r="AO218" s="37" t="s">
        <v>871</v>
      </c>
      <c r="AP218" s="37"/>
      <c r="AQ218" s="68"/>
      <c r="AR218" s="26" t="s">
        <v>384</v>
      </c>
      <c r="AS218" s="26"/>
      <c r="AT218" s="72"/>
      <c r="AU218" s="68"/>
      <c r="AV218" s="43" t="s">
        <v>66</v>
      </c>
      <c r="AW218" s="68"/>
      <c r="AX218" s="289" t="s">
        <v>933</v>
      </c>
      <c r="AY218" s="289" t="s">
        <v>933</v>
      </c>
      <c r="AZ218" s="289" t="s">
        <v>933</v>
      </c>
      <c r="BA218" s="290"/>
      <c r="BB218" s="31"/>
      <c r="BC218" s="291">
        <v>43472</v>
      </c>
      <c r="BD218" s="43" t="s">
        <v>122</v>
      </c>
      <c r="BE218" s="297">
        <v>23150088</v>
      </c>
      <c r="BF218" s="298">
        <f t="shared" si="6"/>
        <v>154.09968847352025</v>
      </c>
      <c r="BG218" s="297" t="e">
        <f>VLOOKUP(B218,[1]Sheet2!$B:$X,23,0)</f>
        <v>#N/A</v>
      </c>
    </row>
    <row r="219" spans="1:59" ht="33" customHeight="1">
      <c r="A219" s="5" t="s">
        <v>624</v>
      </c>
      <c r="B219" s="31" t="s">
        <v>626</v>
      </c>
      <c r="C219" s="26" t="s">
        <v>625</v>
      </c>
      <c r="D219" s="5" t="s">
        <v>627</v>
      </c>
      <c r="E219" s="31" t="s">
        <v>75</v>
      </c>
      <c r="F219" s="31" t="s">
        <v>315</v>
      </c>
      <c r="G219" s="31" t="s">
        <v>315</v>
      </c>
      <c r="H219" s="218"/>
      <c r="I219" s="6" t="s">
        <v>76</v>
      </c>
      <c r="J219" s="6"/>
      <c r="K219" s="292">
        <v>43174</v>
      </c>
      <c r="L219" s="5"/>
      <c r="M219" s="26">
        <v>95571</v>
      </c>
      <c r="N219" s="238">
        <f>55910+39661</f>
        <v>95571</v>
      </c>
      <c r="O219" s="6" t="s">
        <v>628</v>
      </c>
      <c r="P219" s="6"/>
      <c r="Q219" s="6"/>
      <c r="R219" s="6" t="s">
        <v>629</v>
      </c>
      <c r="S219" s="6"/>
      <c r="T219" s="6"/>
      <c r="U219" s="6"/>
      <c r="V219" s="6"/>
      <c r="W219" s="26"/>
      <c r="X219" s="5"/>
      <c r="Y219" s="261"/>
      <c r="Z219" s="261"/>
      <c r="AA219" s="262">
        <v>0.15</v>
      </c>
      <c r="AB219" s="5">
        <v>47524</v>
      </c>
      <c r="AC219" s="5"/>
      <c r="AD219" s="5"/>
      <c r="AE219" s="5">
        <v>33712</v>
      </c>
      <c r="AF219" s="5"/>
      <c r="AG219" s="5"/>
      <c r="AH219" s="5"/>
      <c r="AI219" s="5"/>
      <c r="AJ219" s="5"/>
      <c r="AK219" s="5"/>
      <c r="AL219" s="5"/>
      <c r="AM219" s="5"/>
      <c r="AN219" s="238">
        <f t="shared" si="5"/>
        <v>81236</v>
      </c>
      <c r="AO219" s="37" t="s">
        <v>93</v>
      </c>
      <c r="AP219" s="37"/>
      <c r="AQ219" s="68"/>
      <c r="AR219" s="26" t="s">
        <v>384</v>
      </c>
      <c r="AS219" s="26"/>
      <c r="AT219" s="72"/>
      <c r="AU219" s="68"/>
      <c r="AV219" s="43" t="s">
        <v>66</v>
      </c>
      <c r="AW219" s="68"/>
      <c r="AX219" s="289" t="s">
        <v>86</v>
      </c>
      <c r="AY219" s="289"/>
      <c r="AZ219" s="290">
        <v>43235</v>
      </c>
      <c r="BA219" s="290">
        <v>43238</v>
      </c>
      <c r="BB219" s="25" t="s">
        <v>78</v>
      </c>
      <c r="BC219" s="291">
        <v>43599</v>
      </c>
      <c r="BD219" s="25" t="s">
        <v>122</v>
      </c>
      <c r="BE219" s="297">
        <v>120801</v>
      </c>
      <c r="BF219" s="298">
        <f t="shared" si="6"/>
        <v>1.2639922152117273</v>
      </c>
      <c r="BG219" s="297" t="e">
        <f>VLOOKUP(B219,[1]Sheet2!$B:$X,23,0)</f>
        <v>#N/A</v>
      </c>
    </row>
    <row r="220" spans="1:59" ht="33" customHeight="1">
      <c r="A220" s="5" t="s">
        <v>942</v>
      </c>
      <c r="B220" s="31" t="s">
        <v>917</v>
      </c>
      <c r="C220" s="26" t="s">
        <v>943</v>
      </c>
      <c r="D220" s="5" t="s">
        <v>944</v>
      </c>
      <c r="E220" s="31" t="s">
        <v>75</v>
      </c>
      <c r="F220" s="31" t="s">
        <v>315</v>
      </c>
      <c r="G220" s="31" t="s">
        <v>315</v>
      </c>
      <c r="H220" s="218"/>
      <c r="I220" s="6" t="s">
        <v>76</v>
      </c>
      <c r="J220" s="6" t="s">
        <v>128</v>
      </c>
      <c r="K220" s="292">
        <v>43336</v>
      </c>
      <c r="L220" s="5"/>
      <c r="M220" s="26">
        <v>25230</v>
      </c>
      <c r="N220" s="238">
        <f>SUM(O220:V220)</f>
        <v>25230</v>
      </c>
      <c r="O220" s="324"/>
      <c r="P220" s="324">
        <v>9890</v>
      </c>
      <c r="Q220" s="324"/>
      <c r="R220" s="324"/>
      <c r="S220" s="324">
        <v>15340</v>
      </c>
      <c r="T220" s="324"/>
      <c r="U220" s="324"/>
      <c r="V220" s="324"/>
      <c r="W220" s="5"/>
      <c r="X220" s="5"/>
      <c r="Y220" s="261"/>
      <c r="Z220" s="261"/>
      <c r="AA220" s="262">
        <v>0.15</v>
      </c>
      <c r="AB220" s="5"/>
      <c r="AC220" s="5">
        <v>8406.5</v>
      </c>
      <c r="AD220" s="5"/>
      <c r="AE220" s="5"/>
      <c r="AF220" s="5">
        <v>13039</v>
      </c>
      <c r="AG220" s="5"/>
      <c r="AH220" s="5"/>
      <c r="AI220" s="5"/>
      <c r="AJ220" s="5"/>
      <c r="AK220" s="5"/>
      <c r="AL220" s="5"/>
      <c r="AM220" s="5"/>
      <c r="AN220" s="238">
        <f>SUM(AB220:AL220)</f>
        <v>21445.5</v>
      </c>
      <c r="AO220" s="31" t="s">
        <v>93</v>
      </c>
      <c r="AP220" s="37"/>
      <c r="AQ220" s="68"/>
      <c r="AR220" s="26" t="s">
        <v>384</v>
      </c>
      <c r="AS220" s="26"/>
      <c r="AT220" s="72"/>
      <c r="AU220" s="68"/>
      <c r="AV220" s="43" t="s">
        <v>933</v>
      </c>
      <c r="AW220" s="68"/>
      <c r="AX220" s="289" t="s">
        <v>933</v>
      </c>
      <c r="AY220" s="289"/>
      <c r="AZ220" s="290" t="s">
        <v>933</v>
      </c>
      <c r="BA220" s="290"/>
      <c r="BB220" s="25" t="s">
        <v>78</v>
      </c>
      <c r="BC220" s="291"/>
      <c r="BD220" s="43" t="s">
        <v>88</v>
      </c>
      <c r="BE220" s="297">
        <v>132000</v>
      </c>
      <c r="BF220" s="298">
        <f t="shared" si="6"/>
        <v>5.231866825208086</v>
      </c>
      <c r="BG220" s="297" t="e">
        <f>VLOOKUP(B220,[1]Sheet2!$B:$X,23,0)</f>
        <v>#N/A</v>
      </c>
    </row>
    <row r="221" spans="1:59" ht="33" customHeight="1">
      <c r="A221" s="5" t="s">
        <v>618</v>
      </c>
      <c r="B221" s="31" t="s">
        <v>620</v>
      </c>
      <c r="C221" s="26" t="s">
        <v>619</v>
      </c>
      <c r="D221" s="5" t="s">
        <v>621</v>
      </c>
      <c r="E221" s="31" t="s">
        <v>126</v>
      </c>
      <c r="F221" s="31" t="s">
        <v>315</v>
      </c>
      <c r="G221" s="31" t="s">
        <v>315</v>
      </c>
      <c r="H221" s="218"/>
      <c r="I221" s="6" t="s">
        <v>76</v>
      </c>
      <c r="J221" s="6"/>
      <c r="K221" s="292">
        <v>43174</v>
      </c>
      <c r="L221" s="5"/>
      <c r="M221" s="26">
        <v>49256</v>
      </c>
      <c r="N221" s="238">
        <f>36840+12416</f>
        <v>49256</v>
      </c>
      <c r="O221" s="6" t="s">
        <v>622</v>
      </c>
      <c r="P221" s="6"/>
      <c r="Q221" s="6"/>
      <c r="R221" s="6" t="s">
        <v>623</v>
      </c>
      <c r="S221" s="6"/>
      <c r="T221" s="6"/>
      <c r="U221" s="6"/>
      <c r="V221" s="6"/>
      <c r="W221" s="26"/>
      <c r="X221" s="5"/>
      <c r="Y221" s="261"/>
      <c r="Z221" s="261"/>
      <c r="AA221" s="262">
        <v>0.15</v>
      </c>
      <c r="AB221" s="5">
        <v>31314</v>
      </c>
      <c r="AC221" s="5"/>
      <c r="AD221" s="5"/>
      <c r="AE221" s="5">
        <v>10554</v>
      </c>
      <c r="AF221" s="5"/>
      <c r="AG221" s="5"/>
      <c r="AH221" s="5"/>
      <c r="AI221" s="5"/>
      <c r="AJ221" s="5"/>
      <c r="AK221" s="5"/>
      <c r="AL221" s="5"/>
      <c r="AM221" s="5"/>
      <c r="AN221" s="238">
        <f t="shared" si="5"/>
        <v>41868</v>
      </c>
      <c r="AO221" s="37" t="s">
        <v>93</v>
      </c>
      <c r="AP221" s="37"/>
      <c r="AQ221" s="68"/>
      <c r="AR221" s="26" t="s">
        <v>384</v>
      </c>
      <c r="AS221" s="26"/>
      <c r="AT221" s="72"/>
      <c r="AU221" s="68"/>
      <c r="AV221" s="43" t="s">
        <v>66</v>
      </c>
      <c r="AW221" s="68"/>
      <c r="AX221" s="289" t="s">
        <v>86</v>
      </c>
      <c r="AY221" s="289"/>
      <c r="AZ221" s="290">
        <v>43192</v>
      </c>
      <c r="BA221" s="290">
        <v>43344</v>
      </c>
      <c r="BB221" s="25" t="s">
        <v>78</v>
      </c>
      <c r="BC221" s="291">
        <v>43556</v>
      </c>
      <c r="BD221" s="43" t="s">
        <v>122</v>
      </c>
      <c r="BE221" s="297">
        <v>49256</v>
      </c>
      <c r="BF221" s="298">
        <f t="shared" si="6"/>
        <v>1</v>
      </c>
      <c r="BG221" s="297" t="e">
        <f>VLOOKUP(B221,[1]Sheet2!$B:$X,23,0)</f>
        <v>#N/A</v>
      </c>
    </row>
    <row r="222" spans="1:59" s="28" customFormat="1" ht="33" customHeight="1">
      <c r="A222" s="26" t="s">
        <v>1792</v>
      </c>
      <c r="B222" s="25" t="s">
        <v>578</v>
      </c>
      <c r="C222" s="26" t="s">
        <v>577</v>
      </c>
      <c r="D222" s="26" t="s">
        <v>579</v>
      </c>
      <c r="E222" s="25" t="s">
        <v>249</v>
      </c>
      <c r="F222" s="24" t="s">
        <v>196</v>
      </c>
      <c r="G222" s="24" t="s">
        <v>196</v>
      </c>
      <c r="H222" s="218"/>
      <c r="I222" s="53" t="s">
        <v>157</v>
      </c>
      <c r="J222" s="53" t="s">
        <v>63</v>
      </c>
      <c r="K222" s="295">
        <v>43160</v>
      </c>
      <c r="L222" s="26"/>
      <c r="M222" s="26">
        <v>500000</v>
      </c>
      <c r="N222" s="243">
        <v>500000</v>
      </c>
      <c r="O222" s="239"/>
      <c r="P222" s="239"/>
      <c r="Q222" s="239"/>
      <c r="R222" s="239"/>
      <c r="S222" s="239"/>
      <c r="T222" s="239"/>
      <c r="U222" s="245">
        <v>500000</v>
      </c>
      <c r="V222" s="239"/>
      <c r="W222" s="26"/>
      <c r="X222" s="26"/>
      <c r="Y222" s="263"/>
      <c r="Z222" s="263"/>
      <c r="AA222" s="262">
        <v>0.15</v>
      </c>
      <c r="AB222" s="26"/>
      <c r="AC222" s="26"/>
      <c r="AD222" s="26"/>
      <c r="AE222" s="26"/>
      <c r="AF222" s="26"/>
      <c r="AG222" s="26"/>
      <c r="AH222" s="26">
        <v>425000</v>
      </c>
      <c r="AI222" s="26"/>
      <c r="AJ222" s="26"/>
      <c r="AK222" s="26"/>
      <c r="AL222" s="26"/>
      <c r="AM222" s="26"/>
      <c r="AN222" s="243">
        <f t="shared" si="5"/>
        <v>425000</v>
      </c>
      <c r="AO222" s="216" t="s">
        <v>132</v>
      </c>
      <c r="AP222" s="216" t="s">
        <v>1371</v>
      </c>
      <c r="AQ222" s="245"/>
      <c r="AR222" s="26" t="s">
        <v>384</v>
      </c>
      <c r="AS222" s="26"/>
      <c r="AT222" s="308"/>
      <c r="AU222" s="245"/>
      <c r="AV222" s="43" t="s">
        <v>190</v>
      </c>
      <c r="AW222" s="245"/>
      <c r="AX222" s="289"/>
      <c r="AY222" s="289"/>
      <c r="AZ222" s="290"/>
      <c r="BA222" s="290"/>
      <c r="BB222" s="25" t="s">
        <v>581</v>
      </c>
      <c r="BC222" s="291">
        <v>43465</v>
      </c>
      <c r="BD222" s="43" t="s">
        <v>122</v>
      </c>
      <c r="BE222" s="297">
        <v>500000</v>
      </c>
      <c r="BF222" s="298">
        <f t="shared" si="6"/>
        <v>1</v>
      </c>
      <c r="BG222" s="297" t="e">
        <f>VLOOKUP(B222,[1]Sheet2!$B:$X,23,0)</f>
        <v>#N/A</v>
      </c>
    </row>
    <row r="223" spans="1:59" ht="33" customHeight="1">
      <c r="A223" s="26" t="s">
        <v>593</v>
      </c>
      <c r="B223" s="25" t="s">
        <v>595</v>
      </c>
      <c r="C223" s="26" t="s">
        <v>594</v>
      </c>
      <c r="D223" s="26" t="s">
        <v>596</v>
      </c>
      <c r="E223" s="25" t="s">
        <v>168</v>
      </c>
      <c r="F223" s="24" t="s">
        <v>196</v>
      </c>
      <c r="G223" s="24" t="s">
        <v>196</v>
      </c>
      <c r="H223" s="218" t="s">
        <v>1275</v>
      </c>
      <c r="I223" s="53" t="s">
        <v>107</v>
      </c>
      <c r="J223" s="53" t="s">
        <v>63</v>
      </c>
      <c r="K223" s="295">
        <v>43172</v>
      </c>
      <c r="L223" s="26"/>
      <c r="M223" s="26">
        <v>5498000</v>
      </c>
      <c r="N223" s="243">
        <v>5498000</v>
      </c>
      <c r="O223" s="239"/>
      <c r="P223" s="239"/>
      <c r="Q223" s="239"/>
      <c r="R223" s="245">
        <v>5498000</v>
      </c>
      <c r="S223" s="239"/>
      <c r="T223" s="239"/>
      <c r="U223" s="239"/>
      <c r="V223" s="239"/>
      <c r="W223" s="26"/>
      <c r="X223" s="26"/>
      <c r="Y223" s="263"/>
      <c r="Z223" s="263"/>
      <c r="AA223" s="262">
        <v>0.1153</v>
      </c>
      <c r="AB223" s="26">
        <v>3858000</v>
      </c>
      <c r="AC223" s="26"/>
      <c r="AD223" s="26"/>
      <c r="AE223" s="26">
        <v>1202000</v>
      </c>
      <c r="AF223" s="26"/>
      <c r="AG223" s="26"/>
      <c r="AH223" s="26"/>
      <c r="AI223" s="26"/>
      <c r="AJ223" s="26"/>
      <c r="AK223" s="26"/>
      <c r="AL223" s="26"/>
      <c r="AM223" s="26"/>
      <c r="AN223" s="243">
        <f t="shared" si="5"/>
        <v>5060000</v>
      </c>
      <c r="AO223" s="216" t="s">
        <v>62</v>
      </c>
      <c r="AP223" s="37"/>
      <c r="AQ223" s="245"/>
      <c r="AR223" s="26" t="s">
        <v>384</v>
      </c>
      <c r="AS223" s="26"/>
      <c r="AT223" s="308">
        <v>43084</v>
      </c>
      <c r="AU223" s="245"/>
      <c r="AV223" s="43" t="s">
        <v>66</v>
      </c>
      <c r="AW223" s="245"/>
      <c r="AX223" s="289" t="s">
        <v>86</v>
      </c>
      <c r="AY223" s="207" t="s">
        <v>1750</v>
      </c>
      <c r="AZ223" s="290">
        <v>43566</v>
      </c>
      <c r="BA223" s="290">
        <v>43650</v>
      </c>
      <c r="BB223" s="25"/>
      <c r="BC223" s="291">
        <v>43931</v>
      </c>
      <c r="BD223" s="113" t="s">
        <v>931</v>
      </c>
      <c r="BE223" s="297">
        <v>0</v>
      </c>
      <c r="BF223" s="298">
        <f t="shared" si="6"/>
        <v>0</v>
      </c>
      <c r="BG223" s="297" t="e">
        <f>VLOOKUP(B223,[1]Sheet2!$B:$X,23,0)</f>
        <v>#N/A</v>
      </c>
    </row>
    <row r="224" spans="1:59" ht="33" customHeight="1">
      <c r="A224" s="26" t="s">
        <v>608</v>
      </c>
      <c r="B224" s="25" t="s">
        <v>610</v>
      </c>
      <c r="C224" s="26" t="s">
        <v>609</v>
      </c>
      <c r="D224" s="26" t="s">
        <v>611</v>
      </c>
      <c r="E224" s="25" t="s">
        <v>168</v>
      </c>
      <c r="F224" s="24" t="s">
        <v>196</v>
      </c>
      <c r="G224" s="24" t="s">
        <v>196</v>
      </c>
      <c r="H224" s="218" t="s">
        <v>1275</v>
      </c>
      <c r="I224" s="53" t="s">
        <v>107</v>
      </c>
      <c r="J224" s="53" t="s">
        <v>63</v>
      </c>
      <c r="K224" s="295">
        <v>43172</v>
      </c>
      <c r="L224" s="26"/>
      <c r="M224" s="26">
        <v>6158000</v>
      </c>
      <c r="N224" s="243">
        <f>6158000</f>
        <v>6158000</v>
      </c>
      <c r="O224" s="239"/>
      <c r="P224" s="239"/>
      <c r="Q224" s="239"/>
      <c r="R224" s="245">
        <f>6158000</f>
        <v>6158000</v>
      </c>
      <c r="S224" s="239"/>
      <c r="T224" s="239"/>
      <c r="U224" s="239"/>
      <c r="V224" s="239"/>
      <c r="W224" s="26"/>
      <c r="X224" s="26"/>
      <c r="Y224" s="263"/>
      <c r="Z224" s="263"/>
      <c r="AA224" s="262">
        <v>0.1</v>
      </c>
      <c r="AB224" s="26">
        <v>3989680</v>
      </c>
      <c r="AC224" s="26"/>
      <c r="AD224" s="26"/>
      <c r="AE224" s="26"/>
      <c r="AF224" s="26"/>
      <c r="AG224" s="26"/>
      <c r="AH224" s="26">
        <v>1750320</v>
      </c>
      <c r="AI224" s="26"/>
      <c r="AJ224" s="26"/>
      <c r="AK224" s="26"/>
      <c r="AL224" s="26"/>
      <c r="AM224" s="26"/>
      <c r="AN224" s="243">
        <f t="shared" si="5"/>
        <v>5740000</v>
      </c>
      <c r="AO224" s="216" t="s">
        <v>62</v>
      </c>
      <c r="AP224" s="37"/>
      <c r="AQ224" s="245"/>
      <c r="AR224" s="26" t="s">
        <v>384</v>
      </c>
      <c r="AS224" s="26"/>
      <c r="AT224" s="308"/>
      <c r="AU224" s="245"/>
      <c r="AV224" s="43" t="s">
        <v>66</v>
      </c>
      <c r="AW224" s="245"/>
      <c r="AX224" s="289" t="s">
        <v>86</v>
      </c>
      <c r="AY224" s="207" t="s">
        <v>1750</v>
      </c>
      <c r="AZ224" s="290">
        <v>43573</v>
      </c>
      <c r="BA224" s="290">
        <v>43650</v>
      </c>
      <c r="BB224" s="25"/>
      <c r="BC224" s="291">
        <v>43938</v>
      </c>
      <c r="BD224" s="113" t="s">
        <v>931</v>
      </c>
      <c r="BE224" s="297">
        <v>0</v>
      </c>
      <c r="BF224" s="298">
        <f t="shared" si="6"/>
        <v>0</v>
      </c>
      <c r="BG224" s="297" t="e">
        <f>VLOOKUP(B224,[1]Sheet2!$B:$X,23,0)</f>
        <v>#N/A</v>
      </c>
    </row>
    <row r="225" spans="1:59" ht="33" customHeight="1">
      <c r="A225" s="84" t="s">
        <v>1793</v>
      </c>
      <c r="B225" s="25" t="s">
        <v>407</v>
      </c>
      <c r="C225" s="26" t="s">
        <v>406</v>
      </c>
      <c r="D225" s="26" t="s">
        <v>408</v>
      </c>
      <c r="E225" s="25" t="s">
        <v>75</v>
      </c>
      <c r="F225" s="24" t="s">
        <v>196</v>
      </c>
      <c r="G225" s="24" t="s">
        <v>196</v>
      </c>
      <c r="H225" s="218" t="s">
        <v>1275</v>
      </c>
      <c r="I225" s="53" t="s">
        <v>76</v>
      </c>
      <c r="J225" s="53" t="s">
        <v>128</v>
      </c>
      <c r="K225" s="295">
        <v>43111</v>
      </c>
      <c r="L225" s="26"/>
      <c r="M225" s="29">
        <v>7283157</v>
      </c>
      <c r="N225" s="243">
        <f>6130743+1152414</f>
        <v>7283157</v>
      </c>
      <c r="O225" s="53" t="s">
        <v>409</v>
      </c>
      <c r="P225" s="53"/>
      <c r="Q225" s="53"/>
      <c r="R225" s="53" t="s">
        <v>410</v>
      </c>
      <c r="S225" s="53"/>
      <c r="T225" s="53"/>
      <c r="U225" s="53"/>
      <c r="V225" s="53"/>
      <c r="W225" s="248"/>
      <c r="X225" s="245"/>
      <c r="Y225" s="263"/>
      <c r="Z225" s="263"/>
      <c r="AA225" s="262">
        <v>0.15</v>
      </c>
      <c r="AB225" s="26">
        <v>5211132</v>
      </c>
      <c r="AC225" s="26"/>
      <c r="AD225" s="26"/>
      <c r="AE225" s="26">
        <v>979552</v>
      </c>
      <c r="AF225" s="26"/>
      <c r="AG225" s="26"/>
      <c r="AH225" s="26"/>
      <c r="AI225" s="26"/>
      <c r="AJ225" s="26"/>
      <c r="AK225" s="26"/>
      <c r="AL225" s="26"/>
      <c r="AM225" s="26"/>
      <c r="AN225" s="243">
        <f t="shared" si="5"/>
        <v>6190684</v>
      </c>
      <c r="AO225" s="216" t="s">
        <v>145</v>
      </c>
      <c r="AP225" s="37" t="s">
        <v>1274</v>
      </c>
      <c r="AQ225" s="245"/>
      <c r="AR225" s="26" t="s">
        <v>384</v>
      </c>
      <c r="AS225" s="26"/>
      <c r="AT225" s="308"/>
      <c r="AU225" s="245"/>
      <c r="AV225" s="43" t="s">
        <v>66</v>
      </c>
      <c r="AW225" s="245"/>
      <c r="AX225" s="289" t="s">
        <v>86</v>
      </c>
      <c r="AY225" s="289"/>
      <c r="AZ225" s="290">
        <v>43252</v>
      </c>
      <c r="BA225" s="290">
        <v>43285</v>
      </c>
      <c r="BB225" s="25" t="s">
        <v>78</v>
      </c>
      <c r="BC225" s="82">
        <v>43617</v>
      </c>
      <c r="BD225" s="113" t="s">
        <v>122</v>
      </c>
      <c r="BE225" s="297">
        <v>7283157</v>
      </c>
      <c r="BF225" s="298">
        <f t="shared" si="6"/>
        <v>1</v>
      </c>
      <c r="BG225" s="297" t="e">
        <f>VLOOKUP(B225,[1]Sheet2!$B:$X,23,0)</f>
        <v>#N/A</v>
      </c>
    </row>
    <row r="226" spans="1:59" ht="33" customHeight="1">
      <c r="A226" s="17" t="s">
        <v>250</v>
      </c>
      <c r="B226" s="25" t="s">
        <v>252</v>
      </c>
      <c r="C226" s="26" t="s">
        <v>251</v>
      </c>
      <c r="D226" s="26" t="s">
        <v>253</v>
      </c>
      <c r="E226" s="25" t="s">
        <v>92</v>
      </c>
      <c r="F226" s="24" t="s">
        <v>196</v>
      </c>
      <c r="G226" s="24" t="s">
        <v>196</v>
      </c>
      <c r="H226" s="218"/>
      <c r="I226" s="53" t="s">
        <v>157</v>
      </c>
      <c r="J226" s="53" t="s">
        <v>63</v>
      </c>
      <c r="K226" s="295">
        <v>43187</v>
      </c>
      <c r="L226" s="26" t="s">
        <v>254</v>
      </c>
      <c r="M226" s="29">
        <v>983000</v>
      </c>
      <c r="N226" s="243">
        <v>983000</v>
      </c>
      <c r="O226" s="53" t="s">
        <v>255</v>
      </c>
      <c r="P226" s="244"/>
      <c r="Q226" s="244"/>
      <c r="R226" s="53" t="s">
        <v>256</v>
      </c>
      <c r="S226" s="244"/>
      <c r="T226" s="244"/>
      <c r="U226" s="244"/>
      <c r="V226" s="244"/>
      <c r="W226" s="7"/>
      <c r="X226" s="7"/>
      <c r="Y226" s="264"/>
      <c r="Z226" s="264"/>
      <c r="AA226" s="262">
        <f>1-(AB226+AE226+AH226)/N226</f>
        <v>0.16581892166836221</v>
      </c>
      <c r="AB226" s="26">
        <v>717400</v>
      </c>
      <c r="AC226" s="26"/>
      <c r="AD226" s="26"/>
      <c r="AE226" s="26">
        <v>102600</v>
      </c>
      <c r="AF226" s="26"/>
      <c r="AG226" s="26"/>
      <c r="AH226" s="26"/>
      <c r="AI226" s="26"/>
      <c r="AJ226" s="26"/>
      <c r="AK226" s="26"/>
      <c r="AL226" s="26"/>
      <c r="AM226" s="26"/>
      <c r="AN226" s="266">
        <f t="shared" si="5"/>
        <v>820000</v>
      </c>
      <c r="AO226" s="216" t="s">
        <v>93</v>
      </c>
      <c r="AP226" s="37"/>
      <c r="AQ226" s="245"/>
      <c r="AR226" s="26" t="s">
        <v>384</v>
      </c>
      <c r="AS226" s="26"/>
      <c r="AT226" s="308"/>
      <c r="AU226" s="245"/>
      <c r="AV226" s="43" t="s">
        <v>66</v>
      </c>
      <c r="AW226" s="245"/>
      <c r="AX226" s="289" t="s">
        <v>86</v>
      </c>
      <c r="AY226" s="289"/>
      <c r="AZ226" s="290">
        <v>43325</v>
      </c>
      <c r="BA226" s="290">
        <v>43338</v>
      </c>
      <c r="BB226" s="25" t="s">
        <v>78</v>
      </c>
      <c r="BC226" s="291">
        <v>43689</v>
      </c>
      <c r="BD226" s="113" t="s">
        <v>122</v>
      </c>
      <c r="BE226" s="297">
        <v>983000</v>
      </c>
      <c r="BF226" s="298">
        <f t="shared" si="6"/>
        <v>1</v>
      </c>
      <c r="BG226" s="297" t="e">
        <f>VLOOKUP(B226,[1]Sheet2!$B:$X,23,0)</f>
        <v>#N/A</v>
      </c>
    </row>
    <row r="227" spans="1:59" ht="33" customHeight="1">
      <c r="A227" s="5" t="s">
        <v>691</v>
      </c>
      <c r="B227" s="31" t="s">
        <v>693</v>
      </c>
      <c r="C227" s="26" t="s">
        <v>692</v>
      </c>
      <c r="D227" s="5" t="s">
        <v>694</v>
      </c>
      <c r="E227" s="31" t="s">
        <v>75</v>
      </c>
      <c r="F227" s="31" t="s">
        <v>315</v>
      </c>
      <c r="G227" s="31" t="s">
        <v>315</v>
      </c>
      <c r="H227" s="218" t="s">
        <v>1275</v>
      </c>
      <c r="I227" s="6" t="s">
        <v>175</v>
      </c>
      <c r="J227" s="6" t="s">
        <v>128</v>
      </c>
      <c r="K227" s="292">
        <v>43202</v>
      </c>
      <c r="L227" s="5"/>
      <c r="M227" s="26">
        <v>215773</v>
      </c>
      <c r="N227" s="238">
        <f>154873+60900</f>
        <v>215773</v>
      </c>
      <c r="O227" s="6" t="s">
        <v>696</v>
      </c>
      <c r="P227" s="6"/>
      <c r="Q227" s="6"/>
      <c r="R227" s="6" t="s">
        <v>697</v>
      </c>
      <c r="S227" s="6"/>
      <c r="T227" s="6"/>
      <c r="U227" s="6"/>
      <c r="V227" s="6"/>
      <c r="W227" s="26"/>
      <c r="X227" s="5"/>
      <c r="Y227" s="261"/>
      <c r="Z227" s="261"/>
      <c r="AA227" s="261">
        <v>0.15</v>
      </c>
      <c r="AB227" s="5">
        <v>51765</v>
      </c>
      <c r="AC227" s="5"/>
      <c r="AD227" s="5"/>
      <c r="AE227" s="5"/>
      <c r="AF227" s="5"/>
      <c r="AG227" s="5"/>
      <c r="AH227" s="5">
        <v>131642</v>
      </c>
      <c r="AI227" s="5"/>
      <c r="AJ227" s="5"/>
      <c r="AK227" s="5"/>
      <c r="AL227" s="5"/>
      <c r="AM227" s="5"/>
      <c r="AN227" s="238">
        <f t="shared" si="5"/>
        <v>183407</v>
      </c>
      <c r="AO227" s="37" t="s">
        <v>114</v>
      </c>
      <c r="AP227" s="37"/>
      <c r="AQ227" s="68"/>
      <c r="AR227" s="26" t="s">
        <v>384</v>
      </c>
      <c r="AS227" s="26"/>
      <c r="AT227" s="72"/>
      <c r="AU227" s="68"/>
      <c r="AV227" s="43">
        <v>2019.3</v>
      </c>
      <c r="AW227" s="68"/>
      <c r="AX227" s="289"/>
      <c r="AY227" s="289"/>
      <c r="AZ227" s="290"/>
      <c r="BA227" s="290"/>
      <c r="BB227" s="31"/>
      <c r="BC227" s="291"/>
      <c r="BD227" s="113" t="s">
        <v>213</v>
      </c>
      <c r="BE227" s="297">
        <v>43154.6</v>
      </c>
      <c r="BF227" s="298">
        <f t="shared" si="6"/>
        <v>0.19999999999999998</v>
      </c>
      <c r="BG227" s="297" t="e">
        <f>VLOOKUP(B227,[1]Sheet2!$B:$X,23,0)</f>
        <v>#N/A</v>
      </c>
    </row>
    <row r="228" spans="1:59" ht="33" customHeight="1">
      <c r="A228" s="5" t="s">
        <v>630</v>
      </c>
      <c r="B228" s="31" t="s">
        <v>632</v>
      </c>
      <c r="C228" s="26" t="s">
        <v>631</v>
      </c>
      <c r="D228" s="5" t="s">
        <v>633</v>
      </c>
      <c r="E228" s="31" t="s">
        <v>83</v>
      </c>
      <c r="F228" s="24" t="s">
        <v>196</v>
      </c>
      <c r="G228" s="37" t="s">
        <v>1794</v>
      </c>
      <c r="H228" s="218" t="s">
        <v>1794</v>
      </c>
      <c r="I228" s="6" t="s">
        <v>76</v>
      </c>
      <c r="J228" s="6"/>
      <c r="K228" s="292">
        <v>43174</v>
      </c>
      <c r="L228" s="5"/>
      <c r="M228" s="26">
        <v>685000</v>
      </c>
      <c r="N228" s="238">
        <f>567000+118000</f>
        <v>685000</v>
      </c>
      <c r="O228" s="6" t="s">
        <v>634</v>
      </c>
      <c r="P228" s="6"/>
      <c r="Q228" s="6"/>
      <c r="R228" s="6"/>
      <c r="S228" s="6"/>
      <c r="T228" s="6"/>
      <c r="U228" s="6" t="s">
        <v>635</v>
      </c>
      <c r="V228" s="6"/>
      <c r="W228" s="26"/>
      <c r="X228" s="5"/>
      <c r="Y228" s="261"/>
      <c r="Z228" s="261"/>
      <c r="AA228" s="262">
        <v>0.15</v>
      </c>
      <c r="AB228" s="5">
        <v>480000</v>
      </c>
      <c r="AC228" s="5"/>
      <c r="AD228" s="5"/>
      <c r="AE228" s="5"/>
      <c r="AF228" s="5"/>
      <c r="AG228" s="5"/>
      <c r="AH228" s="5">
        <v>100000</v>
      </c>
      <c r="AI228" s="5"/>
      <c r="AJ228" s="5"/>
      <c r="AK228" s="5"/>
      <c r="AL228" s="5"/>
      <c r="AM228" s="5"/>
      <c r="AN228" s="238">
        <f t="shared" si="5"/>
        <v>580000</v>
      </c>
      <c r="AO228" s="31" t="s">
        <v>132</v>
      </c>
      <c r="AP228" s="37" t="s">
        <v>1308</v>
      </c>
      <c r="AQ228" s="68"/>
      <c r="AR228" s="26" t="s">
        <v>384</v>
      </c>
      <c r="AS228" s="26"/>
      <c r="AT228" s="72"/>
      <c r="AU228" s="68"/>
      <c r="AV228" s="43" t="s">
        <v>66</v>
      </c>
      <c r="AW228" s="68"/>
      <c r="AX228" s="289" t="s">
        <v>86</v>
      </c>
      <c r="AY228" s="289"/>
      <c r="AZ228" s="290">
        <v>43433</v>
      </c>
      <c r="BA228" s="290">
        <v>43446</v>
      </c>
      <c r="BB228" s="25" t="s">
        <v>78</v>
      </c>
      <c r="BC228" s="291">
        <v>43797</v>
      </c>
      <c r="BD228" s="113" t="s">
        <v>931</v>
      </c>
      <c r="BE228" s="297">
        <v>685000</v>
      </c>
      <c r="BF228" s="298">
        <f t="shared" si="6"/>
        <v>1</v>
      </c>
      <c r="BG228" s="297" t="e">
        <f>VLOOKUP(B228,[1]Sheet2!$B:$X,23,0)</f>
        <v>#N/A</v>
      </c>
    </row>
    <row r="229" spans="1:59" ht="33" customHeight="1">
      <c r="A229" s="26" t="s">
        <v>598</v>
      </c>
      <c r="B229" s="25" t="s">
        <v>600</v>
      </c>
      <c r="C229" s="26" t="s">
        <v>599</v>
      </c>
      <c r="D229" s="26" t="s">
        <v>601</v>
      </c>
      <c r="E229" s="25" t="s">
        <v>249</v>
      </c>
      <c r="F229" s="31" t="s">
        <v>315</v>
      </c>
      <c r="G229" s="31" t="s">
        <v>315</v>
      </c>
      <c r="H229" s="218"/>
      <c r="I229" s="53" t="s">
        <v>602</v>
      </c>
      <c r="J229" s="53" t="s">
        <v>128</v>
      </c>
      <c r="K229" s="295">
        <v>43173</v>
      </c>
      <c r="L229" s="26" t="s">
        <v>603</v>
      </c>
      <c r="M229" s="26">
        <v>129876</v>
      </c>
      <c r="N229" s="243">
        <f>116550+13326</f>
        <v>129876</v>
      </c>
      <c r="O229" s="53" t="s">
        <v>604</v>
      </c>
      <c r="P229" s="53"/>
      <c r="Q229" s="53"/>
      <c r="R229" s="53" t="s">
        <v>605</v>
      </c>
      <c r="S229" s="53"/>
      <c r="T229" s="53"/>
      <c r="U229" s="53"/>
      <c r="V229" s="53"/>
      <c r="W229" s="26"/>
      <c r="X229" s="26"/>
      <c r="Y229" s="263"/>
      <c r="Z229" s="263"/>
      <c r="AA229" s="262">
        <v>0.15</v>
      </c>
      <c r="AB229" s="26">
        <f>73760+25307</f>
        <v>99067</v>
      </c>
      <c r="AC229" s="26"/>
      <c r="AD229" s="26"/>
      <c r="AE229" s="26">
        <v>11326.7</v>
      </c>
      <c r="AF229" s="26"/>
      <c r="AG229" s="26"/>
      <c r="AH229" s="26"/>
      <c r="AI229" s="26"/>
      <c r="AJ229" s="26"/>
      <c r="AK229" s="26"/>
      <c r="AL229" s="26"/>
      <c r="AM229" s="26"/>
      <c r="AN229" s="243">
        <f t="shared" si="5"/>
        <v>110393.7</v>
      </c>
      <c r="AO229" s="25" t="s">
        <v>606</v>
      </c>
      <c r="AP229" s="37"/>
      <c r="AQ229" s="245"/>
      <c r="AR229" s="26" t="s">
        <v>384</v>
      </c>
      <c r="AS229" s="26"/>
      <c r="AT229" s="308">
        <v>43114</v>
      </c>
      <c r="AU229" s="245"/>
      <c r="AV229" s="43" t="s">
        <v>66</v>
      </c>
      <c r="AW229" s="245"/>
      <c r="AX229" s="289" t="s">
        <v>607</v>
      </c>
      <c r="AY229" s="289"/>
      <c r="AZ229" s="290">
        <v>43282</v>
      </c>
      <c r="BA229" s="290">
        <v>43388</v>
      </c>
      <c r="BB229" s="25" t="s">
        <v>78</v>
      </c>
      <c r="BC229" s="291">
        <v>43646</v>
      </c>
      <c r="BD229" s="113" t="s">
        <v>122</v>
      </c>
      <c r="BE229" s="297">
        <v>129875.55</v>
      </c>
      <c r="BF229" s="298">
        <f t="shared" si="6"/>
        <v>0.99999653515661091</v>
      </c>
      <c r="BG229" s="297" t="e">
        <f>VLOOKUP(B229,[1]Sheet2!$B:$X,23,0)</f>
        <v>#N/A</v>
      </c>
    </row>
    <row r="230" spans="1:59" ht="33" customHeight="1">
      <c r="A230" s="5" t="s">
        <v>637</v>
      </c>
      <c r="B230" s="31" t="s">
        <v>639</v>
      </c>
      <c r="C230" s="26" t="s">
        <v>638</v>
      </c>
      <c r="D230" s="5" t="s">
        <v>640</v>
      </c>
      <c r="E230" s="31" t="s">
        <v>106</v>
      </c>
      <c r="F230" s="31" t="s">
        <v>315</v>
      </c>
      <c r="G230" s="31" t="s">
        <v>315</v>
      </c>
      <c r="H230" s="218"/>
      <c r="I230" s="6" t="s">
        <v>107</v>
      </c>
      <c r="J230" s="6" t="s">
        <v>63</v>
      </c>
      <c r="K230" s="292">
        <v>43174</v>
      </c>
      <c r="L230" s="5"/>
      <c r="M230" s="26">
        <v>97000</v>
      </c>
      <c r="N230" s="238">
        <f>48320+48680</f>
        <v>97000</v>
      </c>
      <c r="O230" s="6" t="s">
        <v>641</v>
      </c>
      <c r="P230" s="6"/>
      <c r="Q230" s="6"/>
      <c r="R230" s="6" t="s">
        <v>642</v>
      </c>
      <c r="S230" s="6"/>
      <c r="T230" s="6"/>
      <c r="U230" s="6"/>
      <c r="V230" s="6"/>
      <c r="W230" s="26"/>
      <c r="X230" s="5"/>
      <c r="Y230" s="261"/>
      <c r="Z230" s="261"/>
      <c r="AA230" s="262">
        <v>0.15</v>
      </c>
      <c r="AB230" s="5">
        <v>41072</v>
      </c>
      <c r="AC230" s="5"/>
      <c r="AD230" s="5"/>
      <c r="AE230" s="5">
        <v>41378</v>
      </c>
      <c r="AF230" s="5"/>
      <c r="AG230" s="5"/>
      <c r="AH230" s="5"/>
      <c r="AI230" s="5"/>
      <c r="AJ230" s="5"/>
      <c r="AK230" s="5"/>
      <c r="AL230" s="5"/>
      <c r="AM230" s="5"/>
      <c r="AN230" s="238">
        <f t="shared" si="5"/>
        <v>82450</v>
      </c>
      <c r="AO230" s="31" t="s">
        <v>108</v>
      </c>
      <c r="AP230" s="37"/>
      <c r="AQ230" s="68"/>
      <c r="AR230" s="26" t="s">
        <v>384</v>
      </c>
      <c r="AS230" s="26"/>
      <c r="AT230" s="72"/>
      <c r="AU230" s="68"/>
      <c r="AV230" s="43" t="s">
        <v>66</v>
      </c>
      <c r="AW230" s="68"/>
      <c r="AX230" s="289" t="s">
        <v>86</v>
      </c>
      <c r="AY230" s="289"/>
      <c r="AZ230" s="290">
        <v>43215</v>
      </c>
      <c r="BA230" s="290">
        <v>43215</v>
      </c>
      <c r="BB230" s="25" t="s">
        <v>78</v>
      </c>
      <c r="BC230" s="291">
        <v>43579</v>
      </c>
      <c r="BD230" s="25" t="s">
        <v>122</v>
      </c>
      <c r="BE230" s="297"/>
      <c r="BF230" s="298">
        <f t="shared" si="6"/>
        <v>0</v>
      </c>
      <c r="BG230" s="297" t="e">
        <f>VLOOKUP(B230,[1]Sheet2!$B:$X,23,0)</f>
        <v>#N/A</v>
      </c>
    </row>
    <row r="231" spans="1:59" ht="33" customHeight="1">
      <c r="A231" s="5" t="s">
        <v>728</v>
      </c>
      <c r="B231" s="31" t="s">
        <v>730</v>
      </c>
      <c r="C231" s="26" t="s">
        <v>729</v>
      </c>
      <c r="D231" s="5" t="s">
        <v>731</v>
      </c>
      <c r="E231" s="31" t="s">
        <v>83</v>
      </c>
      <c r="F231" s="31" t="s">
        <v>315</v>
      </c>
      <c r="G231" s="31" t="s">
        <v>315</v>
      </c>
      <c r="H231" s="218"/>
      <c r="I231" s="6" t="s">
        <v>150</v>
      </c>
      <c r="J231" s="6" t="s">
        <v>84</v>
      </c>
      <c r="K231" s="292">
        <v>43216</v>
      </c>
      <c r="L231" s="5"/>
      <c r="M231" s="26">
        <v>57200</v>
      </c>
      <c r="N231" s="238">
        <v>57200</v>
      </c>
      <c r="O231" s="239" t="s">
        <v>733</v>
      </c>
      <c r="P231" s="239"/>
      <c r="Q231" s="239"/>
      <c r="R231" s="239"/>
      <c r="S231" s="239"/>
      <c r="T231" s="239"/>
      <c r="U231" s="68"/>
      <c r="V231" s="239"/>
      <c r="W231" s="26"/>
      <c r="X231" s="5"/>
      <c r="Y231" s="262">
        <v>0</v>
      </c>
      <c r="Z231" s="262"/>
      <c r="AA231" s="261">
        <v>0.15</v>
      </c>
      <c r="AB231" s="5">
        <v>48620</v>
      </c>
      <c r="AC231" s="5"/>
      <c r="AD231" s="5"/>
      <c r="AE231" s="5"/>
      <c r="AF231" s="5"/>
      <c r="AG231" s="5"/>
      <c r="AH231" s="5"/>
      <c r="AI231" s="5"/>
      <c r="AJ231" s="5"/>
      <c r="AK231" s="5"/>
      <c r="AL231" s="5"/>
      <c r="AM231" s="5"/>
      <c r="AN231" s="238">
        <f t="shared" si="5"/>
        <v>48620</v>
      </c>
      <c r="AO231" s="31" t="s">
        <v>93</v>
      </c>
      <c r="AP231" s="37"/>
      <c r="AQ231" s="68"/>
      <c r="AR231" s="26" t="s">
        <v>384</v>
      </c>
      <c r="AS231" s="26"/>
      <c r="AT231" s="72"/>
      <c r="AU231" s="68"/>
      <c r="AV231" s="43" t="s">
        <v>66</v>
      </c>
      <c r="AW231" s="68"/>
      <c r="AX231" s="289" t="s">
        <v>86</v>
      </c>
      <c r="AY231" s="289"/>
      <c r="AZ231" s="290">
        <v>43191</v>
      </c>
      <c r="BA231" s="290">
        <v>43449</v>
      </c>
      <c r="BB231" s="31"/>
      <c r="BC231" s="291">
        <v>43813</v>
      </c>
      <c r="BD231" s="311" t="s">
        <v>88</v>
      </c>
      <c r="BE231" s="297">
        <v>57200</v>
      </c>
      <c r="BF231" s="298">
        <f t="shared" si="6"/>
        <v>1</v>
      </c>
      <c r="BG231" s="297" t="e">
        <f>VLOOKUP(B231,[1]Sheet2!$B:$X,23,0)</f>
        <v>#N/A</v>
      </c>
    </row>
    <row r="232" spans="1:59" ht="33" customHeight="1">
      <c r="A232" s="5" t="s">
        <v>663</v>
      </c>
      <c r="B232" s="31" t="s">
        <v>665</v>
      </c>
      <c r="C232" s="26" t="s">
        <v>664</v>
      </c>
      <c r="D232" s="5" t="s">
        <v>666</v>
      </c>
      <c r="E232" s="31" t="s">
        <v>83</v>
      </c>
      <c r="F232" s="24" t="s">
        <v>196</v>
      </c>
      <c r="G232" s="24" t="s">
        <v>196</v>
      </c>
      <c r="H232" s="218"/>
      <c r="I232" s="6" t="s">
        <v>157</v>
      </c>
      <c r="J232" s="6"/>
      <c r="K232" s="292">
        <v>43185</v>
      </c>
      <c r="L232" s="5"/>
      <c r="M232" s="26">
        <v>23108</v>
      </c>
      <c r="N232" s="238">
        <v>23108</v>
      </c>
      <c r="O232" s="239"/>
      <c r="P232" s="239"/>
      <c r="Q232" s="239"/>
      <c r="R232" s="239"/>
      <c r="S232" s="239"/>
      <c r="T232" s="239"/>
      <c r="U232" s="68">
        <v>23108</v>
      </c>
      <c r="V232" s="239"/>
      <c r="W232" s="26"/>
      <c r="X232" s="5"/>
      <c r="Y232" s="261"/>
      <c r="Z232" s="261"/>
      <c r="AA232" s="261">
        <v>0.25</v>
      </c>
      <c r="AB232" s="5"/>
      <c r="AC232" s="5"/>
      <c r="AD232" s="5"/>
      <c r="AE232" s="5"/>
      <c r="AF232" s="5"/>
      <c r="AG232" s="5"/>
      <c r="AH232" s="5">
        <v>16350</v>
      </c>
      <c r="AI232" s="5"/>
      <c r="AJ232" s="5"/>
      <c r="AK232" s="5"/>
      <c r="AL232" s="5"/>
      <c r="AM232" s="5"/>
      <c r="AN232" s="238">
        <f t="shared" si="5"/>
        <v>16350</v>
      </c>
      <c r="AO232" s="31" t="s">
        <v>108</v>
      </c>
      <c r="AP232" s="37"/>
      <c r="AQ232" s="68"/>
      <c r="AR232" s="26" t="s">
        <v>384</v>
      </c>
      <c r="AS232" s="26"/>
      <c r="AT232" s="72"/>
      <c r="AU232" s="68"/>
      <c r="AV232" s="43" t="s">
        <v>190</v>
      </c>
      <c r="AW232" s="68"/>
      <c r="AX232" s="289"/>
      <c r="AY232" s="289"/>
      <c r="AZ232" s="290"/>
      <c r="BA232" s="290"/>
      <c r="BB232" s="31" t="s">
        <v>662</v>
      </c>
      <c r="BC232" s="291">
        <v>43100</v>
      </c>
      <c r="BD232" s="43" t="s">
        <v>192</v>
      </c>
      <c r="BE232" s="297"/>
      <c r="BF232" s="298">
        <f t="shared" si="6"/>
        <v>0</v>
      </c>
      <c r="BG232" s="297" t="e">
        <f>VLOOKUP(B232,[1]Sheet2!$B:$X,23,0)</f>
        <v>#N/A</v>
      </c>
    </row>
    <row r="233" spans="1:59" ht="33" customHeight="1">
      <c r="A233" s="5" t="s">
        <v>843</v>
      </c>
      <c r="B233" s="31" t="s">
        <v>845</v>
      </c>
      <c r="C233" s="26" t="s">
        <v>844</v>
      </c>
      <c r="D233" s="5" t="s">
        <v>846</v>
      </c>
      <c r="E233" s="31" t="s">
        <v>576</v>
      </c>
      <c r="F233" s="31" t="s">
        <v>315</v>
      </c>
      <c r="G233" s="31" t="s">
        <v>315</v>
      </c>
      <c r="H233" s="218" t="s">
        <v>1275</v>
      </c>
      <c r="I233" s="6" t="s">
        <v>795</v>
      </c>
      <c r="J233" s="6"/>
      <c r="K233" s="292">
        <v>43236</v>
      </c>
      <c r="L233" s="5"/>
      <c r="M233" s="26">
        <v>216877.35</v>
      </c>
      <c r="N233" s="238">
        <f>SUM(O233:V233)</f>
        <v>216877.35</v>
      </c>
      <c r="O233" s="6"/>
      <c r="P233" s="68"/>
      <c r="Q233" s="68"/>
      <c r="R233" s="68"/>
      <c r="S233" s="68">
        <v>216877.35</v>
      </c>
      <c r="T233" s="68"/>
      <c r="U233" s="68"/>
      <c r="V233" s="68"/>
      <c r="W233" s="5"/>
      <c r="X233" s="5"/>
      <c r="Y233" s="261"/>
      <c r="Z233" s="261"/>
      <c r="AA233" s="261">
        <v>0.15</v>
      </c>
      <c r="AB233" s="5"/>
      <c r="AC233" s="5"/>
      <c r="AD233" s="5"/>
      <c r="AE233" s="5"/>
      <c r="AF233" s="5">
        <v>184345.75</v>
      </c>
      <c r="AG233" s="5"/>
      <c r="AH233" s="5"/>
      <c r="AI233" s="5"/>
      <c r="AJ233" s="5"/>
      <c r="AK233" s="5"/>
      <c r="AL233" s="5"/>
      <c r="AM233" s="5"/>
      <c r="AN233" s="238">
        <f t="shared" si="5"/>
        <v>184345.75</v>
      </c>
      <c r="AO233" s="31" t="s">
        <v>114</v>
      </c>
      <c r="AP233" s="37"/>
      <c r="AQ233" s="68"/>
      <c r="AR233" s="26" t="s">
        <v>384</v>
      </c>
      <c r="AS233" s="61">
        <v>43311</v>
      </c>
      <c r="AT233" s="72">
        <v>43678</v>
      </c>
      <c r="AU233" s="68"/>
      <c r="AV233" s="43" t="s">
        <v>66</v>
      </c>
      <c r="AW233" s="68"/>
      <c r="AX233" s="289" t="s">
        <v>86</v>
      </c>
      <c r="AY233" s="289" t="s">
        <v>1795</v>
      </c>
      <c r="AZ233" s="290">
        <v>43702</v>
      </c>
      <c r="BA233" s="290">
        <v>43748</v>
      </c>
      <c r="BB233" s="31"/>
      <c r="BC233" s="291">
        <v>44043</v>
      </c>
      <c r="BD233" s="113" t="s">
        <v>88</v>
      </c>
      <c r="BE233" s="297">
        <v>100000</v>
      </c>
      <c r="BF233" s="298">
        <f t="shared" si="6"/>
        <v>0.4610901046144284</v>
      </c>
      <c r="BG233" s="297" t="e">
        <f>VLOOKUP(B233,[1]Sheet2!$B:$X,23,0)</f>
        <v>#N/A</v>
      </c>
    </row>
    <row r="234" spans="1:59" s="28" customFormat="1" ht="33" customHeight="1">
      <c r="A234" s="5" t="s">
        <v>562</v>
      </c>
      <c r="B234" s="31" t="s">
        <v>564</v>
      </c>
      <c r="C234" s="26" t="s">
        <v>563</v>
      </c>
      <c r="D234" s="5" t="s">
        <v>565</v>
      </c>
      <c r="E234" s="31" t="s">
        <v>83</v>
      </c>
      <c r="F234" s="31" t="s">
        <v>315</v>
      </c>
      <c r="G234" s="31" t="s">
        <v>315</v>
      </c>
      <c r="H234" s="218"/>
      <c r="I234" s="6" t="s">
        <v>175</v>
      </c>
      <c r="J234" s="6" t="s">
        <v>84</v>
      </c>
      <c r="K234" s="292" t="s">
        <v>566</v>
      </c>
      <c r="L234" s="5" t="s">
        <v>567</v>
      </c>
      <c r="M234" s="26">
        <v>25114000</v>
      </c>
      <c r="N234" s="238">
        <f>10514000+14600000</f>
        <v>25114000</v>
      </c>
      <c r="O234" s="6" t="s">
        <v>568</v>
      </c>
      <c r="P234" s="6"/>
      <c r="Q234" s="6"/>
      <c r="R234" s="6"/>
      <c r="S234" s="6"/>
      <c r="T234" s="6"/>
      <c r="U234" s="6" t="s">
        <v>569</v>
      </c>
      <c r="V234" s="6"/>
      <c r="W234" s="26"/>
      <c r="X234" s="26"/>
      <c r="Y234" s="263"/>
      <c r="Z234" s="263"/>
      <c r="AA234" s="319">
        <v>7.7700000000000005E-2</v>
      </c>
      <c r="AB234" s="5">
        <v>9764100</v>
      </c>
      <c r="AC234" s="5"/>
      <c r="AD234" s="5"/>
      <c r="AE234" s="5"/>
      <c r="AF234" s="5"/>
      <c r="AG234" s="5"/>
      <c r="AH234" s="5">
        <f>1920000+10434900+1200000</f>
        <v>13554900</v>
      </c>
      <c r="AI234" s="5"/>
      <c r="AJ234" s="5"/>
      <c r="AK234" s="5"/>
      <c r="AL234" s="5"/>
      <c r="AM234" s="5"/>
      <c r="AN234" s="238">
        <f t="shared" si="5"/>
        <v>23319000</v>
      </c>
      <c r="AO234" s="31" t="s">
        <v>132</v>
      </c>
      <c r="AP234" s="37" t="s">
        <v>1544</v>
      </c>
      <c r="AQ234" s="68"/>
      <c r="AR234" s="26" t="s">
        <v>384</v>
      </c>
      <c r="AS234" s="26"/>
      <c r="AT234" s="72">
        <v>43335</v>
      </c>
      <c r="AU234" s="68"/>
      <c r="AV234" s="43" t="s">
        <v>66</v>
      </c>
      <c r="AW234" s="68"/>
      <c r="AX234" s="320" t="s">
        <v>86</v>
      </c>
      <c r="AY234" s="320" t="s">
        <v>1796</v>
      </c>
      <c r="AZ234" s="291">
        <v>43490</v>
      </c>
      <c r="BA234" s="291"/>
      <c r="BB234" s="31" t="s">
        <v>78</v>
      </c>
      <c r="BC234" s="291">
        <v>43854</v>
      </c>
      <c r="BD234" s="43" t="s">
        <v>88</v>
      </c>
      <c r="BE234" s="297"/>
      <c r="BF234" s="298">
        <f t="shared" si="6"/>
        <v>0</v>
      </c>
      <c r="BG234" s="297" t="e">
        <f>VLOOKUP(B234,[1]Sheet2!$B:$X,23,0)</f>
        <v>#N/A</v>
      </c>
    </row>
    <row r="235" spans="1:59" s="28" customFormat="1" ht="33" customHeight="1">
      <c r="A235" s="26" t="s">
        <v>688</v>
      </c>
      <c r="B235" s="25" t="s">
        <v>690</v>
      </c>
      <c r="C235" s="26" t="s">
        <v>689</v>
      </c>
      <c r="D235" s="26" t="s">
        <v>440</v>
      </c>
      <c r="E235" s="25" t="s">
        <v>168</v>
      </c>
      <c r="F235" s="25" t="s">
        <v>1277</v>
      </c>
      <c r="G235" s="25" t="s">
        <v>1277</v>
      </c>
      <c r="H235" s="218"/>
      <c r="I235" s="53" t="s">
        <v>175</v>
      </c>
      <c r="J235" s="53" t="s">
        <v>84</v>
      </c>
      <c r="K235" s="295">
        <v>43215</v>
      </c>
      <c r="L235" s="26" t="s">
        <v>686</v>
      </c>
      <c r="M235" s="26">
        <v>79200</v>
      </c>
      <c r="N235" s="243">
        <v>79200</v>
      </c>
      <c r="O235" s="239"/>
      <c r="P235" s="239"/>
      <c r="Q235" s="239"/>
      <c r="R235" s="239"/>
      <c r="S235" s="239"/>
      <c r="T235" s="239"/>
      <c r="U235" s="245">
        <v>79200</v>
      </c>
      <c r="V235" s="239"/>
      <c r="W235" s="26"/>
      <c r="X235" s="26"/>
      <c r="Y235" s="263"/>
      <c r="Z235" s="263"/>
      <c r="AA235" s="263">
        <v>0.15</v>
      </c>
      <c r="AB235" s="26"/>
      <c r="AC235" s="26"/>
      <c r="AD235" s="26"/>
      <c r="AE235" s="26"/>
      <c r="AF235" s="26"/>
      <c r="AG235" s="26"/>
      <c r="AH235" s="26">
        <f>6000+61320</f>
        <v>67320</v>
      </c>
      <c r="AI235" s="26"/>
      <c r="AJ235" s="26"/>
      <c r="AK235" s="26"/>
      <c r="AL235" s="26"/>
      <c r="AM235" s="26"/>
      <c r="AN235" s="243">
        <f t="shared" si="5"/>
        <v>67320</v>
      </c>
      <c r="AO235" s="25" t="s">
        <v>442</v>
      </c>
      <c r="AP235" s="216"/>
      <c r="AQ235" s="245"/>
      <c r="AR235" s="26" t="s">
        <v>384</v>
      </c>
      <c r="AS235" s="26"/>
      <c r="AT235" s="308"/>
      <c r="AU235" s="245"/>
      <c r="AV235" s="43" t="s">
        <v>190</v>
      </c>
      <c r="AW235" s="245"/>
      <c r="AX235" s="289"/>
      <c r="AY235" s="289"/>
      <c r="AZ235" s="290"/>
      <c r="BA235" s="290"/>
      <c r="BB235" s="25" t="s">
        <v>687</v>
      </c>
      <c r="BC235" s="291">
        <v>45047</v>
      </c>
      <c r="BD235" s="113" t="s">
        <v>1758</v>
      </c>
      <c r="BE235" s="297">
        <v>15840</v>
      </c>
      <c r="BF235" s="298">
        <f t="shared" si="6"/>
        <v>0.2</v>
      </c>
      <c r="BG235" s="297" t="e">
        <f>VLOOKUP(B235,[1]Sheet2!$B:$X,23,0)</f>
        <v>#N/A</v>
      </c>
    </row>
    <row r="236" spans="1:59" s="28" customFormat="1" ht="33" customHeight="1">
      <c r="A236" s="26" t="s">
        <v>683</v>
      </c>
      <c r="B236" s="25" t="s">
        <v>685</v>
      </c>
      <c r="C236" s="26" t="s">
        <v>684</v>
      </c>
      <c r="D236" s="26" t="s">
        <v>440</v>
      </c>
      <c r="E236" s="25" t="s">
        <v>168</v>
      </c>
      <c r="F236" s="25" t="s">
        <v>1277</v>
      </c>
      <c r="G236" s="25" t="s">
        <v>1277</v>
      </c>
      <c r="H236" s="218"/>
      <c r="I236" s="53" t="s">
        <v>175</v>
      </c>
      <c r="J236" s="53" t="s">
        <v>84</v>
      </c>
      <c r="K236" s="295">
        <v>43215</v>
      </c>
      <c r="L236" s="26" t="s">
        <v>686</v>
      </c>
      <c r="M236" s="26">
        <v>79200</v>
      </c>
      <c r="N236" s="243">
        <v>79200</v>
      </c>
      <c r="O236" s="239"/>
      <c r="P236" s="239"/>
      <c r="Q236" s="239"/>
      <c r="R236" s="239"/>
      <c r="S236" s="239"/>
      <c r="T236" s="239"/>
      <c r="U236" s="245">
        <v>79200</v>
      </c>
      <c r="V236" s="239"/>
      <c r="W236" s="26"/>
      <c r="X236" s="26"/>
      <c r="Y236" s="263"/>
      <c r="Z236" s="263"/>
      <c r="AA236" s="263">
        <v>0.15</v>
      </c>
      <c r="AB236" s="26"/>
      <c r="AC236" s="26"/>
      <c r="AD236" s="26"/>
      <c r="AE236" s="26"/>
      <c r="AF236" s="26"/>
      <c r="AG236" s="26"/>
      <c r="AH236" s="26">
        <f>6000+61320</f>
        <v>67320</v>
      </c>
      <c r="AI236" s="26"/>
      <c r="AJ236" s="26"/>
      <c r="AK236" s="26"/>
      <c r="AL236" s="26"/>
      <c r="AM236" s="26"/>
      <c r="AN236" s="243">
        <f t="shared" si="5"/>
        <v>67320</v>
      </c>
      <c r="AO236" s="25" t="s">
        <v>442</v>
      </c>
      <c r="AP236" s="216"/>
      <c r="AQ236" s="245"/>
      <c r="AR236" s="26" t="s">
        <v>384</v>
      </c>
      <c r="AS236" s="26"/>
      <c r="AT236" s="308"/>
      <c r="AU236" s="245"/>
      <c r="AV236" s="43" t="s">
        <v>190</v>
      </c>
      <c r="AW236" s="245"/>
      <c r="AX236" s="289"/>
      <c r="AY236" s="289"/>
      <c r="AZ236" s="290"/>
      <c r="BA236" s="290"/>
      <c r="BB236" s="25" t="s">
        <v>687</v>
      </c>
      <c r="BC236" s="291">
        <v>45047</v>
      </c>
      <c r="BD236" s="113" t="s">
        <v>1758</v>
      </c>
      <c r="BE236" s="297">
        <v>15840</v>
      </c>
      <c r="BF236" s="298">
        <f t="shared" si="6"/>
        <v>0.2</v>
      </c>
      <c r="BG236" s="297" t="e">
        <f>VLOOKUP(B236,[1]Sheet2!$B:$X,23,0)</f>
        <v>#N/A</v>
      </c>
    </row>
    <row r="237" spans="1:59" s="28" customFormat="1" ht="33" customHeight="1">
      <c r="A237" s="26" t="s">
        <v>698</v>
      </c>
      <c r="B237" s="322" t="s">
        <v>1797</v>
      </c>
      <c r="C237" s="26" t="s">
        <v>699</v>
      </c>
      <c r="D237" s="26" t="s">
        <v>701</v>
      </c>
      <c r="E237" s="25" t="s">
        <v>261</v>
      </c>
      <c r="F237" s="25" t="s">
        <v>315</v>
      </c>
      <c r="G237" s="25" t="s">
        <v>315</v>
      </c>
      <c r="H237" s="218"/>
      <c r="I237" s="53" t="s">
        <v>107</v>
      </c>
      <c r="J237" s="53" t="s">
        <v>702</v>
      </c>
      <c r="K237" s="295">
        <v>43203</v>
      </c>
      <c r="L237" s="26"/>
      <c r="M237" s="26">
        <v>119201</v>
      </c>
      <c r="N237" s="243">
        <f>74803+44398</f>
        <v>119201</v>
      </c>
      <c r="O237" s="53" t="s">
        <v>703</v>
      </c>
      <c r="P237" s="53"/>
      <c r="Q237" s="53"/>
      <c r="R237" s="53" t="s">
        <v>704</v>
      </c>
      <c r="S237" s="53"/>
      <c r="T237" s="53"/>
      <c r="U237" s="53"/>
      <c r="V237" s="53"/>
      <c r="W237" s="26"/>
      <c r="X237" s="26"/>
      <c r="Y237" s="263"/>
      <c r="Z237" s="263"/>
      <c r="AA237" s="263">
        <v>0.15</v>
      </c>
      <c r="AB237" s="26">
        <v>63388</v>
      </c>
      <c r="AC237" s="26"/>
      <c r="AD237" s="26"/>
      <c r="AE237" s="26">
        <v>37612</v>
      </c>
      <c r="AF237" s="26"/>
      <c r="AG237" s="26"/>
      <c r="AH237" s="26"/>
      <c r="AI237" s="26"/>
      <c r="AJ237" s="26"/>
      <c r="AK237" s="26"/>
      <c r="AL237" s="26"/>
      <c r="AM237" s="26"/>
      <c r="AN237" s="243">
        <f t="shared" si="5"/>
        <v>101000</v>
      </c>
      <c r="AO237" s="25" t="s">
        <v>77</v>
      </c>
      <c r="AP237" s="216"/>
      <c r="AQ237" s="245"/>
      <c r="AR237" s="26" t="s">
        <v>384</v>
      </c>
      <c r="AS237" s="26"/>
      <c r="AT237" s="308"/>
      <c r="AU237" s="245"/>
      <c r="AV237" s="43" t="s">
        <v>66</v>
      </c>
      <c r="AW237" s="245"/>
      <c r="AX237" s="289" t="s">
        <v>86</v>
      </c>
      <c r="AY237" s="289"/>
      <c r="AZ237" s="290">
        <v>43223</v>
      </c>
      <c r="BA237" s="290">
        <v>43223</v>
      </c>
      <c r="BB237" s="25" t="s">
        <v>78</v>
      </c>
      <c r="BC237" s="82">
        <v>43587</v>
      </c>
      <c r="BD237" s="25" t="s">
        <v>122</v>
      </c>
      <c r="BE237" s="297">
        <v>119201</v>
      </c>
      <c r="BF237" s="298">
        <f t="shared" si="6"/>
        <v>1</v>
      </c>
      <c r="BG237" s="297" t="e">
        <f>VLOOKUP(B237,[1]Sheet2!$B:$X,23,0)</f>
        <v>#N/A</v>
      </c>
    </row>
    <row r="238" spans="1:59" s="28" customFormat="1" ht="33" customHeight="1">
      <c r="A238" s="26" t="s">
        <v>719</v>
      </c>
      <c r="B238" s="25" t="s">
        <v>721</v>
      </c>
      <c r="C238" s="26" t="s">
        <v>720</v>
      </c>
      <c r="D238" s="26" t="s">
        <v>722</v>
      </c>
      <c r="E238" s="25" t="s">
        <v>261</v>
      </c>
      <c r="F238" s="216" t="s">
        <v>1277</v>
      </c>
      <c r="G238" s="216" t="s">
        <v>1277</v>
      </c>
      <c r="H238" s="218" t="s">
        <v>1798</v>
      </c>
      <c r="I238" s="53" t="s">
        <v>107</v>
      </c>
      <c r="J238" s="53" t="s">
        <v>63</v>
      </c>
      <c r="K238" s="295">
        <v>43214</v>
      </c>
      <c r="L238" s="26"/>
      <c r="M238" s="26">
        <v>3549163</v>
      </c>
      <c r="N238" s="243">
        <v>2269163</v>
      </c>
      <c r="O238" s="239"/>
      <c r="P238" s="239"/>
      <c r="Q238" s="239"/>
      <c r="R238" s="239"/>
      <c r="S238" s="239"/>
      <c r="T238" s="239"/>
      <c r="U238" s="245">
        <v>2269163</v>
      </c>
      <c r="V238" s="239"/>
      <c r="W238" s="26">
        <v>1280000</v>
      </c>
      <c r="X238" s="26"/>
      <c r="Y238" s="262">
        <v>0.11</v>
      </c>
      <c r="Z238" s="262"/>
      <c r="AA238" s="263">
        <v>0.15</v>
      </c>
      <c r="AB238" s="26"/>
      <c r="AC238" s="26"/>
      <c r="AD238" s="26"/>
      <c r="AE238" s="26">
        <v>1280000</v>
      </c>
      <c r="AF238" s="26"/>
      <c r="AG238" s="26"/>
      <c r="AH238" s="26">
        <v>1900000</v>
      </c>
      <c r="AI238" s="26"/>
      <c r="AJ238" s="26"/>
      <c r="AK238" s="26"/>
      <c r="AL238" s="26"/>
      <c r="AM238" s="26"/>
      <c r="AN238" s="243">
        <f t="shared" si="5"/>
        <v>3180000</v>
      </c>
      <c r="AO238" s="25" t="s">
        <v>455</v>
      </c>
      <c r="AP238" s="216"/>
      <c r="AQ238" s="245"/>
      <c r="AR238" s="26" t="s">
        <v>384</v>
      </c>
      <c r="AS238" s="26"/>
      <c r="AT238" s="308"/>
      <c r="AU238" s="245"/>
      <c r="AV238" s="43" t="s">
        <v>190</v>
      </c>
      <c r="AW238" s="245"/>
      <c r="AX238" s="289"/>
      <c r="AY238" s="289"/>
      <c r="AZ238" s="290"/>
      <c r="BA238" s="290"/>
      <c r="BB238" s="295">
        <v>43112</v>
      </c>
      <c r="BC238" s="291">
        <v>43444</v>
      </c>
      <c r="BD238" s="25" t="s">
        <v>1280</v>
      </c>
      <c r="BE238" s="297">
        <v>3549163</v>
      </c>
      <c r="BF238" s="298">
        <f t="shared" si="6"/>
        <v>1</v>
      </c>
      <c r="BG238" s="297" t="e">
        <f>VLOOKUP(B238,[1]Sheet2!$B:$X,23,0)</f>
        <v>#N/A</v>
      </c>
    </row>
    <row r="239" spans="1:59" s="28" customFormat="1" ht="33" customHeight="1">
      <c r="A239" s="26" t="s">
        <v>710</v>
      </c>
      <c r="B239" s="25" t="s">
        <v>712</v>
      </c>
      <c r="C239" s="26" t="s">
        <v>711</v>
      </c>
      <c r="D239" s="26" t="s">
        <v>713</v>
      </c>
      <c r="E239" s="25" t="s">
        <v>714</v>
      </c>
      <c r="F239" s="216" t="s">
        <v>1277</v>
      </c>
      <c r="G239" s="216" t="s">
        <v>1277</v>
      </c>
      <c r="H239" s="218" t="s">
        <v>1277</v>
      </c>
      <c r="I239" s="53" t="s">
        <v>157</v>
      </c>
      <c r="J239" s="53" t="s">
        <v>63</v>
      </c>
      <c r="K239" s="295">
        <v>43210</v>
      </c>
      <c r="L239" s="26" t="s">
        <v>715</v>
      </c>
      <c r="M239" s="26">
        <v>66480</v>
      </c>
      <c r="N239" s="243">
        <v>66480</v>
      </c>
      <c r="O239" s="239"/>
      <c r="P239" s="239"/>
      <c r="Q239" s="239"/>
      <c r="R239" s="239"/>
      <c r="S239" s="239"/>
      <c r="T239" s="239"/>
      <c r="U239" s="245">
        <v>66480</v>
      </c>
      <c r="V239" s="239"/>
      <c r="W239" s="26"/>
      <c r="X239" s="26"/>
      <c r="Y239" s="263"/>
      <c r="Z239" s="263"/>
      <c r="AA239" s="263"/>
      <c r="AB239" s="26"/>
      <c r="AC239" s="26"/>
      <c r="AD239" s="26"/>
      <c r="AE239" s="26"/>
      <c r="AF239" s="26"/>
      <c r="AG239" s="26"/>
      <c r="AH239" s="26">
        <v>55608</v>
      </c>
      <c r="AI239" s="26"/>
      <c r="AJ239" s="26"/>
      <c r="AK239" s="26"/>
      <c r="AL239" s="26"/>
      <c r="AM239" s="26"/>
      <c r="AN239" s="243">
        <f t="shared" si="5"/>
        <v>55608</v>
      </c>
      <c r="AO239" s="25" t="s">
        <v>108</v>
      </c>
      <c r="AP239" s="216"/>
      <c r="AQ239" s="245"/>
      <c r="AR239" s="26" t="s">
        <v>384</v>
      </c>
      <c r="AS239" s="26"/>
      <c r="AT239" s="308"/>
      <c r="AU239" s="245"/>
      <c r="AV239" s="43" t="s">
        <v>197</v>
      </c>
      <c r="AW239" s="245"/>
      <c r="AX239" s="289"/>
      <c r="AY239" s="289"/>
      <c r="AZ239" s="290"/>
      <c r="BA239" s="290"/>
      <c r="BB239" s="25" t="s">
        <v>717</v>
      </c>
      <c r="BC239" s="291">
        <v>43465</v>
      </c>
      <c r="BD239" s="25" t="s">
        <v>1280</v>
      </c>
      <c r="BE239" s="297">
        <v>66480</v>
      </c>
      <c r="BF239" s="298">
        <f t="shared" si="6"/>
        <v>1</v>
      </c>
      <c r="BG239" s="297" t="e">
        <f>VLOOKUP(B239,[1]Sheet2!$B:$X,23,0)</f>
        <v>#N/A</v>
      </c>
    </row>
    <row r="240" spans="1:59" s="28" customFormat="1" ht="33" customHeight="1">
      <c r="A240" s="25" t="s">
        <v>555</v>
      </c>
      <c r="B240" s="26" t="s">
        <v>557</v>
      </c>
      <c r="C240" s="26" t="s">
        <v>556</v>
      </c>
      <c r="D240" s="26" t="s">
        <v>558</v>
      </c>
      <c r="E240" s="25" t="s">
        <v>83</v>
      </c>
      <c r="F240" s="25" t="s">
        <v>315</v>
      </c>
      <c r="G240" s="25" t="s">
        <v>315</v>
      </c>
      <c r="H240" s="218"/>
      <c r="I240" s="53" t="s">
        <v>157</v>
      </c>
      <c r="J240" s="53" t="s">
        <v>63</v>
      </c>
      <c r="K240" s="295">
        <v>43143</v>
      </c>
      <c r="L240" s="26" t="s">
        <v>559</v>
      </c>
      <c r="M240" s="26">
        <v>1175092</v>
      </c>
      <c r="N240" s="243">
        <v>1175092</v>
      </c>
      <c r="O240" s="325"/>
      <c r="P240" s="325"/>
      <c r="Q240" s="325"/>
      <c r="R240" s="53" t="s">
        <v>560</v>
      </c>
      <c r="S240" s="325"/>
      <c r="T240" s="325"/>
      <c r="U240" s="325"/>
      <c r="V240" s="325"/>
      <c r="W240" s="26"/>
      <c r="X240" s="26"/>
      <c r="Y240" s="263"/>
      <c r="Z240" s="263"/>
      <c r="AA240" s="319">
        <v>0.15</v>
      </c>
      <c r="AB240" s="26"/>
      <c r="AC240" s="26"/>
      <c r="AD240" s="26"/>
      <c r="AE240" s="26">
        <v>998998.2</v>
      </c>
      <c r="AF240" s="26"/>
      <c r="AG240" s="26"/>
      <c r="AH240" s="26"/>
      <c r="AI240" s="25"/>
      <c r="AJ240" s="25"/>
      <c r="AK240" s="26"/>
      <c r="AL240" s="26"/>
      <c r="AM240" s="26"/>
      <c r="AN240" s="243">
        <f t="shared" si="5"/>
        <v>998998.2</v>
      </c>
      <c r="AO240" s="25" t="s">
        <v>85</v>
      </c>
      <c r="AP240" s="216" t="s">
        <v>1308</v>
      </c>
      <c r="AQ240" s="245"/>
      <c r="AR240" s="26" t="s">
        <v>384</v>
      </c>
      <c r="AS240" s="26"/>
      <c r="AT240" s="308"/>
      <c r="AU240" s="245"/>
      <c r="AV240" s="43">
        <v>2018.12</v>
      </c>
      <c r="AW240" s="245"/>
      <c r="AX240" s="320"/>
      <c r="AY240" s="320"/>
      <c r="AZ240" s="291"/>
      <c r="BA240" s="291"/>
      <c r="BB240" s="25"/>
      <c r="BC240" s="291"/>
      <c r="BD240" s="113" t="s">
        <v>561</v>
      </c>
      <c r="BE240" s="297">
        <v>1175092</v>
      </c>
      <c r="BF240" s="298">
        <f t="shared" si="6"/>
        <v>1</v>
      </c>
      <c r="BG240" s="297" t="e">
        <f>VLOOKUP(B240,[1]Sheet2!$B:$X,23,0)</f>
        <v>#N/A</v>
      </c>
    </row>
    <row r="241" spans="1:59" s="28" customFormat="1" ht="33" customHeight="1">
      <c r="A241" s="26" t="s">
        <v>734</v>
      </c>
      <c r="B241" s="25" t="s">
        <v>736</v>
      </c>
      <c r="C241" s="26" t="s">
        <v>735</v>
      </c>
      <c r="D241" s="26" t="s">
        <v>737</v>
      </c>
      <c r="E241" s="25" t="s">
        <v>83</v>
      </c>
      <c r="F241" s="25" t="s">
        <v>1277</v>
      </c>
      <c r="G241" s="25" t="s">
        <v>1277</v>
      </c>
      <c r="H241" s="218"/>
      <c r="I241" s="53" t="s">
        <v>150</v>
      </c>
      <c r="J241" s="53" t="s">
        <v>84</v>
      </c>
      <c r="K241" s="295" t="s">
        <v>738</v>
      </c>
      <c r="L241" s="26"/>
      <c r="M241" s="26">
        <v>297000</v>
      </c>
      <c r="N241" s="243">
        <v>297000</v>
      </c>
      <c r="O241" s="239"/>
      <c r="P241" s="239"/>
      <c r="Q241" s="239"/>
      <c r="R241" s="239"/>
      <c r="S241" s="239"/>
      <c r="T241" s="239"/>
      <c r="U241" s="245" t="s">
        <v>739</v>
      </c>
      <c r="V241" s="239"/>
      <c r="W241" s="26"/>
      <c r="X241" s="26"/>
      <c r="Y241" s="262"/>
      <c r="Z241" s="262"/>
      <c r="AA241" s="263">
        <v>0.15</v>
      </c>
      <c r="AB241" s="26"/>
      <c r="AC241" s="26"/>
      <c r="AD241" s="26"/>
      <c r="AE241" s="26"/>
      <c r="AF241" s="26"/>
      <c r="AG241" s="26"/>
      <c r="AH241" s="26">
        <v>252450</v>
      </c>
      <c r="AI241" s="26"/>
      <c r="AJ241" s="26"/>
      <c r="AK241" s="26"/>
      <c r="AL241" s="26"/>
      <c r="AM241" s="26"/>
      <c r="AN241" s="243"/>
      <c r="AO241" s="25" t="s">
        <v>93</v>
      </c>
      <c r="AP241" s="216"/>
      <c r="AQ241" s="245"/>
      <c r="AR241" s="26" t="s">
        <v>384</v>
      </c>
      <c r="AS241" s="26"/>
      <c r="AT241" s="308"/>
      <c r="AU241" s="245"/>
      <c r="AV241" s="43" t="s">
        <v>66</v>
      </c>
      <c r="AW241" s="245"/>
      <c r="AX241" s="289" t="s">
        <v>86</v>
      </c>
      <c r="AY241" s="289"/>
      <c r="AZ241" s="290">
        <v>43449</v>
      </c>
      <c r="BA241" s="290">
        <v>43449</v>
      </c>
      <c r="BB241" s="25" t="s">
        <v>662</v>
      </c>
      <c r="BC241" s="291">
        <v>43100</v>
      </c>
      <c r="BD241" s="113" t="s">
        <v>192</v>
      </c>
      <c r="BE241" s="297">
        <v>297000</v>
      </c>
      <c r="BF241" s="298">
        <f t="shared" si="6"/>
        <v>1</v>
      </c>
      <c r="BG241" s="297" t="e">
        <f>VLOOKUP(B241,[1]Sheet2!$B:$X,23,0)</f>
        <v>#N/A</v>
      </c>
    </row>
    <row r="242" spans="1:59" s="28" customFormat="1" ht="33" customHeight="1">
      <c r="A242" s="26" t="s">
        <v>757</v>
      </c>
      <c r="B242" s="25" t="s">
        <v>759</v>
      </c>
      <c r="C242" s="26" t="s">
        <v>758</v>
      </c>
      <c r="D242" s="26" t="s">
        <v>760</v>
      </c>
      <c r="E242" s="25" t="s">
        <v>106</v>
      </c>
      <c r="F242" s="25" t="s">
        <v>1277</v>
      </c>
      <c r="G242" s="25" t="s">
        <v>1277</v>
      </c>
      <c r="H242" s="218" t="s">
        <v>1798</v>
      </c>
      <c r="I242" s="53" t="s">
        <v>107</v>
      </c>
      <c r="J242" s="53" t="s">
        <v>63</v>
      </c>
      <c r="K242" s="295">
        <v>43239</v>
      </c>
      <c r="L242" s="25" t="s">
        <v>761</v>
      </c>
      <c r="M242" s="26">
        <v>7450740</v>
      </c>
      <c r="N242" s="243">
        <f>4490740</f>
        <v>4490740</v>
      </c>
      <c r="O242" s="239"/>
      <c r="P242" s="239"/>
      <c r="Q242" s="239"/>
      <c r="R242" s="239"/>
      <c r="S242" s="239"/>
      <c r="T242" s="239"/>
      <c r="U242" s="245">
        <f>4490740</f>
        <v>4490740</v>
      </c>
      <c r="V242" s="239"/>
      <c r="W242" s="26">
        <v>2960000</v>
      </c>
      <c r="X242" s="26"/>
      <c r="Y242" s="262">
        <v>0.11</v>
      </c>
      <c r="Z242" s="262"/>
      <c r="AA242" s="263">
        <v>0.16</v>
      </c>
      <c r="AB242" s="26"/>
      <c r="AC242" s="26"/>
      <c r="AD242" s="26"/>
      <c r="AE242" s="26">
        <v>2960000</v>
      </c>
      <c r="AF242" s="26"/>
      <c r="AG242" s="26"/>
      <c r="AH242" s="26">
        <f>2200000+1000000+560000</f>
        <v>3760000</v>
      </c>
      <c r="AI242" s="26"/>
      <c r="AJ242" s="26"/>
      <c r="AK242" s="26"/>
      <c r="AL242" s="26"/>
      <c r="AM242" s="26"/>
      <c r="AN242" s="243">
        <f t="shared" ref="AN242:AN294" si="7">SUM(AB242:AH242)</f>
        <v>6720000</v>
      </c>
      <c r="AO242" s="25" t="s">
        <v>442</v>
      </c>
      <c r="AP242" s="216"/>
      <c r="AQ242" s="245"/>
      <c r="AR242" s="26" t="s">
        <v>384</v>
      </c>
      <c r="AS242" s="26"/>
      <c r="AT242" s="308"/>
      <c r="AU242" s="245"/>
      <c r="AV242" s="43" t="s">
        <v>190</v>
      </c>
      <c r="AW242" s="245"/>
      <c r="AX242" s="289"/>
      <c r="AY242" s="289"/>
      <c r="AZ242" s="290"/>
      <c r="BA242" s="290"/>
      <c r="BB242" s="25"/>
      <c r="BC242" s="291">
        <v>43159</v>
      </c>
      <c r="BD242" s="25" t="s">
        <v>1280</v>
      </c>
      <c r="BE242" s="297">
        <v>7450740</v>
      </c>
      <c r="BF242" s="298">
        <f t="shared" si="6"/>
        <v>1</v>
      </c>
      <c r="BG242" s="297" t="e">
        <f>VLOOKUP(B242,[1]Sheet2!$B:$X,23,0)</f>
        <v>#N/A</v>
      </c>
    </row>
    <row r="243" spans="1:59" s="28" customFormat="1" ht="33" customHeight="1">
      <c r="A243" s="26" t="s">
        <v>450</v>
      </c>
      <c r="B243" s="25" t="s">
        <v>452</v>
      </c>
      <c r="C243" s="26" t="s">
        <v>451</v>
      </c>
      <c r="D243" s="26" t="s">
        <v>453</v>
      </c>
      <c r="E243" s="323" t="s">
        <v>261</v>
      </c>
      <c r="F243" s="25" t="s">
        <v>190</v>
      </c>
      <c r="G243" s="25" t="s">
        <v>190</v>
      </c>
      <c r="H243" s="218" t="s">
        <v>1798</v>
      </c>
      <c r="I243" s="53" t="s">
        <v>76</v>
      </c>
      <c r="J243" s="53" t="s">
        <v>63</v>
      </c>
      <c r="K243" s="295">
        <v>43215</v>
      </c>
      <c r="L243" s="26" t="s">
        <v>454</v>
      </c>
      <c r="M243" s="29">
        <v>15700000</v>
      </c>
      <c r="N243" s="243">
        <v>12349300</v>
      </c>
      <c r="O243" s="239"/>
      <c r="P243" s="239"/>
      <c r="Q243" s="239"/>
      <c r="R243" s="239"/>
      <c r="S243" s="239"/>
      <c r="T243" s="239"/>
      <c r="U243" s="245">
        <v>12349300</v>
      </c>
      <c r="V243" s="239"/>
      <c r="W243" s="26">
        <v>3350700</v>
      </c>
      <c r="X243" s="26"/>
      <c r="Y243" s="263">
        <v>0.06</v>
      </c>
      <c r="Z243" s="263"/>
      <c r="AA243" s="262">
        <v>0.15</v>
      </c>
      <c r="AB243" s="26"/>
      <c r="AC243" s="26"/>
      <c r="AD243" s="26"/>
      <c r="AE243" s="26">
        <v>3350700</v>
      </c>
      <c r="AF243" s="26"/>
      <c r="AG243" s="26"/>
      <c r="AH243" s="26"/>
      <c r="AI243" s="26"/>
      <c r="AJ243" s="26"/>
      <c r="AK243" s="26">
        <v>10490000</v>
      </c>
      <c r="AL243" s="26"/>
      <c r="AM243" s="26"/>
      <c r="AN243" s="243">
        <f t="shared" si="7"/>
        <v>3350700</v>
      </c>
      <c r="AO243" s="25" t="s">
        <v>455</v>
      </c>
      <c r="AP243" s="216"/>
      <c r="AQ243" s="245"/>
      <c r="AR243" s="26" t="s">
        <v>384</v>
      </c>
      <c r="AS243" s="26"/>
      <c r="AT243" s="308"/>
      <c r="AU243" s="245"/>
      <c r="AV243" s="43" t="s">
        <v>190</v>
      </c>
      <c r="AW243" s="245"/>
      <c r="AX243" s="26"/>
      <c r="AY243" s="26"/>
      <c r="AZ243" s="290"/>
      <c r="BA243" s="290"/>
      <c r="BB243" s="328">
        <v>43070</v>
      </c>
      <c r="BC243" s="291">
        <v>44141</v>
      </c>
      <c r="BD243" s="113" t="s">
        <v>1799</v>
      </c>
      <c r="BE243" s="297">
        <v>9419999.3399999999</v>
      </c>
      <c r="BF243" s="298">
        <f t="shared" si="6"/>
        <v>0.5999999579617834</v>
      </c>
      <c r="BG243" s="297" t="e">
        <f>VLOOKUP(B243,[1]Sheet2!$B:$X,23,0)</f>
        <v>#N/A</v>
      </c>
    </row>
    <row r="244" spans="1:59" s="28" customFormat="1" ht="33" customHeight="1">
      <c r="A244" s="26" t="s">
        <v>296</v>
      </c>
      <c r="B244" s="25" t="s">
        <v>298</v>
      </c>
      <c r="C244" s="26" t="s">
        <v>297</v>
      </c>
      <c r="D244" s="26" t="s">
        <v>299</v>
      </c>
      <c r="E244" s="25" t="s">
        <v>75</v>
      </c>
      <c r="F244" s="25" t="s">
        <v>1277</v>
      </c>
      <c r="G244" s="25" t="s">
        <v>1277</v>
      </c>
      <c r="H244" s="218"/>
      <c r="I244" s="53" t="s">
        <v>76</v>
      </c>
      <c r="J244" s="53" t="s">
        <v>128</v>
      </c>
      <c r="K244" s="295">
        <v>43326</v>
      </c>
      <c r="L244" s="26" t="s">
        <v>301</v>
      </c>
      <c r="M244" s="29">
        <v>6130597</v>
      </c>
      <c r="N244" s="243">
        <v>4877797</v>
      </c>
      <c r="O244" s="239"/>
      <c r="P244" s="239"/>
      <c r="Q244" s="239"/>
      <c r="R244" s="245">
        <v>4877797</v>
      </c>
      <c r="S244" s="239"/>
      <c r="T244" s="239"/>
      <c r="U244" s="239"/>
      <c r="V244" s="239"/>
      <c r="W244" s="248">
        <f>1144800+108000</f>
        <v>1252800</v>
      </c>
      <c r="X244" s="59" t="s">
        <v>302</v>
      </c>
      <c r="Y244" s="263" t="s">
        <v>303</v>
      </c>
      <c r="Z244" s="263"/>
      <c r="AA244" s="262">
        <v>0.1</v>
      </c>
      <c r="AB244" s="26">
        <v>0</v>
      </c>
      <c r="AC244" s="26"/>
      <c r="AD244" s="26"/>
      <c r="AE244" s="26">
        <f>4390017.3+1144800</f>
        <v>5534817.2999999998</v>
      </c>
      <c r="AF244" s="26"/>
      <c r="AG244" s="26"/>
      <c r="AH244" s="26">
        <v>108000</v>
      </c>
      <c r="AI244" s="26"/>
      <c r="AJ244" s="26"/>
      <c r="AK244" s="26"/>
      <c r="AL244" s="26"/>
      <c r="AM244" s="26"/>
      <c r="AN244" s="266">
        <f t="shared" si="7"/>
        <v>5642817.2999999998</v>
      </c>
      <c r="AO244" s="25" t="s">
        <v>145</v>
      </c>
      <c r="AP244" s="216" t="s">
        <v>1274</v>
      </c>
      <c r="AQ244" s="245"/>
      <c r="AR244" s="26" t="s">
        <v>384</v>
      </c>
      <c r="AS244" s="26"/>
      <c r="AT244" s="308"/>
      <c r="AU244" s="245"/>
      <c r="AV244" s="43" t="s">
        <v>197</v>
      </c>
      <c r="AW244" s="245"/>
      <c r="AX244" s="289"/>
      <c r="AY244" s="289"/>
      <c r="AZ244" s="290"/>
      <c r="BA244" s="290"/>
      <c r="BB244" s="25" t="s">
        <v>304</v>
      </c>
      <c r="BC244" s="291">
        <v>44075</v>
      </c>
      <c r="BD244" s="113" t="s">
        <v>1758</v>
      </c>
      <c r="BE244" s="297">
        <v>1226100</v>
      </c>
      <c r="BF244" s="298">
        <f t="shared" si="6"/>
        <v>0.19999683554472752</v>
      </c>
      <c r="BG244" s="297" t="e">
        <f>VLOOKUP(B244,[1]Sheet2!$B:$X,23,0)</f>
        <v>#N/A</v>
      </c>
    </row>
    <row r="245" spans="1:59" s="28" customFormat="1" ht="33" customHeight="1">
      <c r="A245" s="26" t="s">
        <v>723</v>
      </c>
      <c r="B245" s="25" t="s">
        <v>725</v>
      </c>
      <c r="C245" s="26" t="s">
        <v>724</v>
      </c>
      <c r="D245" s="26" t="s">
        <v>726</v>
      </c>
      <c r="E245" s="25" t="s">
        <v>106</v>
      </c>
      <c r="F245" s="25" t="s">
        <v>1277</v>
      </c>
      <c r="G245" s="25" t="s">
        <v>1277</v>
      </c>
      <c r="H245" s="218" t="s">
        <v>1277</v>
      </c>
      <c r="I245" s="53" t="s">
        <v>107</v>
      </c>
      <c r="J245" s="53" t="s">
        <v>702</v>
      </c>
      <c r="K245" s="295">
        <v>43216</v>
      </c>
      <c r="L245" s="26" t="s">
        <v>727</v>
      </c>
      <c r="M245" s="26">
        <v>300000</v>
      </c>
      <c r="N245" s="243">
        <v>300000</v>
      </c>
      <c r="O245" s="239"/>
      <c r="P245" s="239"/>
      <c r="Q245" s="239"/>
      <c r="R245" s="245">
        <v>300000</v>
      </c>
      <c r="S245" s="239"/>
      <c r="T245" s="239"/>
      <c r="U245" s="239"/>
      <c r="V245" s="239"/>
      <c r="W245" s="26"/>
      <c r="X245" s="26"/>
      <c r="Y245" s="262"/>
      <c r="Z245" s="262"/>
      <c r="AA245" s="263">
        <v>0.15</v>
      </c>
      <c r="AB245" s="26"/>
      <c r="AC245" s="26"/>
      <c r="AD245" s="26"/>
      <c r="AE245" s="26">
        <v>255000</v>
      </c>
      <c r="AF245" s="26"/>
      <c r="AG245" s="26"/>
      <c r="AH245" s="26"/>
      <c r="AI245" s="26"/>
      <c r="AJ245" s="26"/>
      <c r="AK245" s="26"/>
      <c r="AL245" s="26"/>
      <c r="AM245" s="26"/>
      <c r="AN245" s="243">
        <f t="shared" si="7"/>
        <v>255000</v>
      </c>
      <c r="AO245" s="25" t="s">
        <v>442</v>
      </c>
      <c r="AP245" s="216"/>
      <c r="AQ245" s="245"/>
      <c r="AR245" s="26" t="s">
        <v>384</v>
      </c>
      <c r="AS245" s="26"/>
      <c r="AT245" s="308"/>
      <c r="AU245" s="245"/>
      <c r="AV245" s="43" t="s">
        <v>190</v>
      </c>
      <c r="AW245" s="245"/>
      <c r="AX245" s="289"/>
      <c r="AY245" s="289"/>
      <c r="AZ245" s="290"/>
      <c r="BA245" s="290"/>
      <c r="BB245" s="25"/>
      <c r="BC245" s="291">
        <v>44378</v>
      </c>
      <c r="BD245" s="113" t="s">
        <v>1758</v>
      </c>
      <c r="BE245" s="297">
        <v>200000</v>
      </c>
      <c r="BF245" s="298">
        <f t="shared" si="6"/>
        <v>0.66666666666666663</v>
      </c>
      <c r="BG245" s="297" t="e">
        <f>VLOOKUP(B245,[1]Sheet2!$B:$X,23,0)</f>
        <v>#N/A</v>
      </c>
    </row>
    <row r="246" spans="1:59" s="28" customFormat="1" ht="33" customHeight="1">
      <c r="A246" s="26" t="s">
        <v>885</v>
      </c>
      <c r="B246" s="25" t="s">
        <v>721</v>
      </c>
      <c r="C246" s="26" t="s">
        <v>886</v>
      </c>
      <c r="D246" s="26" t="s">
        <v>887</v>
      </c>
      <c r="E246" s="25" t="s">
        <v>83</v>
      </c>
      <c r="F246" s="25" t="s">
        <v>315</v>
      </c>
      <c r="G246" s="25" t="s">
        <v>315</v>
      </c>
      <c r="H246" s="218" t="s">
        <v>1798</v>
      </c>
      <c r="I246" s="53" t="s">
        <v>107</v>
      </c>
      <c r="J246" s="53" t="s">
        <v>84</v>
      </c>
      <c r="K246" s="295">
        <v>43238</v>
      </c>
      <c r="L246" s="26" t="s">
        <v>888</v>
      </c>
      <c r="M246" s="26">
        <v>1764800</v>
      </c>
      <c r="N246" s="243">
        <f>SUM(O246:V246)</f>
        <v>1764800</v>
      </c>
      <c r="O246" s="53"/>
      <c r="P246" s="245"/>
      <c r="Q246" s="245"/>
      <c r="R246" s="245">
        <v>1764800</v>
      </c>
      <c r="S246" s="245"/>
      <c r="T246" s="245"/>
      <c r="U246" s="245"/>
      <c r="V246" s="245"/>
      <c r="W246" s="26"/>
      <c r="X246" s="26"/>
      <c r="Y246" s="263"/>
      <c r="Z246" s="263"/>
      <c r="AA246" s="263">
        <v>11</v>
      </c>
      <c r="AB246" s="26">
        <v>938448.54</v>
      </c>
      <c r="AC246" s="26"/>
      <c r="AD246" s="26"/>
      <c r="AE246" s="26">
        <v>2315144</v>
      </c>
      <c r="AF246" s="26"/>
      <c r="AG246" s="26"/>
      <c r="AH246" s="26">
        <f>6939000-6907757.39+6180200-5412442.61</f>
        <v>799000</v>
      </c>
      <c r="AI246" s="26"/>
      <c r="AJ246" s="26"/>
      <c r="AK246" s="26"/>
      <c r="AL246" s="26"/>
      <c r="AM246" s="26"/>
      <c r="AN246" s="243">
        <f t="shared" si="7"/>
        <v>4052592.54</v>
      </c>
      <c r="AO246" s="25" t="s">
        <v>132</v>
      </c>
      <c r="AP246" s="216" t="s">
        <v>1308</v>
      </c>
      <c r="AQ246" s="245"/>
      <c r="AR246" s="26" t="s">
        <v>384</v>
      </c>
      <c r="AS246" s="26"/>
      <c r="AT246" s="308"/>
      <c r="AU246" s="245"/>
      <c r="AV246" s="43" t="s">
        <v>66</v>
      </c>
      <c r="AW246" s="245"/>
      <c r="AX246" s="289" t="s">
        <v>1800</v>
      </c>
      <c r="AY246" s="289"/>
      <c r="AZ246" s="290"/>
      <c r="BA246" s="290"/>
      <c r="BB246" s="25"/>
      <c r="BC246" s="291">
        <v>43008</v>
      </c>
      <c r="BD246" s="113" t="s">
        <v>219</v>
      </c>
      <c r="BE246" s="297">
        <v>3549163</v>
      </c>
      <c r="BF246" s="298">
        <f t="shared" si="6"/>
        <v>2.0110851087941977</v>
      </c>
      <c r="BG246" s="297" t="e">
        <f>VLOOKUP(B246,[1]Sheet2!$B:$X,23,0)</f>
        <v>#N/A</v>
      </c>
    </row>
    <row r="247" spans="1:59" s="28" customFormat="1" ht="33" customHeight="1">
      <c r="A247" s="26" t="s">
        <v>786</v>
      </c>
      <c r="B247" s="25" t="s">
        <v>788</v>
      </c>
      <c r="C247" s="26" t="s">
        <v>787</v>
      </c>
      <c r="D247" s="26" t="s">
        <v>789</v>
      </c>
      <c r="E247" s="25" t="s">
        <v>261</v>
      </c>
      <c r="F247" s="25" t="s">
        <v>190</v>
      </c>
      <c r="G247" s="25" t="s">
        <v>190</v>
      </c>
      <c r="H247" s="218" t="s">
        <v>1794</v>
      </c>
      <c r="I247" s="53" t="s">
        <v>107</v>
      </c>
      <c r="J247" s="53" t="s">
        <v>702</v>
      </c>
      <c r="K247" s="295">
        <v>43235</v>
      </c>
      <c r="L247" s="26"/>
      <c r="M247" s="26">
        <v>9980000</v>
      </c>
      <c r="N247" s="243">
        <f>SUM(O247:V247)</f>
        <v>9980000</v>
      </c>
      <c r="O247" s="53"/>
      <c r="P247" s="245">
        <v>4500820</v>
      </c>
      <c r="Q247" s="245"/>
      <c r="R247" s="245"/>
      <c r="S247" s="245">
        <v>4481180</v>
      </c>
      <c r="T247" s="245"/>
      <c r="U247" s="245">
        <v>998000</v>
      </c>
      <c r="V247" s="245"/>
      <c r="W247" s="26"/>
      <c r="X247" s="26"/>
      <c r="Y247" s="263"/>
      <c r="Z247" s="263"/>
      <c r="AA247" s="263"/>
      <c r="AB247" s="26"/>
      <c r="AC247" s="26">
        <v>4500000</v>
      </c>
      <c r="AD247" s="26"/>
      <c r="AE247" s="26"/>
      <c r="AF247" s="26">
        <v>3045000</v>
      </c>
      <c r="AG247" s="26"/>
      <c r="AH247" s="26">
        <v>835000</v>
      </c>
      <c r="AI247" s="26"/>
      <c r="AJ247" s="26"/>
      <c r="AK247" s="26"/>
      <c r="AL247" s="26"/>
      <c r="AM247" s="26"/>
      <c r="AN247" s="243">
        <f t="shared" si="7"/>
        <v>8380000</v>
      </c>
      <c r="AO247" s="25" t="s">
        <v>77</v>
      </c>
      <c r="AP247" s="216"/>
      <c r="AQ247" s="245"/>
      <c r="AR247" s="26" t="s">
        <v>384</v>
      </c>
      <c r="AS247" s="26"/>
      <c r="AT247" s="308"/>
      <c r="AU247" s="245"/>
      <c r="AV247" s="43" t="s">
        <v>66</v>
      </c>
      <c r="AW247" s="245"/>
      <c r="AX247" s="289" t="s">
        <v>86</v>
      </c>
      <c r="AY247" s="289"/>
      <c r="AZ247" s="290">
        <v>43613</v>
      </c>
      <c r="BA247" s="290">
        <v>43613</v>
      </c>
      <c r="BB247" s="25"/>
      <c r="BC247" s="291">
        <v>43952</v>
      </c>
      <c r="BD247" s="113" t="s">
        <v>931</v>
      </c>
      <c r="BE247" s="297">
        <v>8982000</v>
      </c>
      <c r="BF247" s="298">
        <f t="shared" si="6"/>
        <v>0.9</v>
      </c>
      <c r="BG247" s="297" t="e">
        <f>VLOOKUP(B247,[1]Sheet2!$B:$X,23,0)</f>
        <v>#N/A</v>
      </c>
    </row>
    <row r="248" spans="1:59" s="28" customFormat="1" ht="33" customHeight="1">
      <c r="A248" s="26" t="s">
        <v>797</v>
      </c>
      <c r="B248" s="25" t="s">
        <v>799</v>
      </c>
      <c r="C248" s="26" t="s">
        <v>798</v>
      </c>
      <c r="D248" s="26" t="s">
        <v>800</v>
      </c>
      <c r="E248" s="25" t="s">
        <v>249</v>
      </c>
      <c r="F248" s="25" t="s">
        <v>315</v>
      </c>
      <c r="G248" s="216" t="s">
        <v>1794</v>
      </c>
      <c r="H248" s="218" t="s">
        <v>1794</v>
      </c>
      <c r="I248" s="53" t="s">
        <v>157</v>
      </c>
      <c r="J248" s="53" t="s">
        <v>63</v>
      </c>
      <c r="K248" s="295">
        <v>43235</v>
      </c>
      <c r="L248" s="26"/>
      <c r="M248" s="26">
        <v>6500000</v>
      </c>
      <c r="N248" s="243">
        <f>SUM(O248:V248)</f>
        <v>6500000</v>
      </c>
      <c r="O248" s="53"/>
      <c r="P248" s="245">
        <v>700000</v>
      </c>
      <c r="Q248" s="245"/>
      <c r="R248" s="245"/>
      <c r="S248" s="245">
        <v>2128000</v>
      </c>
      <c r="T248" s="245"/>
      <c r="U248" s="245">
        <v>3672000</v>
      </c>
      <c r="V248" s="245"/>
      <c r="W248" s="26"/>
      <c r="X248" s="26"/>
      <c r="Y248" s="263"/>
      <c r="Z248" s="263"/>
      <c r="AA248" s="263">
        <v>0.31</v>
      </c>
      <c r="AB248" s="26"/>
      <c r="AC248" s="26">
        <v>700000</v>
      </c>
      <c r="AD248" s="26"/>
      <c r="AE248" s="26"/>
      <c r="AF248" s="26">
        <v>1467700</v>
      </c>
      <c r="AG248" s="26"/>
      <c r="AH248" s="26">
        <v>3672000</v>
      </c>
      <c r="AI248" s="26"/>
      <c r="AJ248" s="26"/>
      <c r="AK248" s="26"/>
      <c r="AL248" s="26"/>
      <c r="AM248" s="26"/>
      <c r="AN248" s="243">
        <f t="shared" si="7"/>
        <v>5839700</v>
      </c>
      <c r="AO248" s="25" t="s">
        <v>108</v>
      </c>
      <c r="AP248" s="216"/>
      <c r="AQ248" s="245"/>
      <c r="AR248" s="26" t="s">
        <v>384</v>
      </c>
      <c r="AS248" s="26"/>
      <c r="AT248" s="308">
        <v>43195</v>
      </c>
      <c r="AU248" s="245"/>
      <c r="AV248" s="43" t="s">
        <v>66</v>
      </c>
      <c r="AW248" s="245"/>
      <c r="AX248" s="289" t="s">
        <v>86</v>
      </c>
      <c r="AY248" s="289"/>
      <c r="AZ248" s="290">
        <v>43348</v>
      </c>
      <c r="BA248" s="290">
        <v>43397</v>
      </c>
      <c r="BB248" s="25" t="s">
        <v>87</v>
      </c>
      <c r="BC248" s="291">
        <v>44443</v>
      </c>
      <c r="BD248" s="113" t="s">
        <v>88</v>
      </c>
      <c r="BE248" s="297">
        <v>6175000</v>
      </c>
      <c r="BF248" s="298">
        <f t="shared" si="6"/>
        <v>0.95</v>
      </c>
      <c r="BG248" s="297" t="e">
        <f>VLOOKUP(B248,[1]Sheet2!$B:$X,23,0)</f>
        <v>#N/A</v>
      </c>
    </row>
    <row r="249" spans="1:59" s="28" customFormat="1" ht="33" customHeight="1">
      <c r="A249" s="26" t="s">
        <v>762</v>
      </c>
      <c r="B249" s="25" t="s">
        <v>764</v>
      </c>
      <c r="C249" s="26" t="s">
        <v>763</v>
      </c>
      <c r="D249" s="26" t="s">
        <v>765</v>
      </c>
      <c r="E249" s="25" t="s">
        <v>374</v>
      </c>
      <c r="F249" s="25" t="s">
        <v>315</v>
      </c>
      <c r="G249" s="25" t="s">
        <v>315</v>
      </c>
      <c r="H249" s="218"/>
      <c r="I249" s="53" t="s">
        <v>286</v>
      </c>
      <c r="J249" s="53" t="s">
        <v>766</v>
      </c>
      <c r="K249" s="295">
        <v>43230</v>
      </c>
      <c r="L249" s="26"/>
      <c r="M249" s="26">
        <v>1453960</v>
      </c>
      <c r="N249" s="243">
        <f>500960+953000</f>
        <v>1453960</v>
      </c>
      <c r="O249" s="53"/>
      <c r="P249" s="53" t="s">
        <v>767</v>
      </c>
      <c r="Q249" s="53"/>
      <c r="R249" s="53"/>
      <c r="S249" s="53" t="s">
        <v>768</v>
      </c>
      <c r="T249" s="53"/>
      <c r="U249" s="53"/>
      <c r="V249" s="53"/>
      <c r="W249" s="26"/>
      <c r="X249" s="26"/>
      <c r="Y249" s="262"/>
      <c r="Z249" s="262"/>
      <c r="AA249" s="263">
        <v>0.1</v>
      </c>
      <c r="AB249" s="26">
        <v>450864</v>
      </c>
      <c r="AC249" s="26"/>
      <c r="AD249" s="26"/>
      <c r="AE249" s="26">
        <v>857700</v>
      </c>
      <c r="AF249" s="26"/>
      <c r="AG249" s="26"/>
      <c r="AH249" s="26"/>
      <c r="AI249" s="26"/>
      <c r="AJ249" s="26"/>
      <c r="AK249" s="26"/>
      <c r="AL249" s="26"/>
      <c r="AM249" s="26"/>
      <c r="AN249" s="243">
        <f t="shared" si="7"/>
        <v>1308564</v>
      </c>
      <c r="AO249" s="25" t="s">
        <v>77</v>
      </c>
      <c r="AP249" s="216"/>
      <c r="AQ249" s="245"/>
      <c r="AR249" s="26" t="s">
        <v>384</v>
      </c>
      <c r="AS249" s="26"/>
      <c r="AT249" s="308">
        <v>43200</v>
      </c>
      <c r="AU249" s="245"/>
      <c r="AV249" s="43" t="s">
        <v>66</v>
      </c>
      <c r="AW249" s="245"/>
      <c r="AX249" s="289" t="s">
        <v>86</v>
      </c>
      <c r="AY249" s="289"/>
      <c r="AZ249" s="290">
        <v>43322</v>
      </c>
      <c r="BA249" s="290"/>
      <c r="BB249" s="25" t="s">
        <v>78</v>
      </c>
      <c r="BC249" s="291">
        <v>43686</v>
      </c>
      <c r="BD249" s="113" t="s">
        <v>122</v>
      </c>
      <c r="BE249" s="297">
        <v>1308564</v>
      </c>
      <c r="BF249" s="298">
        <f t="shared" si="6"/>
        <v>0.9</v>
      </c>
      <c r="BG249" s="297" t="e">
        <f>VLOOKUP(B249,[1]Sheet2!$B:$X,23,0)</f>
        <v>#N/A</v>
      </c>
    </row>
    <row r="250" spans="1:59" s="28" customFormat="1" ht="33" customHeight="1">
      <c r="A250" s="26" t="s">
        <v>752</v>
      </c>
      <c r="B250" s="25" t="s">
        <v>754</v>
      </c>
      <c r="C250" s="26" t="s">
        <v>753</v>
      </c>
      <c r="D250" s="26" t="s">
        <v>755</v>
      </c>
      <c r="E250" s="25" t="s">
        <v>83</v>
      </c>
      <c r="F250" s="25" t="s">
        <v>1277</v>
      </c>
      <c r="G250" s="25" t="s">
        <v>1277</v>
      </c>
      <c r="H250" s="218"/>
      <c r="I250" s="53" t="s">
        <v>286</v>
      </c>
      <c r="J250" s="53"/>
      <c r="K250" s="295">
        <v>43228</v>
      </c>
      <c r="L250" s="26"/>
      <c r="M250" s="26">
        <v>118000</v>
      </c>
      <c r="N250" s="243">
        <v>118000</v>
      </c>
      <c r="O250" s="239"/>
      <c r="P250" s="239"/>
      <c r="Q250" s="239"/>
      <c r="R250" s="239"/>
      <c r="S250" s="239"/>
      <c r="T250" s="239"/>
      <c r="U250" s="245">
        <v>118000</v>
      </c>
      <c r="V250" s="239"/>
      <c r="W250" s="26"/>
      <c r="X250" s="26"/>
      <c r="Y250" s="262"/>
      <c r="Z250" s="262"/>
      <c r="AA250" s="263">
        <v>1</v>
      </c>
      <c r="AB250" s="26"/>
      <c r="AC250" s="26"/>
      <c r="AD250" s="26"/>
      <c r="AE250" s="26"/>
      <c r="AF250" s="26"/>
      <c r="AG250" s="26"/>
      <c r="AH250" s="26"/>
      <c r="AI250" s="26"/>
      <c r="AJ250" s="26"/>
      <c r="AK250" s="26"/>
      <c r="AL250" s="26"/>
      <c r="AM250" s="26"/>
      <c r="AN250" s="243">
        <f t="shared" si="7"/>
        <v>0</v>
      </c>
      <c r="AO250" s="25" t="s">
        <v>442</v>
      </c>
      <c r="AP250" s="216"/>
      <c r="AQ250" s="245"/>
      <c r="AR250" s="26" t="s">
        <v>384</v>
      </c>
      <c r="AS250" s="26"/>
      <c r="AT250" s="308">
        <v>43195</v>
      </c>
      <c r="AU250" s="245"/>
      <c r="AV250" s="43" t="s">
        <v>190</v>
      </c>
      <c r="AW250" s="245"/>
      <c r="AX250" s="289" t="s">
        <v>86</v>
      </c>
      <c r="AY250" s="289"/>
      <c r="AZ250" s="290">
        <v>43282</v>
      </c>
      <c r="BA250" s="290"/>
      <c r="BB250" s="25" t="s">
        <v>756</v>
      </c>
      <c r="BC250" s="291">
        <v>43313</v>
      </c>
      <c r="BD250" s="113" t="s">
        <v>219</v>
      </c>
      <c r="BE250" s="297"/>
      <c r="BF250" s="298">
        <f t="shared" si="6"/>
        <v>0</v>
      </c>
      <c r="BG250" s="297" t="e">
        <f>VLOOKUP(B250,[1]Sheet2!$B:$X,23,0)</f>
        <v>#N/A</v>
      </c>
    </row>
    <row r="251" spans="1:59" s="28" customFormat="1" ht="33" customHeight="1">
      <c r="A251" s="26" t="s">
        <v>814</v>
      </c>
      <c r="B251" s="25" t="s">
        <v>816</v>
      </c>
      <c r="C251" s="26" t="s">
        <v>815</v>
      </c>
      <c r="D251" s="26" t="s">
        <v>817</v>
      </c>
      <c r="E251" s="25" t="s">
        <v>294</v>
      </c>
      <c r="F251" s="25" t="s">
        <v>315</v>
      </c>
      <c r="G251" s="25" t="s">
        <v>315</v>
      </c>
      <c r="H251" s="218"/>
      <c r="I251" s="53" t="s">
        <v>76</v>
      </c>
      <c r="J251" s="53"/>
      <c r="K251" s="295">
        <v>43236</v>
      </c>
      <c r="L251" s="26"/>
      <c r="M251" s="26">
        <v>198000</v>
      </c>
      <c r="N251" s="243">
        <f>SUM(O251:V251)</f>
        <v>198000</v>
      </c>
      <c r="O251" s="53"/>
      <c r="P251" s="245">
        <v>118543.5</v>
      </c>
      <c r="Q251" s="245"/>
      <c r="R251" s="245"/>
      <c r="S251" s="245">
        <v>79456.5</v>
      </c>
      <c r="T251" s="245"/>
      <c r="U251" s="245"/>
      <c r="V251" s="245"/>
      <c r="W251" s="26"/>
      <c r="X251" s="26"/>
      <c r="Y251" s="263"/>
      <c r="Z251" s="263"/>
      <c r="AA251" s="263">
        <v>0.15</v>
      </c>
      <c r="AB251" s="26"/>
      <c r="AC251" s="26">
        <v>100761.98</v>
      </c>
      <c r="AD251" s="26"/>
      <c r="AE251" s="26"/>
      <c r="AF251" s="26">
        <v>67538.03</v>
      </c>
      <c r="AG251" s="26"/>
      <c r="AH251" s="26"/>
      <c r="AI251" s="26"/>
      <c r="AJ251" s="26"/>
      <c r="AK251" s="26"/>
      <c r="AL251" s="26"/>
      <c r="AM251" s="26"/>
      <c r="AN251" s="243">
        <f t="shared" si="7"/>
        <v>168300.01</v>
      </c>
      <c r="AO251" s="25" t="s">
        <v>62</v>
      </c>
      <c r="AP251" s="216"/>
      <c r="AQ251" s="245"/>
      <c r="AR251" s="26" t="s">
        <v>384</v>
      </c>
      <c r="AS251" s="26"/>
      <c r="AT251" s="308">
        <v>43050</v>
      </c>
      <c r="AU251" s="245"/>
      <c r="AV251" s="43" t="s">
        <v>66</v>
      </c>
      <c r="AW251" s="245"/>
      <c r="AX251" s="289" t="s">
        <v>86</v>
      </c>
      <c r="AY251" s="289"/>
      <c r="AZ251" s="290">
        <v>43328</v>
      </c>
      <c r="BA251" s="290">
        <v>43338</v>
      </c>
      <c r="BB251" s="25" t="s">
        <v>78</v>
      </c>
      <c r="BC251" s="291">
        <v>43692</v>
      </c>
      <c r="BD251" s="113" t="s">
        <v>122</v>
      </c>
      <c r="BE251" s="297">
        <v>198000</v>
      </c>
      <c r="BF251" s="298">
        <f t="shared" si="6"/>
        <v>1</v>
      </c>
      <c r="BG251" s="297" t="e">
        <f>VLOOKUP(B251,[1]Sheet2!$B:$X,23,0)</f>
        <v>#N/A</v>
      </c>
    </row>
    <row r="252" spans="1:59" s="28" customFormat="1" ht="33" customHeight="1">
      <c r="A252" s="26" t="s">
        <v>818</v>
      </c>
      <c r="B252" s="25" t="s">
        <v>820</v>
      </c>
      <c r="C252" s="26" t="s">
        <v>819</v>
      </c>
      <c r="D252" s="26" t="s">
        <v>821</v>
      </c>
      <c r="E252" s="25" t="s">
        <v>294</v>
      </c>
      <c r="F252" s="25" t="s">
        <v>315</v>
      </c>
      <c r="G252" s="25" t="s">
        <v>315</v>
      </c>
      <c r="H252" s="218"/>
      <c r="I252" s="53" t="s">
        <v>76</v>
      </c>
      <c r="J252" s="53"/>
      <c r="K252" s="295">
        <v>43236</v>
      </c>
      <c r="L252" s="26"/>
      <c r="M252" s="26">
        <v>96570</v>
      </c>
      <c r="N252" s="243">
        <f>SUM(O252:V252)</f>
        <v>96570</v>
      </c>
      <c r="O252" s="53"/>
      <c r="P252" s="245">
        <v>36903.599999999999</v>
      </c>
      <c r="Q252" s="245"/>
      <c r="R252" s="245"/>
      <c r="S252" s="245">
        <v>59666.400000000001</v>
      </c>
      <c r="T252" s="245"/>
      <c r="U252" s="245"/>
      <c r="V252" s="245"/>
      <c r="W252" s="26"/>
      <c r="X252" s="26"/>
      <c r="Y252" s="263"/>
      <c r="Z252" s="263"/>
      <c r="AA252" s="263">
        <v>0.15</v>
      </c>
      <c r="AB252" s="26"/>
      <c r="AC252" s="26">
        <v>31368.06</v>
      </c>
      <c r="AD252" s="26"/>
      <c r="AE252" s="26"/>
      <c r="AF252" s="26">
        <v>50716.44</v>
      </c>
      <c r="AG252" s="26"/>
      <c r="AH252" s="26"/>
      <c r="AI252" s="26"/>
      <c r="AJ252" s="26"/>
      <c r="AK252" s="26"/>
      <c r="AL252" s="26"/>
      <c r="AM252" s="26"/>
      <c r="AN252" s="243">
        <f t="shared" si="7"/>
        <v>82084.5</v>
      </c>
      <c r="AO252" s="25" t="s">
        <v>62</v>
      </c>
      <c r="AP252" s="216"/>
      <c r="AQ252" s="245"/>
      <c r="AR252" s="26" t="s">
        <v>384</v>
      </c>
      <c r="AS252" s="26"/>
      <c r="AT252" s="308">
        <v>43210</v>
      </c>
      <c r="AU252" s="245"/>
      <c r="AV252" s="43" t="s">
        <v>66</v>
      </c>
      <c r="AW252" s="245"/>
      <c r="AX252" s="289" t="s">
        <v>86</v>
      </c>
      <c r="AY252" s="289"/>
      <c r="AZ252" s="290">
        <v>43230</v>
      </c>
      <c r="BA252" s="290">
        <v>43369</v>
      </c>
      <c r="BB252" s="25" t="s">
        <v>78</v>
      </c>
      <c r="BC252" s="291">
        <v>43594</v>
      </c>
      <c r="BD252" s="25" t="s">
        <v>122</v>
      </c>
      <c r="BE252" s="297">
        <v>96570</v>
      </c>
      <c r="BF252" s="298">
        <f t="shared" si="6"/>
        <v>1</v>
      </c>
      <c r="BG252" s="297" t="e">
        <f>VLOOKUP(B252,[1]Sheet2!$B:$X,23,0)</f>
        <v>#N/A</v>
      </c>
    </row>
    <row r="253" spans="1:59" s="28" customFormat="1" ht="33" customHeight="1">
      <c r="A253" s="26" t="s">
        <v>802</v>
      </c>
      <c r="B253" s="322" t="s">
        <v>804</v>
      </c>
      <c r="C253" s="26" t="s">
        <v>803</v>
      </c>
      <c r="D253" s="26" t="s">
        <v>805</v>
      </c>
      <c r="E253" s="25" t="s">
        <v>271</v>
      </c>
      <c r="F253" s="25" t="s">
        <v>315</v>
      </c>
      <c r="G253" s="25" t="s">
        <v>315</v>
      </c>
      <c r="H253" s="218" t="s">
        <v>1275</v>
      </c>
      <c r="I253" s="53" t="s">
        <v>795</v>
      </c>
      <c r="J253" s="53" t="s">
        <v>806</v>
      </c>
      <c r="K253" s="295">
        <v>43235</v>
      </c>
      <c r="L253" s="26"/>
      <c r="M253" s="26">
        <v>1458375</v>
      </c>
      <c r="N253" s="243">
        <f>SUM(O253:V253)</f>
        <v>1458375</v>
      </c>
      <c r="O253" s="53"/>
      <c r="P253" s="245"/>
      <c r="Q253" s="245"/>
      <c r="R253" s="245"/>
      <c r="S253" s="245">
        <v>1458375</v>
      </c>
      <c r="T253" s="245"/>
      <c r="U253" s="245"/>
      <c r="V253" s="245"/>
      <c r="W253" s="26"/>
      <c r="X253" s="26"/>
      <c r="Y253" s="263"/>
      <c r="Z253" s="263"/>
      <c r="AA253" s="263">
        <v>0.15</v>
      </c>
      <c r="AB253" s="26"/>
      <c r="AC253" s="26"/>
      <c r="AD253" s="26"/>
      <c r="AE253" s="26"/>
      <c r="AF253" s="26">
        <v>1239618.75</v>
      </c>
      <c r="AG253" s="26"/>
      <c r="AH253" s="26"/>
      <c r="AI253" s="26"/>
      <c r="AJ253" s="26"/>
      <c r="AK253" s="26"/>
      <c r="AL253" s="26"/>
      <c r="AM253" s="26"/>
      <c r="AN253" s="243">
        <f t="shared" si="7"/>
        <v>1239618.75</v>
      </c>
      <c r="AO253" s="25" t="s">
        <v>108</v>
      </c>
      <c r="AP253" s="216"/>
      <c r="AQ253" s="245"/>
      <c r="AR253" s="26" t="s">
        <v>384</v>
      </c>
      <c r="AS253" s="26"/>
      <c r="AT253" s="308"/>
      <c r="AU253" s="245"/>
      <c r="AV253" s="43" t="s">
        <v>66</v>
      </c>
      <c r="AW253" s="245"/>
      <c r="AX253" s="289" t="s">
        <v>86</v>
      </c>
      <c r="AY253" s="289"/>
      <c r="AZ253" s="290">
        <v>43465</v>
      </c>
      <c r="BA253" s="290">
        <v>43468</v>
      </c>
      <c r="BB253" s="25"/>
      <c r="BC253" s="291">
        <v>43829</v>
      </c>
      <c r="BD253" s="113" t="s">
        <v>88</v>
      </c>
      <c r="BE253" s="297">
        <v>1414623.75</v>
      </c>
      <c r="BF253" s="298">
        <f t="shared" si="6"/>
        <v>0.97</v>
      </c>
      <c r="BG253" s="297" t="e">
        <f>VLOOKUP(B253,[1]Sheet2!$B:$X,23,0)</f>
        <v>#N/A</v>
      </c>
    </row>
    <row r="254" spans="1:59" s="28" customFormat="1" ht="33" customHeight="1">
      <c r="A254" s="26" t="s">
        <v>802</v>
      </c>
      <c r="B254" s="25" t="s">
        <v>810</v>
      </c>
      <c r="C254" s="26" t="s">
        <v>809</v>
      </c>
      <c r="D254" s="26" t="s">
        <v>811</v>
      </c>
      <c r="E254" s="25" t="s">
        <v>271</v>
      </c>
      <c r="F254" s="25" t="s">
        <v>1277</v>
      </c>
      <c r="G254" s="216" t="s">
        <v>1801</v>
      </c>
      <c r="H254" s="218" t="s">
        <v>1801</v>
      </c>
      <c r="I254" s="53" t="s">
        <v>795</v>
      </c>
      <c r="J254" s="53" t="s">
        <v>128</v>
      </c>
      <c r="K254" s="295">
        <v>43369</v>
      </c>
      <c r="L254" s="25" t="s">
        <v>812</v>
      </c>
      <c r="M254" s="26">
        <v>9810000</v>
      </c>
      <c r="N254" s="243">
        <f>SUM(O254:V254)</f>
        <v>3240000</v>
      </c>
      <c r="O254" s="53"/>
      <c r="P254" s="245"/>
      <c r="Q254" s="245"/>
      <c r="R254" s="245"/>
      <c r="S254" s="245"/>
      <c r="T254" s="245"/>
      <c r="U254" s="245">
        <v>3240000</v>
      </c>
      <c r="V254" s="245"/>
      <c r="W254" s="26">
        <f>6210000+360000</f>
        <v>6570000</v>
      </c>
      <c r="X254" s="26"/>
      <c r="Y254" s="263">
        <v>0.06</v>
      </c>
      <c r="Z254" s="263"/>
      <c r="AA254" s="263">
        <v>0.113</v>
      </c>
      <c r="AB254" s="26"/>
      <c r="AC254" s="26"/>
      <c r="AD254" s="26"/>
      <c r="AE254" s="26"/>
      <c r="AF254" s="26"/>
      <c r="AG254" s="26"/>
      <c r="AH254" s="26">
        <v>2873880</v>
      </c>
      <c r="AI254" s="26"/>
      <c r="AJ254" s="26"/>
      <c r="AK254" s="26">
        <f>6210000+360000</f>
        <v>6570000</v>
      </c>
      <c r="AL254" s="26"/>
      <c r="AM254" s="26"/>
      <c r="AN254" s="243">
        <f t="shared" si="7"/>
        <v>2873880</v>
      </c>
      <c r="AO254" s="25" t="s">
        <v>813</v>
      </c>
      <c r="AP254" s="216"/>
      <c r="AQ254" s="245"/>
      <c r="AR254" s="327">
        <v>43369</v>
      </c>
      <c r="AS254" s="327"/>
      <c r="AT254" s="308"/>
      <c r="AU254" s="245"/>
      <c r="AV254" s="43" t="s">
        <v>190</v>
      </c>
      <c r="AW254" s="245"/>
      <c r="AX254" s="289"/>
      <c r="AY254" s="289"/>
      <c r="AZ254" s="290"/>
      <c r="BA254" s="290"/>
      <c r="BB254" s="25"/>
      <c r="BC254" s="291"/>
      <c r="BD254" s="113" t="s">
        <v>1758</v>
      </c>
      <c r="BE254" s="297">
        <v>3578931.8</v>
      </c>
      <c r="BF254" s="298">
        <f t="shared" si="6"/>
        <v>0.36482485219164118</v>
      </c>
      <c r="BG254" s="297" t="e">
        <f>VLOOKUP(B254,[1]Sheet2!$B:$X,23,0)</f>
        <v>#N/A</v>
      </c>
    </row>
    <row r="255" spans="1:59" s="28" customFormat="1" ht="33" customHeight="1">
      <c r="A255" s="26" t="s">
        <v>777</v>
      </c>
      <c r="B255" s="25" t="s">
        <v>779</v>
      </c>
      <c r="C255" s="26" t="s">
        <v>778</v>
      </c>
      <c r="D255" s="26" t="s">
        <v>780</v>
      </c>
      <c r="E255" s="25" t="s">
        <v>374</v>
      </c>
      <c r="F255" s="25" t="s">
        <v>315</v>
      </c>
      <c r="G255" s="25" t="s">
        <v>315</v>
      </c>
      <c r="H255" s="218" t="s">
        <v>1314</v>
      </c>
      <c r="I255" s="53" t="s">
        <v>286</v>
      </c>
      <c r="J255" s="53" t="s">
        <v>84</v>
      </c>
      <c r="K255" s="295">
        <v>43235</v>
      </c>
      <c r="L255" s="26"/>
      <c r="M255" s="26">
        <v>1020000</v>
      </c>
      <c r="N255" s="243">
        <f>SUM(O255:V255)</f>
        <v>1020000</v>
      </c>
      <c r="O255" s="53"/>
      <c r="P255" s="245">
        <v>305100</v>
      </c>
      <c r="Q255" s="245"/>
      <c r="R255" s="245"/>
      <c r="S255" s="245"/>
      <c r="T255" s="245"/>
      <c r="U255" s="245">
        <v>714900</v>
      </c>
      <c r="V255" s="245"/>
      <c r="W255" s="26"/>
      <c r="X255" s="26"/>
      <c r="Y255" s="263"/>
      <c r="Z255" s="263"/>
      <c r="AA255" s="263">
        <v>0.1</v>
      </c>
      <c r="AB255" s="26"/>
      <c r="AC255" s="26">
        <v>274590</v>
      </c>
      <c r="AD255" s="26"/>
      <c r="AE255" s="26"/>
      <c r="AF255" s="26"/>
      <c r="AG255" s="26"/>
      <c r="AH255" s="26">
        <v>643410</v>
      </c>
      <c r="AI255" s="26"/>
      <c r="AJ255" s="26"/>
      <c r="AK255" s="26"/>
      <c r="AL255" s="26"/>
      <c r="AM255" s="26"/>
      <c r="AN255" s="243">
        <f t="shared" si="7"/>
        <v>918000</v>
      </c>
      <c r="AO255" s="25" t="s">
        <v>77</v>
      </c>
      <c r="AP255" s="216"/>
      <c r="AQ255" s="245"/>
      <c r="AR255" s="26" t="s">
        <v>384</v>
      </c>
      <c r="AS255" s="26"/>
      <c r="AT255" s="308"/>
      <c r="AU255" s="245"/>
      <c r="AV255" s="43">
        <v>2019.1</v>
      </c>
      <c r="AW255" s="245"/>
      <c r="AX255" s="289"/>
      <c r="AY255" s="289"/>
      <c r="AZ255" s="290"/>
      <c r="BA255" s="290"/>
      <c r="BB255" s="25"/>
      <c r="BC255" s="291"/>
      <c r="BD255" s="113" t="s">
        <v>213</v>
      </c>
      <c r="BE255" s="297">
        <v>510000</v>
      </c>
      <c r="BF255" s="298">
        <f t="shared" si="6"/>
        <v>0.5</v>
      </c>
      <c r="BG255" s="297" t="e">
        <f>VLOOKUP(B255,[1]Sheet2!$B:$X,23,0)</f>
        <v>#N/A</v>
      </c>
    </row>
    <row r="256" spans="1:59" s="28" customFormat="1" ht="33" customHeight="1">
      <c r="A256" s="26" t="s">
        <v>835</v>
      </c>
      <c r="B256" s="25" t="s">
        <v>837</v>
      </c>
      <c r="C256" s="26" t="s">
        <v>836</v>
      </c>
      <c r="D256" s="26" t="s">
        <v>838</v>
      </c>
      <c r="E256" s="25" t="s">
        <v>249</v>
      </c>
      <c r="F256" s="25" t="s">
        <v>315</v>
      </c>
      <c r="G256" s="25" t="s">
        <v>315</v>
      </c>
      <c r="H256" s="218"/>
      <c r="I256" s="53" t="s">
        <v>157</v>
      </c>
      <c r="J256" s="53" t="s">
        <v>63</v>
      </c>
      <c r="K256" s="326">
        <v>43236</v>
      </c>
      <c r="L256" s="26"/>
      <c r="M256" s="26">
        <v>65818</v>
      </c>
      <c r="N256" s="243">
        <f>SUM(P256:V256)</f>
        <v>65818</v>
      </c>
      <c r="O256" s="53"/>
      <c r="P256" s="245">
        <v>51798</v>
      </c>
      <c r="Q256" s="245"/>
      <c r="R256" s="245"/>
      <c r="S256" s="245">
        <v>14020</v>
      </c>
      <c r="T256" s="245"/>
      <c r="U256" s="245"/>
      <c r="V256" s="245"/>
      <c r="W256" s="26"/>
      <c r="X256" s="26"/>
      <c r="Y256" s="262"/>
      <c r="Z256" s="262"/>
      <c r="AA256" s="263">
        <v>0.15</v>
      </c>
      <c r="AB256" s="26"/>
      <c r="AC256" s="26">
        <v>44028.3</v>
      </c>
      <c r="AD256" s="26"/>
      <c r="AE256" s="26"/>
      <c r="AF256" s="26">
        <v>11917</v>
      </c>
      <c r="AG256" s="26"/>
      <c r="AH256" s="26"/>
      <c r="AI256" s="26"/>
      <c r="AJ256" s="26"/>
      <c r="AK256" s="26"/>
      <c r="AL256" s="26"/>
      <c r="AM256" s="26"/>
      <c r="AN256" s="243">
        <f t="shared" si="7"/>
        <v>55945.3</v>
      </c>
      <c r="AO256" s="25" t="s">
        <v>62</v>
      </c>
      <c r="AP256" s="216"/>
      <c r="AQ256" s="245"/>
      <c r="AR256" s="26" t="s">
        <v>384</v>
      </c>
      <c r="AS256" s="26"/>
      <c r="AT256" s="308"/>
      <c r="AU256" s="245"/>
      <c r="AV256" s="43"/>
      <c r="AW256" s="245"/>
      <c r="AX256" s="289"/>
      <c r="AY256" s="289"/>
      <c r="AZ256" s="290"/>
      <c r="BA256" s="290"/>
      <c r="BB256" s="25"/>
      <c r="BC256" s="291"/>
      <c r="BD256" s="113" t="s">
        <v>213</v>
      </c>
      <c r="BE256" s="297">
        <v>0</v>
      </c>
      <c r="BF256" s="298">
        <f t="shared" si="6"/>
        <v>0</v>
      </c>
      <c r="BG256" s="297" t="e">
        <f>VLOOKUP(B256,[1]Sheet2!$B:$X,23,0)</f>
        <v>#N/A</v>
      </c>
    </row>
    <row r="257" spans="1:59" s="28" customFormat="1" ht="33" customHeight="1">
      <c r="A257" s="26" t="s">
        <v>782</v>
      </c>
      <c r="B257" s="25" t="s">
        <v>784</v>
      </c>
      <c r="C257" s="26" t="s">
        <v>783</v>
      </c>
      <c r="D257" s="26" t="s">
        <v>785</v>
      </c>
      <c r="E257" s="25" t="s">
        <v>265</v>
      </c>
      <c r="F257" s="25" t="s">
        <v>315</v>
      </c>
      <c r="G257" s="25" t="s">
        <v>315</v>
      </c>
      <c r="H257" s="218" t="s">
        <v>1275</v>
      </c>
      <c r="I257" s="53" t="s">
        <v>286</v>
      </c>
      <c r="J257" s="53" t="s">
        <v>84</v>
      </c>
      <c r="K257" s="295">
        <v>43235</v>
      </c>
      <c r="L257" s="26"/>
      <c r="M257" s="26">
        <v>346000</v>
      </c>
      <c r="N257" s="243">
        <f t="shared" ref="N257:N307" si="8">SUM(O257:V257)</f>
        <v>346000</v>
      </c>
      <c r="O257" s="53"/>
      <c r="P257" s="245">
        <v>331977.25</v>
      </c>
      <c r="Q257" s="245"/>
      <c r="R257" s="245"/>
      <c r="S257" s="245"/>
      <c r="T257" s="245"/>
      <c r="U257" s="245">
        <v>14022.75</v>
      </c>
      <c r="V257" s="245"/>
      <c r="W257" s="26"/>
      <c r="X257" s="26"/>
      <c r="Y257" s="263"/>
      <c r="Z257" s="263"/>
      <c r="AA257" s="263">
        <v>0.1</v>
      </c>
      <c r="AB257" s="26"/>
      <c r="AC257" s="26">
        <v>298779.52000000002</v>
      </c>
      <c r="AD257" s="26"/>
      <c r="AE257" s="26"/>
      <c r="AF257" s="26"/>
      <c r="AG257" s="26"/>
      <c r="AH257" s="26">
        <v>12620.48</v>
      </c>
      <c r="AI257" s="26"/>
      <c r="AJ257" s="26"/>
      <c r="AK257" s="26"/>
      <c r="AL257" s="26"/>
      <c r="AM257" s="26"/>
      <c r="AN257" s="243">
        <f t="shared" si="7"/>
        <v>311400</v>
      </c>
      <c r="AO257" s="25" t="s">
        <v>62</v>
      </c>
      <c r="AP257" s="216"/>
      <c r="AQ257" s="245"/>
      <c r="AR257" s="26" t="s">
        <v>384</v>
      </c>
      <c r="AS257" s="26"/>
      <c r="AT257" s="308">
        <v>43273</v>
      </c>
      <c r="AU257" s="245"/>
      <c r="AV257" s="43" t="s">
        <v>66</v>
      </c>
      <c r="AW257" s="245"/>
      <c r="AX257" s="289" t="s">
        <v>86</v>
      </c>
      <c r="AY257" s="289"/>
      <c r="AZ257" s="290">
        <v>43282</v>
      </c>
      <c r="BA257" s="290">
        <v>43319</v>
      </c>
      <c r="BB257" s="25"/>
      <c r="BC257" s="291">
        <v>43646</v>
      </c>
      <c r="BD257" s="113" t="s">
        <v>122</v>
      </c>
      <c r="BE257" s="297">
        <v>346000</v>
      </c>
      <c r="BF257" s="298">
        <f t="shared" si="6"/>
        <v>1</v>
      </c>
      <c r="BG257" s="297" t="e">
        <f>VLOOKUP(B257,[1]Sheet2!$B:$X,23,0)</f>
        <v>#N/A</v>
      </c>
    </row>
    <row r="258" spans="1:59" s="28" customFormat="1" ht="33" customHeight="1">
      <c r="A258" s="26" t="s">
        <v>791</v>
      </c>
      <c r="B258" s="25" t="s">
        <v>793</v>
      </c>
      <c r="C258" s="26" t="s">
        <v>792</v>
      </c>
      <c r="D258" s="26" t="s">
        <v>794</v>
      </c>
      <c r="E258" s="25" t="s">
        <v>271</v>
      </c>
      <c r="F258" s="25" t="s">
        <v>315</v>
      </c>
      <c r="G258" s="25" t="s">
        <v>315</v>
      </c>
      <c r="H258" s="218" t="s">
        <v>1275</v>
      </c>
      <c r="I258" s="53" t="s">
        <v>795</v>
      </c>
      <c r="J258" s="53" t="s">
        <v>128</v>
      </c>
      <c r="K258" s="295">
        <v>43235</v>
      </c>
      <c r="L258" s="26"/>
      <c r="M258" s="26">
        <v>95061.3</v>
      </c>
      <c r="N258" s="243">
        <f t="shared" si="8"/>
        <v>95061.3</v>
      </c>
      <c r="O258" s="53"/>
      <c r="P258" s="245">
        <v>53047.8</v>
      </c>
      <c r="Q258" s="245"/>
      <c r="R258" s="245"/>
      <c r="S258" s="245">
        <v>42013.5</v>
      </c>
      <c r="T258" s="245"/>
      <c r="U258" s="245"/>
      <c r="V258" s="245"/>
      <c r="W258" s="26"/>
      <c r="X258" s="26"/>
      <c r="Y258" s="263"/>
      <c r="Z258" s="263"/>
      <c r="AA258" s="263">
        <v>0.15</v>
      </c>
      <c r="AB258" s="26"/>
      <c r="AC258" s="26">
        <v>45090.63</v>
      </c>
      <c r="AD258" s="26"/>
      <c r="AE258" s="26"/>
      <c r="AF258" s="26">
        <v>35711.474999999999</v>
      </c>
      <c r="AG258" s="26"/>
      <c r="AH258" s="26"/>
      <c r="AI258" s="26"/>
      <c r="AJ258" s="26"/>
      <c r="AK258" s="26"/>
      <c r="AL258" s="26"/>
      <c r="AM258" s="26"/>
      <c r="AN258" s="243">
        <f t="shared" si="7"/>
        <v>80802.104999999996</v>
      </c>
      <c r="AO258" s="25" t="s">
        <v>77</v>
      </c>
      <c r="AP258" s="216"/>
      <c r="AQ258" s="245"/>
      <c r="AR258" s="26" t="s">
        <v>384</v>
      </c>
      <c r="AS258" s="26"/>
      <c r="AT258" s="308">
        <v>43261</v>
      </c>
      <c r="AU258" s="245"/>
      <c r="AV258" s="43" t="s">
        <v>66</v>
      </c>
      <c r="AW258" s="245"/>
      <c r="AX258" s="289" t="s">
        <v>86</v>
      </c>
      <c r="AY258" s="289"/>
      <c r="AZ258" s="290">
        <v>43381</v>
      </c>
      <c r="BA258" s="290">
        <v>43449</v>
      </c>
      <c r="BB258" s="25"/>
      <c r="BC258" s="291">
        <v>43745</v>
      </c>
      <c r="BD258" s="113" t="s">
        <v>122</v>
      </c>
      <c r="BE258" s="297">
        <v>95061.3</v>
      </c>
      <c r="BF258" s="298">
        <f t="shared" si="6"/>
        <v>1</v>
      </c>
      <c r="BG258" s="297" t="e">
        <f>VLOOKUP(B258,[1]Sheet2!$B:$X,23,0)</f>
        <v>#N/A</v>
      </c>
    </row>
    <row r="259" spans="1:59" s="28" customFormat="1" ht="33" customHeight="1">
      <c r="A259" s="312" t="s">
        <v>843</v>
      </c>
      <c r="B259" s="330" t="s">
        <v>845</v>
      </c>
      <c r="C259" s="19" t="s">
        <v>1802</v>
      </c>
      <c r="D259" s="26" t="s">
        <v>1803</v>
      </c>
      <c r="E259" s="25" t="s">
        <v>576</v>
      </c>
      <c r="F259" s="25" t="s">
        <v>315</v>
      </c>
      <c r="G259" s="25" t="s">
        <v>315</v>
      </c>
      <c r="H259" s="218" t="s">
        <v>1275</v>
      </c>
      <c r="I259" s="53"/>
      <c r="J259" s="53"/>
      <c r="K259" s="295" t="s">
        <v>1804</v>
      </c>
      <c r="L259" s="26"/>
      <c r="M259" s="26">
        <v>216877.35</v>
      </c>
      <c r="N259" s="243"/>
      <c r="O259" s="53"/>
      <c r="P259" s="245"/>
      <c r="Q259" s="245"/>
      <c r="R259" s="245"/>
      <c r="S259" s="245"/>
      <c r="T259" s="245"/>
      <c r="U259" s="245"/>
      <c r="V259" s="245"/>
      <c r="W259" s="26"/>
      <c r="X259" s="26"/>
      <c r="Y259" s="263"/>
      <c r="Z259" s="263"/>
      <c r="AA259" s="263"/>
      <c r="AB259" s="26"/>
      <c r="AC259" s="26"/>
      <c r="AD259" s="26"/>
      <c r="AE259" s="26"/>
      <c r="AF259" s="26"/>
      <c r="AG259" s="26"/>
      <c r="AH259" s="26"/>
      <c r="AI259" s="26"/>
      <c r="AJ259" s="26"/>
      <c r="AK259" s="26"/>
      <c r="AL259" s="26"/>
      <c r="AM259" s="26"/>
      <c r="AN259" s="243"/>
      <c r="AO259" s="25" t="s">
        <v>114</v>
      </c>
      <c r="AP259" s="216"/>
      <c r="AQ259" s="245"/>
      <c r="AR259" s="26" t="s">
        <v>384</v>
      </c>
      <c r="AS259" s="26"/>
      <c r="AT259" s="308"/>
      <c r="AU259" s="245"/>
      <c r="AV259" s="43"/>
      <c r="AW259" s="245"/>
      <c r="AX259" s="289"/>
      <c r="AY259" s="289"/>
      <c r="AZ259" s="290"/>
      <c r="BA259" s="290"/>
      <c r="BB259" s="25"/>
      <c r="BC259" s="291"/>
      <c r="BD259" s="113"/>
      <c r="BE259" s="297">
        <v>100000</v>
      </c>
      <c r="BF259" s="298">
        <f t="shared" ref="BF259:BF322" si="9">BE259/M259</f>
        <v>0.4610901046144284</v>
      </c>
      <c r="BG259" s="297" t="e">
        <f>VLOOKUP(B259,[1]Sheet2!$B:$X,23,0)</f>
        <v>#N/A</v>
      </c>
    </row>
    <row r="260" spans="1:59" s="28" customFormat="1" ht="33" customHeight="1">
      <c r="A260" s="26" t="s">
        <v>855</v>
      </c>
      <c r="B260" s="25" t="s">
        <v>857</v>
      </c>
      <c r="C260" s="26" t="s">
        <v>856</v>
      </c>
      <c r="D260" s="26" t="s">
        <v>858</v>
      </c>
      <c r="E260" s="25" t="s">
        <v>126</v>
      </c>
      <c r="F260" s="25" t="s">
        <v>315</v>
      </c>
      <c r="G260" s="25" t="s">
        <v>315</v>
      </c>
      <c r="H260" s="218"/>
      <c r="I260" s="53" t="s">
        <v>76</v>
      </c>
      <c r="J260" s="53"/>
      <c r="K260" s="295">
        <v>43237</v>
      </c>
      <c r="L260" s="26"/>
      <c r="M260" s="26">
        <v>27602</v>
      </c>
      <c r="N260" s="243">
        <f t="shared" si="8"/>
        <v>27602</v>
      </c>
      <c r="O260" s="53"/>
      <c r="P260" s="245">
        <v>19170</v>
      </c>
      <c r="Q260" s="245"/>
      <c r="R260" s="245"/>
      <c r="S260" s="245">
        <v>8432</v>
      </c>
      <c r="T260" s="245"/>
      <c r="U260" s="245"/>
      <c r="V260" s="245"/>
      <c r="W260" s="26"/>
      <c r="X260" s="26"/>
      <c r="Y260" s="263"/>
      <c r="Z260" s="263"/>
      <c r="AA260" s="263">
        <v>0.15</v>
      </c>
      <c r="AB260" s="26"/>
      <c r="AC260" s="26">
        <v>16294.5</v>
      </c>
      <c r="AD260" s="26"/>
      <c r="AE260" s="26"/>
      <c r="AF260" s="26">
        <v>7167.2</v>
      </c>
      <c r="AG260" s="26"/>
      <c r="AH260" s="26"/>
      <c r="AI260" s="26"/>
      <c r="AJ260" s="26"/>
      <c r="AK260" s="26"/>
      <c r="AL260" s="26"/>
      <c r="AM260" s="26"/>
      <c r="AN260" s="243">
        <f t="shared" si="7"/>
        <v>23461.7</v>
      </c>
      <c r="AO260" s="25" t="s">
        <v>93</v>
      </c>
      <c r="AP260" s="216"/>
      <c r="AQ260" s="245"/>
      <c r="AR260" s="26" t="s">
        <v>384</v>
      </c>
      <c r="AS260" s="26"/>
      <c r="AT260" s="308">
        <v>42967</v>
      </c>
      <c r="AU260" s="245"/>
      <c r="AV260" s="43" t="s">
        <v>66</v>
      </c>
      <c r="AW260" s="245"/>
      <c r="AX260" s="289" t="s">
        <v>86</v>
      </c>
      <c r="AY260" s="289"/>
      <c r="AZ260" s="290">
        <v>43282</v>
      </c>
      <c r="BA260" s="290">
        <v>43344</v>
      </c>
      <c r="BB260" s="25" t="s">
        <v>78</v>
      </c>
      <c r="BC260" s="291">
        <v>43646</v>
      </c>
      <c r="BD260" s="113" t="s">
        <v>122</v>
      </c>
      <c r="BE260" s="297">
        <v>27602</v>
      </c>
      <c r="BF260" s="298">
        <f t="shared" si="9"/>
        <v>1</v>
      </c>
      <c r="BG260" s="297" t="e">
        <f>VLOOKUP(B260,[1]Sheet2!$B:$X,23,0)</f>
        <v>#N/A</v>
      </c>
    </row>
    <row r="261" spans="1:59" s="28" customFormat="1" ht="33" customHeight="1">
      <c r="A261" s="331" t="s">
        <v>1175</v>
      </c>
      <c r="B261" s="25" t="s">
        <v>1176</v>
      </c>
      <c r="C261" s="26" t="s">
        <v>1805</v>
      </c>
      <c r="D261" s="25" t="s">
        <v>1177</v>
      </c>
      <c r="E261" s="25" t="s">
        <v>139</v>
      </c>
      <c r="F261" s="25" t="s">
        <v>315</v>
      </c>
      <c r="G261" s="25" t="s">
        <v>315</v>
      </c>
      <c r="H261" s="218" t="s">
        <v>1275</v>
      </c>
      <c r="I261" s="53" t="s">
        <v>150</v>
      </c>
      <c r="J261" s="53" t="s">
        <v>128</v>
      </c>
      <c r="K261" s="335"/>
      <c r="L261" s="26"/>
      <c r="M261" s="336">
        <v>197800</v>
      </c>
      <c r="N261" s="243">
        <f t="shared" ref="N261:N284" si="10">SUM(O261:V261)</f>
        <v>0</v>
      </c>
      <c r="O261" s="106"/>
      <c r="P261" s="243"/>
      <c r="Q261" s="243"/>
      <c r="R261" s="243"/>
      <c r="S261" s="243"/>
      <c r="T261" s="243"/>
      <c r="U261" s="243"/>
      <c r="V261" s="243"/>
      <c r="W261" s="243"/>
      <c r="X261" s="243"/>
      <c r="Y261" s="263"/>
      <c r="Z261" s="263"/>
      <c r="AA261" s="263"/>
      <c r="AB261" s="243"/>
      <c r="AC261" s="243"/>
      <c r="AD261" s="243"/>
      <c r="AE261" s="243"/>
      <c r="AF261" s="243"/>
      <c r="AG261" s="243"/>
      <c r="AH261" s="243"/>
      <c r="AI261" s="243"/>
      <c r="AJ261" s="243"/>
      <c r="AK261" s="243"/>
      <c r="AL261" s="243"/>
      <c r="AM261" s="243"/>
      <c r="AN261" s="243">
        <f t="shared" ref="AN261:AN269" si="11">SUM(AB261:AL261)</f>
        <v>0</v>
      </c>
      <c r="AO261" s="25" t="s">
        <v>85</v>
      </c>
      <c r="AP261" s="216" t="s">
        <v>1442</v>
      </c>
      <c r="AQ261" s="245"/>
      <c r="AR261" s="26" t="s">
        <v>384</v>
      </c>
      <c r="AS261" s="26"/>
      <c r="AT261" s="308"/>
      <c r="AU261" s="245"/>
      <c r="AV261" s="43" t="s">
        <v>66</v>
      </c>
      <c r="AW261" s="245"/>
      <c r="AX261" s="25" t="s">
        <v>86</v>
      </c>
      <c r="AY261" s="26"/>
      <c r="AZ261" s="308">
        <v>43469</v>
      </c>
      <c r="BA261" s="308">
        <v>43483</v>
      </c>
      <c r="BB261" s="25"/>
      <c r="BC261" s="291">
        <v>43833</v>
      </c>
      <c r="BD261" s="113" t="s">
        <v>88</v>
      </c>
      <c r="BE261" s="297">
        <v>197800</v>
      </c>
      <c r="BF261" s="298">
        <f t="shared" si="9"/>
        <v>1</v>
      </c>
      <c r="BG261" s="297" t="e">
        <f>VLOOKUP(B261,[1]Sheet2!$B:$X,23,0)</f>
        <v>#N/A</v>
      </c>
    </row>
    <row r="262" spans="1:59" s="28" customFormat="1" ht="33" customHeight="1">
      <c r="A262" s="331" t="s">
        <v>1190</v>
      </c>
      <c r="B262" s="25" t="s">
        <v>1191</v>
      </c>
      <c r="C262" s="26" t="s">
        <v>1806</v>
      </c>
      <c r="D262" s="25" t="s">
        <v>1192</v>
      </c>
      <c r="E262" s="25" t="s">
        <v>139</v>
      </c>
      <c r="F262" s="25" t="s">
        <v>315</v>
      </c>
      <c r="G262" s="25" t="s">
        <v>315</v>
      </c>
      <c r="H262" s="218" t="s">
        <v>1275</v>
      </c>
      <c r="I262" s="53" t="s">
        <v>150</v>
      </c>
      <c r="J262" s="53" t="s">
        <v>128</v>
      </c>
      <c r="K262" s="335"/>
      <c r="L262" s="26"/>
      <c r="M262" s="336">
        <v>64092</v>
      </c>
      <c r="N262" s="243">
        <f t="shared" si="10"/>
        <v>0</v>
      </c>
      <c r="O262" s="106"/>
      <c r="P262" s="243"/>
      <c r="Q262" s="243"/>
      <c r="R262" s="243"/>
      <c r="S262" s="243"/>
      <c r="T262" s="243"/>
      <c r="U262" s="243"/>
      <c r="V262" s="243"/>
      <c r="W262" s="243"/>
      <c r="X262" s="243"/>
      <c r="Y262" s="263"/>
      <c r="Z262" s="263"/>
      <c r="AA262" s="263"/>
      <c r="AB262" s="243"/>
      <c r="AC262" s="243"/>
      <c r="AD262" s="243"/>
      <c r="AE262" s="243"/>
      <c r="AF262" s="243"/>
      <c r="AG262" s="243"/>
      <c r="AH262" s="243"/>
      <c r="AI262" s="243"/>
      <c r="AJ262" s="243"/>
      <c r="AK262" s="243"/>
      <c r="AL262" s="243"/>
      <c r="AM262" s="243"/>
      <c r="AN262" s="243">
        <f t="shared" si="11"/>
        <v>0</v>
      </c>
      <c r="AO262" s="25" t="s">
        <v>85</v>
      </c>
      <c r="AP262" s="216" t="s">
        <v>1442</v>
      </c>
      <c r="AQ262" s="245"/>
      <c r="AR262" s="26" t="s">
        <v>384</v>
      </c>
      <c r="AS262" s="26"/>
      <c r="AT262" s="308"/>
      <c r="AU262" s="245"/>
      <c r="AV262" s="43" t="s">
        <v>66</v>
      </c>
      <c r="AW262" s="245"/>
      <c r="AX262" s="25" t="s">
        <v>86</v>
      </c>
      <c r="AY262" s="26"/>
      <c r="AZ262" s="308">
        <v>43469</v>
      </c>
      <c r="BA262" s="308">
        <v>43483</v>
      </c>
      <c r="BB262" s="25"/>
      <c r="BC262" s="291">
        <v>43833</v>
      </c>
      <c r="BD262" s="113" t="s">
        <v>88</v>
      </c>
      <c r="BE262" s="297">
        <v>64092</v>
      </c>
      <c r="BF262" s="298">
        <f t="shared" si="9"/>
        <v>1</v>
      </c>
      <c r="BG262" s="297" t="e">
        <f>VLOOKUP(B262,[1]Sheet2!$B:$X,23,0)</f>
        <v>#N/A</v>
      </c>
    </row>
    <row r="263" spans="1:59" s="28" customFormat="1" ht="33" customHeight="1">
      <c r="A263" s="331" t="s">
        <v>1193</v>
      </c>
      <c r="B263" s="25" t="s">
        <v>1194</v>
      </c>
      <c r="C263" s="26" t="s">
        <v>1807</v>
      </c>
      <c r="D263" s="25" t="s">
        <v>1195</v>
      </c>
      <c r="E263" s="25" t="s">
        <v>139</v>
      </c>
      <c r="F263" s="25" t="s">
        <v>315</v>
      </c>
      <c r="G263" s="25" t="s">
        <v>315</v>
      </c>
      <c r="H263" s="218" t="s">
        <v>1275</v>
      </c>
      <c r="I263" s="53" t="s">
        <v>150</v>
      </c>
      <c r="J263" s="53" t="s">
        <v>128</v>
      </c>
      <c r="K263" s="335"/>
      <c r="L263" s="26"/>
      <c r="M263" s="336">
        <v>44981</v>
      </c>
      <c r="N263" s="243">
        <f t="shared" si="10"/>
        <v>0</v>
      </c>
      <c r="O263" s="106"/>
      <c r="P263" s="243"/>
      <c r="Q263" s="243"/>
      <c r="R263" s="243"/>
      <c r="S263" s="243"/>
      <c r="T263" s="243"/>
      <c r="U263" s="243"/>
      <c r="V263" s="243"/>
      <c r="W263" s="243"/>
      <c r="X263" s="243"/>
      <c r="Y263" s="263"/>
      <c r="Z263" s="263"/>
      <c r="AA263" s="263"/>
      <c r="AB263" s="243"/>
      <c r="AC263" s="243"/>
      <c r="AD263" s="243"/>
      <c r="AE263" s="243"/>
      <c r="AF263" s="243"/>
      <c r="AG263" s="243"/>
      <c r="AH263" s="243"/>
      <c r="AI263" s="243"/>
      <c r="AJ263" s="243"/>
      <c r="AK263" s="243"/>
      <c r="AL263" s="243"/>
      <c r="AM263" s="243"/>
      <c r="AN263" s="243">
        <f t="shared" si="11"/>
        <v>0</v>
      </c>
      <c r="AO263" s="25" t="s">
        <v>85</v>
      </c>
      <c r="AP263" s="216" t="s">
        <v>1442</v>
      </c>
      <c r="AQ263" s="245"/>
      <c r="AR263" s="26" t="s">
        <v>384</v>
      </c>
      <c r="AS263" s="26"/>
      <c r="AT263" s="308"/>
      <c r="AU263" s="245"/>
      <c r="AV263" s="43" t="s">
        <v>66</v>
      </c>
      <c r="AW263" s="245"/>
      <c r="AX263" s="25" t="s">
        <v>86</v>
      </c>
      <c r="AY263" s="26"/>
      <c r="AZ263" s="308">
        <v>43469</v>
      </c>
      <c r="BA263" s="308">
        <v>43483</v>
      </c>
      <c r="BB263" s="25"/>
      <c r="BC263" s="291">
        <v>43833</v>
      </c>
      <c r="BD263" s="113" t="s">
        <v>88</v>
      </c>
      <c r="BE263" s="297">
        <v>44981</v>
      </c>
      <c r="BF263" s="298">
        <f t="shared" si="9"/>
        <v>1</v>
      </c>
      <c r="BG263" s="297" t="e">
        <f>VLOOKUP(B263,[1]Sheet2!$B:$X,23,0)</f>
        <v>#N/A</v>
      </c>
    </row>
    <row r="264" spans="1:59" s="28" customFormat="1" ht="33" customHeight="1">
      <c r="A264" s="331" t="s">
        <v>1181</v>
      </c>
      <c r="B264" s="25" t="s">
        <v>1182</v>
      </c>
      <c r="C264" s="26" t="s">
        <v>1808</v>
      </c>
      <c r="D264" s="25" t="s">
        <v>1183</v>
      </c>
      <c r="E264" s="25" t="s">
        <v>139</v>
      </c>
      <c r="F264" s="25" t="s">
        <v>315</v>
      </c>
      <c r="G264" s="25" t="s">
        <v>315</v>
      </c>
      <c r="H264" s="218" t="s">
        <v>1275</v>
      </c>
      <c r="I264" s="53" t="s">
        <v>150</v>
      </c>
      <c r="J264" s="53" t="s">
        <v>128</v>
      </c>
      <c r="K264" s="335"/>
      <c r="L264" s="26"/>
      <c r="M264" s="336">
        <v>152293</v>
      </c>
      <c r="N264" s="243">
        <f t="shared" si="10"/>
        <v>0</v>
      </c>
      <c r="O264" s="106"/>
      <c r="P264" s="243"/>
      <c r="Q264" s="243"/>
      <c r="R264" s="243"/>
      <c r="S264" s="243"/>
      <c r="T264" s="243"/>
      <c r="U264" s="243"/>
      <c r="V264" s="243"/>
      <c r="W264" s="243"/>
      <c r="X264" s="243"/>
      <c r="Y264" s="263"/>
      <c r="Z264" s="263"/>
      <c r="AA264" s="263"/>
      <c r="AB264" s="243"/>
      <c r="AC264" s="243"/>
      <c r="AD264" s="243"/>
      <c r="AE264" s="243"/>
      <c r="AF264" s="243"/>
      <c r="AG264" s="243"/>
      <c r="AH264" s="243"/>
      <c r="AI264" s="243"/>
      <c r="AJ264" s="243"/>
      <c r="AK264" s="243"/>
      <c r="AL264" s="243"/>
      <c r="AM264" s="243"/>
      <c r="AN264" s="243">
        <f t="shared" si="11"/>
        <v>0</v>
      </c>
      <c r="AO264" s="25" t="s">
        <v>85</v>
      </c>
      <c r="AP264" s="216" t="s">
        <v>1442</v>
      </c>
      <c r="AQ264" s="245"/>
      <c r="AR264" s="26" t="s">
        <v>384</v>
      </c>
      <c r="AS264" s="26"/>
      <c r="AT264" s="308"/>
      <c r="AU264" s="245"/>
      <c r="AV264" s="43" t="s">
        <v>66</v>
      </c>
      <c r="AW264" s="245"/>
      <c r="AX264" s="25" t="s">
        <v>86</v>
      </c>
      <c r="AY264" s="26"/>
      <c r="AZ264" s="308">
        <v>43469</v>
      </c>
      <c r="BA264" s="308">
        <v>43483</v>
      </c>
      <c r="BB264" s="25"/>
      <c r="BC264" s="291">
        <v>43833</v>
      </c>
      <c r="BD264" s="113" t="s">
        <v>88</v>
      </c>
      <c r="BE264" s="297">
        <v>152293</v>
      </c>
      <c r="BF264" s="298">
        <f t="shared" si="9"/>
        <v>1</v>
      </c>
      <c r="BG264" s="297" t="e">
        <f>VLOOKUP(B264,[1]Sheet2!$B:$X,23,0)</f>
        <v>#N/A</v>
      </c>
    </row>
    <row r="265" spans="1:59" s="28" customFormat="1" ht="33" customHeight="1">
      <c r="A265" s="331" t="s">
        <v>1178</v>
      </c>
      <c r="B265" s="25" t="s">
        <v>1179</v>
      </c>
      <c r="C265" s="26" t="s">
        <v>1809</v>
      </c>
      <c r="D265" s="25" t="s">
        <v>1180</v>
      </c>
      <c r="E265" s="25" t="s">
        <v>139</v>
      </c>
      <c r="F265" s="25" t="s">
        <v>315</v>
      </c>
      <c r="G265" s="25" t="s">
        <v>315</v>
      </c>
      <c r="H265" s="218" t="s">
        <v>1275</v>
      </c>
      <c r="I265" s="53" t="s">
        <v>150</v>
      </c>
      <c r="J265" s="53" t="s">
        <v>128</v>
      </c>
      <c r="K265" s="335"/>
      <c r="L265" s="26"/>
      <c r="M265" s="336">
        <v>153948</v>
      </c>
      <c r="N265" s="243">
        <f t="shared" si="10"/>
        <v>0</v>
      </c>
      <c r="O265" s="106"/>
      <c r="P265" s="243"/>
      <c r="Q265" s="243"/>
      <c r="R265" s="243"/>
      <c r="S265" s="243"/>
      <c r="T265" s="243"/>
      <c r="U265" s="243"/>
      <c r="V265" s="243"/>
      <c r="W265" s="243"/>
      <c r="X265" s="243"/>
      <c r="Y265" s="263"/>
      <c r="Z265" s="263"/>
      <c r="AA265" s="263"/>
      <c r="AB265" s="243"/>
      <c r="AC265" s="243"/>
      <c r="AD265" s="243"/>
      <c r="AE265" s="243"/>
      <c r="AF265" s="243"/>
      <c r="AG265" s="243"/>
      <c r="AH265" s="243"/>
      <c r="AI265" s="243"/>
      <c r="AJ265" s="243"/>
      <c r="AK265" s="243"/>
      <c r="AL265" s="243"/>
      <c r="AM265" s="243"/>
      <c r="AN265" s="243">
        <f t="shared" si="11"/>
        <v>0</v>
      </c>
      <c r="AO265" s="25" t="s">
        <v>85</v>
      </c>
      <c r="AP265" s="216" t="s">
        <v>1442</v>
      </c>
      <c r="AQ265" s="245"/>
      <c r="AR265" s="26" t="s">
        <v>384</v>
      </c>
      <c r="AS265" s="26"/>
      <c r="AT265" s="308"/>
      <c r="AU265" s="245"/>
      <c r="AV265" s="43" t="s">
        <v>66</v>
      </c>
      <c r="AW265" s="245"/>
      <c r="AX265" s="25" t="s">
        <v>86</v>
      </c>
      <c r="AY265" s="26"/>
      <c r="AZ265" s="308">
        <v>43469</v>
      </c>
      <c r="BA265" s="308">
        <v>43483</v>
      </c>
      <c r="BB265" s="25"/>
      <c r="BC265" s="291">
        <v>43833</v>
      </c>
      <c r="BD265" s="113" t="s">
        <v>88</v>
      </c>
      <c r="BE265" s="297">
        <v>153948</v>
      </c>
      <c r="BF265" s="298">
        <f t="shared" si="9"/>
        <v>1</v>
      </c>
      <c r="BG265" s="297" t="e">
        <f>VLOOKUP(B265,[1]Sheet2!$B:$X,23,0)</f>
        <v>#N/A</v>
      </c>
    </row>
    <row r="266" spans="1:59" s="28" customFormat="1" ht="33" customHeight="1">
      <c r="A266" s="331" t="s">
        <v>1172</v>
      </c>
      <c r="B266" s="25" t="s">
        <v>1173</v>
      </c>
      <c r="C266" s="26" t="s">
        <v>1810</v>
      </c>
      <c r="D266" s="25" t="s">
        <v>1174</v>
      </c>
      <c r="E266" s="25" t="s">
        <v>139</v>
      </c>
      <c r="F266" s="25" t="s">
        <v>315</v>
      </c>
      <c r="G266" s="25" t="s">
        <v>315</v>
      </c>
      <c r="H266" s="218" t="s">
        <v>1275</v>
      </c>
      <c r="I266" s="53" t="s">
        <v>150</v>
      </c>
      <c r="J266" s="53" t="s">
        <v>128</v>
      </c>
      <c r="K266" s="335"/>
      <c r="L266" s="26"/>
      <c r="M266" s="336">
        <v>198151</v>
      </c>
      <c r="N266" s="243">
        <f t="shared" si="10"/>
        <v>0</v>
      </c>
      <c r="O266" s="106"/>
      <c r="P266" s="243"/>
      <c r="Q266" s="243"/>
      <c r="R266" s="243"/>
      <c r="S266" s="243"/>
      <c r="T266" s="243"/>
      <c r="U266" s="243"/>
      <c r="V266" s="243"/>
      <c r="W266" s="243"/>
      <c r="X266" s="243"/>
      <c r="Y266" s="263"/>
      <c r="Z266" s="263"/>
      <c r="AA266" s="263"/>
      <c r="AB266" s="243"/>
      <c r="AC266" s="243"/>
      <c r="AD266" s="243"/>
      <c r="AE266" s="243"/>
      <c r="AF266" s="243"/>
      <c r="AG266" s="243"/>
      <c r="AH266" s="243"/>
      <c r="AI266" s="243"/>
      <c r="AJ266" s="243"/>
      <c r="AK266" s="243"/>
      <c r="AL266" s="243"/>
      <c r="AM266" s="243"/>
      <c r="AN266" s="243">
        <f t="shared" si="11"/>
        <v>0</v>
      </c>
      <c r="AO266" s="25" t="s">
        <v>85</v>
      </c>
      <c r="AP266" s="216" t="s">
        <v>1442</v>
      </c>
      <c r="AQ266" s="245"/>
      <c r="AR266" s="26" t="s">
        <v>384</v>
      </c>
      <c r="AS266" s="26"/>
      <c r="AT266" s="308"/>
      <c r="AU266" s="245"/>
      <c r="AV266" s="43" t="s">
        <v>66</v>
      </c>
      <c r="AW266" s="245"/>
      <c r="AX266" s="25" t="s">
        <v>86</v>
      </c>
      <c r="AY266" s="26"/>
      <c r="AZ266" s="308">
        <v>43469</v>
      </c>
      <c r="BA266" s="308">
        <v>43483</v>
      </c>
      <c r="BB266" s="25"/>
      <c r="BC266" s="291">
        <v>43833</v>
      </c>
      <c r="BD266" s="113" t="s">
        <v>88</v>
      </c>
      <c r="BE266" s="297">
        <v>198151</v>
      </c>
      <c r="BF266" s="298">
        <f t="shared" si="9"/>
        <v>1</v>
      </c>
      <c r="BG266" s="297" t="e">
        <f>VLOOKUP(B266,[1]Sheet2!$B:$X,23,0)</f>
        <v>#N/A</v>
      </c>
    </row>
    <row r="267" spans="1:59" s="28" customFormat="1" ht="33" customHeight="1">
      <c r="A267" s="331" t="s">
        <v>1184</v>
      </c>
      <c r="B267" s="25" t="s">
        <v>1185</v>
      </c>
      <c r="C267" s="26" t="s">
        <v>1811</v>
      </c>
      <c r="D267" s="25" t="s">
        <v>1186</v>
      </c>
      <c r="E267" s="25" t="s">
        <v>139</v>
      </c>
      <c r="F267" s="25" t="s">
        <v>315</v>
      </c>
      <c r="G267" s="25" t="s">
        <v>315</v>
      </c>
      <c r="H267" s="218" t="s">
        <v>1275</v>
      </c>
      <c r="I267" s="53" t="s">
        <v>150</v>
      </c>
      <c r="J267" s="53" t="s">
        <v>128</v>
      </c>
      <c r="K267" s="335"/>
      <c r="L267" s="26"/>
      <c r="M267" s="336">
        <v>133288</v>
      </c>
      <c r="N267" s="243">
        <f t="shared" si="10"/>
        <v>0</v>
      </c>
      <c r="O267" s="106"/>
      <c r="P267" s="243"/>
      <c r="Q267" s="243"/>
      <c r="R267" s="243"/>
      <c r="S267" s="243"/>
      <c r="T267" s="243"/>
      <c r="U267" s="243"/>
      <c r="V267" s="243"/>
      <c r="W267" s="243"/>
      <c r="X267" s="243"/>
      <c r="Y267" s="263"/>
      <c r="Z267" s="263"/>
      <c r="AA267" s="263"/>
      <c r="AB267" s="243"/>
      <c r="AC267" s="243"/>
      <c r="AD267" s="243"/>
      <c r="AE267" s="243"/>
      <c r="AF267" s="243"/>
      <c r="AG267" s="243"/>
      <c r="AH267" s="243"/>
      <c r="AI267" s="243"/>
      <c r="AJ267" s="243"/>
      <c r="AK267" s="243"/>
      <c r="AL267" s="243"/>
      <c r="AM267" s="243"/>
      <c r="AN267" s="243">
        <f t="shared" si="11"/>
        <v>0</v>
      </c>
      <c r="AO267" s="25" t="s">
        <v>85</v>
      </c>
      <c r="AP267" s="216" t="s">
        <v>1442</v>
      </c>
      <c r="AQ267" s="245"/>
      <c r="AR267" s="26" t="s">
        <v>384</v>
      </c>
      <c r="AS267" s="26"/>
      <c r="AT267" s="308"/>
      <c r="AU267" s="245"/>
      <c r="AV267" s="43" t="s">
        <v>66</v>
      </c>
      <c r="AW267" s="245"/>
      <c r="AX267" s="25" t="s">
        <v>86</v>
      </c>
      <c r="AY267" s="26"/>
      <c r="AZ267" s="308">
        <v>43469</v>
      </c>
      <c r="BA267" s="308">
        <v>43483</v>
      </c>
      <c r="BB267" s="25"/>
      <c r="BC267" s="291">
        <v>43833</v>
      </c>
      <c r="BD267" s="113" t="s">
        <v>88</v>
      </c>
      <c r="BE267" s="297">
        <v>133288</v>
      </c>
      <c r="BF267" s="298">
        <f t="shared" si="9"/>
        <v>1</v>
      </c>
      <c r="BG267" s="297" t="e">
        <f>VLOOKUP(B267,[1]Sheet2!$B:$X,23,0)</f>
        <v>#N/A</v>
      </c>
    </row>
    <row r="268" spans="1:59" s="28" customFormat="1" ht="33" customHeight="1">
      <c r="A268" s="331" t="s">
        <v>1202</v>
      </c>
      <c r="B268" s="25" t="s">
        <v>1203</v>
      </c>
      <c r="C268" s="26" t="s">
        <v>1812</v>
      </c>
      <c r="D268" s="25" t="s">
        <v>1204</v>
      </c>
      <c r="E268" s="25" t="s">
        <v>139</v>
      </c>
      <c r="F268" s="25" t="s">
        <v>315</v>
      </c>
      <c r="G268" s="25" t="s">
        <v>315</v>
      </c>
      <c r="H268" s="218" t="s">
        <v>1275</v>
      </c>
      <c r="I268" s="53" t="s">
        <v>150</v>
      </c>
      <c r="J268" s="53" t="s">
        <v>128</v>
      </c>
      <c r="K268" s="335"/>
      <c r="L268" s="26"/>
      <c r="M268" s="336">
        <v>39261</v>
      </c>
      <c r="N268" s="243">
        <f t="shared" si="10"/>
        <v>0</v>
      </c>
      <c r="O268" s="106"/>
      <c r="P268" s="243"/>
      <c r="Q268" s="243"/>
      <c r="R268" s="243"/>
      <c r="S268" s="243"/>
      <c r="T268" s="243"/>
      <c r="U268" s="243"/>
      <c r="V268" s="243"/>
      <c r="W268" s="243"/>
      <c r="X268" s="243"/>
      <c r="Y268" s="263"/>
      <c r="Z268" s="263"/>
      <c r="AA268" s="263"/>
      <c r="AB268" s="243"/>
      <c r="AC268" s="243"/>
      <c r="AD268" s="243"/>
      <c r="AE268" s="243"/>
      <c r="AF268" s="243"/>
      <c r="AG268" s="243"/>
      <c r="AH268" s="243"/>
      <c r="AI268" s="243"/>
      <c r="AJ268" s="243"/>
      <c r="AK268" s="243"/>
      <c r="AL268" s="243"/>
      <c r="AM268" s="243"/>
      <c r="AN268" s="243">
        <f t="shared" si="11"/>
        <v>0</v>
      </c>
      <c r="AO268" s="25" t="s">
        <v>85</v>
      </c>
      <c r="AP268" s="216" t="s">
        <v>1442</v>
      </c>
      <c r="AQ268" s="245"/>
      <c r="AR268" s="26" t="s">
        <v>384</v>
      </c>
      <c r="AS268" s="26"/>
      <c r="AT268" s="308"/>
      <c r="AU268" s="245"/>
      <c r="AV268" s="43" t="s">
        <v>66</v>
      </c>
      <c r="AW268" s="245"/>
      <c r="AX268" s="25" t="s">
        <v>86</v>
      </c>
      <c r="AY268" s="26"/>
      <c r="AZ268" s="308">
        <v>43469</v>
      </c>
      <c r="BA268" s="308">
        <v>43483</v>
      </c>
      <c r="BB268" s="25"/>
      <c r="BC268" s="291">
        <v>43833</v>
      </c>
      <c r="BD268" s="113" t="s">
        <v>88</v>
      </c>
      <c r="BE268" s="297">
        <v>39261</v>
      </c>
      <c r="BF268" s="298">
        <f t="shared" si="9"/>
        <v>1</v>
      </c>
      <c r="BG268" s="297" t="e">
        <f>VLOOKUP(B268,[1]Sheet2!$B:$X,23,0)</f>
        <v>#N/A</v>
      </c>
    </row>
    <row r="269" spans="1:59" s="28" customFormat="1" ht="33" customHeight="1">
      <c r="A269" s="331" t="s">
        <v>1199</v>
      </c>
      <c r="B269" s="25" t="s">
        <v>1200</v>
      </c>
      <c r="C269" s="26" t="s">
        <v>1813</v>
      </c>
      <c r="D269" s="25" t="s">
        <v>1201</v>
      </c>
      <c r="E269" s="25" t="s">
        <v>139</v>
      </c>
      <c r="F269" s="25" t="s">
        <v>315</v>
      </c>
      <c r="G269" s="25" t="s">
        <v>315</v>
      </c>
      <c r="H269" s="218" t="s">
        <v>1275</v>
      </c>
      <c r="I269" s="53" t="s">
        <v>150</v>
      </c>
      <c r="J269" s="53" t="s">
        <v>128</v>
      </c>
      <c r="K269" s="335"/>
      <c r="L269" s="26"/>
      <c r="M269" s="336">
        <v>26625</v>
      </c>
      <c r="N269" s="243">
        <f t="shared" si="10"/>
        <v>0</v>
      </c>
      <c r="O269" s="106"/>
      <c r="P269" s="243"/>
      <c r="Q269" s="243"/>
      <c r="R269" s="243"/>
      <c r="S269" s="243"/>
      <c r="T269" s="243"/>
      <c r="U269" s="243"/>
      <c r="V269" s="243"/>
      <c r="W269" s="243"/>
      <c r="X269" s="243"/>
      <c r="Y269" s="263"/>
      <c r="Z269" s="263"/>
      <c r="AA269" s="263"/>
      <c r="AB269" s="243"/>
      <c r="AC269" s="243"/>
      <c r="AD269" s="243"/>
      <c r="AE269" s="243"/>
      <c r="AF269" s="243"/>
      <c r="AG269" s="243"/>
      <c r="AH269" s="243"/>
      <c r="AI269" s="243"/>
      <c r="AJ269" s="243"/>
      <c r="AK269" s="243"/>
      <c r="AL269" s="243"/>
      <c r="AM269" s="243"/>
      <c r="AN269" s="243">
        <f t="shared" si="11"/>
        <v>0</v>
      </c>
      <c r="AO269" s="25" t="s">
        <v>85</v>
      </c>
      <c r="AP269" s="216" t="s">
        <v>1442</v>
      </c>
      <c r="AQ269" s="245"/>
      <c r="AR269" s="26" t="s">
        <v>384</v>
      </c>
      <c r="AS269" s="26"/>
      <c r="AT269" s="308"/>
      <c r="AU269" s="245"/>
      <c r="AV269" s="43" t="s">
        <v>66</v>
      </c>
      <c r="AW269" s="245"/>
      <c r="AX269" s="25" t="s">
        <v>86</v>
      </c>
      <c r="AY269" s="26"/>
      <c r="AZ269" s="308">
        <v>43469</v>
      </c>
      <c r="BA269" s="308">
        <v>43483</v>
      </c>
      <c r="BB269" s="25"/>
      <c r="BC269" s="291">
        <v>43833</v>
      </c>
      <c r="BD269" s="113" t="s">
        <v>88</v>
      </c>
      <c r="BE269" s="297">
        <v>26625</v>
      </c>
      <c r="BF269" s="298">
        <f t="shared" si="9"/>
        <v>1</v>
      </c>
      <c r="BG269" s="297" t="e">
        <f>VLOOKUP(B269,[1]Sheet2!$B:$X,23,0)</f>
        <v>#N/A</v>
      </c>
    </row>
    <row r="270" spans="1:59" s="28" customFormat="1" ht="33" customHeight="1">
      <c r="A270" s="26" t="s">
        <v>822</v>
      </c>
      <c r="B270" s="25" t="s">
        <v>824</v>
      </c>
      <c r="C270" s="26" t="s">
        <v>823</v>
      </c>
      <c r="D270" s="26" t="s">
        <v>825</v>
      </c>
      <c r="E270" s="25" t="s">
        <v>83</v>
      </c>
      <c r="F270" s="25" t="s">
        <v>315</v>
      </c>
      <c r="G270" s="25" t="s">
        <v>315</v>
      </c>
      <c r="H270" s="218"/>
      <c r="I270" s="53" t="s">
        <v>76</v>
      </c>
      <c r="J270" s="53"/>
      <c r="K270" s="295">
        <v>43236</v>
      </c>
      <c r="L270" s="26"/>
      <c r="M270" s="26">
        <v>194000</v>
      </c>
      <c r="N270" s="243">
        <f t="shared" si="10"/>
        <v>194000</v>
      </c>
      <c r="O270" s="53"/>
      <c r="P270" s="245">
        <v>158000</v>
      </c>
      <c r="Q270" s="245"/>
      <c r="R270" s="245"/>
      <c r="S270" s="245">
        <v>36000</v>
      </c>
      <c r="T270" s="245"/>
      <c r="U270" s="245"/>
      <c r="V270" s="245"/>
      <c r="W270" s="26"/>
      <c r="X270" s="26"/>
      <c r="Y270" s="263"/>
      <c r="Z270" s="263"/>
      <c r="AA270" s="263">
        <v>0.15</v>
      </c>
      <c r="AB270" s="26"/>
      <c r="AC270" s="26">
        <v>134300</v>
      </c>
      <c r="AD270" s="26"/>
      <c r="AE270" s="26"/>
      <c r="AF270" s="26">
        <v>30600</v>
      </c>
      <c r="AG270" s="26"/>
      <c r="AH270" s="26"/>
      <c r="AI270" s="26"/>
      <c r="AJ270" s="26"/>
      <c r="AK270" s="26"/>
      <c r="AL270" s="26"/>
      <c r="AM270" s="26"/>
      <c r="AN270" s="243">
        <f>SUM(AB270:AH270)</f>
        <v>164900</v>
      </c>
      <c r="AO270" s="25" t="s">
        <v>85</v>
      </c>
      <c r="AP270" s="216" t="s">
        <v>1308</v>
      </c>
      <c r="AQ270" s="245"/>
      <c r="AR270" s="26" t="s">
        <v>384</v>
      </c>
      <c r="AS270" s="26"/>
      <c r="AT270" s="308">
        <v>43210</v>
      </c>
      <c r="AU270" s="245"/>
      <c r="AV270" s="43" t="s">
        <v>66</v>
      </c>
      <c r="AW270" s="245"/>
      <c r="AX270" s="289" t="s">
        <v>86</v>
      </c>
      <c r="AY270" s="289"/>
      <c r="AZ270" s="290">
        <v>43228</v>
      </c>
      <c r="BA270" s="290">
        <v>43344</v>
      </c>
      <c r="BB270" s="25" t="s">
        <v>78</v>
      </c>
      <c r="BC270" s="291">
        <v>43592</v>
      </c>
      <c r="BD270" s="25" t="s">
        <v>122</v>
      </c>
      <c r="BE270" s="297"/>
      <c r="BF270" s="298">
        <f t="shared" si="9"/>
        <v>0</v>
      </c>
      <c r="BG270" s="297" t="e">
        <f>VLOOKUP(B270,[1]Sheet2!$B:$X,23,0)</f>
        <v>#N/A</v>
      </c>
    </row>
    <row r="271" spans="1:59" s="28" customFormat="1" ht="33" customHeight="1">
      <c r="A271" s="331" t="s">
        <v>1223</v>
      </c>
      <c r="B271" s="25" t="s">
        <v>1224</v>
      </c>
      <c r="C271" s="26" t="s">
        <v>1814</v>
      </c>
      <c r="D271" s="25" t="s">
        <v>1225</v>
      </c>
      <c r="E271" s="25" t="s">
        <v>139</v>
      </c>
      <c r="F271" s="25" t="s">
        <v>315</v>
      </c>
      <c r="G271" s="25" t="s">
        <v>315</v>
      </c>
      <c r="H271" s="218" t="s">
        <v>1275</v>
      </c>
      <c r="I271" s="53" t="s">
        <v>150</v>
      </c>
      <c r="J271" s="53" t="s">
        <v>128</v>
      </c>
      <c r="K271" s="335"/>
      <c r="L271" s="26"/>
      <c r="M271" s="336">
        <v>5984</v>
      </c>
      <c r="N271" s="243">
        <f t="shared" si="10"/>
        <v>0</v>
      </c>
      <c r="O271" s="106"/>
      <c r="P271" s="243"/>
      <c r="Q271" s="243"/>
      <c r="R271" s="243"/>
      <c r="S271" s="243"/>
      <c r="T271" s="243"/>
      <c r="U271" s="243"/>
      <c r="V271" s="243"/>
      <c r="W271" s="243"/>
      <c r="X271" s="243"/>
      <c r="Y271" s="263"/>
      <c r="Z271" s="263"/>
      <c r="AA271" s="263"/>
      <c r="AB271" s="243"/>
      <c r="AC271" s="243"/>
      <c r="AD271" s="243"/>
      <c r="AE271" s="243"/>
      <c r="AF271" s="243"/>
      <c r="AG271" s="243"/>
      <c r="AH271" s="243"/>
      <c r="AI271" s="243"/>
      <c r="AJ271" s="243"/>
      <c r="AK271" s="243"/>
      <c r="AL271" s="243"/>
      <c r="AM271" s="243"/>
      <c r="AN271" s="243">
        <f t="shared" ref="AN271:AN284" si="12">SUM(AB271:AL271)</f>
        <v>0</v>
      </c>
      <c r="AO271" s="25" t="s">
        <v>85</v>
      </c>
      <c r="AP271" s="216" t="s">
        <v>1442</v>
      </c>
      <c r="AQ271" s="245"/>
      <c r="AR271" s="26" t="s">
        <v>384</v>
      </c>
      <c r="AS271" s="26"/>
      <c r="AT271" s="308"/>
      <c r="AU271" s="245"/>
      <c r="AV271" s="43" t="s">
        <v>66</v>
      </c>
      <c r="AW271" s="245"/>
      <c r="AX271" s="25" t="s">
        <v>86</v>
      </c>
      <c r="AY271" s="26"/>
      <c r="AZ271" s="308">
        <v>43469</v>
      </c>
      <c r="BA271" s="308">
        <v>43483</v>
      </c>
      <c r="BB271" s="25"/>
      <c r="BC271" s="291">
        <v>43833</v>
      </c>
      <c r="BD271" s="113" t="s">
        <v>88</v>
      </c>
      <c r="BE271" s="297">
        <v>5984</v>
      </c>
      <c r="BF271" s="298">
        <f t="shared" si="9"/>
        <v>1</v>
      </c>
      <c r="BG271" s="297" t="e">
        <f>VLOOKUP(B271,[1]Sheet2!$B:$X,23,0)</f>
        <v>#N/A</v>
      </c>
    </row>
    <row r="272" spans="1:59" s="28" customFormat="1" ht="33" customHeight="1">
      <c r="A272" s="331" t="s">
        <v>1196</v>
      </c>
      <c r="B272" s="25" t="s">
        <v>1197</v>
      </c>
      <c r="C272" s="26" t="s">
        <v>1815</v>
      </c>
      <c r="D272" s="25" t="s">
        <v>1198</v>
      </c>
      <c r="E272" s="25" t="s">
        <v>139</v>
      </c>
      <c r="F272" s="25" t="s">
        <v>315</v>
      </c>
      <c r="G272" s="25" t="s">
        <v>315</v>
      </c>
      <c r="H272" s="218" t="s">
        <v>1275</v>
      </c>
      <c r="I272" s="53" t="s">
        <v>150</v>
      </c>
      <c r="J272" s="53" t="s">
        <v>128</v>
      </c>
      <c r="K272" s="335"/>
      <c r="L272" s="26"/>
      <c r="M272" s="336">
        <v>32816</v>
      </c>
      <c r="N272" s="243">
        <f t="shared" si="10"/>
        <v>0</v>
      </c>
      <c r="O272" s="106"/>
      <c r="P272" s="243"/>
      <c r="Q272" s="243"/>
      <c r="R272" s="243"/>
      <c r="S272" s="243"/>
      <c r="T272" s="243"/>
      <c r="U272" s="243"/>
      <c r="V272" s="243"/>
      <c r="W272" s="243"/>
      <c r="X272" s="243"/>
      <c r="Y272" s="263"/>
      <c r="Z272" s="263"/>
      <c r="AA272" s="263"/>
      <c r="AB272" s="243"/>
      <c r="AC272" s="243"/>
      <c r="AD272" s="243"/>
      <c r="AE272" s="243"/>
      <c r="AF272" s="243"/>
      <c r="AG272" s="243"/>
      <c r="AH272" s="243"/>
      <c r="AI272" s="243"/>
      <c r="AJ272" s="243"/>
      <c r="AK272" s="243"/>
      <c r="AL272" s="243"/>
      <c r="AM272" s="243"/>
      <c r="AN272" s="243">
        <f t="shared" si="12"/>
        <v>0</v>
      </c>
      <c r="AO272" s="25" t="s">
        <v>85</v>
      </c>
      <c r="AP272" s="216" t="s">
        <v>1442</v>
      </c>
      <c r="AQ272" s="245"/>
      <c r="AR272" s="26" t="s">
        <v>384</v>
      </c>
      <c r="AS272" s="26"/>
      <c r="AT272" s="308"/>
      <c r="AU272" s="245"/>
      <c r="AV272" s="43" t="s">
        <v>66</v>
      </c>
      <c r="AW272" s="245"/>
      <c r="AX272" s="25" t="s">
        <v>86</v>
      </c>
      <c r="AY272" s="26"/>
      <c r="AZ272" s="308">
        <v>43469</v>
      </c>
      <c r="BA272" s="308">
        <v>43483</v>
      </c>
      <c r="BB272" s="25"/>
      <c r="BC272" s="291">
        <v>43833</v>
      </c>
      <c r="BD272" s="113" t="s">
        <v>88</v>
      </c>
      <c r="BE272" s="297">
        <v>32816</v>
      </c>
      <c r="BF272" s="298">
        <f t="shared" si="9"/>
        <v>1</v>
      </c>
      <c r="BG272" s="297" t="e">
        <f>VLOOKUP(B272,[1]Sheet2!$B:$X,23,0)</f>
        <v>#N/A</v>
      </c>
    </row>
    <row r="273" spans="1:59" s="28" customFormat="1" ht="33" customHeight="1">
      <c r="A273" s="331" t="s">
        <v>1208</v>
      </c>
      <c r="B273" s="25" t="s">
        <v>1209</v>
      </c>
      <c r="C273" s="26" t="s">
        <v>1816</v>
      </c>
      <c r="D273" s="25" t="s">
        <v>1210</v>
      </c>
      <c r="E273" s="25" t="s">
        <v>139</v>
      </c>
      <c r="F273" s="25" t="s">
        <v>315</v>
      </c>
      <c r="G273" s="25" t="s">
        <v>315</v>
      </c>
      <c r="H273" s="218" t="s">
        <v>1275</v>
      </c>
      <c r="I273" s="53" t="s">
        <v>150</v>
      </c>
      <c r="J273" s="53" t="s">
        <v>128</v>
      </c>
      <c r="K273" s="335"/>
      <c r="L273" s="26"/>
      <c r="M273" s="336">
        <v>15097</v>
      </c>
      <c r="N273" s="243">
        <f t="shared" si="10"/>
        <v>0</v>
      </c>
      <c r="O273" s="106"/>
      <c r="P273" s="243"/>
      <c r="Q273" s="243"/>
      <c r="R273" s="243"/>
      <c r="S273" s="243"/>
      <c r="T273" s="243"/>
      <c r="U273" s="243"/>
      <c r="V273" s="243"/>
      <c r="W273" s="243"/>
      <c r="X273" s="243"/>
      <c r="Y273" s="263"/>
      <c r="Z273" s="263"/>
      <c r="AA273" s="263"/>
      <c r="AB273" s="243"/>
      <c r="AC273" s="243"/>
      <c r="AD273" s="243"/>
      <c r="AE273" s="243"/>
      <c r="AF273" s="243"/>
      <c r="AG273" s="243"/>
      <c r="AH273" s="243"/>
      <c r="AI273" s="243"/>
      <c r="AJ273" s="243"/>
      <c r="AK273" s="243"/>
      <c r="AL273" s="243"/>
      <c r="AM273" s="243"/>
      <c r="AN273" s="243">
        <f t="shared" si="12"/>
        <v>0</v>
      </c>
      <c r="AO273" s="25" t="s">
        <v>85</v>
      </c>
      <c r="AP273" s="216" t="s">
        <v>1442</v>
      </c>
      <c r="AQ273" s="245"/>
      <c r="AR273" s="26" t="s">
        <v>384</v>
      </c>
      <c r="AS273" s="26"/>
      <c r="AT273" s="308"/>
      <c r="AU273" s="245"/>
      <c r="AV273" s="43" t="s">
        <v>66</v>
      </c>
      <c r="AW273" s="245"/>
      <c r="AX273" s="25" t="s">
        <v>86</v>
      </c>
      <c r="AY273" s="26"/>
      <c r="AZ273" s="308">
        <v>43469</v>
      </c>
      <c r="BA273" s="308">
        <v>43483</v>
      </c>
      <c r="BB273" s="25"/>
      <c r="BC273" s="291">
        <v>43833</v>
      </c>
      <c r="BD273" s="113" t="s">
        <v>88</v>
      </c>
      <c r="BE273" s="297">
        <v>15097</v>
      </c>
      <c r="BF273" s="298">
        <f t="shared" si="9"/>
        <v>1</v>
      </c>
      <c r="BG273" s="297" t="e">
        <f>VLOOKUP(B273,[1]Sheet2!$B:$X,23,0)</f>
        <v>#N/A</v>
      </c>
    </row>
    <row r="274" spans="1:59" s="28" customFormat="1" ht="33" customHeight="1">
      <c r="A274" s="331" t="s">
        <v>1226</v>
      </c>
      <c r="B274" s="25" t="s">
        <v>1227</v>
      </c>
      <c r="C274" s="26" t="s">
        <v>1817</v>
      </c>
      <c r="D274" s="25" t="s">
        <v>1228</v>
      </c>
      <c r="E274" s="25" t="s">
        <v>139</v>
      </c>
      <c r="F274" s="25" t="s">
        <v>315</v>
      </c>
      <c r="G274" s="25" t="s">
        <v>315</v>
      </c>
      <c r="H274" s="218" t="s">
        <v>1275</v>
      </c>
      <c r="I274" s="53" t="s">
        <v>150</v>
      </c>
      <c r="J274" s="53" t="s">
        <v>128</v>
      </c>
      <c r="K274" s="335"/>
      <c r="L274" s="26"/>
      <c r="M274" s="336">
        <v>10540</v>
      </c>
      <c r="N274" s="243">
        <f t="shared" si="10"/>
        <v>0</v>
      </c>
      <c r="O274" s="106"/>
      <c r="P274" s="243"/>
      <c r="Q274" s="243"/>
      <c r="R274" s="243"/>
      <c r="S274" s="243"/>
      <c r="T274" s="243"/>
      <c r="U274" s="243"/>
      <c r="V274" s="243"/>
      <c r="W274" s="243"/>
      <c r="X274" s="243"/>
      <c r="Y274" s="263"/>
      <c r="Z274" s="263"/>
      <c r="AA274" s="263"/>
      <c r="AB274" s="243"/>
      <c r="AC274" s="243"/>
      <c r="AD274" s="243"/>
      <c r="AE274" s="243"/>
      <c r="AF274" s="243"/>
      <c r="AG274" s="243"/>
      <c r="AH274" s="243"/>
      <c r="AI274" s="243"/>
      <c r="AJ274" s="243"/>
      <c r="AK274" s="243"/>
      <c r="AL274" s="243"/>
      <c r="AM274" s="243"/>
      <c r="AN274" s="243">
        <f t="shared" si="12"/>
        <v>0</v>
      </c>
      <c r="AO274" s="25" t="s">
        <v>85</v>
      </c>
      <c r="AP274" s="216" t="s">
        <v>1442</v>
      </c>
      <c r="AQ274" s="245"/>
      <c r="AR274" s="26" t="s">
        <v>384</v>
      </c>
      <c r="AS274" s="26"/>
      <c r="AT274" s="308"/>
      <c r="AU274" s="245"/>
      <c r="AV274" s="43" t="s">
        <v>66</v>
      </c>
      <c r="AW274" s="245"/>
      <c r="AX274" s="25" t="s">
        <v>86</v>
      </c>
      <c r="AY274" s="26"/>
      <c r="AZ274" s="308">
        <v>43469</v>
      </c>
      <c r="BA274" s="308">
        <v>43483</v>
      </c>
      <c r="BB274" s="25"/>
      <c r="BC274" s="291">
        <v>43833</v>
      </c>
      <c r="BD274" s="113" t="s">
        <v>88</v>
      </c>
      <c r="BE274" s="297">
        <v>10540</v>
      </c>
      <c r="BF274" s="298">
        <f t="shared" si="9"/>
        <v>1</v>
      </c>
      <c r="BG274" s="297" t="e">
        <f>VLOOKUP(B274,[1]Sheet2!$B:$X,23,0)</f>
        <v>#N/A</v>
      </c>
    </row>
    <row r="275" spans="1:59" s="28" customFormat="1" ht="33" customHeight="1">
      <c r="A275" s="331" t="s">
        <v>1232</v>
      </c>
      <c r="B275" s="25" t="s">
        <v>1233</v>
      </c>
      <c r="C275" s="26" t="s">
        <v>1818</v>
      </c>
      <c r="D275" s="25" t="s">
        <v>1234</v>
      </c>
      <c r="E275" s="25" t="s">
        <v>139</v>
      </c>
      <c r="F275" s="25" t="s">
        <v>315</v>
      </c>
      <c r="G275" s="25" t="s">
        <v>315</v>
      </c>
      <c r="H275" s="218" t="s">
        <v>1275</v>
      </c>
      <c r="I275" s="53" t="s">
        <v>150</v>
      </c>
      <c r="J275" s="53" t="s">
        <v>128</v>
      </c>
      <c r="K275" s="335"/>
      <c r="L275" s="26"/>
      <c r="M275" s="336">
        <v>9662</v>
      </c>
      <c r="N275" s="243">
        <f t="shared" si="10"/>
        <v>0</v>
      </c>
      <c r="O275" s="106"/>
      <c r="P275" s="243"/>
      <c r="Q275" s="243"/>
      <c r="R275" s="243"/>
      <c r="S275" s="243"/>
      <c r="T275" s="243"/>
      <c r="U275" s="243"/>
      <c r="V275" s="243"/>
      <c r="W275" s="243"/>
      <c r="X275" s="243"/>
      <c r="Y275" s="263"/>
      <c r="Z275" s="263"/>
      <c r="AA275" s="263"/>
      <c r="AB275" s="243"/>
      <c r="AC275" s="243"/>
      <c r="AD275" s="243"/>
      <c r="AE275" s="243"/>
      <c r="AF275" s="243"/>
      <c r="AG275" s="243"/>
      <c r="AH275" s="243"/>
      <c r="AI275" s="243"/>
      <c r="AJ275" s="243"/>
      <c r="AK275" s="243"/>
      <c r="AL275" s="243"/>
      <c r="AM275" s="243"/>
      <c r="AN275" s="243">
        <f t="shared" si="12"/>
        <v>0</v>
      </c>
      <c r="AO275" s="25" t="s">
        <v>85</v>
      </c>
      <c r="AP275" s="216" t="s">
        <v>1442</v>
      </c>
      <c r="AQ275" s="245"/>
      <c r="AR275" s="26" t="s">
        <v>384</v>
      </c>
      <c r="AS275" s="26"/>
      <c r="AT275" s="308"/>
      <c r="AU275" s="245"/>
      <c r="AV275" s="43" t="s">
        <v>66</v>
      </c>
      <c r="AW275" s="245"/>
      <c r="AX275" s="25" t="s">
        <v>86</v>
      </c>
      <c r="AY275" s="26"/>
      <c r="AZ275" s="308">
        <v>43469</v>
      </c>
      <c r="BA275" s="308">
        <v>43483</v>
      </c>
      <c r="BB275" s="25"/>
      <c r="BC275" s="291">
        <v>43833</v>
      </c>
      <c r="BD275" s="113" t="s">
        <v>88</v>
      </c>
      <c r="BE275" s="297">
        <v>9662</v>
      </c>
      <c r="BF275" s="298">
        <f t="shared" si="9"/>
        <v>1</v>
      </c>
      <c r="BG275" s="297" t="e">
        <f>VLOOKUP(B275,[1]Sheet2!$B:$X,23,0)</f>
        <v>#N/A</v>
      </c>
    </row>
    <row r="276" spans="1:59" s="28" customFormat="1" ht="33" customHeight="1">
      <c r="A276" s="331" t="s">
        <v>1214</v>
      </c>
      <c r="B276" s="25" t="s">
        <v>1215</v>
      </c>
      <c r="C276" s="26" t="s">
        <v>1819</v>
      </c>
      <c r="D276" s="25" t="s">
        <v>1216</v>
      </c>
      <c r="E276" s="25" t="s">
        <v>139</v>
      </c>
      <c r="F276" s="25" t="s">
        <v>315</v>
      </c>
      <c r="G276" s="25" t="s">
        <v>315</v>
      </c>
      <c r="H276" s="218" t="s">
        <v>1275</v>
      </c>
      <c r="I276" s="53" t="s">
        <v>150</v>
      </c>
      <c r="J276" s="53" t="s">
        <v>128</v>
      </c>
      <c r="K276" s="335"/>
      <c r="L276" s="26"/>
      <c r="M276" s="336">
        <v>14219</v>
      </c>
      <c r="N276" s="243">
        <f t="shared" si="10"/>
        <v>0</v>
      </c>
      <c r="O276" s="106"/>
      <c r="P276" s="243"/>
      <c r="Q276" s="243"/>
      <c r="R276" s="243"/>
      <c r="S276" s="243"/>
      <c r="T276" s="243"/>
      <c r="U276" s="243"/>
      <c r="V276" s="243"/>
      <c r="W276" s="243"/>
      <c r="X276" s="243"/>
      <c r="Y276" s="263"/>
      <c r="Z276" s="263"/>
      <c r="AA276" s="263"/>
      <c r="AB276" s="243"/>
      <c r="AC276" s="243"/>
      <c r="AD276" s="243"/>
      <c r="AE276" s="243"/>
      <c r="AF276" s="243"/>
      <c r="AG276" s="243"/>
      <c r="AH276" s="243"/>
      <c r="AI276" s="243"/>
      <c r="AJ276" s="243"/>
      <c r="AK276" s="243"/>
      <c r="AL276" s="243"/>
      <c r="AM276" s="243"/>
      <c r="AN276" s="243">
        <f t="shared" si="12"/>
        <v>0</v>
      </c>
      <c r="AO276" s="25" t="s">
        <v>85</v>
      </c>
      <c r="AP276" s="216" t="s">
        <v>1442</v>
      </c>
      <c r="AQ276" s="245"/>
      <c r="AR276" s="26" t="s">
        <v>384</v>
      </c>
      <c r="AS276" s="26"/>
      <c r="AT276" s="308"/>
      <c r="AU276" s="245"/>
      <c r="AV276" s="43" t="s">
        <v>66</v>
      </c>
      <c r="AW276" s="245"/>
      <c r="AX276" s="25" t="s">
        <v>86</v>
      </c>
      <c r="AY276" s="26"/>
      <c r="AZ276" s="308">
        <v>43469</v>
      </c>
      <c r="BA276" s="308">
        <v>43483</v>
      </c>
      <c r="BB276" s="25"/>
      <c r="BC276" s="291">
        <v>43833</v>
      </c>
      <c r="BD276" s="113" t="s">
        <v>88</v>
      </c>
      <c r="BE276" s="297">
        <v>14219</v>
      </c>
      <c r="BF276" s="298">
        <f t="shared" si="9"/>
        <v>1</v>
      </c>
      <c r="BG276" s="297" t="e">
        <f>VLOOKUP(B276,[1]Sheet2!$B:$X,23,0)</f>
        <v>#N/A</v>
      </c>
    </row>
    <row r="277" spans="1:59" s="28" customFormat="1" ht="33" customHeight="1">
      <c r="A277" s="331" t="s">
        <v>1229</v>
      </c>
      <c r="B277" s="25" t="s">
        <v>1230</v>
      </c>
      <c r="C277" s="26" t="s">
        <v>1820</v>
      </c>
      <c r="D277" s="25" t="s">
        <v>1231</v>
      </c>
      <c r="E277" s="25" t="s">
        <v>139</v>
      </c>
      <c r="F277" s="25" t="s">
        <v>315</v>
      </c>
      <c r="G277" s="25" t="s">
        <v>315</v>
      </c>
      <c r="H277" s="218" t="s">
        <v>1275</v>
      </c>
      <c r="I277" s="53" t="s">
        <v>150</v>
      </c>
      <c r="J277" s="53" t="s">
        <v>128</v>
      </c>
      <c r="K277" s="335"/>
      <c r="L277" s="26"/>
      <c r="M277" s="336">
        <v>10540</v>
      </c>
      <c r="N277" s="243">
        <f t="shared" si="10"/>
        <v>0</v>
      </c>
      <c r="O277" s="106"/>
      <c r="P277" s="243"/>
      <c r="Q277" s="243"/>
      <c r="R277" s="243"/>
      <c r="S277" s="243"/>
      <c r="T277" s="243"/>
      <c r="U277" s="243"/>
      <c r="V277" s="243"/>
      <c r="W277" s="243"/>
      <c r="X277" s="243"/>
      <c r="Y277" s="263"/>
      <c r="Z277" s="263"/>
      <c r="AA277" s="263"/>
      <c r="AB277" s="243"/>
      <c r="AC277" s="243"/>
      <c r="AD277" s="243"/>
      <c r="AE277" s="243"/>
      <c r="AF277" s="243"/>
      <c r="AG277" s="243"/>
      <c r="AH277" s="243"/>
      <c r="AI277" s="243"/>
      <c r="AJ277" s="243"/>
      <c r="AK277" s="243"/>
      <c r="AL277" s="243"/>
      <c r="AM277" s="243"/>
      <c r="AN277" s="243">
        <f t="shared" si="12"/>
        <v>0</v>
      </c>
      <c r="AO277" s="25" t="s">
        <v>85</v>
      </c>
      <c r="AP277" s="216" t="s">
        <v>1442</v>
      </c>
      <c r="AQ277" s="245"/>
      <c r="AR277" s="26" t="s">
        <v>384</v>
      </c>
      <c r="AS277" s="26"/>
      <c r="AT277" s="308"/>
      <c r="AU277" s="245"/>
      <c r="AV277" s="43" t="s">
        <v>66</v>
      </c>
      <c r="AW277" s="245"/>
      <c r="AX277" s="25" t="s">
        <v>86</v>
      </c>
      <c r="AY277" s="26"/>
      <c r="AZ277" s="308">
        <v>43469</v>
      </c>
      <c r="BA277" s="308">
        <v>43483</v>
      </c>
      <c r="BB277" s="25"/>
      <c r="BC277" s="291">
        <v>43833</v>
      </c>
      <c r="BD277" s="113" t="s">
        <v>88</v>
      </c>
      <c r="BE277" s="297">
        <v>10540</v>
      </c>
      <c r="BF277" s="298">
        <f t="shared" si="9"/>
        <v>1</v>
      </c>
      <c r="BG277" s="297" t="e">
        <f>VLOOKUP(B277,[1]Sheet2!$B:$X,23,0)</f>
        <v>#N/A</v>
      </c>
    </row>
    <row r="278" spans="1:59" s="28" customFormat="1" ht="33" customHeight="1">
      <c r="A278" s="331" t="s">
        <v>1220</v>
      </c>
      <c r="B278" s="25" t="s">
        <v>1221</v>
      </c>
      <c r="C278" s="26" t="s">
        <v>1821</v>
      </c>
      <c r="D278" s="25" t="s">
        <v>1222</v>
      </c>
      <c r="E278" s="25" t="s">
        <v>139</v>
      </c>
      <c r="F278" s="25" t="s">
        <v>315</v>
      </c>
      <c r="G278" s="25" t="s">
        <v>315</v>
      </c>
      <c r="H278" s="218" t="s">
        <v>1275</v>
      </c>
      <c r="I278" s="53" t="s">
        <v>150</v>
      </c>
      <c r="J278" s="53" t="s">
        <v>128</v>
      </c>
      <c r="K278" s="335"/>
      <c r="L278" s="26"/>
      <c r="M278" s="336">
        <v>24209</v>
      </c>
      <c r="N278" s="243">
        <f t="shared" si="10"/>
        <v>0</v>
      </c>
      <c r="O278" s="106"/>
      <c r="P278" s="243"/>
      <c r="Q278" s="243"/>
      <c r="R278" s="243"/>
      <c r="S278" s="243"/>
      <c r="T278" s="243"/>
      <c r="U278" s="243"/>
      <c r="V278" s="243"/>
      <c r="W278" s="243"/>
      <c r="X278" s="243"/>
      <c r="Y278" s="263"/>
      <c r="Z278" s="263"/>
      <c r="AA278" s="263"/>
      <c r="AB278" s="243"/>
      <c r="AC278" s="243"/>
      <c r="AD278" s="243"/>
      <c r="AE278" s="243"/>
      <c r="AF278" s="243"/>
      <c r="AG278" s="243"/>
      <c r="AH278" s="243"/>
      <c r="AI278" s="243"/>
      <c r="AJ278" s="243"/>
      <c r="AK278" s="243"/>
      <c r="AL278" s="243"/>
      <c r="AM278" s="243"/>
      <c r="AN278" s="243">
        <f t="shared" si="12"/>
        <v>0</v>
      </c>
      <c r="AO278" s="25" t="s">
        <v>85</v>
      </c>
      <c r="AP278" s="216" t="s">
        <v>1442</v>
      </c>
      <c r="AQ278" s="245"/>
      <c r="AR278" s="26" t="s">
        <v>384</v>
      </c>
      <c r="AS278" s="26"/>
      <c r="AT278" s="308"/>
      <c r="AU278" s="245"/>
      <c r="AV278" s="43" t="s">
        <v>66</v>
      </c>
      <c r="AW278" s="245"/>
      <c r="AX278" s="25" t="s">
        <v>86</v>
      </c>
      <c r="AY278" s="26"/>
      <c r="AZ278" s="308">
        <v>43469</v>
      </c>
      <c r="BA278" s="308">
        <v>43483</v>
      </c>
      <c r="BB278" s="25"/>
      <c r="BC278" s="291">
        <v>43833</v>
      </c>
      <c r="BD278" s="113" t="s">
        <v>88</v>
      </c>
      <c r="BE278" s="297">
        <v>24209</v>
      </c>
      <c r="BF278" s="298">
        <f t="shared" si="9"/>
        <v>1</v>
      </c>
      <c r="BG278" s="297" t="e">
        <f>VLOOKUP(B278,[1]Sheet2!$B:$X,23,0)</f>
        <v>#N/A</v>
      </c>
    </row>
    <row r="279" spans="1:59" s="28" customFormat="1" ht="33" customHeight="1">
      <c r="A279" s="331" t="s">
        <v>1217</v>
      </c>
      <c r="B279" s="25" t="s">
        <v>1218</v>
      </c>
      <c r="C279" s="26" t="s">
        <v>1822</v>
      </c>
      <c r="D279" s="25" t="s">
        <v>1219</v>
      </c>
      <c r="E279" s="25" t="s">
        <v>139</v>
      </c>
      <c r="F279" s="25" t="s">
        <v>315</v>
      </c>
      <c r="G279" s="25" t="s">
        <v>315</v>
      </c>
      <c r="H279" s="218" t="s">
        <v>1275</v>
      </c>
      <c r="I279" s="53" t="s">
        <v>150</v>
      </c>
      <c r="J279" s="53" t="s">
        <v>128</v>
      </c>
      <c r="K279" s="335"/>
      <c r="L279" s="26"/>
      <c r="M279" s="336">
        <v>14219</v>
      </c>
      <c r="N279" s="243">
        <f t="shared" si="10"/>
        <v>0</v>
      </c>
      <c r="O279" s="106"/>
      <c r="P279" s="243"/>
      <c r="Q279" s="243"/>
      <c r="R279" s="243"/>
      <c r="S279" s="243"/>
      <c r="T279" s="243"/>
      <c r="U279" s="243"/>
      <c r="V279" s="243"/>
      <c r="W279" s="243"/>
      <c r="X279" s="243"/>
      <c r="Y279" s="263"/>
      <c r="Z279" s="263"/>
      <c r="AA279" s="263"/>
      <c r="AB279" s="243"/>
      <c r="AC279" s="243"/>
      <c r="AD279" s="243"/>
      <c r="AE279" s="243"/>
      <c r="AF279" s="243"/>
      <c r="AG279" s="243"/>
      <c r="AH279" s="243"/>
      <c r="AI279" s="243"/>
      <c r="AJ279" s="243"/>
      <c r="AK279" s="243"/>
      <c r="AL279" s="243"/>
      <c r="AM279" s="243"/>
      <c r="AN279" s="243">
        <f t="shared" si="12"/>
        <v>0</v>
      </c>
      <c r="AO279" s="25" t="s">
        <v>85</v>
      </c>
      <c r="AP279" s="216" t="s">
        <v>1442</v>
      </c>
      <c r="AQ279" s="245"/>
      <c r="AR279" s="26" t="s">
        <v>384</v>
      </c>
      <c r="AS279" s="26"/>
      <c r="AT279" s="308"/>
      <c r="AU279" s="245"/>
      <c r="AV279" s="43" t="s">
        <v>66</v>
      </c>
      <c r="AW279" s="245"/>
      <c r="AX279" s="25" t="s">
        <v>86</v>
      </c>
      <c r="AY279" s="26"/>
      <c r="AZ279" s="308">
        <v>43469</v>
      </c>
      <c r="BA279" s="308">
        <v>43483</v>
      </c>
      <c r="BB279" s="25"/>
      <c r="BC279" s="291">
        <v>43833</v>
      </c>
      <c r="BD279" s="113" t="s">
        <v>88</v>
      </c>
      <c r="BE279" s="297">
        <v>14219</v>
      </c>
      <c r="BF279" s="298">
        <f t="shared" si="9"/>
        <v>1</v>
      </c>
      <c r="BG279" s="297" t="e">
        <f>VLOOKUP(B279,[1]Sheet2!$B:$X,23,0)</f>
        <v>#N/A</v>
      </c>
    </row>
    <row r="280" spans="1:59" s="28" customFormat="1" ht="33" customHeight="1">
      <c r="A280" s="331" t="s">
        <v>1235</v>
      </c>
      <c r="B280" s="25" t="s">
        <v>1236</v>
      </c>
      <c r="C280" s="26" t="s">
        <v>1823</v>
      </c>
      <c r="D280" s="25" t="s">
        <v>1237</v>
      </c>
      <c r="E280" s="25" t="s">
        <v>139</v>
      </c>
      <c r="F280" s="25" t="s">
        <v>315</v>
      </c>
      <c r="G280" s="25" t="s">
        <v>315</v>
      </c>
      <c r="H280" s="218" t="s">
        <v>1275</v>
      </c>
      <c r="I280" s="53" t="s">
        <v>150</v>
      </c>
      <c r="J280" s="53" t="s">
        <v>128</v>
      </c>
      <c r="K280" s="335"/>
      <c r="L280" s="26"/>
      <c r="M280" s="336">
        <v>9662</v>
      </c>
      <c r="N280" s="243">
        <f t="shared" si="10"/>
        <v>0</v>
      </c>
      <c r="O280" s="106"/>
      <c r="P280" s="243"/>
      <c r="Q280" s="243"/>
      <c r="R280" s="243"/>
      <c r="S280" s="243"/>
      <c r="T280" s="243"/>
      <c r="U280" s="243"/>
      <c r="V280" s="243"/>
      <c r="W280" s="243"/>
      <c r="X280" s="243"/>
      <c r="Y280" s="263"/>
      <c r="Z280" s="263"/>
      <c r="AA280" s="263"/>
      <c r="AB280" s="243"/>
      <c r="AC280" s="243"/>
      <c r="AD280" s="243"/>
      <c r="AE280" s="243"/>
      <c r="AF280" s="243"/>
      <c r="AG280" s="243"/>
      <c r="AH280" s="243"/>
      <c r="AI280" s="243"/>
      <c r="AJ280" s="243"/>
      <c r="AK280" s="243"/>
      <c r="AL280" s="243"/>
      <c r="AM280" s="243"/>
      <c r="AN280" s="243">
        <f t="shared" si="12"/>
        <v>0</v>
      </c>
      <c r="AO280" s="25" t="s">
        <v>85</v>
      </c>
      <c r="AP280" s="216" t="s">
        <v>1442</v>
      </c>
      <c r="AQ280" s="245"/>
      <c r="AR280" s="26" t="s">
        <v>384</v>
      </c>
      <c r="AS280" s="26"/>
      <c r="AT280" s="308"/>
      <c r="AU280" s="245"/>
      <c r="AV280" s="43" t="s">
        <v>66</v>
      </c>
      <c r="AW280" s="245"/>
      <c r="AX280" s="25" t="s">
        <v>86</v>
      </c>
      <c r="AY280" s="26"/>
      <c r="AZ280" s="308">
        <v>43469</v>
      </c>
      <c r="BA280" s="342">
        <v>43483</v>
      </c>
      <c r="BB280" s="25"/>
      <c r="BC280" s="291">
        <v>43833</v>
      </c>
      <c r="BD280" s="113" t="s">
        <v>88</v>
      </c>
      <c r="BE280" s="297">
        <v>9662</v>
      </c>
      <c r="BF280" s="298">
        <f t="shared" si="9"/>
        <v>1</v>
      </c>
      <c r="BG280" s="297" t="e">
        <f>VLOOKUP(B280,[1]Sheet2!$B:$X,23,0)</f>
        <v>#N/A</v>
      </c>
    </row>
    <row r="281" spans="1:59" s="28" customFormat="1" ht="33" customHeight="1">
      <c r="A281" s="331" t="s">
        <v>1169</v>
      </c>
      <c r="B281" s="25" t="s">
        <v>1170</v>
      </c>
      <c r="C281" s="26" t="s">
        <v>1824</v>
      </c>
      <c r="D281" s="25" t="s">
        <v>1171</v>
      </c>
      <c r="E281" s="25" t="s">
        <v>139</v>
      </c>
      <c r="F281" s="25" t="s">
        <v>315</v>
      </c>
      <c r="G281" s="25" t="s">
        <v>315</v>
      </c>
      <c r="H281" s="218" t="s">
        <v>1275</v>
      </c>
      <c r="I281" s="53" t="s">
        <v>150</v>
      </c>
      <c r="J281" s="53" t="s">
        <v>128</v>
      </c>
      <c r="K281" s="335"/>
      <c r="L281" s="26"/>
      <c r="M281" s="336">
        <v>413736</v>
      </c>
      <c r="N281" s="243">
        <f t="shared" si="10"/>
        <v>0</v>
      </c>
      <c r="O281" s="106"/>
      <c r="P281" s="243"/>
      <c r="Q281" s="243"/>
      <c r="R281" s="243"/>
      <c r="S281" s="243"/>
      <c r="T281" s="243"/>
      <c r="U281" s="243"/>
      <c r="V281" s="243"/>
      <c r="W281" s="243"/>
      <c r="X281" s="243"/>
      <c r="Y281" s="263"/>
      <c r="Z281" s="263"/>
      <c r="AA281" s="263"/>
      <c r="AB281" s="243"/>
      <c r="AC281" s="243"/>
      <c r="AD281" s="243"/>
      <c r="AE281" s="243"/>
      <c r="AF281" s="243"/>
      <c r="AG281" s="243"/>
      <c r="AH281" s="243"/>
      <c r="AI281" s="243"/>
      <c r="AJ281" s="243"/>
      <c r="AK281" s="243"/>
      <c r="AL281" s="243"/>
      <c r="AM281" s="243"/>
      <c r="AN281" s="243">
        <f t="shared" si="12"/>
        <v>0</v>
      </c>
      <c r="AO281" s="25" t="s">
        <v>85</v>
      </c>
      <c r="AP281" s="216" t="s">
        <v>1442</v>
      </c>
      <c r="AQ281" s="245"/>
      <c r="AR281" s="26" t="s">
        <v>384</v>
      </c>
      <c r="AS281" s="26"/>
      <c r="AT281" s="308"/>
      <c r="AU281" s="245"/>
      <c r="AV281" s="43" t="s">
        <v>66</v>
      </c>
      <c r="AW281" s="245"/>
      <c r="AX281" s="25" t="s">
        <v>86</v>
      </c>
      <c r="AY281" s="26"/>
      <c r="AZ281" s="308">
        <v>43469</v>
      </c>
      <c r="BA281" s="342">
        <v>43483</v>
      </c>
      <c r="BB281" s="25"/>
      <c r="BC281" s="291">
        <v>43833</v>
      </c>
      <c r="BD281" s="113" t="s">
        <v>88</v>
      </c>
      <c r="BE281" s="297">
        <v>413736</v>
      </c>
      <c r="BF281" s="298">
        <f t="shared" si="9"/>
        <v>1</v>
      </c>
      <c r="BG281" s="297" t="e">
        <f>VLOOKUP(B281,[1]Sheet2!$B:$X,23,0)</f>
        <v>#N/A</v>
      </c>
    </row>
    <row r="282" spans="1:59" s="28" customFormat="1" ht="33" customHeight="1">
      <c r="A282" s="331" t="s">
        <v>1187</v>
      </c>
      <c r="B282" s="25" t="s">
        <v>1188</v>
      </c>
      <c r="C282" s="26" t="s">
        <v>1825</v>
      </c>
      <c r="D282" s="25" t="s">
        <v>1189</v>
      </c>
      <c r="E282" s="25" t="s">
        <v>139</v>
      </c>
      <c r="F282" s="25" t="s">
        <v>315</v>
      </c>
      <c r="G282" s="25" t="s">
        <v>315</v>
      </c>
      <c r="H282" s="218" t="s">
        <v>1275</v>
      </c>
      <c r="I282" s="53" t="s">
        <v>150</v>
      </c>
      <c r="J282" s="53" t="s">
        <v>128</v>
      </c>
      <c r="K282" s="335"/>
      <c r="L282" s="26"/>
      <c r="M282" s="336">
        <v>72509</v>
      </c>
      <c r="N282" s="243">
        <f t="shared" si="10"/>
        <v>0</v>
      </c>
      <c r="O282" s="106"/>
      <c r="P282" s="243"/>
      <c r="Q282" s="243"/>
      <c r="R282" s="243"/>
      <c r="S282" s="243"/>
      <c r="T282" s="243"/>
      <c r="U282" s="243"/>
      <c r="V282" s="243"/>
      <c r="W282" s="243"/>
      <c r="X282" s="243"/>
      <c r="Y282" s="263"/>
      <c r="Z282" s="263"/>
      <c r="AA282" s="263"/>
      <c r="AB282" s="243"/>
      <c r="AC282" s="243"/>
      <c r="AD282" s="243"/>
      <c r="AE282" s="243"/>
      <c r="AF282" s="243"/>
      <c r="AG282" s="243"/>
      <c r="AH282" s="243"/>
      <c r="AI282" s="243"/>
      <c r="AJ282" s="243"/>
      <c r="AK282" s="243"/>
      <c r="AL282" s="243"/>
      <c r="AM282" s="243"/>
      <c r="AN282" s="243">
        <f t="shared" si="12"/>
        <v>0</v>
      </c>
      <c r="AO282" s="25" t="s">
        <v>85</v>
      </c>
      <c r="AP282" s="216" t="s">
        <v>1442</v>
      </c>
      <c r="AQ282" s="245"/>
      <c r="AR282" s="26" t="s">
        <v>384</v>
      </c>
      <c r="AS282" s="26"/>
      <c r="AT282" s="308"/>
      <c r="AU282" s="245"/>
      <c r="AV282" s="43" t="s">
        <v>66</v>
      </c>
      <c r="AW282" s="245"/>
      <c r="AX282" s="25" t="s">
        <v>86</v>
      </c>
      <c r="AY282" s="26"/>
      <c r="AZ282" s="308">
        <v>43469</v>
      </c>
      <c r="BA282" s="342">
        <v>43483</v>
      </c>
      <c r="BB282" s="25"/>
      <c r="BC282" s="291">
        <v>43833</v>
      </c>
      <c r="BD282" s="113" t="s">
        <v>88</v>
      </c>
      <c r="BE282" s="297"/>
      <c r="BF282" s="298">
        <f t="shared" si="9"/>
        <v>0</v>
      </c>
      <c r="BG282" s="297" t="e">
        <f>VLOOKUP(B282,[1]Sheet2!$B:$X,23,0)</f>
        <v>#N/A</v>
      </c>
    </row>
    <row r="283" spans="1:59" s="28" customFormat="1" ht="33" customHeight="1">
      <c r="A283" s="331" t="s">
        <v>1205</v>
      </c>
      <c r="B283" s="25" t="s">
        <v>1206</v>
      </c>
      <c r="C283" s="26" t="s">
        <v>1826</v>
      </c>
      <c r="D283" s="25" t="s">
        <v>1207</v>
      </c>
      <c r="E283" s="25" t="s">
        <v>139</v>
      </c>
      <c r="F283" s="25" t="s">
        <v>315</v>
      </c>
      <c r="G283" s="25" t="s">
        <v>315</v>
      </c>
      <c r="H283" s="218"/>
      <c r="I283" s="53" t="s">
        <v>150</v>
      </c>
      <c r="J283" s="53" t="s">
        <v>128</v>
      </c>
      <c r="K283" s="335"/>
      <c r="L283" s="26"/>
      <c r="M283" s="336">
        <v>5107</v>
      </c>
      <c r="N283" s="243">
        <f t="shared" si="10"/>
        <v>0</v>
      </c>
      <c r="O283" s="106"/>
      <c r="P283" s="243"/>
      <c r="Q283" s="243"/>
      <c r="R283" s="243"/>
      <c r="S283" s="243"/>
      <c r="T283" s="243"/>
      <c r="U283" s="243"/>
      <c r="V283" s="243"/>
      <c r="W283" s="243"/>
      <c r="X283" s="243"/>
      <c r="Y283" s="263"/>
      <c r="Z283" s="263"/>
      <c r="AA283" s="263"/>
      <c r="AB283" s="243"/>
      <c r="AC283" s="243"/>
      <c r="AD283" s="243"/>
      <c r="AE283" s="243"/>
      <c r="AF283" s="243"/>
      <c r="AG283" s="243"/>
      <c r="AH283" s="243"/>
      <c r="AI283" s="243"/>
      <c r="AJ283" s="243"/>
      <c r="AK283" s="243"/>
      <c r="AL283" s="243"/>
      <c r="AM283" s="243"/>
      <c r="AN283" s="243">
        <f t="shared" si="12"/>
        <v>0</v>
      </c>
      <c r="AO283" s="25" t="s">
        <v>85</v>
      </c>
      <c r="AP283" s="216" t="s">
        <v>1442</v>
      </c>
      <c r="AQ283" s="245"/>
      <c r="AR283" s="26" t="s">
        <v>384</v>
      </c>
      <c r="AS283" s="26"/>
      <c r="AT283" s="308"/>
      <c r="AU283" s="245"/>
      <c r="AV283" s="43" t="s">
        <v>66</v>
      </c>
      <c r="AW283" s="245"/>
      <c r="AX283" s="25" t="s">
        <v>86</v>
      </c>
      <c r="AY283" s="26"/>
      <c r="AZ283" s="308">
        <v>43469</v>
      </c>
      <c r="BA283" s="342">
        <v>43483</v>
      </c>
      <c r="BB283" s="25"/>
      <c r="BC283" s="291">
        <v>43833</v>
      </c>
      <c r="BD283" s="113" t="s">
        <v>88</v>
      </c>
      <c r="BE283" s="297"/>
      <c r="BF283" s="298">
        <f t="shared" si="9"/>
        <v>0</v>
      </c>
      <c r="BG283" s="297" t="e">
        <f>VLOOKUP(B283,[1]Sheet2!$B:$X,23,0)</f>
        <v>#N/A</v>
      </c>
    </row>
    <row r="284" spans="1:59" s="28" customFormat="1" ht="33" customHeight="1">
      <c r="A284" s="331" t="s">
        <v>1211</v>
      </c>
      <c r="B284" s="25" t="s">
        <v>1212</v>
      </c>
      <c r="C284" s="26" t="s">
        <v>1827</v>
      </c>
      <c r="D284" s="25" t="s">
        <v>1213</v>
      </c>
      <c r="E284" s="25" t="s">
        <v>139</v>
      </c>
      <c r="F284" s="25" t="s">
        <v>315</v>
      </c>
      <c r="G284" s="25" t="s">
        <v>315</v>
      </c>
      <c r="H284" s="218"/>
      <c r="I284" s="53" t="s">
        <v>150</v>
      </c>
      <c r="J284" s="53" t="s">
        <v>128</v>
      </c>
      <c r="K284" s="335"/>
      <c r="L284" s="26"/>
      <c r="M284" s="336">
        <v>15097</v>
      </c>
      <c r="N284" s="243">
        <f t="shared" si="10"/>
        <v>0</v>
      </c>
      <c r="O284" s="106"/>
      <c r="P284" s="243"/>
      <c r="Q284" s="243"/>
      <c r="R284" s="243"/>
      <c r="S284" s="243"/>
      <c r="T284" s="243"/>
      <c r="U284" s="243"/>
      <c r="V284" s="243"/>
      <c r="W284" s="243"/>
      <c r="X284" s="243"/>
      <c r="Y284" s="263"/>
      <c r="Z284" s="263"/>
      <c r="AA284" s="263"/>
      <c r="AB284" s="243"/>
      <c r="AC284" s="243"/>
      <c r="AD284" s="243"/>
      <c r="AE284" s="243"/>
      <c r="AF284" s="243"/>
      <c r="AG284" s="243"/>
      <c r="AH284" s="243"/>
      <c r="AI284" s="243"/>
      <c r="AJ284" s="243"/>
      <c r="AK284" s="243"/>
      <c r="AL284" s="243"/>
      <c r="AM284" s="243"/>
      <c r="AN284" s="243">
        <f t="shared" si="12"/>
        <v>0</v>
      </c>
      <c r="AO284" s="25" t="s">
        <v>85</v>
      </c>
      <c r="AP284" s="216" t="s">
        <v>1442</v>
      </c>
      <c r="AQ284" s="245"/>
      <c r="AR284" s="26" t="s">
        <v>384</v>
      </c>
      <c r="AS284" s="26"/>
      <c r="AT284" s="308"/>
      <c r="AU284" s="245"/>
      <c r="AV284" s="43" t="s">
        <v>66</v>
      </c>
      <c r="AW284" s="245"/>
      <c r="AX284" s="25" t="s">
        <v>86</v>
      </c>
      <c r="AY284" s="26"/>
      <c r="AZ284" s="308">
        <v>43469</v>
      </c>
      <c r="BA284" s="342">
        <v>43483</v>
      </c>
      <c r="BB284" s="25"/>
      <c r="BC284" s="291">
        <v>43833</v>
      </c>
      <c r="BD284" s="113" t="s">
        <v>88</v>
      </c>
      <c r="BE284" s="297"/>
      <c r="BF284" s="298">
        <f t="shared" si="9"/>
        <v>0</v>
      </c>
      <c r="BG284" s="297" t="e">
        <f>VLOOKUP(B284,[1]Sheet2!$B:$X,23,0)</f>
        <v>#N/A</v>
      </c>
    </row>
    <row r="285" spans="1:59" s="28" customFormat="1" ht="33" customHeight="1">
      <c r="A285" s="26" t="s">
        <v>851</v>
      </c>
      <c r="B285" s="25" t="s">
        <v>853</v>
      </c>
      <c r="C285" s="26" t="s">
        <v>852</v>
      </c>
      <c r="D285" s="26" t="s">
        <v>854</v>
      </c>
      <c r="E285" s="25" t="s">
        <v>224</v>
      </c>
      <c r="F285" s="25" t="s">
        <v>315</v>
      </c>
      <c r="G285" s="25" t="s">
        <v>315</v>
      </c>
      <c r="H285" s="218"/>
      <c r="I285" s="53" t="s">
        <v>150</v>
      </c>
      <c r="J285" s="53"/>
      <c r="K285" s="295">
        <v>43237</v>
      </c>
      <c r="L285" s="26"/>
      <c r="M285" s="26">
        <v>42787.7</v>
      </c>
      <c r="N285" s="243">
        <f t="shared" si="8"/>
        <v>42787.7</v>
      </c>
      <c r="O285" s="53"/>
      <c r="P285" s="245">
        <v>30724.1</v>
      </c>
      <c r="Q285" s="245"/>
      <c r="R285" s="245"/>
      <c r="S285" s="245">
        <v>12063.6</v>
      </c>
      <c r="T285" s="245"/>
      <c r="U285" s="245"/>
      <c r="V285" s="245"/>
      <c r="W285" s="26"/>
      <c r="X285" s="26"/>
      <c r="Y285" s="263"/>
      <c r="Z285" s="263"/>
      <c r="AA285" s="263">
        <v>0.15</v>
      </c>
      <c r="AB285" s="26"/>
      <c r="AC285" s="26">
        <v>205213.23689999999</v>
      </c>
      <c r="AD285" s="26"/>
      <c r="AE285" s="26"/>
      <c r="AF285" s="26">
        <v>12858</v>
      </c>
      <c r="AG285" s="26"/>
      <c r="AH285" s="26"/>
      <c r="AI285" s="26"/>
      <c r="AJ285" s="26"/>
      <c r="AK285" s="26"/>
      <c r="AL285" s="26"/>
      <c r="AM285" s="26"/>
      <c r="AN285" s="243">
        <f t="shared" si="7"/>
        <v>218071.23689999999</v>
      </c>
      <c r="AO285" s="25" t="s">
        <v>93</v>
      </c>
      <c r="AP285" s="216"/>
      <c r="AQ285" s="245"/>
      <c r="AR285" s="26" t="s">
        <v>384</v>
      </c>
      <c r="AS285" s="26"/>
      <c r="AT285" s="308">
        <v>43105</v>
      </c>
      <c r="AU285" s="245"/>
      <c r="AV285" s="43" t="s">
        <v>66</v>
      </c>
      <c r="AW285" s="245"/>
      <c r="AX285" s="289" t="s">
        <v>86</v>
      </c>
      <c r="AY285" s="289"/>
      <c r="AZ285" s="290">
        <v>43381</v>
      </c>
      <c r="BA285" s="290">
        <v>43381</v>
      </c>
      <c r="BB285" s="25" t="s">
        <v>78</v>
      </c>
      <c r="BC285" s="291">
        <v>43745</v>
      </c>
      <c r="BD285" s="113" t="s">
        <v>122</v>
      </c>
      <c r="BE285" s="297">
        <v>42787.7</v>
      </c>
      <c r="BF285" s="298">
        <f t="shared" si="9"/>
        <v>1</v>
      </c>
      <c r="BG285" s="297" t="e">
        <f>VLOOKUP(B285,[1]Sheet2!$B:$X,23,0)</f>
        <v>#N/A</v>
      </c>
    </row>
    <row r="286" spans="1:59" s="28" customFormat="1" ht="33" customHeight="1">
      <c r="A286" s="26" t="s">
        <v>847</v>
      </c>
      <c r="B286" s="25" t="s">
        <v>849</v>
      </c>
      <c r="C286" s="26" t="s">
        <v>848</v>
      </c>
      <c r="D286" s="26" t="s">
        <v>850</v>
      </c>
      <c r="E286" s="25" t="s">
        <v>224</v>
      </c>
      <c r="F286" s="25" t="s">
        <v>315</v>
      </c>
      <c r="G286" s="25" t="s">
        <v>315</v>
      </c>
      <c r="H286" s="218"/>
      <c r="I286" s="53" t="s">
        <v>150</v>
      </c>
      <c r="J286" s="53" t="s">
        <v>84</v>
      </c>
      <c r="K286" s="295">
        <v>43237</v>
      </c>
      <c r="L286" s="26"/>
      <c r="M286" s="26">
        <v>242333.57</v>
      </c>
      <c r="N286" s="243">
        <f t="shared" si="8"/>
        <v>242333.57</v>
      </c>
      <c r="O286" s="53"/>
      <c r="P286" s="245">
        <v>36091.67</v>
      </c>
      <c r="Q286" s="245"/>
      <c r="R286" s="245"/>
      <c r="S286" s="245">
        <v>206241.9</v>
      </c>
      <c r="T286" s="245"/>
      <c r="U286" s="245"/>
      <c r="V286" s="245"/>
      <c r="W286" s="26"/>
      <c r="X286" s="26"/>
      <c r="Y286" s="263"/>
      <c r="Z286" s="263"/>
      <c r="AA286" s="263">
        <v>0.1</v>
      </c>
      <c r="AB286" s="26"/>
      <c r="AC286" s="26">
        <v>32482.503000000001</v>
      </c>
      <c r="AD286" s="26"/>
      <c r="AE286" s="26"/>
      <c r="AF286" s="26">
        <v>185617.71</v>
      </c>
      <c r="AG286" s="26"/>
      <c r="AH286" s="26"/>
      <c r="AI286" s="26"/>
      <c r="AJ286" s="26"/>
      <c r="AK286" s="26"/>
      <c r="AL286" s="26"/>
      <c r="AM286" s="26"/>
      <c r="AN286" s="243">
        <f t="shared" si="7"/>
        <v>218100.21299999999</v>
      </c>
      <c r="AO286" s="25" t="s">
        <v>93</v>
      </c>
      <c r="AP286" s="216"/>
      <c r="AQ286" s="245"/>
      <c r="AR286" s="26" t="s">
        <v>384</v>
      </c>
      <c r="AS286" s="26"/>
      <c r="AT286" s="308">
        <v>42870</v>
      </c>
      <c r="AU286" s="245"/>
      <c r="AV286" s="43" t="s">
        <v>66</v>
      </c>
      <c r="AW286" s="245"/>
      <c r="AX286" s="289" t="s">
        <v>86</v>
      </c>
      <c r="AY286" s="289"/>
      <c r="AZ286" s="290">
        <v>43061</v>
      </c>
      <c r="BA286" s="290">
        <v>43338</v>
      </c>
      <c r="BB286" s="25" t="s">
        <v>78</v>
      </c>
      <c r="BC286" s="291">
        <v>43405</v>
      </c>
      <c r="BD286" s="113" t="s">
        <v>122</v>
      </c>
      <c r="BE286" s="297">
        <v>0</v>
      </c>
      <c r="BF286" s="298">
        <f t="shared" si="9"/>
        <v>0</v>
      </c>
      <c r="BG286" s="297" t="e">
        <f>VLOOKUP(B286,[1]Sheet2!$B:$X,23,0)</f>
        <v>#N/A</v>
      </c>
    </row>
    <row r="287" spans="1:59" s="28" customFormat="1" ht="33" customHeight="1">
      <c r="A287" s="26" t="s">
        <v>827</v>
      </c>
      <c r="B287" s="25" t="s">
        <v>829</v>
      </c>
      <c r="C287" s="26" t="s">
        <v>828</v>
      </c>
      <c r="D287" s="26" t="s">
        <v>830</v>
      </c>
      <c r="E287" s="25" t="s">
        <v>126</v>
      </c>
      <c r="F287" s="25" t="s">
        <v>315</v>
      </c>
      <c r="G287" s="25" t="s">
        <v>315</v>
      </c>
      <c r="H287" s="218"/>
      <c r="I287" s="53" t="s">
        <v>76</v>
      </c>
      <c r="J287" s="53"/>
      <c r="K287" s="295">
        <v>43236</v>
      </c>
      <c r="L287" s="26"/>
      <c r="M287" s="26">
        <v>19270</v>
      </c>
      <c r="N287" s="243">
        <f t="shared" si="8"/>
        <v>19270</v>
      </c>
      <c r="O287" s="53"/>
      <c r="P287" s="245">
        <v>13470</v>
      </c>
      <c r="Q287" s="245"/>
      <c r="R287" s="245"/>
      <c r="S287" s="245">
        <v>5800</v>
      </c>
      <c r="T287" s="245"/>
      <c r="U287" s="245"/>
      <c r="V287" s="245"/>
      <c r="W287" s="26"/>
      <c r="X287" s="26"/>
      <c r="Y287" s="263"/>
      <c r="Z287" s="263"/>
      <c r="AA287" s="263">
        <v>0.15</v>
      </c>
      <c r="AB287" s="26"/>
      <c r="AC287" s="26">
        <v>11449.5</v>
      </c>
      <c r="AD287" s="26"/>
      <c r="AE287" s="26"/>
      <c r="AF287" s="26">
        <v>4930</v>
      </c>
      <c r="AG287" s="26"/>
      <c r="AH287" s="26"/>
      <c r="AI287" s="26"/>
      <c r="AJ287" s="26"/>
      <c r="AK287" s="26"/>
      <c r="AL287" s="26"/>
      <c r="AM287" s="26"/>
      <c r="AN287" s="243">
        <f t="shared" si="7"/>
        <v>16379.5</v>
      </c>
      <c r="AO287" s="25" t="s">
        <v>145</v>
      </c>
      <c r="AP287" s="216" t="s">
        <v>1276</v>
      </c>
      <c r="AQ287" s="245"/>
      <c r="AR287" s="26" t="s">
        <v>384</v>
      </c>
      <c r="AS287" s="26"/>
      <c r="AT287" s="308"/>
      <c r="AU287" s="245"/>
      <c r="AV287" s="43" t="s">
        <v>66</v>
      </c>
      <c r="AW287" s="245"/>
      <c r="AX287" s="289" t="s">
        <v>86</v>
      </c>
      <c r="AY287" s="289"/>
      <c r="AZ287" s="290">
        <v>43314</v>
      </c>
      <c r="BA287" s="290">
        <v>43328</v>
      </c>
      <c r="BB287" s="25" t="s">
        <v>78</v>
      </c>
      <c r="BC287" s="291">
        <v>43678</v>
      </c>
      <c r="BD287" s="113" t="s">
        <v>122</v>
      </c>
      <c r="BE287" s="297">
        <v>19270</v>
      </c>
      <c r="BF287" s="298">
        <f t="shared" si="9"/>
        <v>1</v>
      </c>
      <c r="BG287" s="297" t="e">
        <f>VLOOKUP(B287,[1]Sheet2!$B:$X,23,0)</f>
        <v>#N/A</v>
      </c>
    </row>
    <row r="288" spans="1:59" s="28" customFormat="1" ht="33" customHeight="1">
      <c r="A288" s="312"/>
      <c r="B288" s="18" t="s">
        <v>1828</v>
      </c>
      <c r="C288" s="19" t="s">
        <v>1829</v>
      </c>
      <c r="D288" s="332" t="s">
        <v>865</v>
      </c>
      <c r="E288" s="25" t="s">
        <v>113</v>
      </c>
      <c r="F288" s="25" t="s">
        <v>315</v>
      </c>
      <c r="G288" s="25" t="s">
        <v>315</v>
      </c>
      <c r="H288" s="218" t="s">
        <v>1275</v>
      </c>
      <c r="I288" s="53"/>
      <c r="J288" s="53"/>
      <c r="K288" s="295"/>
      <c r="L288" s="26"/>
      <c r="M288" s="26"/>
      <c r="N288" s="243"/>
      <c r="O288" s="53"/>
      <c r="P288" s="245"/>
      <c r="Q288" s="245"/>
      <c r="R288" s="245"/>
      <c r="S288" s="245"/>
      <c r="T288" s="245"/>
      <c r="U288" s="245"/>
      <c r="V288" s="245"/>
      <c r="W288" s="26"/>
      <c r="X288" s="26"/>
      <c r="Y288" s="263"/>
      <c r="Z288" s="263"/>
      <c r="AA288" s="263"/>
      <c r="AB288" s="26"/>
      <c r="AC288" s="26"/>
      <c r="AD288" s="26"/>
      <c r="AE288" s="26"/>
      <c r="AF288" s="26"/>
      <c r="AG288" s="26"/>
      <c r="AH288" s="26"/>
      <c r="AI288" s="26"/>
      <c r="AJ288" s="26"/>
      <c r="AK288" s="26"/>
      <c r="AL288" s="26"/>
      <c r="AM288" s="26"/>
      <c r="AN288" s="243"/>
      <c r="AO288" s="25" t="s">
        <v>62</v>
      </c>
      <c r="AP288" s="216"/>
      <c r="AQ288" s="245"/>
      <c r="AR288" s="26" t="s">
        <v>384</v>
      </c>
      <c r="AS288" s="26"/>
      <c r="AT288" s="308">
        <v>43070</v>
      </c>
      <c r="AU288" s="245"/>
      <c r="AV288" s="43" t="s">
        <v>66</v>
      </c>
      <c r="AW288" s="245"/>
      <c r="AX288" s="289" t="s">
        <v>86</v>
      </c>
      <c r="AY288" s="289" t="s">
        <v>1830</v>
      </c>
      <c r="AZ288" s="290">
        <v>43223</v>
      </c>
      <c r="BA288" s="290"/>
      <c r="BB288" s="25"/>
      <c r="BC288" s="291">
        <v>43587</v>
      </c>
      <c r="BD288" s="25" t="s">
        <v>122</v>
      </c>
      <c r="BE288" s="297">
        <v>285532.59000000003</v>
      </c>
      <c r="BF288" s="298" t="e">
        <f t="shared" si="9"/>
        <v>#DIV/0!</v>
      </c>
      <c r="BG288" s="297" t="e">
        <f>VLOOKUP(B288,[1]Sheet2!$B:$X,23,0)</f>
        <v>#N/A</v>
      </c>
    </row>
    <row r="289" spans="1:59" s="28" customFormat="1" ht="33" customHeight="1">
      <c r="A289" s="26" t="s">
        <v>889</v>
      </c>
      <c r="B289" s="25" t="s">
        <v>891</v>
      </c>
      <c r="C289" s="26" t="s">
        <v>890</v>
      </c>
      <c r="D289" s="26" t="s">
        <v>892</v>
      </c>
      <c r="E289" s="25" t="s">
        <v>261</v>
      </c>
      <c r="F289" s="26" t="s">
        <v>1277</v>
      </c>
      <c r="G289" s="26" t="s">
        <v>1277</v>
      </c>
      <c r="H289" s="218"/>
      <c r="I289" s="53" t="s">
        <v>107</v>
      </c>
      <c r="J289" s="53" t="s">
        <v>63</v>
      </c>
      <c r="K289" s="295">
        <v>43244</v>
      </c>
      <c r="L289" s="26"/>
      <c r="M289" s="26">
        <v>580000</v>
      </c>
      <c r="N289" s="243">
        <f t="shared" si="8"/>
        <v>580000</v>
      </c>
      <c r="O289" s="53"/>
      <c r="P289" s="245"/>
      <c r="Q289" s="245"/>
      <c r="R289" s="245"/>
      <c r="S289" s="245">
        <v>37100</v>
      </c>
      <c r="T289" s="245"/>
      <c r="U289" s="245">
        <v>542900</v>
      </c>
      <c r="V289" s="245"/>
      <c r="W289" s="26"/>
      <c r="X289" s="26"/>
      <c r="Y289" s="263"/>
      <c r="Z289" s="263"/>
      <c r="AA289" s="263">
        <v>15</v>
      </c>
      <c r="AB289" s="26"/>
      <c r="AC289" s="26"/>
      <c r="AD289" s="26"/>
      <c r="AE289" s="26"/>
      <c r="AF289" s="26">
        <v>37100</v>
      </c>
      <c r="AG289" s="26"/>
      <c r="AH289" s="26">
        <v>461000</v>
      </c>
      <c r="AI289" s="26"/>
      <c r="AJ289" s="26"/>
      <c r="AK289" s="26"/>
      <c r="AL289" s="26"/>
      <c r="AM289" s="26"/>
      <c r="AN289" s="243">
        <f t="shared" si="7"/>
        <v>498100</v>
      </c>
      <c r="AO289" s="25" t="s">
        <v>455</v>
      </c>
      <c r="AP289" s="216"/>
      <c r="AQ289" s="245"/>
      <c r="AR289" s="26" t="s">
        <v>384</v>
      </c>
      <c r="AS289" s="26"/>
      <c r="AT289" s="308"/>
      <c r="AU289" s="245"/>
      <c r="AV289" s="43" t="s">
        <v>190</v>
      </c>
      <c r="AW289" s="245"/>
      <c r="AX289" s="289"/>
      <c r="AY289" s="289"/>
      <c r="AZ289" s="290"/>
      <c r="BA289" s="290"/>
      <c r="BB289" s="25"/>
      <c r="BC289" s="291">
        <v>43582</v>
      </c>
      <c r="BD289" s="25" t="s">
        <v>1280</v>
      </c>
      <c r="BE289" s="297"/>
      <c r="BF289" s="298">
        <f t="shared" si="9"/>
        <v>0</v>
      </c>
      <c r="BG289" s="297" t="e">
        <f>VLOOKUP(B289,[1]Sheet2!$B:$X,23,0)</f>
        <v>#N/A</v>
      </c>
    </row>
    <row r="290" spans="1:59" s="28" customFormat="1" ht="33" customHeight="1">
      <c r="A290" s="26" t="s">
        <v>839</v>
      </c>
      <c r="B290" s="25" t="s">
        <v>841</v>
      </c>
      <c r="C290" s="26" t="s">
        <v>840</v>
      </c>
      <c r="D290" s="26" t="s">
        <v>842</v>
      </c>
      <c r="E290" s="25" t="s">
        <v>126</v>
      </c>
      <c r="F290" s="25" t="s">
        <v>315</v>
      </c>
      <c r="G290" s="25" t="s">
        <v>315</v>
      </c>
      <c r="H290" s="218"/>
      <c r="I290" s="53" t="s">
        <v>76</v>
      </c>
      <c r="J290" s="53"/>
      <c r="K290" s="295">
        <v>43236</v>
      </c>
      <c r="L290" s="26"/>
      <c r="M290" s="26">
        <v>118914</v>
      </c>
      <c r="N290" s="243">
        <f t="shared" si="8"/>
        <v>118914</v>
      </c>
      <c r="O290" s="53"/>
      <c r="P290" s="245"/>
      <c r="Q290" s="245"/>
      <c r="R290" s="245"/>
      <c r="S290" s="245">
        <v>118914</v>
      </c>
      <c r="T290" s="245"/>
      <c r="U290" s="245"/>
      <c r="V290" s="245"/>
      <c r="W290" s="26"/>
      <c r="X290" s="26"/>
      <c r="Y290" s="262"/>
      <c r="Z290" s="262"/>
      <c r="AA290" s="263">
        <v>0.15</v>
      </c>
      <c r="AB290" s="26"/>
      <c r="AC290" s="26"/>
      <c r="AD290" s="26"/>
      <c r="AE290" s="26"/>
      <c r="AF290" s="26">
        <v>101077.04</v>
      </c>
      <c r="AG290" s="26"/>
      <c r="AH290" s="26"/>
      <c r="AI290" s="26"/>
      <c r="AJ290" s="26"/>
      <c r="AK290" s="26"/>
      <c r="AL290" s="26"/>
      <c r="AM290" s="26"/>
      <c r="AN290" s="243">
        <f t="shared" si="7"/>
        <v>101077.04</v>
      </c>
      <c r="AO290" s="25" t="s">
        <v>145</v>
      </c>
      <c r="AP290" s="216" t="s">
        <v>1276</v>
      </c>
      <c r="AQ290" s="245"/>
      <c r="AR290" s="26" t="s">
        <v>384</v>
      </c>
      <c r="AS290" s="26"/>
      <c r="AT290" s="308">
        <v>42967</v>
      </c>
      <c r="AU290" s="245"/>
      <c r="AV290" s="43" t="s">
        <v>66</v>
      </c>
      <c r="AW290" s="245"/>
      <c r="AX290" s="289" t="s">
        <v>86</v>
      </c>
      <c r="AY290" s="289"/>
      <c r="AZ290" s="290">
        <v>43240</v>
      </c>
      <c r="BA290" s="290">
        <v>43285</v>
      </c>
      <c r="BB290" s="25" t="s">
        <v>78</v>
      </c>
      <c r="BC290" s="291">
        <v>43604</v>
      </c>
      <c r="BD290" s="25" t="s">
        <v>122</v>
      </c>
      <c r="BE290" s="297">
        <v>118914.17</v>
      </c>
      <c r="BF290" s="298">
        <f t="shared" si="9"/>
        <v>1.0000014296045883</v>
      </c>
      <c r="BG290" s="297" t="e">
        <f>VLOOKUP(B290,[1]Sheet2!$B:$X,23,0)</f>
        <v>#N/A</v>
      </c>
    </row>
    <row r="291" spans="1:59" s="28" customFormat="1" ht="33" customHeight="1">
      <c r="A291" s="312" t="s">
        <v>1831</v>
      </c>
      <c r="B291" s="25" t="s">
        <v>876</v>
      </c>
      <c r="C291" s="26" t="s">
        <v>1832</v>
      </c>
      <c r="D291" s="26" t="s">
        <v>877</v>
      </c>
      <c r="E291" s="25" t="s">
        <v>294</v>
      </c>
      <c r="F291" s="25" t="s">
        <v>315</v>
      </c>
      <c r="G291" s="25" t="s">
        <v>315</v>
      </c>
      <c r="H291" s="218" t="s">
        <v>1794</v>
      </c>
      <c r="I291" s="53" t="s">
        <v>76</v>
      </c>
      <c r="J291" s="53"/>
      <c r="K291" s="295">
        <v>43236</v>
      </c>
      <c r="L291" s="26"/>
      <c r="M291" s="26">
        <v>3727599</v>
      </c>
      <c r="N291" s="243">
        <f t="shared" si="8"/>
        <v>3727599</v>
      </c>
      <c r="O291" s="53"/>
      <c r="P291" s="245"/>
      <c r="Q291" s="245"/>
      <c r="R291" s="245"/>
      <c r="S291" s="245">
        <v>3025411</v>
      </c>
      <c r="T291" s="245"/>
      <c r="U291" s="245">
        <v>702188</v>
      </c>
      <c r="V291" s="245"/>
      <c r="W291" s="26"/>
      <c r="X291" s="26"/>
      <c r="Y291" s="263"/>
      <c r="Z291" s="263"/>
      <c r="AA291" s="263">
        <v>0.1</v>
      </c>
      <c r="AB291" s="26"/>
      <c r="AC291" s="26"/>
      <c r="AD291" s="26"/>
      <c r="AE291" s="26"/>
      <c r="AF291" s="26">
        <v>2722869.9</v>
      </c>
      <c r="AG291" s="26"/>
      <c r="AH291" s="26">
        <v>631969.19999999995</v>
      </c>
      <c r="AI291" s="26"/>
      <c r="AJ291" s="26"/>
      <c r="AK291" s="26"/>
      <c r="AL291" s="26"/>
      <c r="AM291" s="26"/>
      <c r="AN291" s="243">
        <f t="shared" si="7"/>
        <v>3354839.0999999996</v>
      </c>
      <c r="AO291" s="25" t="s">
        <v>62</v>
      </c>
      <c r="AP291" s="216"/>
      <c r="AQ291" s="245"/>
      <c r="AR291" s="26" t="s">
        <v>384</v>
      </c>
      <c r="AS291" s="26"/>
      <c r="AT291" s="308"/>
      <c r="AU291" s="245"/>
      <c r="AV291" s="43" t="s">
        <v>66</v>
      </c>
      <c r="AW291" s="245"/>
      <c r="AX291" s="289" t="s">
        <v>86</v>
      </c>
      <c r="AY291" s="289" t="s">
        <v>1833</v>
      </c>
      <c r="AZ291" s="290">
        <v>43344</v>
      </c>
      <c r="BA291" s="343"/>
      <c r="BB291" s="25"/>
      <c r="BC291" s="291">
        <v>43708</v>
      </c>
      <c r="BD291" s="113" t="s">
        <v>878</v>
      </c>
      <c r="BE291" s="297">
        <v>0</v>
      </c>
      <c r="BF291" s="298">
        <f t="shared" si="9"/>
        <v>0</v>
      </c>
      <c r="BG291" s="297" t="e">
        <f>VLOOKUP(B291,[1]Sheet2!$B:$X,23,0)</f>
        <v>#N/A</v>
      </c>
    </row>
    <row r="292" spans="1:59" s="28" customFormat="1" ht="33" customHeight="1">
      <c r="A292" s="26" t="s">
        <v>831</v>
      </c>
      <c r="B292" s="25" t="s">
        <v>833</v>
      </c>
      <c r="C292" s="333" t="s">
        <v>1834</v>
      </c>
      <c r="D292" s="26" t="s">
        <v>834</v>
      </c>
      <c r="E292" s="25" t="s">
        <v>126</v>
      </c>
      <c r="F292" s="25" t="s">
        <v>315</v>
      </c>
      <c r="G292" s="25" t="s">
        <v>315</v>
      </c>
      <c r="H292" s="218"/>
      <c r="I292" s="53" t="s">
        <v>76</v>
      </c>
      <c r="J292" s="53"/>
      <c r="K292" s="295">
        <v>43236</v>
      </c>
      <c r="L292" s="26"/>
      <c r="M292" s="26">
        <v>35849</v>
      </c>
      <c r="N292" s="243">
        <f t="shared" si="8"/>
        <v>35849</v>
      </c>
      <c r="O292" s="53"/>
      <c r="P292" s="245">
        <v>27191</v>
      </c>
      <c r="Q292" s="245"/>
      <c r="R292" s="245"/>
      <c r="S292" s="245">
        <v>8658</v>
      </c>
      <c r="T292" s="245"/>
      <c r="U292" s="245"/>
      <c r="V292" s="245"/>
      <c r="W292" s="26"/>
      <c r="X292" s="26"/>
      <c r="Y292" s="263"/>
      <c r="Z292" s="263"/>
      <c r="AA292" s="263">
        <v>0.15</v>
      </c>
      <c r="AB292" s="26"/>
      <c r="AC292" s="26">
        <v>23112.18</v>
      </c>
      <c r="AD292" s="26"/>
      <c r="AE292" s="26"/>
      <c r="AF292" s="26">
        <v>7359.3</v>
      </c>
      <c r="AG292" s="26"/>
      <c r="AH292" s="26"/>
      <c r="AI292" s="26"/>
      <c r="AJ292" s="26"/>
      <c r="AK292" s="26"/>
      <c r="AL292" s="26"/>
      <c r="AM292" s="26"/>
      <c r="AN292" s="243">
        <f t="shared" si="7"/>
        <v>30471.48</v>
      </c>
      <c r="AO292" s="216" t="s">
        <v>145</v>
      </c>
      <c r="AP292" s="216" t="s">
        <v>1276</v>
      </c>
      <c r="AQ292" s="245"/>
      <c r="AR292" s="26" t="s">
        <v>384</v>
      </c>
      <c r="AS292" s="26"/>
      <c r="AT292" s="308"/>
      <c r="AU292" s="245"/>
      <c r="AV292" s="43" t="s">
        <v>66</v>
      </c>
      <c r="AW292" s="245"/>
      <c r="AX292" s="289" t="s">
        <v>86</v>
      </c>
      <c r="AY292" s="289"/>
      <c r="AZ292" s="290">
        <v>43311</v>
      </c>
      <c r="BA292" s="290">
        <v>43328</v>
      </c>
      <c r="BB292" s="25" t="s">
        <v>78</v>
      </c>
      <c r="BC292" s="291">
        <v>43646</v>
      </c>
      <c r="BD292" s="113" t="s">
        <v>122</v>
      </c>
      <c r="BE292" s="297">
        <v>35848.800000000003</v>
      </c>
      <c r="BF292" s="298">
        <f t="shared" si="9"/>
        <v>0.99999442104382275</v>
      </c>
      <c r="BG292" s="297" t="e">
        <f>VLOOKUP(B292,[1]Sheet2!$B:$X,23,0)</f>
        <v>#N/A</v>
      </c>
    </row>
    <row r="293" spans="1:59" s="28" customFormat="1" ht="33" customHeight="1">
      <c r="A293" s="26" t="s">
        <v>872</v>
      </c>
      <c r="B293" s="25" t="s">
        <v>874</v>
      </c>
      <c r="C293" s="26" t="s">
        <v>873</v>
      </c>
      <c r="D293" s="26" t="s">
        <v>875</v>
      </c>
      <c r="E293" s="25" t="s">
        <v>249</v>
      </c>
      <c r="F293" s="25" t="s">
        <v>315</v>
      </c>
      <c r="G293" s="25" t="s">
        <v>315</v>
      </c>
      <c r="H293" s="218"/>
      <c r="I293" s="53" t="s">
        <v>602</v>
      </c>
      <c r="J293" s="53" t="s">
        <v>128</v>
      </c>
      <c r="K293" s="295">
        <v>2018</v>
      </c>
      <c r="L293" s="26"/>
      <c r="M293" s="26">
        <v>91590</v>
      </c>
      <c r="N293" s="243">
        <f t="shared" si="8"/>
        <v>91590</v>
      </c>
      <c r="O293" s="53"/>
      <c r="P293" s="245">
        <v>67960</v>
      </c>
      <c r="Q293" s="245"/>
      <c r="R293" s="245"/>
      <c r="S293" s="245">
        <v>23630</v>
      </c>
      <c r="T293" s="245"/>
      <c r="U293" s="245"/>
      <c r="V293" s="245"/>
      <c r="W293" s="26"/>
      <c r="X293" s="26"/>
      <c r="Y293" s="263"/>
      <c r="Z293" s="263"/>
      <c r="AA293" s="263">
        <v>0.15</v>
      </c>
      <c r="AB293" s="26"/>
      <c r="AC293" s="26">
        <v>57766</v>
      </c>
      <c r="AD293" s="26"/>
      <c r="AE293" s="26"/>
      <c r="AF293" s="26">
        <v>20086</v>
      </c>
      <c r="AG293" s="26"/>
      <c r="AH293" s="26"/>
      <c r="AI293" s="26"/>
      <c r="AJ293" s="26"/>
      <c r="AK293" s="26"/>
      <c r="AL293" s="26"/>
      <c r="AM293" s="26"/>
      <c r="AN293" s="243">
        <f t="shared" si="7"/>
        <v>77852</v>
      </c>
      <c r="AO293" s="25" t="s">
        <v>108</v>
      </c>
      <c r="AP293" s="216"/>
      <c r="AQ293" s="245"/>
      <c r="AR293" s="61">
        <v>43312</v>
      </c>
      <c r="AS293" s="61"/>
      <c r="AT293" s="308">
        <v>43242</v>
      </c>
      <c r="AU293" s="245"/>
      <c r="AV293" s="43" t="s">
        <v>66</v>
      </c>
      <c r="AW293" s="245"/>
      <c r="AX293" s="289" t="s">
        <v>607</v>
      </c>
      <c r="AY293" s="289"/>
      <c r="AZ293" s="290">
        <v>43343</v>
      </c>
      <c r="BA293" s="290">
        <v>43392</v>
      </c>
      <c r="BB293" s="25" t="s">
        <v>78</v>
      </c>
      <c r="BC293" s="291">
        <v>43707</v>
      </c>
      <c r="BD293" s="113" t="s">
        <v>122</v>
      </c>
      <c r="BE293" s="297">
        <v>82431</v>
      </c>
      <c r="BF293" s="298">
        <f t="shared" si="9"/>
        <v>0.9</v>
      </c>
      <c r="BG293" s="297" t="e">
        <f>VLOOKUP(B293,[1]Sheet2!$B:$X,23,0)</f>
        <v>#N/A</v>
      </c>
    </row>
    <row r="294" spans="1:59" s="28" customFormat="1" ht="33" customHeight="1">
      <c r="A294" s="26" t="s">
        <v>859</v>
      </c>
      <c r="B294" s="25" t="s">
        <v>861</v>
      </c>
      <c r="C294" s="26" t="s">
        <v>860</v>
      </c>
      <c r="D294" s="26" t="s">
        <v>862</v>
      </c>
      <c r="E294" s="25" t="s">
        <v>126</v>
      </c>
      <c r="F294" s="25" t="s">
        <v>315</v>
      </c>
      <c r="G294" s="25" t="s">
        <v>315</v>
      </c>
      <c r="H294" s="218"/>
      <c r="I294" s="53" t="s">
        <v>76</v>
      </c>
      <c r="J294" s="53"/>
      <c r="K294" s="295">
        <v>43237</v>
      </c>
      <c r="L294" s="26"/>
      <c r="M294" s="26">
        <v>181606</v>
      </c>
      <c r="N294" s="243">
        <f t="shared" si="8"/>
        <v>181606</v>
      </c>
      <c r="O294" s="53"/>
      <c r="P294" s="245">
        <v>86302</v>
      </c>
      <c r="Q294" s="245"/>
      <c r="R294" s="245"/>
      <c r="S294" s="245">
        <v>95304</v>
      </c>
      <c r="T294" s="245"/>
      <c r="U294" s="245"/>
      <c r="V294" s="245"/>
      <c r="W294" s="26"/>
      <c r="X294" s="26"/>
      <c r="Y294" s="263"/>
      <c r="Z294" s="263"/>
      <c r="AA294" s="263">
        <v>0.15</v>
      </c>
      <c r="AB294" s="26"/>
      <c r="AC294" s="26">
        <v>73356.7</v>
      </c>
      <c r="AD294" s="26"/>
      <c r="AE294" s="26"/>
      <c r="AF294" s="26">
        <v>81008.399999999994</v>
      </c>
      <c r="AG294" s="26"/>
      <c r="AH294" s="26"/>
      <c r="AI294" s="26"/>
      <c r="AJ294" s="26"/>
      <c r="AK294" s="26"/>
      <c r="AL294" s="26"/>
      <c r="AM294" s="26"/>
      <c r="AN294" s="243">
        <f t="shared" si="7"/>
        <v>154365.09999999998</v>
      </c>
      <c r="AO294" s="25" t="s">
        <v>93</v>
      </c>
      <c r="AP294" s="216"/>
      <c r="AQ294" s="245"/>
      <c r="AR294" s="26" t="s">
        <v>384</v>
      </c>
      <c r="AS294" s="26"/>
      <c r="AT294" s="308">
        <v>42967</v>
      </c>
      <c r="AU294" s="245"/>
      <c r="AV294" s="43" t="s">
        <v>66</v>
      </c>
      <c r="AW294" s="245"/>
      <c r="AX294" s="289" t="s">
        <v>86</v>
      </c>
      <c r="AY294" s="289"/>
      <c r="AZ294" s="290">
        <v>43282</v>
      </c>
      <c r="BA294" s="290">
        <v>43344</v>
      </c>
      <c r="BB294" s="25" t="s">
        <v>78</v>
      </c>
      <c r="BC294" s="291">
        <v>43646</v>
      </c>
      <c r="BD294" s="113" t="s">
        <v>122</v>
      </c>
      <c r="BE294" s="297">
        <v>181606</v>
      </c>
      <c r="BF294" s="298">
        <f t="shared" si="9"/>
        <v>1</v>
      </c>
      <c r="BG294" s="297" t="e">
        <f>VLOOKUP(B294,[1]Sheet2!$B:$X,23,0)</f>
        <v>#N/A</v>
      </c>
    </row>
    <row r="295" spans="1:59" s="28" customFormat="1" ht="33" customHeight="1">
      <c r="A295" s="26" t="s">
        <v>897</v>
      </c>
      <c r="B295" s="25" t="s">
        <v>899</v>
      </c>
      <c r="C295" s="26" t="s">
        <v>898</v>
      </c>
      <c r="D295" s="26" t="s">
        <v>900</v>
      </c>
      <c r="E295" s="25" t="s">
        <v>83</v>
      </c>
      <c r="F295" s="25" t="s">
        <v>315</v>
      </c>
      <c r="G295" s="25" t="s">
        <v>315</v>
      </c>
      <c r="H295" s="218" t="s">
        <v>1314</v>
      </c>
      <c r="I295" s="53" t="s">
        <v>76</v>
      </c>
      <c r="J295" s="53" t="s">
        <v>128</v>
      </c>
      <c r="K295" s="295">
        <v>43282</v>
      </c>
      <c r="L295" s="26"/>
      <c r="M295" s="26">
        <v>1408036</v>
      </c>
      <c r="N295" s="243">
        <f t="shared" si="8"/>
        <v>1216536</v>
      </c>
      <c r="O295" s="53"/>
      <c r="P295" s="245">
        <v>1072600</v>
      </c>
      <c r="Q295" s="245"/>
      <c r="R295" s="245"/>
      <c r="S295" s="245"/>
      <c r="T295" s="245"/>
      <c r="U295" s="245">
        <v>143936</v>
      </c>
      <c r="V295" s="245"/>
      <c r="W295" s="26">
        <v>191500</v>
      </c>
      <c r="X295" s="26">
        <v>191500</v>
      </c>
      <c r="Y295" s="262">
        <v>0.06</v>
      </c>
      <c r="Z295" s="262"/>
      <c r="AA295" s="263">
        <v>10</v>
      </c>
      <c r="AB295" s="26"/>
      <c r="AC295" s="26">
        <v>1003400</v>
      </c>
      <c r="AD295" s="26"/>
      <c r="AE295" s="26"/>
      <c r="AF295" s="26"/>
      <c r="AG295" s="26"/>
      <c r="AH295" s="26">
        <v>88688</v>
      </c>
      <c r="AI295" s="26"/>
      <c r="AJ295" s="26"/>
      <c r="AK295" s="26">
        <v>191500</v>
      </c>
      <c r="AL295" s="26"/>
      <c r="AM295" s="26"/>
      <c r="AN295" s="243">
        <f>SUM(AB295:AL295)</f>
        <v>1283588</v>
      </c>
      <c r="AO295" s="25" t="s">
        <v>132</v>
      </c>
      <c r="AP295" s="216" t="s">
        <v>1544</v>
      </c>
      <c r="AQ295" s="245"/>
      <c r="AR295" s="26" t="s">
        <v>384</v>
      </c>
      <c r="AS295" s="26"/>
      <c r="AT295" s="308"/>
      <c r="AU295" s="245"/>
      <c r="AV295" s="43" t="s">
        <v>66</v>
      </c>
      <c r="AW295" s="245"/>
      <c r="AX295" s="289" t="s">
        <v>86</v>
      </c>
      <c r="AY295" s="289"/>
      <c r="AZ295" s="290">
        <v>43435</v>
      </c>
      <c r="BA295" s="290">
        <v>43443</v>
      </c>
      <c r="BB295" s="25" t="s">
        <v>78</v>
      </c>
      <c r="BC295" s="291">
        <v>43800</v>
      </c>
      <c r="BD295" s="113" t="s">
        <v>88</v>
      </c>
      <c r="BE295" s="297">
        <v>1408036</v>
      </c>
      <c r="BF295" s="298">
        <f t="shared" si="9"/>
        <v>1</v>
      </c>
      <c r="BG295" s="297" t="e">
        <f>VLOOKUP(B295,[1]Sheet2!$B:$X,23,0)</f>
        <v>#N/A</v>
      </c>
    </row>
    <row r="296" spans="1:59" s="28" customFormat="1" ht="33" customHeight="1">
      <c r="A296" s="312" t="s">
        <v>1835</v>
      </c>
      <c r="B296" s="24" t="s">
        <v>1836</v>
      </c>
      <c r="C296" s="274" t="s">
        <v>1837</v>
      </c>
      <c r="D296" s="26" t="s">
        <v>1838</v>
      </c>
      <c r="E296" s="25" t="s">
        <v>1356</v>
      </c>
      <c r="F296" s="26" t="s">
        <v>1277</v>
      </c>
      <c r="G296" s="26" t="s">
        <v>1277</v>
      </c>
      <c r="H296" s="218"/>
      <c r="I296" s="53"/>
      <c r="J296" s="53"/>
      <c r="K296" s="295"/>
      <c r="L296" s="26"/>
      <c r="M296" s="26">
        <v>45000</v>
      </c>
      <c r="N296" s="243"/>
      <c r="O296" s="53"/>
      <c r="P296" s="245"/>
      <c r="Q296" s="245"/>
      <c r="R296" s="245"/>
      <c r="S296" s="245"/>
      <c r="T296" s="245"/>
      <c r="U296" s="245"/>
      <c r="V296" s="245"/>
      <c r="W296" s="26"/>
      <c r="X296" s="26"/>
      <c r="Y296" s="262"/>
      <c r="Z296" s="262"/>
      <c r="AA296" s="263"/>
      <c r="AB296" s="26"/>
      <c r="AC296" s="26"/>
      <c r="AD296" s="26"/>
      <c r="AE296" s="26"/>
      <c r="AF296" s="26"/>
      <c r="AG296" s="26"/>
      <c r="AH296" s="26"/>
      <c r="AI296" s="26"/>
      <c r="AJ296" s="26"/>
      <c r="AK296" s="26"/>
      <c r="AL296" s="26"/>
      <c r="AM296" s="26"/>
      <c r="AN296" s="243"/>
      <c r="AO296" s="25" t="s">
        <v>442</v>
      </c>
      <c r="AP296" s="216"/>
      <c r="AQ296" s="245"/>
      <c r="AR296" s="26" t="s">
        <v>384</v>
      </c>
      <c r="AS296" s="26"/>
      <c r="AT296" s="308"/>
      <c r="AU296" s="245"/>
      <c r="AV296" s="43" t="s">
        <v>190</v>
      </c>
      <c r="AW296" s="245"/>
      <c r="AX296" s="289"/>
      <c r="AY296" s="289"/>
      <c r="AZ296" s="290"/>
      <c r="BA296" s="290"/>
      <c r="BB296" s="25"/>
      <c r="BC296" s="291"/>
      <c r="BD296" s="25" t="s">
        <v>1280</v>
      </c>
      <c r="BE296" s="297">
        <v>45000</v>
      </c>
      <c r="BF296" s="298">
        <f t="shared" si="9"/>
        <v>1</v>
      </c>
      <c r="BG296" s="297" t="e">
        <f>VLOOKUP(B296,[1]Sheet2!$B:$X,23,0)</f>
        <v>#N/A</v>
      </c>
    </row>
    <row r="297" spans="1:59" s="28" customFormat="1" ht="33" customHeight="1">
      <c r="A297" s="26" t="s">
        <v>907</v>
      </c>
      <c r="B297" s="25" t="s">
        <v>909</v>
      </c>
      <c r="C297" s="26" t="s">
        <v>908</v>
      </c>
      <c r="D297" s="26" t="s">
        <v>910</v>
      </c>
      <c r="E297" s="25" t="s">
        <v>126</v>
      </c>
      <c r="F297" s="25" t="s">
        <v>315</v>
      </c>
      <c r="G297" s="25" t="s">
        <v>315</v>
      </c>
      <c r="H297" s="218"/>
      <c r="I297" s="53" t="s">
        <v>76</v>
      </c>
      <c r="J297" s="53" t="s">
        <v>128</v>
      </c>
      <c r="K297" s="295">
        <v>43312</v>
      </c>
      <c r="L297" s="26"/>
      <c r="M297" s="26">
        <v>30370</v>
      </c>
      <c r="N297" s="243">
        <f t="shared" si="8"/>
        <v>30370</v>
      </c>
      <c r="O297" s="53"/>
      <c r="P297" s="245">
        <v>14152</v>
      </c>
      <c r="Q297" s="245"/>
      <c r="R297" s="245"/>
      <c r="S297" s="245">
        <v>10600</v>
      </c>
      <c r="T297" s="245"/>
      <c r="U297" s="245">
        <v>5618</v>
      </c>
      <c r="V297" s="245"/>
      <c r="W297" s="26"/>
      <c r="X297" s="26"/>
      <c r="Y297" s="263"/>
      <c r="Z297" s="263"/>
      <c r="AA297" s="263">
        <v>15</v>
      </c>
      <c r="AB297" s="26"/>
      <c r="AC297" s="26">
        <v>12029.2</v>
      </c>
      <c r="AD297" s="26"/>
      <c r="AE297" s="26"/>
      <c r="AF297" s="26">
        <v>9010</v>
      </c>
      <c r="AG297" s="26"/>
      <c r="AH297" s="26">
        <v>4775.3</v>
      </c>
      <c r="AI297" s="26"/>
      <c r="AJ297" s="26"/>
      <c r="AK297" s="26"/>
      <c r="AL297" s="26"/>
      <c r="AM297" s="26"/>
      <c r="AN297" s="243">
        <f>SUM(AB297:AL297)</f>
        <v>25814.5</v>
      </c>
      <c r="AO297" s="25" t="s">
        <v>114</v>
      </c>
      <c r="AP297" s="216"/>
      <c r="AQ297" s="245"/>
      <c r="AR297" s="26" t="s">
        <v>384</v>
      </c>
      <c r="AS297" s="26"/>
      <c r="AT297" s="308"/>
      <c r="AU297" s="245"/>
      <c r="AV297" s="43" t="s">
        <v>66</v>
      </c>
      <c r="AW297" s="245"/>
      <c r="AX297" s="289" t="s">
        <v>86</v>
      </c>
      <c r="AY297" s="289"/>
      <c r="AZ297" s="290">
        <v>43374</v>
      </c>
      <c r="BA297" s="290">
        <v>43338</v>
      </c>
      <c r="BB297" s="25" t="s">
        <v>78</v>
      </c>
      <c r="BC297" s="291">
        <v>43678</v>
      </c>
      <c r="BD297" s="113" t="s">
        <v>122</v>
      </c>
      <c r="BE297" s="297">
        <v>30555.5</v>
      </c>
      <c r="BF297" s="298">
        <f t="shared" si="9"/>
        <v>1.0061080013170893</v>
      </c>
      <c r="BG297" s="297" t="e">
        <f>VLOOKUP(B297,[1]Sheet2!$B:$X,23,0)</f>
        <v>#N/A</v>
      </c>
    </row>
    <row r="298" spans="1:59" s="28" customFormat="1" ht="33" customHeight="1">
      <c r="A298" s="26" t="s">
        <v>911</v>
      </c>
      <c r="B298" s="25" t="s">
        <v>913</v>
      </c>
      <c r="C298" s="26" t="s">
        <v>912</v>
      </c>
      <c r="D298" s="26" t="s">
        <v>914</v>
      </c>
      <c r="E298" s="25" t="s">
        <v>126</v>
      </c>
      <c r="F298" s="25" t="s">
        <v>315</v>
      </c>
      <c r="G298" s="25" t="s">
        <v>315</v>
      </c>
      <c r="H298" s="218"/>
      <c r="I298" s="53" t="s">
        <v>76</v>
      </c>
      <c r="J298" s="53" t="s">
        <v>128</v>
      </c>
      <c r="K298" s="295">
        <v>43312</v>
      </c>
      <c r="L298" s="26"/>
      <c r="M298" s="26">
        <v>30555.5</v>
      </c>
      <c r="N298" s="243">
        <f t="shared" si="8"/>
        <v>30555.5</v>
      </c>
      <c r="O298" s="53"/>
      <c r="P298" s="245">
        <v>14152</v>
      </c>
      <c r="Q298" s="245"/>
      <c r="R298" s="245"/>
      <c r="S298" s="245">
        <v>9540</v>
      </c>
      <c r="T298" s="245"/>
      <c r="U298" s="245">
        <v>6863.5</v>
      </c>
      <c r="V298" s="245"/>
      <c r="W298" s="26"/>
      <c r="X298" s="26"/>
      <c r="Y298" s="263"/>
      <c r="Z298" s="263"/>
      <c r="AA298" s="263">
        <v>15</v>
      </c>
      <c r="AB298" s="26"/>
      <c r="AC298" s="26">
        <v>12029.2</v>
      </c>
      <c r="AD298" s="26"/>
      <c r="AE298" s="26"/>
      <c r="AF298" s="26">
        <v>8109</v>
      </c>
      <c r="AG298" s="26"/>
      <c r="AH298" s="26">
        <v>5833.98</v>
      </c>
      <c r="AI298" s="26"/>
      <c r="AJ298" s="26"/>
      <c r="AK298" s="26"/>
      <c r="AL298" s="26"/>
      <c r="AM298" s="26"/>
      <c r="AN298" s="243">
        <f>SUM(AB298:AL298)</f>
        <v>25972.18</v>
      </c>
      <c r="AO298" s="25" t="s">
        <v>114</v>
      </c>
      <c r="AP298" s="216"/>
      <c r="AQ298" s="245"/>
      <c r="AR298" s="26" t="s">
        <v>384</v>
      </c>
      <c r="AS298" s="26"/>
      <c r="AT298" s="308"/>
      <c r="AU298" s="245"/>
      <c r="AV298" s="43" t="s">
        <v>66</v>
      </c>
      <c r="AW298" s="245"/>
      <c r="AX298" s="289" t="s">
        <v>86</v>
      </c>
      <c r="AY298" s="289"/>
      <c r="AZ298" s="290">
        <v>43374</v>
      </c>
      <c r="BA298" s="290">
        <v>43338</v>
      </c>
      <c r="BB298" s="25" t="s">
        <v>78</v>
      </c>
      <c r="BC298" s="291">
        <v>43678</v>
      </c>
      <c r="BD298" s="113" t="s">
        <v>122</v>
      </c>
      <c r="BE298" s="297">
        <v>30370</v>
      </c>
      <c r="BF298" s="298">
        <f t="shared" si="9"/>
        <v>0.99392907987105428</v>
      </c>
      <c r="BG298" s="297" t="e">
        <f>VLOOKUP(B298,[1]Sheet2!$B:$X,23,0)</f>
        <v>#N/A</v>
      </c>
    </row>
    <row r="299" spans="1:59" s="28" customFormat="1" ht="33" customHeight="1">
      <c r="A299" s="26" t="s">
        <v>919</v>
      </c>
      <c r="B299" s="25" t="s">
        <v>921</v>
      </c>
      <c r="C299" s="26" t="s">
        <v>920</v>
      </c>
      <c r="D299" s="26" t="s">
        <v>922</v>
      </c>
      <c r="E299" s="25" t="s">
        <v>126</v>
      </c>
      <c r="F299" s="25" t="s">
        <v>315</v>
      </c>
      <c r="G299" s="25" t="s">
        <v>315</v>
      </c>
      <c r="H299" s="218"/>
      <c r="I299" s="53" t="s">
        <v>76</v>
      </c>
      <c r="J299" s="53" t="s">
        <v>128</v>
      </c>
      <c r="K299" s="295">
        <v>43314</v>
      </c>
      <c r="L299" s="26"/>
      <c r="M299" s="26">
        <v>47000</v>
      </c>
      <c r="N299" s="243">
        <f t="shared" si="8"/>
        <v>47000</v>
      </c>
      <c r="O299" s="53"/>
      <c r="P299" s="245">
        <v>17500</v>
      </c>
      <c r="Q299" s="245"/>
      <c r="R299" s="245"/>
      <c r="S299" s="245">
        <v>29500</v>
      </c>
      <c r="T299" s="245"/>
      <c r="U299" s="245"/>
      <c r="V299" s="245"/>
      <c r="W299" s="26"/>
      <c r="X299" s="26"/>
      <c r="Y299" s="263"/>
      <c r="Z299" s="263"/>
      <c r="AA299" s="262">
        <v>0.15</v>
      </c>
      <c r="AB299" s="26"/>
      <c r="AC299" s="26">
        <v>14875</v>
      </c>
      <c r="AD299" s="26"/>
      <c r="AE299" s="26"/>
      <c r="AF299" s="26"/>
      <c r="AG299" s="26"/>
      <c r="AH299" s="26">
        <v>25075</v>
      </c>
      <c r="AI299" s="26"/>
      <c r="AJ299" s="26"/>
      <c r="AK299" s="26"/>
      <c r="AL299" s="26"/>
      <c r="AM299" s="26"/>
      <c r="AN299" s="243">
        <f>SUM(AB299:AL299)</f>
        <v>39950</v>
      </c>
      <c r="AO299" s="25" t="s">
        <v>93</v>
      </c>
      <c r="AP299" s="216"/>
      <c r="AQ299" s="245"/>
      <c r="AR299" s="26" t="s">
        <v>384</v>
      </c>
      <c r="AS299" s="26"/>
      <c r="AT299" s="308"/>
      <c r="AU299" s="245"/>
      <c r="AV299" s="43" t="s">
        <v>66</v>
      </c>
      <c r="AW299" s="245"/>
      <c r="AX299" s="289" t="s">
        <v>86</v>
      </c>
      <c r="AY299" s="289"/>
      <c r="AZ299" s="290">
        <v>43405</v>
      </c>
      <c r="BA299" s="290">
        <v>43406</v>
      </c>
      <c r="BB299" s="25" t="s">
        <v>78</v>
      </c>
      <c r="BC299" s="291">
        <v>43770</v>
      </c>
      <c r="BD299" s="113" t="s">
        <v>88</v>
      </c>
      <c r="BE299" s="297">
        <v>47000</v>
      </c>
      <c r="BF299" s="298">
        <f t="shared" si="9"/>
        <v>1</v>
      </c>
      <c r="BG299" s="297" t="e">
        <f>VLOOKUP(B299,[1]Sheet2!$B:$X,23,0)</f>
        <v>#N/A</v>
      </c>
    </row>
    <row r="300" spans="1:59" s="28" customFormat="1" ht="33" customHeight="1">
      <c r="A300" s="26" t="s">
        <v>879</v>
      </c>
      <c r="B300" s="25" t="s">
        <v>881</v>
      </c>
      <c r="C300" s="26" t="s">
        <v>880</v>
      </c>
      <c r="D300" s="26" t="s">
        <v>882</v>
      </c>
      <c r="E300" s="25" t="s">
        <v>883</v>
      </c>
      <c r="F300" s="25" t="s">
        <v>315</v>
      </c>
      <c r="G300" s="25" t="s">
        <v>315</v>
      </c>
      <c r="H300" s="218"/>
      <c r="I300" s="53" t="s">
        <v>76</v>
      </c>
      <c r="J300" s="53" t="s">
        <v>128</v>
      </c>
      <c r="K300" s="295">
        <v>43294</v>
      </c>
      <c r="L300" s="25" t="s">
        <v>884</v>
      </c>
      <c r="M300" s="26">
        <v>740287</v>
      </c>
      <c r="N300" s="243">
        <f t="shared" si="8"/>
        <v>740287</v>
      </c>
      <c r="O300" s="53"/>
      <c r="P300" s="245">
        <v>545360</v>
      </c>
      <c r="Q300" s="245"/>
      <c r="R300" s="245"/>
      <c r="S300" s="245">
        <v>194927</v>
      </c>
      <c r="T300" s="245"/>
      <c r="U300" s="245"/>
      <c r="V300" s="245"/>
      <c r="W300" s="26"/>
      <c r="X300" s="26"/>
      <c r="Y300" s="263"/>
      <c r="Z300" s="263"/>
      <c r="AA300" s="263">
        <v>0.15</v>
      </c>
      <c r="AB300" s="26"/>
      <c r="AC300" s="26">
        <v>463856</v>
      </c>
      <c r="AD300" s="26"/>
      <c r="AE300" s="26"/>
      <c r="AF300" s="26">
        <v>165387.95000000001</v>
      </c>
      <c r="AG300" s="26"/>
      <c r="AH300" s="26"/>
      <c r="AI300" s="26"/>
      <c r="AJ300" s="26"/>
      <c r="AK300" s="26"/>
      <c r="AL300" s="26"/>
      <c r="AM300" s="26"/>
      <c r="AN300" s="243">
        <f>SUM(AB300:AH300)</f>
        <v>629243.94999999995</v>
      </c>
      <c r="AO300" s="25" t="s">
        <v>145</v>
      </c>
      <c r="AP300" s="216" t="e">
        <v>#N/A</v>
      </c>
      <c r="AQ300" s="245"/>
      <c r="AR300" s="26" t="s">
        <v>384</v>
      </c>
      <c r="AS300" s="26"/>
      <c r="AT300" s="308">
        <v>43344</v>
      </c>
      <c r="AU300" s="245"/>
      <c r="AV300" s="43" t="s">
        <v>66</v>
      </c>
      <c r="AW300" s="245"/>
      <c r="AX300" s="289" t="s">
        <v>86</v>
      </c>
      <c r="AY300" s="289"/>
      <c r="AZ300" s="290">
        <v>43372</v>
      </c>
      <c r="BA300" s="290">
        <v>43373</v>
      </c>
      <c r="BB300" s="25"/>
      <c r="BC300" s="291">
        <v>43707</v>
      </c>
      <c r="BD300" s="113" t="s">
        <v>122</v>
      </c>
      <c r="BE300" s="297">
        <v>157000</v>
      </c>
      <c r="BF300" s="298">
        <f t="shared" si="9"/>
        <v>0.21207990954859399</v>
      </c>
      <c r="BG300" s="297" t="e">
        <f>VLOOKUP(B300,[1]Sheet2!$B:$X,23,0)</f>
        <v>#N/A</v>
      </c>
    </row>
    <row r="301" spans="1:59" s="28" customFormat="1" ht="33" customHeight="1">
      <c r="A301" s="26" t="s">
        <v>915</v>
      </c>
      <c r="B301" s="25" t="s">
        <v>917</v>
      </c>
      <c r="C301" s="26" t="s">
        <v>916</v>
      </c>
      <c r="D301" s="26" t="s">
        <v>918</v>
      </c>
      <c r="E301" s="25" t="s">
        <v>126</v>
      </c>
      <c r="F301" s="25" t="s">
        <v>315</v>
      </c>
      <c r="G301" s="25" t="s">
        <v>315</v>
      </c>
      <c r="H301" s="218"/>
      <c r="I301" s="53" t="s">
        <v>76</v>
      </c>
      <c r="J301" s="53" t="s">
        <v>128</v>
      </c>
      <c r="K301" s="295">
        <v>43312</v>
      </c>
      <c r="L301" s="26"/>
      <c r="M301" s="26">
        <v>152000</v>
      </c>
      <c r="N301" s="243">
        <f t="shared" si="8"/>
        <v>152000</v>
      </c>
      <c r="O301" s="53"/>
      <c r="P301" s="245">
        <v>82900</v>
      </c>
      <c r="Q301" s="245"/>
      <c r="R301" s="245"/>
      <c r="S301" s="245">
        <v>69100</v>
      </c>
      <c r="T301" s="245"/>
      <c r="U301" s="245"/>
      <c r="V301" s="245"/>
      <c r="W301" s="26"/>
      <c r="X301" s="26"/>
      <c r="Y301" s="263"/>
      <c r="Z301" s="263"/>
      <c r="AA301" s="263">
        <v>15</v>
      </c>
      <c r="AB301" s="26"/>
      <c r="AC301" s="26">
        <v>70465</v>
      </c>
      <c r="AD301" s="26"/>
      <c r="AE301" s="26"/>
      <c r="AF301" s="26">
        <v>58735</v>
      </c>
      <c r="AG301" s="26"/>
      <c r="AH301" s="26"/>
      <c r="AI301" s="26"/>
      <c r="AJ301" s="26"/>
      <c r="AK301" s="26"/>
      <c r="AL301" s="26"/>
      <c r="AM301" s="26"/>
      <c r="AN301" s="243">
        <f t="shared" ref="AN301:AN335" si="13">SUM(AB301:AL301)</f>
        <v>129200</v>
      </c>
      <c r="AO301" s="25" t="s">
        <v>114</v>
      </c>
      <c r="AP301" s="216"/>
      <c r="AQ301" s="245"/>
      <c r="AR301" s="26" t="s">
        <v>384</v>
      </c>
      <c r="AS301" s="26"/>
      <c r="AT301" s="308">
        <v>43337</v>
      </c>
      <c r="AU301" s="245"/>
      <c r="AV301" s="43" t="s">
        <v>66</v>
      </c>
      <c r="AW301" s="245"/>
      <c r="AX301" s="289" t="s">
        <v>86</v>
      </c>
      <c r="AY301" s="289"/>
      <c r="AZ301" s="290">
        <v>43459</v>
      </c>
      <c r="BA301" s="290">
        <v>43459</v>
      </c>
      <c r="BB301" s="25" t="s">
        <v>78</v>
      </c>
      <c r="BC301" s="291">
        <v>43823</v>
      </c>
      <c r="BD301" s="113" t="s">
        <v>88</v>
      </c>
      <c r="BE301" s="297">
        <v>132000</v>
      </c>
      <c r="BF301" s="298">
        <f t="shared" si="9"/>
        <v>0.86842105263157898</v>
      </c>
      <c r="BG301" s="297" t="e">
        <f>VLOOKUP(B301,[1]Sheet2!$B:$X,23,0)</f>
        <v>#N/A</v>
      </c>
    </row>
    <row r="302" spans="1:59" s="28" customFormat="1" ht="33" customHeight="1">
      <c r="A302" s="26" t="s">
        <v>902</v>
      </c>
      <c r="B302" s="25" t="s">
        <v>904</v>
      </c>
      <c r="C302" s="26" t="s">
        <v>903</v>
      </c>
      <c r="D302" s="26" t="s">
        <v>905</v>
      </c>
      <c r="E302" s="25" t="s">
        <v>374</v>
      </c>
      <c r="F302" s="25" t="s">
        <v>315</v>
      </c>
      <c r="G302" s="25" t="s">
        <v>315</v>
      </c>
      <c r="H302" s="218" t="s">
        <v>1275</v>
      </c>
      <c r="I302" s="53" t="s">
        <v>286</v>
      </c>
      <c r="J302" s="53" t="s">
        <v>766</v>
      </c>
      <c r="K302" s="295">
        <v>43287</v>
      </c>
      <c r="L302" s="26"/>
      <c r="M302" s="26">
        <v>1980000</v>
      </c>
      <c r="N302" s="243">
        <f t="shared" si="8"/>
        <v>1980000</v>
      </c>
      <c r="O302" s="53"/>
      <c r="P302" s="245">
        <v>1600000</v>
      </c>
      <c r="Q302" s="245"/>
      <c r="R302" s="245"/>
      <c r="S302" s="245"/>
      <c r="T302" s="245"/>
      <c r="U302" s="245">
        <v>380000</v>
      </c>
      <c r="V302" s="245"/>
      <c r="W302" s="26"/>
      <c r="X302" s="26"/>
      <c r="Y302" s="263"/>
      <c r="Z302" s="263"/>
      <c r="AA302" s="263"/>
      <c r="AB302" s="26"/>
      <c r="AC302" s="26">
        <v>1546000</v>
      </c>
      <c r="AD302" s="26"/>
      <c r="AE302" s="26"/>
      <c r="AF302" s="26"/>
      <c r="AG302" s="26"/>
      <c r="AH302" s="26">
        <v>204000</v>
      </c>
      <c r="AI302" s="26"/>
      <c r="AJ302" s="26"/>
      <c r="AK302" s="26"/>
      <c r="AL302" s="26"/>
      <c r="AM302" s="26"/>
      <c r="AN302" s="243">
        <f t="shared" si="13"/>
        <v>1750000</v>
      </c>
      <c r="AO302" s="25" t="s">
        <v>77</v>
      </c>
      <c r="AP302" s="216"/>
      <c r="AQ302" s="245"/>
      <c r="AR302" s="26" t="s">
        <v>384</v>
      </c>
      <c r="AS302" s="26"/>
      <c r="AT302" s="308">
        <v>43283</v>
      </c>
      <c r="AU302" s="245"/>
      <c r="AV302" s="43" t="s">
        <v>66</v>
      </c>
      <c r="AW302" s="245"/>
      <c r="AX302" s="289" t="s">
        <v>86</v>
      </c>
      <c r="AY302" s="289"/>
      <c r="AZ302" s="290">
        <v>43530</v>
      </c>
      <c r="BA302" s="290">
        <v>43567</v>
      </c>
      <c r="BB302" s="25"/>
      <c r="BC302" s="291">
        <v>43895</v>
      </c>
      <c r="BD302" s="113" t="s">
        <v>88</v>
      </c>
      <c r="BE302" s="297">
        <v>1980000</v>
      </c>
      <c r="BF302" s="298">
        <f t="shared" si="9"/>
        <v>1</v>
      </c>
      <c r="BG302" s="297" t="e">
        <f>VLOOKUP(B302,[1]Sheet2!$B:$X,23,0)</f>
        <v>#N/A</v>
      </c>
    </row>
    <row r="303" spans="1:59" s="28" customFormat="1" ht="33" customHeight="1">
      <c r="A303" s="312" t="s">
        <v>1839</v>
      </c>
      <c r="B303" s="40" t="s">
        <v>1840</v>
      </c>
      <c r="C303" s="274" t="s">
        <v>1841</v>
      </c>
      <c r="D303" s="332" t="s">
        <v>1842</v>
      </c>
      <c r="E303" s="25" t="s">
        <v>139</v>
      </c>
      <c r="F303" s="25" t="s">
        <v>1637</v>
      </c>
      <c r="G303" s="25" t="s">
        <v>1637</v>
      </c>
      <c r="H303" s="218"/>
      <c r="I303" s="53"/>
      <c r="J303" s="53"/>
      <c r="K303" s="295"/>
      <c r="L303" s="26"/>
      <c r="M303" s="26">
        <v>63498.400000000001</v>
      </c>
      <c r="N303" s="243"/>
      <c r="O303" s="53"/>
      <c r="P303" s="245"/>
      <c r="Q303" s="245"/>
      <c r="R303" s="245"/>
      <c r="S303" s="245"/>
      <c r="T303" s="245"/>
      <c r="U303" s="245"/>
      <c r="V303" s="245"/>
      <c r="W303" s="26"/>
      <c r="X303" s="26"/>
      <c r="Y303" s="263"/>
      <c r="Z303" s="263"/>
      <c r="AA303" s="263"/>
      <c r="AB303" s="26"/>
      <c r="AC303" s="26"/>
      <c r="AD303" s="26"/>
      <c r="AE303" s="26"/>
      <c r="AF303" s="26"/>
      <c r="AG303" s="26"/>
      <c r="AH303" s="26"/>
      <c r="AI303" s="26"/>
      <c r="AJ303" s="26"/>
      <c r="AK303" s="26"/>
      <c r="AL303" s="26"/>
      <c r="AM303" s="26"/>
      <c r="AN303" s="243"/>
      <c r="AO303" s="25" t="s">
        <v>1843</v>
      </c>
      <c r="AP303" s="216"/>
      <c r="AQ303" s="245"/>
      <c r="AR303" s="26" t="s">
        <v>384</v>
      </c>
      <c r="AS303" s="26"/>
      <c r="AT303" s="308"/>
      <c r="AU303" s="245"/>
      <c r="AV303" s="43" t="s">
        <v>66</v>
      </c>
      <c r="AW303" s="245"/>
      <c r="AX303" s="289" t="s">
        <v>86</v>
      </c>
      <c r="AY303" s="289" t="s">
        <v>1844</v>
      </c>
      <c r="AZ303" s="290">
        <v>43435</v>
      </c>
      <c r="BA303" s="290" t="s">
        <v>1756</v>
      </c>
      <c r="BB303" s="25"/>
      <c r="BC303" s="291">
        <v>43800</v>
      </c>
      <c r="BD303" s="113" t="s">
        <v>88</v>
      </c>
      <c r="BE303" s="297">
        <v>63498.400000000001</v>
      </c>
      <c r="BF303" s="298">
        <f t="shared" si="9"/>
        <v>1</v>
      </c>
      <c r="BG303" s="297" t="e">
        <f>VLOOKUP(B303,[1]Sheet2!$B:$X,23,0)</f>
        <v>#N/A</v>
      </c>
    </row>
    <row r="304" spans="1:59" s="28" customFormat="1" ht="33" customHeight="1">
      <c r="A304" s="26" t="s">
        <v>994</v>
      </c>
      <c r="B304" s="25" t="s">
        <v>996</v>
      </c>
      <c r="C304" s="26" t="s">
        <v>995</v>
      </c>
      <c r="D304" s="26" t="s">
        <v>997</v>
      </c>
      <c r="E304" s="25" t="s">
        <v>261</v>
      </c>
      <c r="F304" s="25" t="s">
        <v>315</v>
      </c>
      <c r="G304" s="25" t="s">
        <v>315</v>
      </c>
      <c r="H304" s="218" t="s">
        <v>1845</v>
      </c>
      <c r="I304" s="53" t="s">
        <v>107</v>
      </c>
      <c r="J304" s="53" t="s">
        <v>702</v>
      </c>
      <c r="K304" s="295" t="s">
        <v>992</v>
      </c>
      <c r="L304" s="26"/>
      <c r="M304" s="337">
        <v>10233400</v>
      </c>
      <c r="N304" s="243">
        <f t="shared" si="8"/>
        <v>0</v>
      </c>
      <c r="O304" s="338"/>
      <c r="P304" s="338"/>
      <c r="Q304" s="338"/>
      <c r="R304" s="338"/>
      <c r="S304" s="338"/>
      <c r="T304" s="338"/>
      <c r="U304" s="338"/>
      <c r="V304" s="338"/>
      <c r="W304" s="26"/>
      <c r="X304" s="26"/>
      <c r="Y304" s="263"/>
      <c r="Z304" s="263"/>
      <c r="AA304" s="263"/>
      <c r="AB304" s="26"/>
      <c r="AC304" s="26"/>
      <c r="AD304" s="26"/>
      <c r="AE304" s="26"/>
      <c r="AF304" s="26"/>
      <c r="AG304" s="26"/>
      <c r="AH304" s="26"/>
      <c r="AI304" s="26"/>
      <c r="AJ304" s="26"/>
      <c r="AK304" s="26"/>
      <c r="AL304" s="26"/>
      <c r="AM304" s="26"/>
      <c r="AN304" s="243">
        <f t="shared" si="13"/>
        <v>0</v>
      </c>
      <c r="AO304" s="25" t="s">
        <v>132</v>
      </c>
      <c r="AP304" s="216" t="s">
        <v>1295</v>
      </c>
      <c r="AQ304" s="245" t="s">
        <v>992</v>
      </c>
      <c r="AR304" s="339">
        <v>43383</v>
      </c>
      <c r="AS304" s="339"/>
      <c r="AT304" s="308"/>
      <c r="AU304" s="245"/>
      <c r="AV304" s="43" t="s">
        <v>66</v>
      </c>
      <c r="AW304" s="245"/>
      <c r="AX304" s="289" t="s">
        <v>86</v>
      </c>
      <c r="AY304" s="289"/>
      <c r="AZ304" s="290">
        <v>43490</v>
      </c>
      <c r="BA304" s="290">
        <v>43548</v>
      </c>
      <c r="BB304" s="25"/>
      <c r="BC304" s="291">
        <v>43854</v>
      </c>
      <c r="BD304" s="43" t="s">
        <v>88</v>
      </c>
      <c r="BE304" s="297">
        <v>6792784.3700000001</v>
      </c>
      <c r="BF304" s="298">
        <f t="shared" si="9"/>
        <v>0.66378567924638932</v>
      </c>
      <c r="BG304" s="297" t="e">
        <f>VLOOKUP(B304,[1]Sheet2!$B:$X,23,0)</f>
        <v>#N/A</v>
      </c>
    </row>
    <row r="305" spans="1:59" s="28" customFormat="1" ht="33" customHeight="1">
      <c r="A305" s="26" t="s">
        <v>1014</v>
      </c>
      <c r="B305" s="25" t="s">
        <v>1016</v>
      </c>
      <c r="C305" s="26" t="s">
        <v>1015</v>
      </c>
      <c r="D305" s="26" t="s">
        <v>1017</v>
      </c>
      <c r="E305" s="25" t="s">
        <v>1018</v>
      </c>
      <c r="F305" s="25" t="s">
        <v>315</v>
      </c>
      <c r="G305" s="25" t="s">
        <v>315</v>
      </c>
      <c r="H305" s="218" t="s">
        <v>1275</v>
      </c>
      <c r="I305" s="53" t="s">
        <v>1019</v>
      </c>
      <c r="J305" s="53" t="s">
        <v>1020</v>
      </c>
      <c r="K305" s="295"/>
      <c r="L305" s="26"/>
      <c r="M305" s="26">
        <v>1698450</v>
      </c>
      <c r="N305" s="243">
        <f t="shared" si="8"/>
        <v>1698450</v>
      </c>
      <c r="O305" s="338"/>
      <c r="P305" s="338">
        <v>115350</v>
      </c>
      <c r="Q305" s="338"/>
      <c r="R305" s="338"/>
      <c r="S305" s="338">
        <v>53100</v>
      </c>
      <c r="T305" s="338"/>
      <c r="U305" s="338">
        <v>1530000</v>
      </c>
      <c r="V305" s="338"/>
      <c r="W305" s="26"/>
      <c r="X305" s="26"/>
      <c r="Y305" s="263"/>
      <c r="Z305" s="263"/>
      <c r="AA305" s="263">
        <v>9.8000000000000004E-2</v>
      </c>
      <c r="AB305" s="26"/>
      <c r="AC305" s="26">
        <f>55350+60000</f>
        <v>115350</v>
      </c>
      <c r="AD305" s="26"/>
      <c r="AE305" s="26"/>
      <c r="AF305" s="26"/>
      <c r="AG305" s="26"/>
      <c r="AH305" s="26"/>
      <c r="AI305" s="26">
        <v>53100</v>
      </c>
      <c r="AJ305" s="26"/>
      <c r="AK305" s="26"/>
      <c r="AL305" s="26"/>
      <c r="AM305" s="26"/>
      <c r="AN305" s="243">
        <f t="shared" si="13"/>
        <v>168450</v>
      </c>
      <c r="AO305" s="25" t="s">
        <v>1021</v>
      </c>
      <c r="AP305" s="216"/>
      <c r="AQ305" s="245"/>
      <c r="AR305" s="26" t="s">
        <v>384</v>
      </c>
      <c r="AS305" s="26"/>
      <c r="AT305" s="308"/>
      <c r="AU305" s="245"/>
      <c r="AV305" s="43">
        <v>2019.12</v>
      </c>
      <c r="AW305" s="245"/>
      <c r="AX305" s="289"/>
      <c r="AY305" s="289"/>
      <c r="AZ305" s="290"/>
      <c r="BA305" s="290"/>
      <c r="BB305" s="25" t="s">
        <v>78</v>
      </c>
      <c r="BC305" s="291"/>
      <c r="BD305" s="113" t="s">
        <v>213</v>
      </c>
      <c r="BE305" s="297">
        <v>1698450</v>
      </c>
      <c r="BF305" s="298">
        <f t="shared" si="9"/>
        <v>1</v>
      </c>
      <c r="BG305" s="297" t="str">
        <f>VLOOKUP(B305,[1]Sheet2!$B:$X,23,0)</f>
        <v>王帅</v>
      </c>
    </row>
    <row r="306" spans="1:59" s="28" customFormat="1" ht="33" customHeight="1">
      <c r="A306" s="26" t="s">
        <v>958</v>
      </c>
      <c r="B306" s="25" t="s">
        <v>960</v>
      </c>
      <c r="C306" s="26" t="s">
        <v>959</v>
      </c>
      <c r="D306" s="26" t="s">
        <v>961</v>
      </c>
      <c r="E306" s="25" t="s">
        <v>224</v>
      </c>
      <c r="F306" s="25" t="s">
        <v>315</v>
      </c>
      <c r="G306" s="25" t="s">
        <v>315</v>
      </c>
      <c r="H306" s="218"/>
      <c r="I306" s="53" t="s">
        <v>150</v>
      </c>
      <c r="J306" s="53" t="s">
        <v>806</v>
      </c>
      <c r="K306" s="295">
        <v>43360</v>
      </c>
      <c r="L306" s="26"/>
      <c r="M306" s="26">
        <v>192352.94</v>
      </c>
      <c r="N306" s="243">
        <f t="shared" si="8"/>
        <v>192352.94</v>
      </c>
      <c r="O306" s="338"/>
      <c r="P306" s="338">
        <v>192352.94</v>
      </c>
      <c r="Q306" s="338"/>
      <c r="R306" s="338"/>
      <c r="S306" s="338"/>
      <c r="T306" s="338"/>
      <c r="U306" s="338"/>
      <c r="V306" s="338"/>
      <c r="W306" s="26"/>
      <c r="X306" s="26"/>
      <c r="Y306" s="263"/>
      <c r="Z306" s="263"/>
      <c r="AA306" s="262">
        <v>0.15</v>
      </c>
      <c r="AB306" s="26"/>
      <c r="AC306" s="26">
        <v>163500</v>
      </c>
      <c r="AD306" s="26"/>
      <c r="AE306" s="26"/>
      <c r="AF306" s="26"/>
      <c r="AG306" s="26"/>
      <c r="AH306" s="26"/>
      <c r="AI306" s="26"/>
      <c r="AJ306" s="26"/>
      <c r="AK306" s="26"/>
      <c r="AL306" s="26"/>
      <c r="AM306" s="26"/>
      <c r="AN306" s="243">
        <f t="shared" si="13"/>
        <v>163500</v>
      </c>
      <c r="AO306" s="25" t="s">
        <v>93</v>
      </c>
      <c r="AP306" s="216"/>
      <c r="AQ306" s="245"/>
      <c r="AR306" s="26" t="s">
        <v>384</v>
      </c>
      <c r="AS306" s="26"/>
      <c r="AT306" s="308"/>
      <c r="AU306" s="245"/>
      <c r="AV306" s="43" t="s">
        <v>66</v>
      </c>
      <c r="AW306" s="245"/>
      <c r="AX306" s="289" t="s">
        <v>86</v>
      </c>
      <c r="AY306" s="289"/>
      <c r="AZ306" s="290">
        <v>43405</v>
      </c>
      <c r="BA306" s="290">
        <v>43426</v>
      </c>
      <c r="BB306" s="25" t="s">
        <v>78</v>
      </c>
      <c r="BC306" s="291">
        <v>43770</v>
      </c>
      <c r="BD306" s="113" t="s">
        <v>88</v>
      </c>
      <c r="BE306" s="297">
        <v>173117.65</v>
      </c>
      <c r="BF306" s="298">
        <f t="shared" si="9"/>
        <v>0.9000000207951071</v>
      </c>
      <c r="BG306" s="297" t="e">
        <f>VLOOKUP(B306,[1]Sheet2!$B:$X,23,0)</f>
        <v>#N/A</v>
      </c>
    </row>
    <row r="307" spans="1:59" s="28" customFormat="1" ht="33" customHeight="1">
      <c r="A307" s="26" t="s">
        <v>953</v>
      </c>
      <c r="B307" s="40" t="s">
        <v>955</v>
      </c>
      <c r="C307" s="26" t="s">
        <v>954</v>
      </c>
      <c r="D307" s="26" t="s">
        <v>956</v>
      </c>
      <c r="E307" s="25" t="s">
        <v>106</v>
      </c>
      <c r="F307" s="26" t="s">
        <v>1277</v>
      </c>
      <c r="G307" s="26" t="s">
        <v>1277</v>
      </c>
      <c r="H307" s="218" t="s">
        <v>1277</v>
      </c>
      <c r="I307" s="53" t="s">
        <v>107</v>
      </c>
      <c r="J307" s="53" t="s">
        <v>63</v>
      </c>
      <c r="K307" s="295">
        <v>43357</v>
      </c>
      <c r="L307" s="26"/>
      <c r="M307" s="26">
        <v>670805</v>
      </c>
      <c r="N307" s="243">
        <f t="shared" si="8"/>
        <v>670805</v>
      </c>
      <c r="O307" s="338"/>
      <c r="P307" s="338"/>
      <c r="Q307" s="338"/>
      <c r="R307" s="338"/>
      <c r="S307" s="338"/>
      <c r="T307" s="338"/>
      <c r="U307" s="338">
        <v>670805</v>
      </c>
      <c r="V307" s="338"/>
      <c r="W307" s="26"/>
      <c r="X307" s="26"/>
      <c r="Y307" s="263"/>
      <c r="Z307" s="263"/>
      <c r="AA307" s="262">
        <v>0.15</v>
      </c>
      <c r="AB307" s="26"/>
      <c r="AC307" s="26"/>
      <c r="AD307" s="26"/>
      <c r="AE307" s="26"/>
      <c r="AF307" s="26"/>
      <c r="AG307" s="26"/>
      <c r="AH307" s="26">
        <v>570100</v>
      </c>
      <c r="AI307" s="26"/>
      <c r="AJ307" s="26"/>
      <c r="AK307" s="26"/>
      <c r="AL307" s="26"/>
      <c r="AM307" s="26"/>
      <c r="AN307" s="243">
        <f t="shared" si="13"/>
        <v>570100</v>
      </c>
      <c r="AO307" s="25" t="s">
        <v>957</v>
      </c>
      <c r="AP307" s="216"/>
      <c r="AQ307" s="245"/>
      <c r="AR307" s="340">
        <v>43357</v>
      </c>
      <c r="AS307" s="340"/>
      <c r="AT307" s="308"/>
      <c r="AU307" s="245"/>
      <c r="AV307" s="43" t="s">
        <v>190</v>
      </c>
      <c r="AW307" s="245"/>
      <c r="AX307" s="289"/>
      <c r="AY307" s="289"/>
      <c r="AZ307" s="290"/>
      <c r="BA307" s="290"/>
      <c r="BB307" s="25"/>
      <c r="BC307" s="291"/>
      <c r="BD307" s="113" t="s">
        <v>1758</v>
      </c>
      <c r="BE307" s="297">
        <v>670805</v>
      </c>
      <c r="BF307" s="298">
        <f t="shared" si="9"/>
        <v>1</v>
      </c>
      <c r="BG307" s="297" t="e">
        <f>VLOOKUP(B307,[1]Sheet2!$B:$X,23,0)</f>
        <v>#N/A</v>
      </c>
    </row>
    <row r="308" spans="1:59" s="28" customFormat="1" ht="33" customHeight="1">
      <c r="A308" s="26" t="s">
        <v>988</v>
      </c>
      <c r="B308" s="322" t="s">
        <v>990</v>
      </c>
      <c r="C308" s="26" t="s">
        <v>989</v>
      </c>
      <c r="D308" s="26" t="s">
        <v>991</v>
      </c>
      <c r="E308" s="25" t="s">
        <v>265</v>
      </c>
      <c r="F308" s="25" t="s">
        <v>315</v>
      </c>
      <c r="G308" s="25" t="s">
        <v>315</v>
      </c>
      <c r="H308" s="218" t="s">
        <v>1275</v>
      </c>
      <c r="I308" s="53" t="s">
        <v>286</v>
      </c>
      <c r="J308" s="53" t="s">
        <v>702</v>
      </c>
      <c r="K308" s="295" t="s">
        <v>992</v>
      </c>
      <c r="L308" s="26"/>
      <c r="M308" s="26">
        <v>1016580</v>
      </c>
      <c r="N308" s="243">
        <v>1016580</v>
      </c>
      <c r="O308" s="338"/>
      <c r="P308" s="338">
        <v>556045</v>
      </c>
      <c r="Q308" s="338"/>
      <c r="R308" s="338"/>
      <c r="S308" s="338">
        <v>61235</v>
      </c>
      <c r="T308" s="338"/>
      <c r="U308" s="338">
        <v>399300</v>
      </c>
      <c r="V308" s="338"/>
      <c r="W308" s="26"/>
      <c r="X308" s="26"/>
      <c r="Y308" s="263"/>
      <c r="Z308" s="263"/>
      <c r="AA308" s="263"/>
      <c r="AB308" s="26"/>
      <c r="AC308" s="26">
        <v>539845</v>
      </c>
      <c r="AD308" s="26"/>
      <c r="AE308" s="26"/>
      <c r="AF308" s="26">
        <v>40034</v>
      </c>
      <c r="AG308" s="26"/>
      <c r="AH308" s="26">
        <v>318000</v>
      </c>
      <c r="AI308" s="26"/>
      <c r="AJ308" s="26"/>
      <c r="AK308" s="26"/>
      <c r="AL308" s="26"/>
      <c r="AM308" s="26"/>
      <c r="AN308" s="243">
        <f t="shared" si="13"/>
        <v>897879</v>
      </c>
      <c r="AO308" s="25" t="s">
        <v>108</v>
      </c>
      <c r="AP308" s="216"/>
      <c r="AQ308" s="245" t="s">
        <v>992</v>
      </c>
      <c r="AR308" s="61">
        <v>43337</v>
      </c>
      <c r="AS308" s="61"/>
      <c r="AT308" s="308"/>
      <c r="AU308" s="245"/>
      <c r="AV308" s="43" t="s">
        <v>808</v>
      </c>
      <c r="AW308" s="245"/>
      <c r="AX308" s="289" t="s">
        <v>86</v>
      </c>
      <c r="AY308" s="289"/>
      <c r="AZ308" s="290">
        <v>43490</v>
      </c>
      <c r="BA308" s="290">
        <v>43466</v>
      </c>
      <c r="BB308" s="25" t="s">
        <v>87</v>
      </c>
      <c r="BC308" s="291">
        <v>44560</v>
      </c>
      <c r="BD308" s="113" t="s">
        <v>993</v>
      </c>
      <c r="BE308" s="297">
        <v>965751</v>
      </c>
      <c r="BF308" s="298">
        <f t="shared" si="9"/>
        <v>0.95</v>
      </c>
      <c r="BG308" s="297" t="e">
        <f>VLOOKUP(B308,[1]Sheet2!$B:$X,23,0)</f>
        <v>#N/A</v>
      </c>
    </row>
    <row r="309" spans="1:59" s="28" customFormat="1" ht="33" customHeight="1">
      <c r="A309" s="26" t="s">
        <v>945</v>
      </c>
      <c r="B309" s="25" t="s">
        <v>946</v>
      </c>
      <c r="C309" s="26" t="s">
        <v>1846</v>
      </c>
      <c r="D309" s="26" t="s">
        <v>947</v>
      </c>
      <c r="E309" s="25" t="s">
        <v>83</v>
      </c>
      <c r="F309" s="25" t="s">
        <v>315</v>
      </c>
      <c r="G309" s="25" t="s">
        <v>315</v>
      </c>
      <c r="H309" s="218" t="s">
        <v>1314</v>
      </c>
      <c r="I309" s="53" t="s">
        <v>602</v>
      </c>
      <c r="J309" s="53" t="s">
        <v>63</v>
      </c>
      <c r="K309" s="295">
        <v>43343</v>
      </c>
      <c r="L309" s="26"/>
      <c r="M309" s="26">
        <v>629800</v>
      </c>
      <c r="N309" s="243">
        <f t="shared" ref="N309" si="14">SUM(O309:V309)</f>
        <v>629800</v>
      </c>
      <c r="O309" s="338"/>
      <c r="P309" s="338"/>
      <c r="Q309" s="338"/>
      <c r="R309" s="338"/>
      <c r="S309" s="338"/>
      <c r="T309" s="338"/>
      <c r="U309" s="338">
        <v>629800</v>
      </c>
      <c r="V309" s="338"/>
      <c r="W309" s="26"/>
      <c r="X309" s="26"/>
      <c r="Y309" s="263"/>
      <c r="Z309" s="263"/>
      <c r="AA309" s="262">
        <v>0.1585</v>
      </c>
      <c r="AB309" s="26"/>
      <c r="AC309" s="26">
        <f>475000+40000</f>
        <v>515000</v>
      </c>
      <c r="AD309" s="26"/>
      <c r="AE309" s="26"/>
      <c r="AF309" s="26"/>
      <c r="AG309" s="26"/>
      <c r="AH309" s="26"/>
      <c r="AI309" s="26"/>
      <c r="AJ309" s="26"/>
      <c r="AK309" s="26"/>
      <c r="AL309" s="26"/>
      <c r="AM309" s="26"/>
      <c r="AN309" s="243">
        <f t="shared" si="13"/>
        <v>515000</v>
      </c>
      <c r="AO309" s="25" t="s">
        <v>1021</v>
      </c>
      <c r="AP309" s="216"/>
      <c r="AQ309" s="245"/>
      <c r="AR309" s="26" t="s">
        <v>384</v>
      </c>
      <c r="AS309" s="26"/>
      <c r="AT309" s="308"/>
      <c r="AU309" s="245"/>
      <c r="AV309" s="43"/>
      <c r="AW309" s="245"/>
      <c r="AX309" s="289"/>
      <c r="AY309" s="289"/>
      <c r="AZ309" s="290"/>
      <c r="BA309" s="290"/>
      <c r="BB309" s="25"/>
      <c r="BC309" s="291"/>
      <c r="BD309" s="113"/>
      <c r="BE309" s="297">
        <v>598310</v>
      </c>
      <c r="BF309" s="298">
        <f t="shared" si="9"/>
        <v>0.95</v>
      </c>
      <c r="BG309" s="297" t="e">
        <f>VLOOKUP(B309,[1]Sheet2!$B:$X,23,0)</f>
        <v>#N/A</v>
      </c>
    </row>
    <row r="310" spans="1:59" s="28" customFormat="1" ht="33" customHeight="1">
      <c r="A310" s="26" t="s">
        <v>949</v>
      </c>
      <c r="B310" s="25" t="s">
        <v>951</v>
      </c>
      <c r="C310" s="26" t="s">
        <v>950</v>
      </c>
      <c r="D310" s="26" t="s">
        <v>952</v>
      </c>
      <c r="E310" s="25" t="s">
        <v>126</v>
      </c>
      <c r="F310" s="25" t="s">
        <v>315</v>
      </c>
      <c r="G310" s="25" t="s">
        <v>315</v>
      </c>
      <c r="H310" s="218"/>
      <c r="I310" s="53" t="s">
        <v>76</v>
      </c>
      <c r="J310" s="53" t="s">
        <v>128</v>
      </c>
      <c r="K310" s="295">
        <v>43356</v>
      </c>
      <c r="L310" s="26"/>
      <c r="M310" s="26">
        <v>380440</v>
      </c>
      <c r="N310" s="243">
        <f t="shared" ref="N310:N341" si="15">SUM(O310:V310)</f>
        <v>380440</v>
      </c>
      <c r="O310" s="338"/>
      <c r="P310" s="338">
        <v>194590</v>
      </c>
      <c r="Q310" s="338"/>
      <c r="R310" s="338"/>
      <c r="S310" s="338">
        <v>82500</v>
      </c>
      <c r="T310" s="338"/>
      <c r="U310" s="338">
        <v>103350</v>
      </c>
      <c r="V310" s="338"/>
      <c r="W310" s="26"/>
      <c r="X310" s="26"/>
      <c r="Y310" s="263"/>
      <c r="Z310" s="263"/>
      <c r="AA310" s="262">
        <v>0.15</v>
      </c>
      <c r="AB310" s="26"/>
      <c r="AC310" s="26">
        <v>194589</v>
      </c>
      <c r="AD310" s="26"/>
      <c r="AE310" s="26"/>
      <c r="AF310" s="26">
        <v>55410</v>
      </c>
      <c r="AG310" s="26"/>
      <c r="AH310" s="26">
        <v>68524.39</v>
      </c>
      <c r="AI310" s="26"/>
      <c r="AJ310" s="26"/>
      <c r="AK310" s="26"/>
      <c r="AL310" s="26"/>
      <c r="AM310" s="26"/>
      <c r="AN310" s="243">
        <f t="shared" si="13"/>
        <v>318523.39</v>
      </c>
      <c r="AO310" s="25" t="s">
        <v>85</v>
      </c>
      <c r="AP310" s="216" t="s">
        <v>1276</v>
      </c>
      <c r="AQ310" s="245"/>
      <c r="AR310" s="61">
        <v>43385</v>
      </c>
      <c r="AS310" s="61"/>
      <c r="AT310" s="308"/>
      <c r="AU310" s="245"/>
      <c r="AV310" s="43" t="s">
        <v>66</v>
      </c>
      <c r="AW310" s="245"/>
      <c r="AX310" s="289" t="s">
        <v>86</v>
      </c>
      <c r="AY310" s="289"/>
      <c r="AZ310" s="290">
        <v>43390</v>
      </c>
      <c r="BA310" s="290">
        <v>43390</v>
      </c>
      <c r="BB310" s="25" t="s">
        <v>78</v>
      </c>
      <c r="BC310" s="291">
        <v>43754</v>
      </c>
      <c r="BD310" s="113" t="s">
        <v>122</v>
      </c>
      <c r="BE310" s="297">
        <v>380440</v>
      </c>
      <c r="BF310" s="298">
        <f t="shared" si="9"/>
        <v>1</v>
      </c>
      <c r="BG310" s="297" t="e">
        <f>VLOOKUP(B310,[1]Sheet2!$B:$X,23,0)</f>
        <v>#N/A</v>
      </c>
    </row>
    <row r="311" spans="1:59" s="28" customFormat="1" ht="33" customHeight="1">
      <c r="A311" s="26" t="s">
        <v>971</v>
      </c>
      <c r="B311" s="25" t="s">
        <v>973</v>
      </c>
      <c r="C311" s="26" t="s">
        <v>972</v>
      </c>
      <c r="D311" s="26" t="s">
        <v>974</v>
      </c>
      <c r="E311" s="25" t="s">
        <v>126</v>
      </c>
      <c r="F311" s="25" t="s">
        <v>315</v>
      </c>
      <c r="G311" s="25" t="s">
        <v>315</v>
      </c>
      <c r="H311" s="218" t="s">
        <v>1275</v>
      </c>
      <c r="I311" s="53" t="s">
        <v>76</v>
      </c>
      <c r="J311" s="53" t="s">
        <v>128</v>
      </c>
      <c r="K311" s="295">
        <v>43362</v>
      </c>
      <c r="L311" s="26"/>
      <c r="M311" s="26">
        <v>1645227.3</v>
      </c>
      <c r="N311" s="243">
        <f t="shared" si="15"/>
        <v>1645227.3</v>
      </c>
      <c r="O311" s="338"/>
      <c r="P311" s="338">
        <v>851605</v>
      </c>
      <c r="Q311" s="338"/>
      <c r="R311" s="338"/>
      <c r="S311" s="338">
        <v>793622.3</v>
      </c>
      <c r="T311" s="338"/>
      <c r="U311" s="338"/>
      <c r="V311" s="338"/>
      <c r="W311" s="26"/>
      <c r="X311" s="26"/>
      <c r="Y311" s="263"/>
      <c r="Z311" s="263"/>
      <c r="AA311" s="262">
        <v>0.15</v>
      </c>
      <c r="AB311" s="26"/>
      <c r="AC311" s="26">
        <v>849877</v>
      </c>
      <c r="AD311" s="26"/>
      <c r="AE311" s="26"/>
      <c r="AF311" s="26">
        <v>529781.22</v>
      </c>
      <c r="AG311" s="26"/>
      <c r="AH311" s="26"/>
      <c r="AI311" s="26"/>
      <c r="AJ311" s="26"/>
      <c r="AK311" s="26"/>
      <c r="AL311" s="26"/>
      <c r="AM311" s="26"/>
      <c r="AN311" s="243">
        <f t="shared" si="13"/>
        <v>1379658.22</v>
      </c>
      <c r="AO311" s="25" t="s">
        <v>975</v>
      </c>
      <c r="AP311" s="216"/>
      <c r="AQ311" s="245"/>
      <c r="AR311" s="26" t="s">
        <v>384</v>
      </c>
      <c r="AS311" s="26"/>
      <c r="AT311" s="308"/>
      <c r="AU311" s="245"/>
      <c r="AV311" s="43" t="s">
        <v>66</v>
      </c>
      <c r="AW311" s="245"/>
      <c r="AX311" s="289" t="s">
        <v>86</v>
      </c>
      <c r="AY311" s="289"/>
      <c r="AZ311" s="290">
        <v>43390</v>
      </c>
      <c r="BA311" s="290">
        <v>43390</v>
      </c>
      <c r="BB311" s="25" t="s">
        <v>78</v>
      </c>
      <c r="BC311" s="291">
        <v>43754</v>
      </c>
      <c r="BD311" s="113" t="s">
        <v>122</v>
      </c>
      <c r="BE311" s="297">
        <v>1562965.94</v>
      </c>
      <c r="BF311" s="298">
        <f t="shared" si="9"/>
        <v>0.95000000303909371</v>
      </c>
      <c r="BG311" s="297" t="e">
        <f>VLOOKUP(B311,[1]Sheet2!$B:$X,23,0)</f>
        <v>#N/A</v>
      </c>
    </row>
    <row r="312" spans="1:59" s="28" customFormat="1" ht="33" customHeight="1">
      <c r="A312" s="312">
        <v>0</v>
      </c>
      <c r="B312" s="40" t="s">
        <v>1847</v>
      </c>
      <c r="C312" s="274" t="s">
        <v>1848</v>
      </c>
      <c r="D312" s="332" t="s">
        <v>1849</v>
      </c>
      <c r="E312" s="25" t="s">
        <v>224</v>
      </c>
      <c r="F312" s="25" t="s">
        <v>1350</v>
      </c>
      <c r="G312" s="216" t="s">
        <v>1850</v>
      </c>
      <c r="H312" s="218" t="s">
        <v>1850</v>
      </c>
      <c r="I312" s="53"/>
      <c r="J312" s="53"/>
      <c r="K312" s="295" t="s">
        <v>1804</v>
      </c>
      <c r="L312" s="26"/>
      <c r="M312" s="26"/>
      <c r="N312" s="243"/>
      <c r="O312" s="338"/>
      <c r="P312" s="338"/>
      <c r="Q312" s="338"/>
      <c r="R312" s="338"/>
      <c r="S312" s="338"/>
      <c r="T312" s="338"/>
      <c r="U312" s="338"/>
      <c r="V312" s="338"/>
      <c r="W312" s="26"/>
      <c r="X312" s="26"/>
      <c r="Y312" s="263"/>
      <c r="Z312" s="263"/>
      <c r="AA312" s="262"/>
      <c r="AB312" s="26"/>
      <c r="AC312" s="26"/>
      <c r="AD312" s="26"/>
      <c r="AE312" s="26"/>
      <c r="AF312" s="26"/>
      <c r="AG312" s="26"/>
      <c r="AH312" s="26"/>
      <c r="AI312" s="26"/>
      <c r="AJ312" s="26"/>
      <c r="AK312" s="26"/>
      <c r="AL312" s="26"/>
      <c r="AM312" s="26"/>
      <c r="AN312" s="243"/>
      <c r="AO312" s="25" t="s">
        <v>1021</v>
      </c>
      <c r="AP312" s="216"/>
      <c r="AQ312" s="245"/>
      <c r="AR312" s="26" t="s">
        <v>384</v>
      </c>
      <c r="AS312" s="26"/>
      <c r="AT312" s="308"/>
      <c r="AU312" s="245"/>
      <c r="AV312" s="43" t="s">
        <v>66</v>
      </c>
      <c r="AW312" s="245"/>
      <c r="AX312" s="289" t="s">
        <v>86</v>
      </c>
      <c r="AY312" s="289"/>
      <c r="AZ312" s="290">
        <v>43497</v>
      </c>
      <c r="BA312" s="290"/>
      <c r="BB312" s="25"/>
      <c r="BC312" s="291">
        <v>43831</v>
      </c>
      <c r="BD312" s="113" t="s">
        <v>931</v>
      </c>
      <c r="BE312" s="297">
        <v>490600</v>
      </c>
      <c r="BF312" s="298" t="e">
        <f t="shared" si="9"/>
        <v>#DIV/0!</v>
      </c>
      <c r="BG312" s="297" t="e">
        <f>VLOOKUP(B312,[1]Sheet2!$B:$X,23,0)</f>
        <v>#N/A</v>
      </c>
    </row>
    <row r="313" spans="1:59" s="28" customFormat="1" ht="33" customHeight="1">
      <c r="A313" s="26" t="s">
        <v>967</v>
      </c>
      <c r="B313" s="25" t="s">
        <v>969</v>
      </c>
      <c r="C313" s="26" t="s">
        <v>968</v>
      </c>
      <c r="D313" s="26" t="s">
        <v>970</v>
      </c>
      <c r="E313" s="25" t="s">
        <v>126</v>
      </c>
      <c r="F313" s="25" t="s">
        <v>1277</v>
      </c>
      <c r="G313" s="25" t="s">
        <v>1277</v>
      </c>
      <c r="H313" s="218" t="s">
        <v>1277</v>
      </c>
      <c r="I313" s="53" t="s">
        <v>76</v>
      </c>
      <c r="J313" s="53" t="s">
        <v>128</v>
      </c>
      <c r="K313" s="295">
        <v>43361</v>
      </c>
      <c r="L313" s="26"/>
      <c r="M313" s="26">
        <v>147323</v>
      </c>
      <c r="N313" s="243">
        <f t="shared" si="15"/>
        <v>147323</v>
      </c>
      <c r="O313" s="338"/>
      <c r="P313" s="338"/>
      <c r="Q313" s="338"/>
      <c r="R313" s="338"/>
      <c r="S313" s="338"/>
      <c r="T313" s="338"/>
      <c r="U313" s="338">
        <v>147323</v>
      </c>
      <c r="V313" s="338"/>
      <c r="W313" s="26"/>
      <c r="X313" s="26"/>
      <c r="Y313" s="263"/>
      <c r="Z313" s="263"/>
      <c r="AA313" s="262">
        <v>0.15</v>
      </c>
      <c r="AB313" s="26"/>
      <c r="AC313" s="26"/>
      <c r="AD313" s="26"/>
      <c r="AE313" s="26"/>
      <c r="AF313" s="26"/>
      <c r="AG313" s="26"/>
      <c r="AH313" s="26">
        <v>125224.55</v>
      </c>
      <c r="AI313" s="26"/>
      <c r="AJ313" s="26"/>
      <c r="AK313" s="26"/>
      <c r="AL313" s="26"/>
      <c r="AM313" s="26"/>
      <c r="AN313" s="243">
        <f t="shared" si="13"/>
        <v>125224.55</v>
      </c>
      <c r="AO313" s="25" t="s">
        <v>93</v>
      </c>
      <c r="AP313" s="216"/>
      <c r="AQ313" s="245"/>
      <c r="AR313" s="26" t="s">
        <v>384</v>
      </c>
      <c r="AS313" s="26"/>
      <c r="AT313" s="308"/>
      <c r="AU313" s="245"/>
      <c r="AV313" s="43">
        <v>2019.1</v>
      </c>
      <c r="AW313" s="245"/>
      <c r="AX313" s="289"/>
      <c r="AY313" s="289"/>
      <c r="AZ313" s="290"/>
      <c r="BA313" s="290"/>
      <c r="BB313" s="25" t="s">
        <v>78</v>
      </c>
      <c r="BC313" s="291"/>
      <c r="BD313" s="113" t="s">
        <v>1758</v>
      </c>
      <c r="BE313" s="297">
        <v>147323</v>
      </c>
      <c r="BF313" s="298">
        <f t="shared" si="9"/>
        <v>1</v>
      </c>
      <c r="BG313" s="297" t="str">
        <f>VLOOKUP(B313,[1]Sheet2!$B:$X,23,0)</f>
        <v>刘秧</v>
      </c>
    </row>
    <row r="314" spans="1:59" s="28" customFormat="1" ht="33" customHeight="1">
      <c r="A314" s="26" t="s">
        <v>963</v>
      </c>
      <c r="B314" s="25" t="s">
        <v>965</v>
      </c>
      <c r="C314" s="26" t="s">
        <v>964</v>
      </c>
      <c r="D314" s="26" t="s">
        <v>966</v>
      </c>
      <c r="E314" s="25" t="s">
        <v>224</v>
      </c>
      <c r="F314" s="25" t="s">
        <v>315</v>
      </c>
      <c r="G314" s="25" t="s">
        <v>315</v>
      </c>
      <c r="H314" s="218"/>
      <c r="I314" s="53" t="s">
        <v>150</v>
      </c>
      <c r="J314" s="53" t="s">
        <v>806</v>
      </c>
      <c r="K314" s="295">
        <v>43360</v>
      </c>
      <c r="L314" s="26"/>
      <c r="M314" s="26">
        <v>176399</v>
      </c>
      <c r="N314" s="243">
        <f t="shared" si="15"/>
        <v>176399</v>
      </c>
      <c r="O314" s="338"/>
      <c r="P314" s="338">
        <v>73152.36</v>
      </c>
      <c r="Q314" s="338"/>
      <c r="R314" s="338"/>
      <c r="S314" s="338">
        <v>103246.64</v>
      </c>
      <c r="T314" s="338"/>
      <c r="U314" s="338"/>
      <c r="V314" s="338"/>
      <c r="W314" s="26"/>
      <c r="X314" s="26"/>
      <c r="Y314" s="263"/>
      <c r="Z314" s="263"/>
      <c r="AA314" s="262">
        <v>0.15</v>
      </c>
      <c r="AB314" s="26"/>
      <c r="AC314" s="26">
        <v>72428.08</v>
      </c>
      <c r="AD314" s="26"/>
      <c r="AE314" s="26"/>
      <c r="AF314" s="26">
        <v>77510.399999999994</v>
      </c>
      <c r="AG314" s="26"/>
      <c r="AH314" s="26"/>
      <c r="AI314" s="26"/>
      <c r="AJ314" s="26"/>
      <c r="AK314" s="26"/>
      <c r="AL314" s="26"/>
      <c r="AM314" s="26"/>
      <c r="AN314" s="243">
        <f t="shared" si="13"/>
        <v>149938.47999999998</v>
      </c>
      <c r="AO314" s="25" t="s">
        <v>93</v>
      </c>
      <c r="AP314" s="216"/>
      <c r="AQ314" s="245"/>
      <c r="AR314" s="26" t="s">
        <v>384</v>
      </c>
      <c r="AS314" s="26"/>
      <c r="AT314" s="308"/>
      <c r="AU314" s="245"/>
      <c r="AV314" s="43" t="s">
        <v>66</v>
      </c>
      <c r="AW314" s="245"/>
      <c r="AX314" s="289" t="s">
        <v>86</v>
      </c>
      <c r="AY314" s="289"/>
      <c r="AZ314" s="290">
        <v>43344</v>
      </c>
      <c r="BA314" s="290"/>
      <c r="BB314" s="25" t="s">
        <v>78</v>
      </c>
      <c r="BC314" s="291">
        <v>43708</v>
      </c>
      <c r="BD314" s="113" t="s">
        <v>122</v>
      </c>
      <c r="BE314" s="297">
        <v>167579.04999999999</v>
      </c>
      <c r="BF314" s="298">
        <f t="shared" si="9"/>
        <v>0.95</v>
      </c>
      <c r="BG314" s="297" t="e">
        <f>VLOOKUP(B314,[1]Sheet2!$B:$X,23,0)</f>
        <v>#N/A</v>
      </c>
    </row>
    <row r="315" spans="1:59" s="28" customFormat="1" ht="33" customHeight="1">
      <c r="A315" s="334" t="s">
        <v>1851</v>
      </c>
      <c r="B315" s="25" t="s">
        <v>1852</v>
      </c>
      <c r="C315" s="26" t="s">
        <v>984</v>
      </c>
      <c r="D315" s="26" t="s">
        <v>986</v>
      </c>
      <c r="E315" s="25" t="s">
        <v>75</v>
      </c>
      <c r="F315" s="25" t="s">
        <v>315</v>
      </c>
      <c r="G315" s="25" t="s">
        <v>315</v>
      </c>
      <c r="H315" s="218" t="s">
        <v>1275</v>
      </c>
      <c r="I315" s="53" t="s">
        <v>175</v>
      </c>
      <c r="J315" s="53" t="s">
        <v>128</v>
      </c>
      <c r="K315" s="295">
        <v>43363</v>
      </c>
      <c r="L315" s="26" t="s">
        <v>1853</v>
      </c>
      <c r="M315" s="26">
        <v>1195258</v>
      </c>
      <c r="N315" s="243">
        <f t="shared" si="15"/>
        <v>1195258</v>
      </c>
      <c r="O315" s="338"/>
      <c r="P315" s="338">
        <v>747508</v>
      </c>
      <c r="Q315" s="338"/>
      <c r="R315" s="338"/>
      <c r="S315" s="338">
        <v>447750</v>
      </c>
      <c r="T315" s="338"/>
      <c r="U315" s="338"/>
      <c r="V315" s="338"/>
      <c r="W315" s="26"/>
      <c r="X315" s="26"/>
      <c r="Y315" s="263"/>
      <c r="Z315" s="263"/>
      <c r="AA315" s="262">
        <v>0.1</v>
      </c>
      <c r="AB315" s="26"/>
      <c r="AC315" s="26">
        <v>747500</v>
      </c>
      <c r="AD315" s="26"/>
      <c r="AE315" s="26"/>
      <c r="AF315" s="26">
        <v>314910</v>
      </c>
      <c r="AG315" s="26"/>
      <c r="AH315" s="26"/>
      <c r="AI315" s="26"/>
      <c r="AJ315" s="26"/>
      <c r="AK315" s="26"/>
      <c r="AL315" s="26"/>
      <c r="AM315" s="26"/>
      <c r="AN315" s="243">
        <f t="shared" si="13"/>
        <v>1062410</v>
      </c>
      <c r="AO315" s="25" t="s">
        <v>85</v>
      </c>
      <c r="AP315" s="216" t="s">
        <v>1274</v>
      </c>
      <c r="AQ315" s="245"/>
      <c r="AR315" s="61">
        <v>43388</v>
      </c>
      <c r="AS315" s="61"/>
      <c r="AT315" s="308"/>
      <c r="AU315" s="245"/>
      <c r="AV315" s="43" t="s">
        <v>66</v>
      </c>
      <c r="AW315" s="245"/>
      <c r="AX315" s="289" t="s">
        <v>86</v>
      </c>
      <c r="AY315" s="289" t="s">
        <v>1854</v>
      </c>
      <c r="AZ315" s="290" t="s">
        <v>411</v>
      </c>
      <c r="BA315" s="290">
        <v>43577</v>
      </c>
      <c r="BB315" s="25" t="s">
        <v>78</v>
      </c>
      <c r="BC315" s="291">
        <v>43850</v>
      </c>
      <c r="BD315" s="113" t="s">
        <v>88</v>
      </c>
      <c r="BE315" s="297">
        <v>1171855.44</v>
      </c>
      <c r="BF315" s="298">
        <f t="shared" si="9"/>
        <v>0.98042049498936623</v>
      </c>
      <c r="BG315" s="297" t="e">
        <f>VLOOKUP(B315,[1]Sheet2!$B:$X,23,0)</f>
        <v>#N/A</v>
      </c>
    </row>
    <row r="316" spans="1:59" s="28" customFormat="1" ht="33" customHeight="1">
      <c r="A316" s="312"/>
      <c r="B316" s="40" t="s">
        <v>1855</v>
      </c>
      <c r="C316" s="19" t="s">
        <v>1856</v>
      </c>
      <c r="D316" s="332" t="s">
        <v>1857</v>
      </c>
      <c r="E316" s="25" t="s">
        <v>1858</v>
      </c>
      <c r="F316" s="26" t="s">
        <v>315</v>
      </c>
      <c r="G316" s="26" t="s">
        <v>315</v>
      </c>
      <c r="H316" s="218"/>
      <c r="I316" s="53"/>
      <c r="J316" s="53"/>
      <c r="K316" s="295" t="s">
        <v>1804</v>
      </c>
      <c r="L316" s="26"/>
      <c r="M316" s="26"/>
      <c r="N316" s="243"/>
      <c r="O316" s="338"/>
      <c r="P316" s="338"/>
      <c r="Q316" s="338"/>
      <c r="R316" s="338"/>
      <c r="S316" s="338"/>
      <c r="T316" s="338"/>
      <c r="U316" s="338"/>
      <c r="V316" s="338"/>
      <c r="W316" s="26"/>
      <c r="X316" s="26"/>
      <c r="Y316" s="263"/>
      <c r="Z316" s="263"/>
      <c r="AA316" s="262"/>
      <c r="AB316" s="26"/>
      <c r="AC316" s="26"/>
      <c r="AD316" s="26"/>
      <c r="AE316" s="26"/>
      <c r="AF316" s="26"/>
      <c r="AG316" s="26"/>
      <c r="AH316" s="26"/>
      <c r="AI316" s="26"/>
      <c r="AJ316" s="26"/>
      <c r="AK316" s="26"/>
      <c r="AL316" s="26"/>
      <c r="AM316" s="26"/>
      <c r="AN316" s="243"/>
      <c r="AO316" s="25" t="s">
        <v>85</v>
      </c>
      <c r="AP316" s="216" t="e">
        <v>#N/A</v>
      </c>
      <c r="AQ316" s="245"/>
      <c r="AR316" s="26" t="s">
        <v>384</v>
      </c>
      <c r="AS316" s="26"/>
      <c r="AT316" s="308"/>
      <c r="AU316" s="245"/>
      <c r="AV316" s="43" t="s">
        <v>66</v>
      </c>
      <c r="AW316" s="245"/>
      <c r="AX316" s="289" t="s">
        <v>1859</v>
      </c>
      <c r="AY316" s="289" t="s">
        <v>1859</v>
      </c>
      <c r="AZ316" s="290"/>
      <c r="BA316" s="290"/>
      <c r="BB316" s="25"/>
      <c r="BC316" s="291"/>
      <c r="BD316" s="113" t="s">
        <v>88</v>
      </c>
      <c r="BE316" s="297">
        <v>0</v>
      </c>
      <c r="BF316" s="298" t="e">
        <f t="shared" si="9"/>
        <v>#DIV/0!</v>
      </c>
      <c r="BG316" s="297" t="e">
        <f>VLOOKUP(B316,[1]Sheet2!$B:$X,23,0)</f>
        <v>#N/A</v>
      </c>
    </row>
    <row r="317" spans="1:59" s="28" customFormat="1" ht="33" customHeight="1">
      <c r="A317" s="26" t="s">
        <v>1035</v>
      </c>
      <c r="B317" s="25" t="s">
        <v>1037</v>
      </c>
      <c r="C317" s="26" t="s">
        <v>1036</v>
      </c>
      <c r="D317" s="26" t="s">
        <v>1038</v>
      </c>
      <c r="E317" s="25" t="s">
        <v>106</v>
      </c>
      <c r="F317" s="26" t="s">
        <v>1277</v>
      </c>
      <c r="G317" s="26" t="s">
        <v>1277</v>
      </c>
      <c r="H317" s="218" t="s">
        <v>1277</v>
      </c>
      <c r="I317" s="53" t="s">
        <v>107</v>
      </c>
      <c r="J317" s="53" t="s">
        <v>63</v>
      </c>
      <c r="K317" s="335"/>
      <c r="L317" s="26" t="s">
        <v>1039</v>
      </c>
      <c r="M317" s="26">
        <v>98000</v>
      </c>
      <c r="N317" s="243">
        <f t="shared" si="15"/>
        <v>98000</v>
      </c>
      <c r="O317" s="338"/>
      <c r="P317" s="338"/>
      <c r="Q317" s="338"/>
      <c r="R317" s="338"/>
      <c r="S317" s="338"/>
      <c r="T317" s="338"/>
      <c r="U317" s="338">
        <v>98000</v>
      </c>
      <c r="V317" s="338"/>
      <c r="W317" s="26"/>
      <c r="X317" s="26"/>
      <c r="Y317" s="263"/>
      <c r="Z317" s="263"/>
      <c r="AA317" s="263">
        <v>0.15</v>
      </c>
      <c r="AB317" s="26"/>
      <c r="AC317" s="26"/>
      <c r="AD317" s="26"/>
      <c r="AE317" s="26"/>
      <c r="AF317" s="26"/>
      <c r="AG317" s="26"/>
      <c r="AH317" s="26">
        <v>83300</v>
      </c>
      <c r="AI317" s="26"/>
      <c r="AJ317" s="26"/>
      <c r="AK317" s="26"/>
      <c r="AL317" s="26"/>
      <c r="AM317" s="26"/>
      <c r="AN317" s="243">
        <f t="shared" si="13"/>
        <v>83300</v>
      </c>
      <c r="AO317" s="25" t="s">
        <v>108</v>
      </c>
      <c r="AP317" s="216"/>
      <c r="AQ317" s="245"/>
      <c r="AR317" s="26" t="s">
        <v>384</v>
      </c>
      <c r="AS317" s="26"/>
      <c r="AT317" s="308"/>
      <c r="AU317" s="245"/>
      <c r="AV317" s="341"/>
      <c r="AW317" s="245"/>
      <c r="AX317" s="289"/>
      <c r="AY317" s="289"/>
      <c r="AZ317" s="290"/>
      <c r="BA317" s="290"/>
      <c r="BB317" s="25" t="s">
        <v>1040</v>
      </c>
      <c r="BC317" s="291"/>
      <c r="BD317" s="25" t="s">
        <v>1280</v>
      </c>
      <c r="BE317" s="297">
        <v>98000</v>
      </c>
      <c r="BF317" s="298">
        <f t="shared" si="9"/>
        <v>1</v>
      </c>
      <c r="BG317" s="297" t="e">
        <f>VLOOKUP(B317,[1]Sheet2!$B:$X,23,0)</f>
        <v>#N/A</v>
      </c>
    </row>
    <row r="318" spans="1:59" s="28" customFormat="1" ht="33" customHeight="1">
      <c r="A318" s="26" t="s">
        <v>1860</v>
      </c>
      <c r="B318" s="25" t="s">
        <v>1009</v>
      </c>
      <c r="C318" s="26" t="s">
        <v>1008</v>
      </c>
      <c r="D318" s="26" t="s">
        <v>1010</v>
      </c>
      <c r="E318" s="25" t="s">
        <v>75</v>
      </c>
      <c r="F318" s="216" t="s">
        <v>1277</v>
      </c>
      <c r="G318" s="216" t="s">
        <v>1277</v>
      </c>
      <c r="H318" s="218" t="s">
        <v>1277</v>
      </c>
      <c r="I318" s="53" t="s">
        <v>175</v>
      </c>
      <c r="J318" s="53" t="s">
        <v>128</v>
      </c>
      <c r="K318" s="295" t="s">
        <v>1011</v>
      </c>
      <c r="L318" s="26"/>
      <c r="M318" s="26">
        <v>152400</v>
      </c>
      <c r="N318" s="243">
        <f t="shared" si="15"/>
        <v>152400</v>
      </c>
      <c r="O318" s="338"/>
      <c r="P318" s="338"/>
      <c r="Q318" s="338"/>
      <c r="R318" s="338"/>
      <c r="S318" s="338"/>
      <c r="T318" s="338"/>
      <c r="U318" s="338">
        <v>152400</v>
      </c>
      <c r="V318" s="338"/>
      <c r="W318" s="26"/>
      <c r="X318" s="26"/>
      <c r="Y318" s="263"/>
      <c r="Z318" s="263"/>
      <c r="AA318" s="263">
        <v>0.15</v>
      </c>
      <c r="AB318" s="26"/>
      <c r="AC318" s="26"/>
      <c r="AD318" s="26"/>
      <c r="AE318" s="26"/>
      <c r="AF318" s="26"/>
      <c r="AG318" s="26"/>
      <c r="AH318" s="26">
        <f>114000+15540</f>
        <v>129540</v>
      </c>
      <c r="AI318" s="26"/>
      <c r="AJ318" s="26"/>
      <c r="AK318" s="26"/>
      <c r="AL318" s="26"/>
      <c r="AM318" s="26"/>
      <c r="AN318" s="243">
        <f t="shared" si="13"/>
        <v>129540</v>
      </c>
      <c r="AO318" s="25" t="s">
        <v>85</v>
      </c>
      <c r="AP318" s="216" t="s">
        <v>1274</v>
      </c>
      <c r="AQ318" s="245"/>
      <c r="AR318" s="26" t="s">
        <v>384</v>
      </c>
      <c r="AS318" s="26"/>
      <c r="AT318" s="308"/>
      <c r="AU318" s="245"/>
      <c r="AV318" s="43" t="s">
        <v>190</v>
      </c>
      <c r="AW318" s="245"/>
      <c r="AX318" s="289"/>
      <c r="AY318" s="289"/>
      <c r="AZ318" s="290"/>
      <c r="BA318" s="290"/>
      <c r="BB318" s="295">
        <v>43259</v>
      </c>
      <c r="BC318" s="291" t="s">
        <v>1012</v>
      </c>
      <c r="BD318" s="113" t="s">
        <v>122</v>
      </c>
      <c r="BE318" s="297">
        <v>152400</v>
      </c>
      <c r="BF318" s="298">
        <f t="shared" si="9"/>
        <v>1</v>
      </c>
      <c r="BG318" s="297" t="e">
        <f>VLOOKUP(B318,[1]Sheet2!$B:$X,23,0)</f>
        <v>#N/A</v>
      </c>
    </row>
    <row r="319" spans="1:59" s="28" customFormat="1" ht="33" customHeight="1">
      <c r="A319" s="26" t="s">
        <v>1000</v>
      </c>
      <c r="B319" s="25" t="s">
        <v>1002</v>
      </c>
      <c r="C319" s="26" t="s">
        <v>1001</v>
      </c>
      <c r="D319" s="26" t="s">
        <v>1003</v>
      </c>
      <c r="E319" s="25" t="s">
        <v>92</v>
      </c>
      <c r="F319" s="26" t="s">
        <v>1277</v>
      </c>
      <c r="G319" s="26" t="s">
        <v>1277</v>
      </c>
      <c r="H319" s="218" t="s">
        <v>1798</v>
      </c>
      <c r="I319" s="53" t="s">
        <v>1004</v>
      </c>
      <c r="J319" s="53" t="s">
        <v>84</v>
      </c>
      <c r="K319" s="295" t="s">
        <v>1005</v>
      </c>
      <c r="L319" s="26"/>
      <c r="M319" s="26">
        <v>4410000</v>
      </c>
      <c r="N319" s="243">
        <f t="shared" si="15"/>
        <v>1143600</v>
      </c>
      <c r="O319" s="338"/>
      <c r="P319" s="338"/>
      <c r="Q319" s="338"/>
      <c r="R319" s="338"/>
      <c r="S319" s="338"/>
      <c r="T319" s="338"/>
      <c r="U319" s="338">
        <v>1143600</v>
      </c>
      <c r="V319" s="338"/>
      <c r="W319" s="26">
        <v>3266400</v>
      </c>
      <c r="X319" s="26">
        <v>3266400</v>
      </c>
      <c r="Y319" s="263">
        <v>0.1</v>
      </c>
      <c r="Z319" s="263"/>
      <c r="AA319" s="263">
        <v>0.1686</v>
      </c>
      <c r="AB319" s="26"/>
      <c r="AC319" s="26"/>
      <c r="AD319" s="26"/>
      <c r="AE319" s="26"/>
      <c r="AF319" s="26"/>
      <c r="AG319" s="26"/>
      <c r="AH319" s="26">
        <v>4217136</v>
      </c>
      <c r="AI319" s="26"/>
      <c r="AJ319" s="26"/>
      <c r="AK319" s="26"/>
      <c r="AL319" s="26"/>
      <c r="AM319" s="26"/>
      <c r="AN319" s="243">
        <f t="shared" si="13"/>
        <v>4217136</v>
      </c>
      <c r="AO319" s="25" t="s">
        <v>93</v>
      </c>
      <c r="AP319" s="216"/>
      <c r="AQ319" s="245"/>
      <c r="AR319" s="26" t="s">
        <v>384</v>
      </c>
      <c r="AS319" s="26"/>
      <c r="AT319" s="308">
        <v>43307</v>
      </c>
      <c r="AU319" s="245"/>
      <c r="AV319" s="43" t="s">
        <v>66</v>
      </c>
      <c r="AW319" s="245"/>
      <c r="AX319" s="289" t="s">
        <v>86</v>
      </c>
      <c r="AY319" s="289"/>
      <c r="AZ319" s="290">
        <v>43460</v>
      </c>
      <c r="BA319" s="290">
        <v>43460</v>
      </c>
      <c r="BB319" s="25" t="s">
        <v>78</v>
      </c>
      <c r="BC319" s="291">
        <v>43824</v>
      </c>
      <c r="BD319" s="113" t="s">
        <v>931</v>
      </c>
      <c r="BE319" s="297">
        <v>1470000</v>
      </c>
      <c r="BF319" s="298">
        <f t="shared" si="9"/>
        <v>0.33333333333333331</v>
      </c>
      <c r="BG319" s="297" t="e">
        <f>VLOOKUP(B319,[1]Sheet2!$B:$X,23,0)</f>
        <v>#N/A</v>
      </c>
    </row>
    <row r="320" spans="1:59" s="28" customFormat="1" ht="33" customHeight="1">
      <c r="A320" s="26" t="s">
        <v>1026</v>
      </c>
      <c r="B320" s="25" t="s">
        <v>1028</v>
      </c>
      <c r="C320" s="26" t="s">
        <v>1027</v>
      </c>
      <c r="D320" s="26" t="s">
        <v>1029</v>
      </c>
      <c r="E320" s="25" t="s">
        <v>576</v>
      </c>
      <c r="F320" s="25" t="s">
        <v>196</v>
      </c>
      <c r="G320" s="25" t="s">
        <v>196</v>
      </c>
      <c r="H320" s="218"/>
      <c r="I320" s="53" t="s">
        <v>1004</v>
      </c>
      <c r="J320" s="53" t="s">
        <v>84</v>
      </c>
      <c r="K320" s="295">
        <v>43390</v>
      </c>
      <c r="L320" s="26"/>
      <c r="M320" s="26">
        <v>183000</v>
      </c>
      <c r="N320" s="243">
        <f t="shared" si="15"/>
        <v>183000</v>
      </c>
      <c r="O320" s="338"/>
      <c r="P320" s="338"/>
      <c r="Q320" s="338"/>
      <c r="R320" s="338"/>
      <c r="S320" s="338"/>
      <c r="T320" s="338"/>
      <c r="U320" s="338">
        <v>183000</v>
      </c>
      <c r="V320" s="338"/>
      <c r="W320" s="26"/>
      <c r="X320" s="26"/>
      <c r="Y320" s="263"/>
      <c r="Z320" s="263"/>
      <c r="AA320" s="263">
        <v>0.15</v>
      </c>
      <c r="AB320" s="26"/>
      <c r="AC320" s="26"/>
      <c r="AD320" s="26"/>
      <c r="AE320" s="26"/>
      <c r="AF320" s="26"/>
      <c r="AG320" s="26"/>
      <c r="AH320" s="26">
        <v>155550</v>
      </c>
      <c r="AI320" s="26"/>
      <c r="AJ320" s="26"/>
      <c r="AK320" s="26"/>
      <c r="AL320" s="26"/>
      <c r="AM320" s="26"/>
      <c r="AN320" s="243">
        <f t="shared" si="13"/>
        <v>155550</v>
      </c>
      <c r="AO320" s="25" t="s">
        <v>108</v>
      </c>
      <c r="AP320" s="216"/>
      <c r="AQ320" s="245"/>
      <c r="AR320" s="26" t="s">
        <v>384</v>
      </c>
      <c r="AS320" s="26"/>
      <c r="AT320" s="308">
        <v>43372</v>
      </c>
      <c r="AU320" s="245"/>
      <c r="AV320" s="43" t="s">
        <v>66</v>
      </c>
      <c r="AW320" s="245"/>
      <c r="AX320" s="289" t="s">
        <v>86</v>
      </c>
      <c r="AY320" s="289"/>
      <c r="AZ320" s="290">
        <v>43440</v>
      </c>
      <c r="BA320" s="290">
        <v>43441</v>
      </c>
      <c r="BB320" s="295"/>
      <c r="BC320" s="291">
        <v>43803</v>
      </c>
      <c r="BD320" s="113" t="s">
        <v>931</v>
      </c>
      <c r="BE320" s="297">
        <v>183000</v>
      </c>
      <c r="BF320" s="298">
        <f t="shared" si="9"/>
        <v>1</v>
      </c>
      <c r="BG320" s="297" t="e">
        <f>VLOOKUP(B320,[1]Sheet2!$B:$X,23,0)</f>
        <v>#N/A</v>
      </c>
    </row>
    <row r="321" spans="1:59" s="28" customFormat="1" ht="33" customHeight="1">
      <c r="A321" s="26" t="s">
        <v>1022</v>
      </c>
      <c r="B321" s="25" t="s">
        <v>1024</v>
      </c>
      <c r="C321" s="26" t="s">
        <v>1023</v>
      </c>
      <c r="D321" s="26" t="s">
        <v>1025</v>
      </c>
      <c r="E321" s="25" t="s">
        <v>126</v>
      </c>
      <c r="F321" s="25" t="s">
        <v>315</v>
      </c>
      <c r="G321" s="25" t="s">
        <v>315</v>
      </c>
      <c r="H321" s="218" t="s">
        <v>1275</v>
      </c>
      <c r="I321" s="53" t="s">
        <v>76</v>
      </c>
      <c r="J321" s="53" t="s">
        <v>128</v>
      </c>
      <c r="K321" s="295">
        <v>43394</v>
      </c>
      <c r="L321" s="26"/>
      <c r="M321" s="26">
        <v>101103.38</v>
      </c>
      <c r="N321" s="243">
        <f t="shared" si="15"/>
        <v>101103.38</v>
      </c>
      <c r="O321" s="338"/>
      <c r="P321" s="338">
        <v>51234.879999999997</v>
      </c>
      <c r="Q321" s="338"/>
      <c r="R321" s="338"/>
      <c r="S321" s="338">
        <v>37768.5</v>
      </c>
      <c r="T321" s="338"/>
      <c r="U321" s="338">
        <v>12100</v>
      </c>
      <c r="V321" s="338"/>
      <c r="W321" s="26"/>
      <c r="X321" s="26"/>
      <c r="Y321" s="263"/>
      <c r="Z321" s="263"/>
      <c r="AA321" s="263">
        <v>0.15</v>
      </c>
      <c r="AB321" s="26"/>
      <c r="AC321" s="26">
        <v>51134.879999999997</v>
      </c>
      <c r="AD321" s="26"/>
      <c r="AE321" s="26"/>
      <c r="AF321" s="26">
        <v>26705.03</v>
      </c>
      <c r="AG321" s="26"/>
      <c r="AH321" s="26">
        <v>8555.56</v>
      </c>
      <c r="AI321" s="26"/>
      <c r="AJ321" s="26"/>
      <c r="AK321" s="26"/>
      <c r="AL321" s="26"/>
      <c r="AM321" s="26"/>
      <c r="AN321" s="243">
        <f t="shared" si="13"/>
        <v>86395.47</v>
      </c>
      <c r="AO321" s="25" t="s">
        <v>145</v>
      </c>
      <c r="AP321" s="216" t="s">
        <v>1276</v>
      </c>
      <c r="AQ321" s="245"/>
      <c r="AR321" s="26" t="s">
        <v>384</v>
      </c>
      <c r="AS321" s="26"/>
      <c r="AT321" s="308"/>
      <c r="AU321" s="245"/>
      <c r="AV321" s="43" t="s">
        <v>66</v>
      </c>
      <c r="AW321" s="245"/>
      <c r="AX321" s="289" t="s">
        <v>86</v>
      </c>
      <c r="AY321" s="289"/>
      <c r="AZ321" s="290">
        <v>43439</v>
      </c>
      <c r="BA321" s="290">
        <v>43441</v>
      </c>
      <c r="BB321" s="25"/>
      <c r="BC321" s="291">
        <v>43803</v>
      </c>
      <c r="BD321" s="113" t="s">
        <v>88</v>
      </c>
      <c r="BE321" s="297">
        <v>101103.38</v>
      </c>
      <c r="BF321" s="298">
        <f t="shared" si="9"/>
        <v>1</v>
      </c>
      <c r="BG321" s="297" t="e">
        <f>VLOOKUP(B321,[1]Sheet2!$B:$X,23,0)</f>
        <v>#N/A</v>
      </c>
    </row>
    <row r="322" spans="1:59" s="28" customFormat="1" ht="33" customHeight="1">
      <c r="A322" s="26" t="s">
        <v>1067</v>
      </c>
      <c r="B322" s="25" t="s">
        <v>1069</v>
      </c>
      <c r="C322" s="26" t="s">
        <v>1068</v>
      </c>
      <c r="D322" s="26" t="s">
        <v>1070</v>
      </c>
      <c r="E322" s="25" t="s">
        <v>261</v>
      </c>
      <c r="F322" s="25" t="s">
        <v>315</v>
      </c>
      <c r="G322" s="25" t="s">
        <v>315</v>
      </c>
      <c r="H322" s="218" t="s">
        <v>1314</v>
      </c>
      <c r="I322" s="53" t="s">
        <v>76</v>
      </c>
      <c r="J322" s="53" t="s">
        <v>63</v>
      </c>
      <c r="K322" s="335"/>
      <c r="L322" s="26" t="s">
        <v>1039</v>
      </c>
      <c r="M322" s="26">
        <v>10589800</v>
      </c>
      <c r="N322" s="243">
        <f t="shared" si="15"/>
        <v>10289800</v>
      </c>
      <c r="O322" s="53"/>
      <c r="P322" s="338">
        <v>7564800</v>
      </c>
      <c r="Q322" s="338"/>
      <c r="R322" s="53"/>
      <c r="S322" s="338">
        <v>2725000</v>
      </c>
      <c r="T322" s="338"/>
      <c r="U322" s="53"/>
      <c r="V322" s="53"/>
      <c r="W322" s="338">
        <f>X322</f>
        <v>300000</v>
      </c>
      <c r="X322" s="338">
        <v>300000</v>
      </c>
      <c r="Y322" s="263">
        <v>0.1</v>
      </c>
      <c r="Z322" s="263"/>
      <c r="AA322" s="263">
        <v>0.1</v>
      </c>
      <c r="AB322" s="26"/>
      <c r="AC322" s="26">
        <v>7564800</v>
      </c>
      <c r="AD322" s="26"/>
      <c r="AE322" s="26"/>
      <c r="AF322" s="26">
        <v>1695000</v>
      </c>
      <c r="AG322" s="26"/>
      <c r="AH322" s="26"/>
      <c r="AI322" s="26">
        <v>300000</v>
      </c>
      <c r="AJ322" s="26"/>
      <c r="AK322" s="26"/>
      <c r="AL322" s="26"/>
      <c r="AM322" s="26"/>
      <c r="AN322" s="243">
        <f t="shared" si="13"/>
        <v>9559800</v>
      </c>
      <c r="AO322" s="25" t="s">
        <v>77</v>
      </c>
      <c r="AP322" s="216"/>
      <c r="AQ322" s="245"/>
      <c r="AR322" s="26" t="s">
        <v>384</v>
      </c>
      <c r="AS322" s="26"/>
      <c r="AT322" s="308">
        <v>43405</v>
      </c>
      <c r="AU322" s="245"/>
      <c r="AV322" s="43" t="s">
        <v>66</v>
      </c>
      <c r="AW322" s="245"/>
      <c r="AX322" s="289" t="s">
        <v>86</v>
      </c>
      <c r="AY322" s="289"/>
      <c r="AZ322" s="290">
        <v>43636</v>
      </c>
      <c r="BA322" s="290">
        <v>43702</v>
      </c>
      <c r="BB322" s="25"/>
      <c r="BC322" s="291">
        <v>44001</v>
      </c>
      <c r="BD322" s="113" t="s">
        <v>88</v>
      </c>
      <c r="BE322" s="297">
        <v>10060310</v>
      </c>
      <c r="BF322" s="298">
        <f t="shared" si="9"/>
        <v>0.95</v>
      </c>
      <c r="BG322" s="297" t="e">
        <f>VLOOKUP(B322,[1]Sheet2!$B:$X,23,0)</f>
        <v>#N/A</v>
      </c>
    </row>
    <row r="323" spans="1:59" s="28" customFormat="1" ht="33" customHeight="1">
      <c r="A323" s="26" t="s">
        <v>1031</v>
      </c>
      <c r="B323" s="220" t="s">
        <v>1033</v>
      </c>
      <c r="C323" s="26" t="s">
        <v>1032</v>
      </c>
      <c r="D323" s="220" t="s">
        <v>1034</v>
      </c>
      <c r="E323" s="24" t="s">
        <v>83</v>
      </c>
      <c r="F323" s="25" t="s">
        <v>315</v>
      </c>
      <c r="G323" s="25" t="s">
        <v>315</v>
      </c>
      <c r="H323" s="218" t="s">
        <v>1275</v>
      </c>
      <c r="I323" s="303" t="s">
        <v>76</v>
      </c>
      <c r="J323" s="303" t="s">
        <v>128</v>
      </c>
      <c r="K323" s="75">
        <v>43423</v>
      </c>
      <c r="L323" s="352"/>
      <c r="M323" s="26">
        <v>18353.68</v>
      </c>
      <c r="N323" s="243">
        <f t="shared" si="15"/>
        <v>18353.68</v>
      </c>
      <c r="O323" s="303"/>
      <c r="P323" s="303"/>
      <c r="Q323" s="303"/>
      <c r="R323" s="303"/>
      <c r="S323" s="359">
        <v>18353.68</v>
      </c>
      <c r="T323" s="359"/>
      <c r="U323" s="303"/>
      <c r="V323" s="303"/>
      <c r="W323" s="29"/>
      <c r="X323" s="303"/>
      <c r="Y323" s="361"/>
      <c r="Z323" s="361"/>
      <c r="AA323" s="263">
        <v>0.15</v>
      </c>
      <c r="AB323" s="29"/>
      <c r="AC323" s="29"/>
      <c r="AD323" s="29"/>
      <c r="AE323" s="29"/>
      <c r="AF323" s="29">
        <v>15600.63</v>
      </c>
      <c r="AG323" s="29"/>
      <c r="AH323" s="29"/>
      <c r="AI323" s="29"/>
      <c r="AJ323" s="29"/>
      <c r="AK323" s="29"/>
      <c r="AL323" s="29"/>
      <c r="AM323" s="29"/>
      <c r="AN323" s="243">
        <f t="shared" si="13"/>
        <v>15600.63</v>
      </c>
      <c r="AO323" s="352" t="s">
        <v>93</v>
      </c>
      <c r="AP323" s="216"/>
      <c r="AQ323" s="303"/>
      <c r="AR323" s="26" t="s">
        <v>384</v>
      </c>
      <c r="AS323" s="26"/>
      <c r="AT323" s="290"/>
      <c r="AU323" s="303"/>
      <c r="AV323" s="43" t="s">
        <v>1861</v>
      </c>
      <c r="AW323" s="303"/>
      <c r="AX323" s="289" t="s">
        <v>86</v>
      </c>
      <c r="AY323" s="289"/>
      <c r="AZ323" s="309">
        <v>43497</v>
      </c>
      <c r="BA323" s="290">
        <v>43497</v>
      </c>
      <c r="BB323" s="25"/>
      <c r="BC323" s="291">
        <v>43831</v>
      </c>
      <c r="BD323" s="113" t="s">
        <v>88</v>
      </c>
      <c r="BE323" s="297">
        <v>18353.68</v>
      </c>
      <c r="BF323" s="298">
        <f t="shared" ref="BF323:BF386" si="16">BE323/M323</f>
        <v>1</v>
      </c>
      <c r="BG323" s="297" t="e">
        <f>VLOOKUP(B323,[1]Sheet2!$B:$X,23,0)</f>
        <v>#N/A</v>
      </c>
    </row>
    <row r="324" spans="1:59" s="28" customFormat="1" ht="33" customHeight="1">
      <c r="A324" s="26" t="s">
        <v>1061</v>
      </c>
      <c r="B324" s="25" t="s">
        <v>1063</v>
      </c>
      <c r="C324" s="26" t="s">
        <v>1062</v>
      </c>
      <c r="D324" s="26" t="s">
        <v>1064</v>
      </c>
      <c r="E324" s="25" t="s">
        <v>83</v>
      </c>
      <c r="F324" s="25" t="s">
        <v>315</v>
      </c>
      <c r="G324" s="25" t="s">
        <v>315</v>
      </c>
      <c r="H324" s="218" t="s">
        <v>1314</v>
      </c>
      <c r="I324" s="53" t="s">
        <v>76</v>
      </c>
      <c r="J324" s="53" t="s">
        <v>128</v>
      </c>
      <c r="K324" s="335"/>
      <c r="L324" s="26" t="s">
        <v>1039</v>
      </c>
      <c r="M324" s="26">
        <v>2611304</v>
      </c>
      <c r="N324" s="243">
        <f t="shared" si="15"/>
        <v>2611304</v>
      </c>
      <c r="O324" s="338"/>
      <c r="P324" s="338">
        <v>691304</v>
      </c>
      <c r="Q324" s="338"/>
      <c r="R324" s="338"/>
      <c r="S324" s="338">
        <v>1190000</v>
      </c>
      <c r="T324" s="338"/>
      <c r="U324" s="338">
        <v>730000</v>
      </c>
      <c r="V324" s="338"/>
      <c r="W324" s="26"/>
      <c r="X324" s="26"/>
      <c r="Y324" s="263"/>
      <c r="Z324" s="263"/>
      <c r="AA324" s="263">
        <v>0.1</v>
      </c>
      <c r="AB324" s="26"/>
      <c r="AC324" s="26">
        <v>684390</v>
      </c>
      <c r="AD324" s="26"/>
      <c r="AE324" s="26"/>
      <c r="AF324" s="26">
        <v>1065771</v>
      </c>
      <c r="AG324" s="26"/>
      <c r="AH324" s="26">
        <v>600000</v>
      </c>
      <c r="AI324" s="26"/>
      <c r="AJ324" s="26"/>
      <c r="AK324" s="26">
        <v>307906.45</v>
      </c>
      <c r="AL324" s="26"/>
      <c r="AM324" s="26"/>
      <c r="AN324" s="243">
        <f t="shared" si="13"/>
        <v>2658067.4500000002</v>
      </c>
      <c r="AO324" s="25" t="s">
        <v>1021</v>
      </c>
      <c r="AP324" s="216"/>
      <c r="AQ324" s="245"/>
      <c r="AR324" s="26" t="s">
        <v>384</v>
      </c>
      <c r="AS324" s="26"/>
      <c r="AT324" s="308"/>
      <c r="AU324" s="245"/>
      <c r="AV324" s="341"/>
      <c r="AW324" s="245"/>
      <c r="AX324" s="289"/>
      <c r="AY324" s="289"/>
      <c r="AZ324" s="290"/>
      <c r="BA324" s="290"/>
      <c r="BB324" s="25"/>
      <c r="BC324" s="291"/>
      <c r="BD324" s="113"/>
      <c r="BE324" s="297">
        <v>3817286.41</v>
      </c>
      <c r="BF324" s="298">
        <f t="shared" si="16"/>
        <v>1.4618314872569413</v>
      </c>
      <c r="BG324" s="297" t="e">
        <f>VLOOKUP(B324,[1]Sheet2!$B:$X,23,0)</f>
        <v>#N/A</v>
      </c>
    </row>
    <row r="325" spans="1:59" s="28" customFormat="1" ht="33" customHeight="1">
      <c r="A325" s="26" t="s">
        <v>1057</v>
      </c>
      <c r="B325" s="216" t="s">
        <v>1862</v>
      </c>
      <c r="C325" s="26" t="s">
        <v>1058</v>
      </c>
      <c r="D325" s="219" t="s">
        <v>1060</v>
      </c>
      <c r="E325" s="216" t="s">
        <v>126</v>
      </c>
      <c r="F325" s="25" t="s">
        <v>315</v>
      </c>
      <c r="G325" s="25" t="s">
        <v>315</v>
      </c>
      <c r="H325" s="218"/>
      <c r="I325" s="240" t="s">
        <v>76</v>
      </c>
      <c r="J325" s="240" t="s">
        <v>702</v>
      </c>
      <c r="K325" s="353"/>
      <c r="L325" s="219" t="s">
        <v>1039</v>
      </c>
      <c r="M325" s="26">
        <v>166696.29999999999</v>
      </c>
      <c r="N325" s="243">
        <f t="shared" si="15"/>
        <v>166696.29999999999</v>
      </c>
      <c r="O325" s="354"/>
      <c r="P325" s="338">
        <v>61266.8</v>
      </c>
      <c r="Q325" s="338"/>
      <c r="R325" s="338"/>
      <c r="S325" s="338">
        <v>105429.5</v>
      </c>
      <c r="T325" s="338"/>
      <c r="U325" s="338"/>
      <c r="V325" s="338"/>
      <c r="W325" s="26"/>
      <c r="X325" s="26"/>
      <c r="Y325" s="263"/>
      <c r="Z325" s="362"/>
      <c r="AA325" s="362">
        <v>0.15</v>
      </c>
      <c r="AB325" s="219"/>
      <c r="AC325" s="219">
        <v>61166.8</v>
      </c>
      <c r="AD325" s="219"/>
      <c r="AE325" s="219"/>
      <c r="AF325" s="219">
        <v>80995.23</v>
      </c>
      <c r="AG325" s="219"/>
      <c r="AH325" s="219"/>
      <c r="AI325" s="219"/>
      <c r="AJ325" s="219"/>
      <c r="AK325" s="219"/>
      <c r="AL325" s="219"/>
      <c r="AM325" s="219"/>
      <c r="AN325" s="243">
        <f t="shared" si="13"/>
        <v>142162.03</v>
      </c>
      <c r="AO325" s="216" t="s">
        <v>145</v>
      </c>
      <c r="AP325" s="216" t="s">
        <v>1276</v>
      </c>
      <c r="AQ325" s="277"/>
      <c r="AR325" s="26" t="s">
        <v>384</v>
      </c>
      <c r="AS325" s="219"/>
      <c r="AT325" s="278"/>
      <c r="AU325" s="277"/>
      <c r="AV325" s="43" t="s">
        <v>1861</v>
      </c>
      <c r="AW325" s="277"/>
      <c r="AX325" s="289" t="s">
        <v>86</v>
      </c>
      <c r="AY325" s="294"/>
      <c r="AZ325" s="279">
        <v>43435</v>
      </c>
      <c r="BA325" s="279"/>
      <c r="BB325" s="25"/>
      <c r="BC325" s="291">
        <v>43800</v>
      </c>
      <c r="BD325" s="113" t="s">
        <v>88</v>
      </c>
      <c r="BE325" s="297">
        <v>166696.29999999999</v>
      </c>
      <c r="BF325" s="298">
        <f t="shared" si="16"/>
        <v>1</v>
      </c>
      <c r="BG325" s="297" t="e">
        <f>VLOOKUP(B325,[1]Sheet2!$B:$X,23,0)</f>
        <v>#N/A</v>
      </c>
    </row>
    <row r="326" spans="1:59" s="28" customFormat="1" ht="33" customHeight="1">
      <c r="A326" s="26" t="s">
        <v>1071</v>
      </c>
      <c r="B326" s="26" t="s">
        <v>1073</v>
      </c>
      <c r="C326" s="26" t="s">
        <v>1072</v>
      </c>
      <c r="D326" s="26" t="s">
        <v>1074</v>
      </c>
      <c r="E326" s="25" t="s">
        <v>126</v>
      </c>
      <c r="F326" s="25" t="s">
        <v>315</v>
      </c>
      <c r="G326" s="25" t="s">
        <v>315</v>
      </c>
      <c r="H326" s="218"/>
      <c r="I326" s="53" t="s">
        <v>76</v>
      </c>
      <c r="J326" s="53" t="s">
        <v>702</v>
      </c>
      <c r="K326" s="335">
        <v>43432</v>
      </c>
      <c r="L326" s="26"/>
      <c r="M326" s="243">
        <v>30406.07</v>
      </c>
      <c r="N326" s="243">
        <f t="shared" si="15"/>
        <v>30406.07</v>
      </c>
      <c r="O326" s="106"/>
      <c r="P326" s="243">
        <v>15256.32</v>
      </c>
      <c r="Q326" s="243"/>
      <c r="R326" s="106"/>
      <c r="S326" s="338">
        <v>15149.75</v>
      </c>
      <c r="T326" s="338"/>
      <c r="U326" s="106"/>
      <c r="V326" s="106"/>
      <c r="W326" s="243"/>
      <c r="X326" s="243"/>
      <c r="Y326" s="263"/>
      <c r="Z326" s="263"/>
      <c r="AA326" s="263">
        <v>0.15</v>
      </c>
      <c r="AB326" s="243"/>
      <c r="AC326" s="243">
        <v>15103.76</v>
      </c>
      <c r="AD326" s="243"/>
      <c r="AE326" s="243"/>
      <c r="AF326" s="243">
        <v>10851.88</v>
      </c>
      <c r="AG326" s="243"/>
      <c r="AH326" s="243"/>
      <c r="AI326" s="243"/>
      <c r="AJ326" s="243"/>
      <c r="AK326" s="243"/>
      <c r="AL326" s="243"/>
      <c r="AM326" s="243"/>
      <c r="AN326" s="243">
        <f t="shared" si="13"/>
        <v>25955.64</v>
      </c>
      <c r="AO326" s="25" t="s">
        <v>145</v>
      </c>
      <c r="AP326" s="216" t="s">
        <v>1276</v>
      </c>
      <c r="AQ326" s="245"/>
      <c r="AR326" s="26" t="s">
        <v>384</v>
      </c>
      <c r="AS326" s="26"/>
      <c r="AT326" s="308"/>
      <c r="AU326" s="245"/>
      <c r="AV326" s="43" t="s">
        <v>66</v>
      </c>
      <c r="AW326" s="245"/>
      <c r="AX326" s="289" t="s">
        <v>86</v>
      </c>
      <c r="AY326" s="289"/>
      <c r="AZ326" s="290">
        <v>43433</v>
      </c>
      <c r="BA326" s="290">
        <v>43435</v>
      </c>
      <c r="BB326" s="25"/>
      <c r="BC326" s="291">
        <v>43797</v>
      </c>
      <c r="BD326" s="113" t="s">
        <v>88</v>
      </c>
      <c r="BE326" s="297"/>
      <c r="BF326" s="298">
        <f t="shared" si="16"/>
        <v>0</v>
      </c>
      <c r="BG326" s="297" t="e">
        <f>VLOOKUP(B326,[1]Sheet2!$B:$X,23,0)</f>
        <v>#N/A</v>
      </c>
    </row>
    <row r="327" spans="1:59" s="28" customFormat="1" ht="33" customHeight="1">
      <c r="A327" s="312" t="s">
        <v>1863</v>
      </c>
      <c r="B327" s="43" t="s">
        <v>1864</v>
      </c>
      <c r="C327" s="274" t="s">
        <v>1865</v>
      </c>
      <c r="D327" s="344" t="s">
        <v>1866</v>
      </c>
      <c r="E327" s="25"/>
      <c r="F327" s="26" t="s">
        <v>1277</v>
      </c>
      <c r="G327" s="26" t="s">
        <v>1277</v>
      </c>
      <c r="H327" s="218" t="s">
        <v>1277</v>
      </c>
      <c r="I327" s="240"/>
      <c r="J327" s="240"/>
      <c r="K327" s="335"/>
      <c r="L327" s="26"/>
      <c r="M327" s="26">
        <v>156750</v>
      </c>
      <c r="N327" s="243"/>
      <c r="O327" s="106"/>
      <c r="P327" s="243"/>
      <c r="Q327" s="243"/>
      <c r="R327" s="106"/>
      <c r="S327" s="338"/>
      <c r="T327" s="338"/>
      <c r="U327" s="106"/>
      <c r="V327" s="106"/>
      <c r="W327" s="243"/>
      <c r="X327" s="243"/>
      <c r="Y327" s="263"/>
      <c r="Z327" s="263"/>
      <c r="AA327" s="263"/>
      <c r="AB327" s="243"/>
      <c r="AC327" s="243"/>
      <c r="AD327" s="243"/>
      <c r="AE327" s="243"/>
      <c r="AF327" s="243"/>
      <c r="AG327" s="243"/>
      <c r="AH327" s="243"/>
      <c r="AI327" s="243"/>
      <c r="AJ327" s="243"/>
      <c r="AK327" s="243"/>
      <c r="AL327" s="243"/>
      <c r="AM327" s="243"/>
      <c r="AN327" s="243"/>
      <c r="AO327" s="367" t="s">
        <v>1021</v>
      </c>
      <c r="AP327" s="368"/>
      <c r="AQ327" s="245"/>
      <c r="AR327" s="26" t="s">
        <v>384</v>
      </c>
      <c r="AS327" s="26"/>
      <c r="AT327" s="308"/>
      <c r="AU327" s="245"/>
      <c r="AV327" s="43"/>
      <c r="AW327" s="245"/>
      <c r="AX327" s="289"/>
      <c r="AY327" s="289"/>
      <c r="AZ327" s="290"/>
      <c r="BA327" s="290"/>
      <c r="BB327" s="25"/>
      <c r="BC327" s="291"/>
      <c r="BD327" s="113" t="s">
        <v>1758</v>
      </c>
      <c r="BE327" s="297">
        <v>94050</v>
      </c>
      <c r="BF327" s="298">
        <f t="shared" si="16"/>
        <v>0.6</v>
      </c>
      <c r="BG327" s="297" t="e">
        <f>VLOOKUP(B327,[1]Sheet2!$B:$X,23,0)</f>
        <v>#N/A</v>
      </c>
    </row>
    <row r="328" spans="1:59" s="28" customFormat="1" ht="33" customHeight="1">
      <c r="A328" s="26" t="s">
        <v>1053</v>
      </c>
      <c r="B328" s="25" t="s">
        <v>1055</v>
      </c>
      <c r="C328" s="26" t="s">
        <v>1054</v>
      </c>
      <c r="D328" s="26" t="s">
        <v>1056</v>
      </c>
      <c r="E328" s="25" t="s">
        <v>126</v>
      </c>
      <c r="F328" s="26" t="s">
        <v>1277</v>
      </c>
      <c r="G328" s="26" t="s">
        <v>1277</v>
      </c>
      <c r="H328" s="218" t="s">
        <v>1277</v>
      </c>
      <c r="I328" s="240" t="s">
        <v>76</v>
      </c>
      <c r="J328" s="240" t="s">
        <v>128</v>
      </c>
      <c r="K328" s="335"/>
      <c r="L328" s="26" t="s">
        <v>1039</v>
      </c>
      <c r="M328" s="26">
        <v>189000</v>
      </c>
      <c r="N328" s="243">
        <f t="shared" si="15"/>
        <v>189000</v>
      </c>
      <c r="O328" s="338"/>
      <c r="P328" s="338"/>
      <c r="Q328" s="338"/>
      <c r="R328" s="338"/>
      <c r="S328" s="338"/>
      <c r="T328" s="338"/>
      <c r="U328" s="338">
        <v>189000</v>
      </c>
      <c r="V328" s="338"/>
      <c r="W328" s="26"/>
      <c r="X328" s="26"/>
      <c r="Y328" s="263"/>
      <c r="Z328" s="263"/>
      <c r="AA328" s="263">
        <v>0.15</v>
      </c>
      <c r="AB328" s="26"/>
      <c r="AC328" s="26"/>
      <c r="AD328" s="26"/>
      <c r="AE328" s="26"/>
      <c r="AF328" s="26"/>
      <c r="AG328" s="26"/>
      <c r="AH328" s="26">
        <v>160650</v>
      </c>
      <c r="AI328" s="26"/>
      <c r="AJ328" s="26"/>
      <c r="AK328" s="26"/>
      <c r="AL328" s="26"/>
      <c r="AM328" s="26"/>
      <c r="AN328" s="243">
        <f t="shared" si="13"/>
        <v>160650</v>
      </c>
      <c r="AO328" s="25" t="s">
        <v>108</v>
      </c>
      <c r="AP328" s="216"/>
      <c r="AQ328" s="245"/>
      <c r="AR328" s="26" t="s">
        <v>384</v>
      </c>
      <c r="AS328" s="26"/>
      <c r="AT328" s="308"/>
      <c r="AU328" s="245"/>
      <c r="AV328" s="341"/>
      <c r="AW328" s="245"/>
      <c r="AX328" s="289"/>
      <c r="AY328" s="289"/>
      <c r="AZ328" s="290"/>
      <c r="BA328" s="290"/>
      <c r="BB328" s="25"/>
      <c r="BC328" s="291"/>
      <c r="BD328" s="113" t="s">
        <v>1758</v>
      </c>
      <c r="BE328" s="297">
        <v>189000</v>
      </c>
      <c r="BF328" s="298">
        <f t="shared" si="16"/>
        <v>1</v>
      </c>
      <c r="BG328" s="297" t="e">
        <f>VLOOKUP(B328,[1]Sheet2!$B:$X,23,0)</f>
        <v>#N/A</v>
      </c>
    </row>
    <row r="329" spans="1:59" s="28" customFormat="1" ht="33" customHeight="1">
      <c r="A329" s="26" t="s">
        <v>976</v>
      </c>
      <c r="B329" s="25" t="s">
        <v>978</v>
      </c>
      <c r="C329" s="26" t="s">
        <v>977</v>
      </c>
      <c r="D329" s="26" t="s">
        <v>979</v>
      </c>
      <c r="E329" s="25" t="s">
        <v>83</v>
      </c>
      <c r="F329" s="25" t="s">
        <v>315</v>
      </c>
      <c r="G329" s="25" t="s">
        <v>315</v>
      </c>
      <c r="H329" s="218" t="s">
        <v>1314</v>
      </c>
      <c r="I329" s="240" t="s">
        <v>76</v>
      </c>
      <c r="J329" s="240" t="s">
        <v>128</v>
      </c>
      <c r="K329" s="295">
        <v>43363</v>
      </c>
      <c r="L329" s="26" t="s">
        <v>980</v>
      </c>
      <c r="M329" s="26">
        <v>6374847</v>
      </c>
      <c r="N329" s="243">
        <f t="shared" si="15"/>
        <v>6297147</v>
      </c>
      <c r="O329" s="338"/>
      <c r="P329" s="338">
        <v>5277147</v>
      </c>
      <c r="Q329" s="338"/>
      <c r="R329" s="338"/>
      <c r="S329" s="338">
        <v>1020000</v>
      </c>
      <c r="T329" s="338"/>
      <c r="U329" s="338"/>
      <c r="V329" s="338"/>
      <c r="W329" s="26">
        <f>12000+65700</f>
        <v>77700</v>
      </c>
      <c r="X329" s="26" t="s">
        <v>981</v>
      </c>
      <c r="Y329" s="263"/>
      <c r="Z329" s="263"/>
      <c r="AA329" s="262">
        <v>0.1</v>
      </c>
      <c r="AB329" s="26"/>
      <c r="AC329" s="26">
        <v>5277047</v>
      </c>
      <c r="AD329" s="26"/>
      <c r="AE329" s="26"/>
      <c r="AF329" s="26">
        <v>336515</v>
      </c>
      <c r="AG329" s="26"/>
      <c r="AH329" s="26"/>
      <c r="AI329" s="26">
        <v>12000</v>
      </c>
      <c r="AJ329" s="26"/>
      <c r="AK329" s="26">
        <v>65700</v>
      </c>
      <c r="AL329" s="26"/>
      <c r="AM329" s="26"/>
      <c r="AN329" s="243">
        <f t="shared" si="13"/>
        <v>5691262</v>
      </c>
      <c r="AO329" s="25" t="s">
        <v>132</v>
      </c>
      <c r="AP329" s="216" t="s">
        <v>1497</v>
      </c>
      <c r="AQ329" s="245"/>
      <c r="AR329" s="26" t="s">
        <v>384</v>
      </c>
      <c r="AS329" s="26"/>
      <c r="AT329" s="308"/>
      <c r="AU329" s="245"/>
      <c r="AV329" s="43" t="s">
        <v>66</v>
      </c>
      <c r="AW329" s="245"/>
      <c r="AX329" s="289" t="s">
        <v>86</v>
      </c>
      <c r="AY329" s="289"/>
      <c r="AZ329" s="290">
        <v>43592</v>
      </c>
      <c r="BA329" s="290">
        <v>43599</v>
      </c>
      <c r="BB329" s="25"/>
      <c r="BC329" s="291">
        <v>43957</v>
      </c>
      <c r="BD329" s="26" t="s">
        <v>88</v>
      </c>
      <c r="BE329" s="297">
        <v>4897320</v>
      </c>
      <c r="BF329" s="298">
        <f t="shared" si="16"/>
        <v>0.76822549623543901</v>
      </c>
      <c r="BG329" s="297" t="e">
        <f>VLOOKUP(B329,[1]Sheet2!$B:$X,23,0)</f>
        <v>#N/A</v>
      </c>
    </row>
    <row r="330" spans="1:59" s="28" customFormat="1" ht="33" customHeight="1">
      <c r="A330" s="26" t="s">
        <v>1041</v>
      </c>
      <c r="B330" s="25" t="s">
        <v>1043</v>
      </c>
      <c r="C330" s="26" t="s">
        <v>1042</v>
      </c>
      <c r="D330" s="26" t="s">
        <v>1044</v>
      </c>
      <c r="E330" s="25" t="s">
        <v>126</v>
      </c>
      <c r="F330" s="25" t="s">
        <v>315</v>
      </c>
      <c r="G330" s="25" t="s">
        <v>315</v>
      </c>
      <c r="H330" s="218" t="s">
        <v>1275</v>
      </c>
      <c r="I330" s="240" t="s">
        <v>76</v>
      </c>
      <c r="J330" s="240" t="s">
        <v>1045</v>
      </c>
      <c r="K330" s="335"/>
      <c r="L330" s="26" t="s">
        <v>1046</v>
      </c>
      <c r="M330" s="26">
        <v>1322410</v>
      </c>
      <c r="N330" s="243">
        <f t="shared" si="15"/>
        <v>1322410</v>
      </c>
      <c r="O330" s="338"/>
      <c r="P330" s="338">
        <v>560817</v>
      </c>
      <c r="Q330" s="338"/>
      <c r="R330" s="338"/>
      <c r="S330" s="338">
        <v>761593</v>
      </c>
      <c r="T330" s="338"/>
      <c r="U330" s="338"/>
      <c r="V330" s="338"/>
      <c r="W330" s="26"/>
      <c r="X330" s="26"/>
      <c r="Y330" s="263"/>
      <c r="Z330" s="263"/>
      <c r="AA330" s="263">
        <v>0.15</v>
      </c>
      <c r="AB330" s="26"/>
      <c r="AC330" s="26">
        <v>555190</v>
      </c>
      <c r="AD330" s="26"/>
      <c r="AE330" s="26"/>
      <c r="AF330" s="26">
        <v>572642</v>
      </c>
      <c r="AG330" s="26"/>
      <c r="AH330" s="26"/>
      <c r="AI330" s="26"/>
      <c r="AJ330" s="26"/>
      <c r="AK330" s="26"/>
      <c r="AL330" s="26"/>
      <c r="AM330" s="26"/>
      <c r="AN330" s="243">
        <f t="shared" si="13"/>
        <v>1127832</v>
      </c>
      <c r="AO330" s="25" t="s">
        <v>1021</v>
      </c>
      <c r="AP330" s="216"/>
      <c r="AQ330" s="245"/>
      <c r="AR330" s="26" t="s">
        <v>384</v>
      </c>
      <c r="AS330" s="26"/>
      <c r="AT330" s="308"/>
      <c r="AU330" s="245"/>
      <c r="AV330" s="43" t="s">
        <v>66</v>
      </c>
      <c r="AW330" s="245"/>
      <c r="AX330" s="289" t="s">
        <v>86</v>
      </c>
      <c r="AY330" s="289"/>
      <c r="AZ330" s="290">
        <v>43435</v>
      </c>
      <c r="BA330" s="290">
        <v>43435</v>
      </c>
      <c r="BB330" s="25"/>
      <c r="BC330" s="291">
        <v>43800</v>
      </c>
      <c r="BD330" s="113" t="s">
        <v>88</v>
      </c>
      <c r="BE330" s="297">
        <v>1256289.5</v>
      </c>
      <c r="BF330" s="298">
        <f t="shared" si="16"/>
        <v>0.95</v>
      </c>
      <c r="BG330" s="297" t="e">
        <f>VLOOKUP(B330,[1]Sheet2!$B:$X,23,0)</f>
        <v>#N/A</v>
      </c>
    </row>
    <row r="331" spans="1:59" s="28" customFormat="1" ht="33" customHeight="1">
      <c r="A331" s="26" t="s">
        <v>1049</v>
      </c>
      <c r="B331" s="25" t="s">
        <v>1051</v>
      </c>
      <c r="C331" s="26" t="s">
        <v>1050</v>
      </c>
      <c r="D331" s="26" t="s">
        <v>1052</v>
      </c>
      <c r="E331" s="25" t="s">
        <v>126</v>
      </c>
      <c r="F331" s="25" t="s">
        <v>315</v>
      </c>
      <c r="G331" s="25" t="s">
        <v>315</v>
      </c>
      <c r="H331" s="218"/>
      <c r="I331" s="53" t="s">
        <v>76</v>
      </c>
      <c r="J331" s="53" t="s">
        <v>1045</v>
      </c>
      <c r="K331" s="335"/>
      <c r="L331" s="26" t="s">
        <v>1046</v>
      </c>
      <c r="M331" s="26">
        <v>568282</v>
      </c>
      <c r="N331" s="243">
        <f t="shared" si="15"/>
        <v>568282</v>
      </c>
      <c r="O331" s="338"/>
      <c r="P331" s="338">
        <v>306948</v>
      </c>
      <c r="Q331" s="338"/>
      <c r="R331" s="338"/>
      <c r="S331" s="338">
        <v>261334</v>
      </c>
      <c r="T331" s="338"/>
      <c r="U331" s="338"/>
      <c r="V331" s="338"/>
      <c r="W331" s="26"/>
      <c r="X331" s="26"/>
      <c r="Y331" s="263"/>
      <c r="Z331" s="263"/>
      <c r="AA331" s="263">
        <v>0.15</v>
      </c>
      <c r="AB331" s="26"/>
      <c r="AC331" s="26">
        <v>303869</v>
      </c>
      <c r="AD331" s="26"/>
      <c r="AE331" s="26"/>
      <c r="AF331" s="26">
        <v>180403</v>
      </c>
      <c r="AG331" s="26"/>
      <c r="AH331" s="26"/>
      <c r="AI331" s="26"/>
      <c r="AJ331" s="26"/>
      <c r="AK331" s="26"/>
      <c r="AL331" s="26"/>
      <c r="AM331" s="26"/>
      <c r="AN331" s="243">
        <f t="shared" si="13"/>
        <v>484272</v>
      </c>
      <c r="AO331" s="25" t="s">
        <v>1021</v>
      </c>
      <c r="AP331" s="216"/>
      <c r="AQ331" s="245"/>
      <c r="AR331" s="26" t="s">
        <v>384</v>
      </c>
      <c r="AS331" s="26"/>
      <c r="AT331" s="308"/>
      <c r="AU331" s="245"/>
      <c r="AV331" s="43" t="s">
        <v>66</v>
      </c>
      <c r="AW331" s="245"/>
      <c r="AX331" s="289" t="s">
        <v>86</v>
      </c>
      <c r="AY331" s="289"/>
      <c r="AZ331" s="290">
        <v>43435</v>
      </c>
      <c r="BA331" s="290">
        <v>43435</v>
      </c>
      <c r="BB331" s="25"/>
      <c r="BC331" s="291">
        <v>43800</v>
      </c>
      <c r="BD331" s="113" t="s">
        <v>88</v>
      </c>
      <c r="BE331" s="297">
        <v>0</v>
      </c>
      <c r="BF331" s="298">
        <f t="shared" si="16"/>
        <v>0</v>
      </c>
      <c r="BG331" s="297" t="e">
        <f>VLOOKUP(B331,[1]Sheet2!$B:$X,23,0)</f>
        <v>#N/A</v>
      </c>
    </row>
    <row r="332" spans="1:59" s="28" customFormat="1" ht="33" customHeight="1">
      <c r="A332" s="26" t="s">
        <v>1082</v>
      </c>
      <c r="B332" s="25" t="s">
        <v>1084</v>
      </c>
      <c r="C332" s="26" t="s">
        <v>1083</v>
      </c>
      <c r="D332" s="26" t="s">
        <v>1085</v>
      </c>
      <c r="E332" s="25" t="s">
        <v>126</v>
      </c>
      <c r="F332" s="25" t="s">
        <v>315</v>
      </c>
      <c r="G332" s="25" t="s">
        <v>315</v>
      </c>
      <c r="H332" s="218"/>
      <c r="I332" s="53" t="s">
        <v>76</v>
      </c>
      <c r="J332" s="53" t="s">
        <v>128</v>
      </c>
      <c r="K332" s="335">
        <v>43445</v>
      </c>
      <c r="L332" s="26"/>
      <c r="M332" s="243">
        <v>37451.4</v>
      </c>
      <c r="N332" s="243">
        <f t="shared" si="15"/>
        <v>37451.4</v>
      </c>
      <c r="O332" s="106"/>
      <c r="P332" s="243">
        <v>19070.400000000001</v>
      </c>
      <c r="Q332" s="243"/>
      <c r="R332" s="106"/>
      <c r="S332" s="338">
        <v>13387</v>
      </c>
      <c r="T332" s="338"/>
      <c r="U332" s="338">
        <v>4994</v>
      </c>
      <c r="V332" s="106"/>
      <c r="W332" s="243"/>
      <c r="X332" s="243"/>
      <c r="Y332" s="263"/>
      <c r="Z332" s="263"/>
      <c r="AA332" s="263">
        <v>0.15</v>
      </c>
      <c r="AB332" s="243"/>
      <c r="AC332" s="243">
        <v>18879.7</v>
      </c>
      <c r="AD332" s="243"/>
      <c r="AE332" s="243"/>
      <c r="AF332" s="243">
        <v>9370</v>
      </c>
      <c r="AG332" s="243"/>
      <c r="AH332" s="243">
        <v>3740.23</v>
      </c>
      <c r="AI332" s="243"/>
      <c r="AJ332" s="243"/>
      <c r="AK332" s="243"/>
      <c r="AL332" s="243"/>
      <c r="AM332" s="243"/>
      <c r="AN332" s="243">
        <f t="shared" si="13"/>
        <v>31989.93</v>
      </c>
      <c r="AO332" s="25" t="s">
        <v>93</v>
      </c>
      <c r="AP332" s="216"/>
      <c r="AQ332" s="245"/>
      <c r="AR332" s="26" t="s">
        <v>384</v>
      </c>
      <c r="AS332" s="26"/>
      <c r="AT332" s="308"/>
      <c r="AU332" s="245"/>
      <c r="AV332" s="43" t="s">
        <v>66</v>
      </c>
      <c r="AW332" s="245"/>
      <c r="AX332" s="289" t="s">
        <v>86</v>
      </c>
      <c r="AY332" s="289"/>
      <c r="AZ332" s="290">
        <v>43460</v>
      </c>
      <c r="BA332" s="290">
        <v>43449</v>
      </c>
      <c r="BB332" s="25"/>
      <c r="BC332" s="291">
        <v>43800</v>
      </c>
      <c r="BD332" s="113" t="s">
        <v>88</v>
      </c>
      <c r="BE332" s="297">
        <v>37451.4</v>
      </c>
      <c r="BF332" s="298">
        <f t="shared" si="16"/>
        <v>1</v>
      </c>
      <c r="BG332" s="297" t="e">
        <f>VLOOKUP(B332,[1]Sheet2!$B:$X,23,0)</f>
        <v>#N/A</v>
      </c>
    </row>
    <row r="333" spans="1:59" s="28" customFormat="1" ht="33" customHeight="1">
      <c r="A333" s="26" t="s">
        <v>1075</v>
      </c>
      <c r="B333" s="113" t="s">
        <v>1077</v>
      </c>
      <c r="C333" s="26" t="s">
        <v>1076</v>
      </c>
      <c r="D333" s="26" t="s">
        <v>1078</v>
      </c>
      <c r="E333" s="25" t="s">
        <v>883</v>
      </c>
      <c r="F333" s="25" t="s">
        <v>315</v>
      </c>
      <c r="G333" s="25" t="s">
        <v>315</v>
      </c>
      <c r="H333" s="218" t="s">
        <v>1275</v>
      </c>
      <c r="I333" s="53" t="s">
        <v>76</v>
      </c>
      <c r="J333" s="53" t="s">
        <v>63</v>
      </c>
      <c r="K333" s="335"/>
      <c r="L333" s="26"/>
      <c r="M333" s="243">
        <v>800000</v>
      </c>
      <c r="N333" s="243">
        <f t="shared" si="15"/>
        <v>800000</v>
      </c>
      <c r="O333" s="106"/>
      <c r="P333" s="243"/>
      <c r="Q333" s="243"/>
      <c r="R333" s="106"/>
      <c r="S333" s="338">
        <v>800000</v>
      </c>
      <c r="T333" s="338"/>
      <c r="U333" s="106"/>
      <c r="V333" s="106"/>
      <c r="W333" s="243"/>
      <c r="X333" s="243"/>
      <c r="Y333" s="263"/>
      <c r="Z333" s="263"/>
      <c r="AA333" s="263">
        <v>0.12</v>
      </c>
      <c r="AB333" s="243"/>
      <c r="AC333" s="243"/>
      <c r="AD333" s="243"/>
      <c r="AE333" s="243"/>
      <c r="AF333" s="243">
        <v>704000</v>
      </c>
      <c r="AG333" s="243"/>
      <c r="AH333" s="243"/>
      <c r="AI333" s="243"/>
      <c r="AJ333" s="243"/>
      <c r="AK333" s="243"/>
      <c r="AL333" s="243"/>
      <c r="AM333" s="243"/>
      <c r="AN333" s="243">
        <f t="shared" si="13"/>
        <v>704000</v>
      </c>
      <c r="AO333" s="25" t="s">
        <v>62</v>
      </c>
      <c r="AP333" s="216"/>
      <c r="AQ333" s="245"/>
      <c r="AR333" s="26" t="s">
        <v>384</v>
      </c>
      <c r="AS333" s="26"/>
      <c r="AT333" s="308"/>
      <c r="AU333" s="245"/>
      <c r="AV333" s="341"/>
      <c r="AW333" s="245"/>
      <c r="AX333" s="289"/>
      <c r="AY333" s="289"/>
      <c r="AZ333" s="290"/>
      <c r="BA333" s="290"/>
      <c r="BB333" s="25"/>
      <c r="BC333" s="291"/>
      <c r="BD333" s="113"/>
      <c r="BE333" s="297">
        <v>0</v>
      </c>
      <c r="BF333" s="298">
        <f t="shared" si="16"/>
        <v>0</v>
      </c>
      <c r="BG333" s="297" t="e">
        <f>VLOOKUP(B333,[1]Sheet2!$B:$X,23,0)</f>
        <v>#N/A</v>
      </c>
    </row>
    <row r="334" spans="1:59" s="28" customFormat="1" ht="33" customHeight="1">
      <c r="A334" s="26" t="s">
        <v>1079</v>
      </c>
      <c r="B334" s="113" t="s">
        <v>1081</v>
      </c>
      <c r="C334" s="26" t="s">
        <v>1080</v>
      </c>
      <c r="D334" s="26" t="s">
        <v>1078</v>
      </c>
      <c r="E334" s="25" t="s">
        <v>294</v>
      </c>
      <c r="F334" s="25" t="s">
        <v>315</v>
      </c>
      <c r="G334" s="25" t="s">
        <v>315</v>
      </c>
      <c r="H334" s="218"/>
      <c r="I334" s="53" t="s">
        <v>76</v>
      </c>
      <c r="J334" s="53" t="s">
        <v>63</v>
      </c>
      <c r="K334" s="335"/>
      <c r="L334" s="26"/>
      <c r="M334" s="243">
        <v>7203936</v>
      </c>
      <c r="N334" s="243">
        <f t="shared" si="15"/>
        <v>7203936</v>
      </c>
      <c r="O334" s="106"/>
      <c r="P334" s="243"/>
      <c r="Q334" s="243"/>
      <c r="R334" s="106"/>
      <c r="S334" s="338">
        <v>7203936</v>
      </c>
      <c r="T334" s="338"/>
      <c r="U334" s="106"/>
      <c r="V334" s="106"/>
      <c r="W334" s="243"/>
      <c r="X334" s="243"/>
      <c r="Y334" s="263"/>
      <c r="Z334" s="263"/>
      <c r="AA334" s="263">
        <v>0.12</v>
      </c>
      <c r="AB334" s="243"/>
      <c r="AC334" s="243"/>
      <c r="AD334" s="243"/>
      <c r="AE334" s="243"/>
      <c r="AF334" s="243">
        <v>6339463.6799999997</v>
      </c>
      <c r="AG334" s="243"/>
      <c r="AH334" s="243"/>
      <c r="AI334" s="243"/>
      <c r="AJ334" s="243"/>
      <c r="AK334" s="243"/>
      <c r="AL334" s="243"/>
      <c r="AM334" s="243"/>
      <c r="AN334" s="243">
        <f t="shared" si="13"/>
        <v>6339463.6799999997</v>
      </c>
      <c r="AO334" s="25" t="s">
        <v>62</v>
      </c>
      <c r="AP334" s="216"/>
      <c r="AQ334" s="245"/>
      <c r="AR334" s="26" t="s">
        <v>384</v>
      </c>
      <c r="AS334" s="26"/>
      <c r="AT334" s="308"/>
      <c r="AU334" s="245"/>
      <c r="AV334" s="341"/>
      <c r="AW334" s="245"/>
      <c r="AX334" s="289"/>
      <c r="AY334" s="289"/>
      <c r="AZ334" s="290"/>
      <c r="BA334" s="290"/>
      <c r="BB334" s="25"/>
      <c r="BC334" s="291"/>
      <c r="BD334" s="113"/>
      <c r="BE334" s="297"/>
      <c r="BF334" s="298">
        <f t="shared" si="16"/>
        <v>0</v>
      </c>
      <c r="BG334" s="297" t="e">
        <f>VLOOKUP(B334,[1]Sheet2!$B:$X,23,0)</f>
        <v>#N/A</v>
      </c>
    </row>
    <row r="335" spans="1:59" s="28" customFormat="1" ht="33" customHeight="1">
      <c r="A335" s="26" t="s">
        <v>1086</v>
      </c>
      <c r="B335" s="25" t="s">
        <v>1088</v>
      </c>
      <c r="C335" s="26" t="s">
        <v>1087</v>
      </c>
      <c r="D335" s="26" t="s">
        <v>1089</v>
      </c>
      <c r="E335" s="25" t="s">
        <v>249</v>
      </c>
      <c r="F335" s="25" t="s">
        <v>315</v>
      </c>
      <c r="G335" s="25" t="s">
        <v>315</v>
      </c>
      <c r="H335" s="218" t="s">
        <v>1275</v>
      </c>
      <c r="I335" s="53" t="s">
        <v>602</v>
      </c>
      <c r="J335" s="53" t="s">
        <v>63</v>
      </c>
      <c r="K335" s="335">
        <v>43485</v>
      </c>
      <c r="L335" s="26"/>
      <c r="M335" s="243">
        <v>965000</v>
      </c>
      <c r="N335" s="243">
        <f t="shared" si="15"/>
        <v>965000</v>
      </c>
      <c r="O335" s="106"/>
      <c r="P335" s="243">
        <v>712200</v>
      </c>
      <c r="Q335" s="243"/>
      <c r="R335" s="106"/>
      <c r="S335" s="338">
        <v>41600</v>
      </c>
      <c r="T335" s="338"/>
      <c r="U335" s="338">
        <v>211200</v>
      </c>
      <c r="V335" s="106"/>
      <c r="W335" s="243"/>
      <c r="X335" s="243"/>
      <c r="Y335" s="263"/>
      <c r="Z335" s="263"/>
      <c r="AA335" s="263">
        <v>0.1</v>
      </c>
      <c r="AB335" s="243"/>
      <c r="AC335" s="243">
        <v>640980</v>
      </c>
      <c r="AD335" s="243"/>
      <c r="AE335" s="243"/>
      <c r="AF335" s="243">
        <v>37440</v>
      </c>
      <c r="AG335" s="243"/>
      <c r="AH335" s="243">
        <v>190080</v>
      </c>
      <c r="AI335" s="243"/>
      <c r="AJ335" s="243"/>
      <c r="AK335" s="243"/>
      <c r="AL335" s="243"/>
      <c r="AM335" s="243"/>
      <c r="AN335" s="243">
        <f t="shared" si="13"/>
        <v>868500</v>
      </c>
      <c r="AO335" s="25" t="s">
        <v>108</v>
      </c>
      <c r="AP335" s="216"/>
      <c r="AQ335" s="245"/>
      <c r="AR335" s="26" t="s">
        <v>384</v>
      </c>
      <c r="AS335" s="26"/>
      <c r="AT335" s="308"/>
      <c r="AU335" s="245"/>
      <c r="AV335" s="43" t="s">
        <v>66</v>
      </c>
      <c r="AW335" s="245"/>
      <c r="AX335" s="289" t="s">
        <v>86</v>
      </c>
      <c r="AY335" s="289" t="s">
        <v>1844</v>
      </c>
      <c r="AZ335" s="290">
        <v>43525</v>
      </c>
      <c r="BA335" s="290">
        <v>43545</v>
      </c>
      <c r="BB335" s="25"/>
      <c r="BC335" s="291">
        <v>43891</v>
      </c>
      <c r="BD335" s="113" t="s">
        <v>88</v>
      </c>
      <c r="BE335" s="297"/>
      <c r="BF335" s="298">
        <f t="shared" si="16"/>
        <v>0</v>
      </c>
      <c r="BG335" s="297" t="e">
        <f>VLOOKUP(B335,[1]Sheet2!$B:$X,23,0)</f>
        <v>#N/A</v>
      </c>
    </row>
    <row r="336" spans="1:59" s="28" customFormat="1" ht="33" customHeight="1">
      <c r="A336" s="26" t="s">
        <v>1098</v>
      </c>
      <c r="B336" s="26" t="s">
        <v>1100</v>
      </c>
      <c r="C336" s="26" t="s">
        <v>1099</v>
      </c>
      <c r="D336" s="26" t="s">
        <v>1101</v>
      </c>
      <c r="E336" s="25" t="s">
        <v>1093</v>
      </c>
      <c r="F336" s="25" t="s">
        <v>315</v>
      </c>
      <c r="G336" s="25" t="s">
        <v>315</v>
      </c>
      <c r="H336" s="218" t="s">
        <v>1275</v>
      </c>
      <c r="I336" s="53" t="s">
        <v>76</v>
      </c>
      <c r="J336" s="53" t="s">
        <v>128</v>
      </c>
      <c r="K336" s="335">
        <v>43458</v>
      </c>
      <c r="L336" s="26"/>
      <c r="M336" s="243">
        <v>658699.6</v>
      </c>
      <c r="N336" s="243">
        <f t="shared" si="15"/>
        <v>658699.6</v>
      </c>
      <c r="O336" s="243"/>
      <c r="P336" s="243">
        <v>482864.6</v>
      </c>
      <c r="Q336" s="243"/>
      <c r="R336" s="243"/>
      <c r="S336" s="243">
        <v>142736</v>
      </c>
      <c r="T336" s="243"/>
      <c r="U336" s="243">
        <v>33099</v>
      </c>
      <c r="V336" s="243"/>
      <c r="W336" s="243"/>
      <c r="X336" s="243"/>
      <c r="Y336" s="263"/>
      <c r="Z336" s="263"/>
      <c r="AA336" s="263">
        <v>0.15</v>
      </c>
      <c r="AB336" s="243"/>
      <c r="AC336" s="243">
        <v>478035.95400000003</v>
      </c>
      <c r="AD336" s="243"/>
      <c r="AE336" s="243"/>
      <c r="AF336" s="243">
        <v>61390.167871960803</v>
      </c>
      <c r="AG336" s="243"/>
      <c r="AH336" s="243">
        <v>14235.744075734399</v>
      </c>
      <c r="AI336" s="243"/>
      <c r="AJ336" s="243"/>
      <c r="AK336" s="243"/>
      <c r="AL336" s="243"/>
      <c r="AM336" s="243"/>
      <c r="AN336" s="243">
        <f t="shared" ref="AN336:AN356" si="17">SUM(AB336:AL336)</f>
        <v>553661.86594769522</v>
      </c>
      <c r="AO336" s="25" t="s">
        <v>145</v>
      </c>
      <c r="AP336" s="216" t="s">
        <v>1276</v>
      </c>
      <c r="AQ336" s="245"/>
      <c r="AR336" s="26" t="s">
        <v>384</v>
      </c>
      <c r="AS336" s="26"/>
      <c r="AT336" s="308"/>
      <c r="AU336" s="245"/>
      <c r="AV336" s="43" t="s">
        <v>66</v>
      </c>
      <c r="AW336" s="245"/>
      <c r="AX336" s="26" t="s">
        <v>86</v>
      </c>
      <c r="AY336" s="289"/>
      <c r="AZ336" s="290">
        <v>43440</v>
      </c>
      <c r="BA336" s="290">
        <v>43449</v>
      </c>
      <c r="BB336" s="25"/>
      <c r="BC336" s="291">
        <v>43804</v>
      </c>
      <c r="BD336" s="113" t="s">
        <v>88</v>
      </c>
      <c r="BE336" s="297">
        <v>625764.62</v>
      </c>
      <c r="BF336" s="298">
        <f t="shared" si="16"/>
        <v>0.95000000000000007</v>
      </c>
      <c r="BG336" s="297" t="e">
        <f>VLOOKUP(B336,[1]Sheet2!$B:$X,23,0)</f>
        <v>#N/A</v>
      </c>
    </row>
    <row r="337" spans="1:59" s="28" customFormat="1" ht="33" customHeight="1">
      <c r="A337" s="26" t="s">
        <v>1102</v>
      </c>
      <c r="B337" s="26" t="s">
        <v>1104</v>
      </c>
      <c r="C337" s="26" t="s">
        <v>1103</v>
      </c>
      <c r="D337" s="26" t="s">
        <v>1105</v>
      </c>
      <c r="E337" s="25" t="s">
        <v>1093</v>
      </c>
      <c r="F337" s="25" t="s">
        <v>315</v>
      </c>
      <c r="G337" s="25" t="s">
        <v>315</v>
      </c>
      <c r="H337" s="218" t="s">
        <v>1275</v>
      </c>
      <c r="I337" s="53" t="s">
        <v>76</v>
      </c>
      <c r="J337" s="53" t="s">
        <v>128</v>
      </c>
      <c r="K337" s="335">
        <v>43458</v>
      </c>
      <c r="L337" s="26"/>
      <c r="M337" s="243">
        <v>453355.51</v>
      </c>
      <c r="N337" s="243">
        <f t="shared" si="15"/>
        <v>453355.51</v>
      </c>
      <c r="O337" s="243"/>
      <c r="P337" s="243">
        <v>233330.51</v>
      </c>
      <c r="Q337" s="243"/>
      <c r="R337" s="243"/>
      <c r="S337" s="243">
        <v>100025</v>
      </c>
      <c r="T337" s="243"/>
      <c r="U337" s="243">
        <v>120000</v>
      </c>
      <c r="V337" s="243"/>
      <c r="W337" s="243"/>
      <c r="X337" s="243"/>
      <c r="Y337" s="263"/>
      <c r="Z337" s="263"/>
      <c r="AA337" s="263">
        <v>0.15</v>
      </c>
      <c r="AB337" s="243"/>
      <c r="AC337" s="243">
        <v>230998.2</v>
      </c>
      <c r="AD337" s="243"/>
      <c r="AE337" s="243"/>
      <c r="AF337" s="243">
        <v>79521.25</v>
      </c>
      <c r="AG337" s="243"/>
      <c r="AH337" s="243">
        <v>70978.83</v>
      </c>
      <c r="AI337" s="243"/>
      <c r="AJ337" s="243"/>
      <c r="AK337" s="243"/>
      <c r="AL337" s="243"/>
      <c r="AM337" s="243"/>
      <c r="AN337" s="243">
        <f t="shared" si="17"/>
        <v>381498.28</v>
      </c>
      <c r="AO337" s="25" t="s">
        <v>145</v>
      </c>
      <c r="AP337" s="216" t="s">
        <v>1276</v>
      </c>
      <c r="AQ337" s="245"/>
      <c r="AR337" s="26" t="s">
        <v>384</v>
      </c>
      <c r="AS337" s="26"/>
      <c r="AT337" s="308"/>
      <c r="AU337" s="245"/>
      <c r="AV337" s="43" t="s">
        <v>66</v>
      </c>
      <c r="AW337" s="245"/>
      <c r="AX337" s="26" t="s">
        <v>86</v>
      </c>
      <c r="AY337" s="289"/>
      <c r="AZ337" s="290">
        <v>43468</v>
      </c>
      <c r="BA337" s="290">
        <v>43468</v>
      </c>
      <c r="BB337" s="25"/>
      <c r="BC337" s="291">
        <v>43832</v>
      </c>
      <c r="BD337" s="113" t="s">
        <v>88</v>
      </c>
      <c r="BE337" s="297">
        <v>459619.98</v>
      </c>
      <c r="BF337" s="298">
        <f t="shared" si="16"/>
        <v>1.0138180078587773</v>
      </c>
      <c r="BG337" s="297" t="e">
        <f>VLOOKUP(B337,[1]Sheet2!$B:$X,23,0)</f>
        <v>#N/A</v>
      </c>
    </row>
    <row r="338" spans="1:59" s="28" customFormat="1" ht="33" customHeight="1">
      <c r="A338" s="26" t="s">
        <v>1106</v>
      </c>
      <c r="B338" s="26" t="s">
        <v>1104</v>
      </c>
      <c r="C338" s="26" t="s">
        <v>1107</v>
      </c>
      <c r="D338" s="26" t="s">
        <v>1108</v>
      </c>
      <c r="E338" s="25" t="s">
        <v>1093</v>
      </c>
      <c r="F338" s="25" t="s">
        <v>315</v>
      </c>
      <c r="G338" s="25" t="s">
        <v>315</v>
      </c>
      <c r="H338" s="218" t="s">
        <v>1275</v>
      </c>
      <c r="I338" s="53" t="s">
        <v>76</v>
      </c>
      <c r="J338" s="53" t="s">
        <v>128</v>
      </c>
      <c r="K338" s="335">
        <v>43495</v>
      </c>
      <c r="L338" s="26"/>
      <c r="M338" s="243">
        <v>30455</v>
      </c>
      <c r="N338" s="243">
        <f t="shared" si="15"/>
        <v>30455</v>
      </c>
      <c r="O338" s="243"/>
      <c r="P338" s="243">
        <v>18770</v>
      </c>
      <c r="Q338" s="243"/>
      <c r="R338" s="243"/>
      <c r="S338" s="243">
        <v>6685</v>
      </c>
      <c r="T338" s="243"/>
      <c r="U338" s="243">
        <v>5000</v>
      </c>
      <c r="V338" s="243"/>
      <c r="W338" s="243"/>
      <c r="X338" s="243"/>
      <c r="Y338" s="263"/>
      <c r="Z338" s="263"/>
      <c r="AA338" s="263">
        <v>0.15</v>
      </c>
      <c r="AB338" s="243"/>
      <c r="AC338" s="243">
        <v>18582.3</v>
      </c>
      <c r="AD338" s="243"/>
      <c r="AE338" s="243"/>
      <c r="AF338" s="243">
        <v>4279.3</v>
      </c>
      <c r="AG338" s="243"/>
      <c r="AH338" s="243">
        <v>3200.67</v>
      </c>
      <c r="AI338" s="243"/>
      <c r="AJ338" s="243"/>
      <c r="AK338" s="243"/>
      <c r="AL338" s="243"/>
      <c r="AM338" s="243"/>
      <c r="AN338" s="243">
        <f t="shared" si="17"/>
        <v>26062.269999999997</v>
      </c>
      <c r="AO338" s="25" t="s">
        <v>1021</v>
      </c>
      <c r="AP338" s="216"/>
      <c r="AQ338" s="245"/>
      <c r="AR338" s="26" t="s">
        <v>384</v>
      </c>
      <c r="AS338" s="26"/>
      <c r="AT338" s="308"/>
      <c r="AU338" s="245"/>
      <c r="AV338" s="341"/>
      <c r="AW338" s="245"/>
      <c r="AX338" s="26"/>
      <c r="AY338" s="289"/>
      <c r="AZ338" s="290"/>
      <c r="BA338" s="290"/>
      <c r="BB338" s="25"/>
      <c r="BC338" s="291"/>
      <c r="BD338" s="341"/>
      <c r="BE338" s="297">
        <v>459619.98</v>
      </c>
      <c r="BF338" s="298">
        <f t="shared" si="16"/>
        <v>15.091774092923986</v>
      </c>
      <c r="BG338" s="297" t="e">
        <f>VLOOKUP(B338,[1]Sheet2!$B:$X,23,0)</f>
        <v>#N/A</v>
      </c>
    </row>
    <row r="339" spans="1:59" s="28" customFormat="1" ht="33" customHeight="1">
      <c r="A339" s="312"/>
      <c r="B339" s="40" t="s">
        <v>1867</v>
      </c>
      <c r="C339" s="274" t="s">
        <v>1868</v>
      </c>
      <c r="D339" s="332" t="s">
        <v>1869</v>
      </c>
      <c r="E339" s="25"/>
      <c r="F339" s="25" t="s">
        <v>315</v>
      </c>
      <c r="G339" s="25" t="s">
        <v>315</v>
      </c>
      <c r="H339" s="218" t="s">
        <v>1314</v>
      </c>
      <c r="I339" s="53"/>
      <c r="J339" s="53"/>
      <c r="K339" s="335">
        <v>43466</v>
      </c>
      <c r="L339" s="26"/>
      <c r="M339" s="355">
        <v>249928</v>
      </c>
      <c r="N339" s="243"/>
      <c r="O339" s="243"/>
      <c r="P339" s="243"/>
      <c r="Q339" s="243"/>
      <c r="R339" s="243"/>
      <c r="S339" s="243"/>
      <c r="T339" s="243"/>
      <c r="U339" s="243"/>
      <c r="V339" s="243"/>
      <c r="W339" s="243"/>
      <c r="X339" s="243"/>
      <c r="Y339" s="263"/>
      <c r="Z339" s="263"/>
      <c r="AA339" s="263"/>
      <c r="AB339" s="243"/>
      <c r="AC339" s="243"/>
      <c r="AD339" s="243"/>
      <c r="AE339" s="243"/>
      <c r="AF339" s="243"/>
      <c r="AG339" s="243"/>
      <c r="AH339" s="243"/>
      <c r="AI339" s="243"/>
      <c r="AJ339" s="243"/>
      <c r="AK339" s="243"/>
      <c r="AL339" s="243"/>
      <c r="AM339" s="243"/>
      <c r="AN339" s="243"/>
      <c r="AO339" s="25" t="s">
        <v>114</v>
      </c>
      <c r="AP339" s="216"/>
      <c r="AQ339" s="245"/>
      <c r="AR339" s="26" t="s">
        <v>384</v>
      </c>
      <c r="AS339" s="26"/>
      <c r="AT339" s="308"/>
      <c r="AU339" s="245"/>
      <c r="AV339" s="43" t="s">
        <v>66</v>
      </c>
      <c r="AW339" s="245"/>
      <c r="AX339" s="26" t="s">
        <v>86</v>
      </c>
      <c r="AY339" s="289"/>
      <c r="AZ339" s="290">
        <v>43605</v>
      </c>
      <c r="BA339" s="290">
        <v>43651</v>
      </c>
      <c r="BB339" s="25"/>
      <c r="BC339" s="291">
        <v>43970</v>
      </c>
      <c r="BD339" s="341" t="s">
        <v>88</v>
      </c>
      <c r="BE339" s="297">
        <v>249928</v>
      </c>
      <c r="BF339" s="298">
        <f t="shared" si="16"/>
        <v>1</v>
      </c>
      <c r="BG339" s="297" t="e">
        <f>VLOOKUP(B339,[1]Sheet2!$B:$X,23,0)</f>
        <v>#N/A</v>
      </c>
    </row>
    <row r="340" spans="1:59" s="28" customFormat="1" ht="33" customHeight="1">
      <c r="A340" s="26" t="s">
        <v>1131</v>
      </c>
      <c r="B340" s="25" t="s">
        <v>1133</v>
      </c>
      <c r="C340" s="26" t="s">
        <v>1132</v>
      </c>
      <c r="D340" s="26" t="s">
        <v>1134</v>
      </c>
      <c r="E340" s="25" t="s">
        <v>106</v>
      </c>
      <c r="F340" s="25" t="s">
        <v>315</v>
      </c>
      <c r="G340" s="25" t="s">
        <v>315</v>
      </c>
      <c r="H340" s="218" t="s">
        <v>1314</v>
      </c>
      <c r="I340" s="53" t="s">
        <v>107</v>
      </c>
      <c r="J340" s="53" t="s">
        <v>63</v>
      </c>
      <c r="K340" s="335">
        <v>43466</v>
      </c>
      <c r="L340" s="26"/>
      <c r="M340" s="243">
        <v>15799950</v>
      </c>
      <c r="N340" s="243">
        <f t="shared" si="15"/>
        <v>7478550</v>
      </c>
      <c r="O340" s="243"/>
      <c r="P340" s="243">
        <v>3342261</v>
      </c>
      <c r="Q340" s="243"/>
      <c r="R340" s="243"/>
      <c r="S340" s="243">
        <v>1011235.96</v>
      </c>
      <c r="T340" s="243"/>
      <c r="U340" s="243">
        <v>3125053.04</v>
      </c>
      <c r="V340" s="243"/>
      <c r="W340" s="243">
        <v>8321400</v>
      </c>
      <c r="X340" s="243">
        <v>8321400</v>
      </c>
      <c r="Y340" s="263">
        <v>6</v>
      </c>
      <c r="Z340" s="263"/>
      <c r="AA340" s="263">
        <v>0.1</v>
      </c>
      <c r="AB340" s="243"/>
      <c r="AC340" s="243">
        <v>3340000</v>
      </c>
      <c r="AD340" s="243"/>
      <c r="AE340" s="243"/>
      <c r="AF340" s="243">
        <v>910000</v>
      </c>
      <c r="AG340" s="243"/>
      <c r="AH340" s="243">
        <v>2810000</v>
      </c>
      <c r="AI340" s="243"/>
      <c r="AJ340" s="243"/>
      <c r="AK340" s="243">
        <v>8321400</v>
      </c>
      <c r="AL340" s="243"/>
      <c r="AM340" s="243"/>
      <c r="AN340" s="243">
        <f t="shared" si="17"/>
        <v>15381400</v>
      </c>
      <c r="AO340" s="25" t="s">
        <v>108</v>
      </c>
      <c r="AP340" s="216"/>
      <c r="AQ340" s="245"/>
      <c r="AR340" s="26" t="s">
        <v>384</v>
      </c>
      <c r="AS340" s="61">
        <v>43486</v>
      </c>
      <c r="AT340" s="308">
        <v>43449</v>
      </c>
      <c r="AU340" s="245"/>
      <c r="AV340" s="43" t="s">
        <v>66</v>
      </c>
      <c r="AW340" s="245"/>
      <c r="AX340" s="26" t="s">
        <v>86</v>
      </c>
      <c r="AY340" s="289"/>
      <c r="AZ340" s="290">
        <v>43693</v>
      </c>
      <c r="BA340" s="290">
        <v>43703</v>
      </c>
      <c r="BB340" s="25"/>
      <c r="BC340" s="291">
        <v>44058</v>
      </c>
      <c r="BD340" s="341" t="s">
        <v>88</v>
      </c>
      <c r="BE340" s="297">
        <v>12639960</v>
      </c>
      <c r="BF340" s="298">
        <f t="shared" si="16"/>
        <v>0.8</v>
      </c>
      <c r="BG340" s="297" t="e">
        <f>VLOOKUP(B340,[1]Sheet2!$B:$X,23,0)</f>
        <v>#N/A</v>
      </c>
    </row>
    <row r="341" spans="1:59" s="28" customFormat="1" ht="33" customHeight="1">
      <c r="A341" s="26" t="s">
        <v>1870</v>
      </c>
      <c r="B341" s="43" t="s">
        <v>1128</v>
      </c>
      <c r="C341" s="26" t="s">
        <v>1127</v>
      </c>
      <c r="D341" s="345" t="s">
        <v>1129</v>
      </c>
      <c r="E341" s="43" t="s">
        <v>374</v>
      </c>
      <c r="F341" s="25" t="s">
        <v>315</v>
      </c>
      <c r="G341" s="25" t="s">
        <v>315</v>
      </c>
      <c r="H341" s="218" t="s">
        <v>1275</v>
      </c>
      <c r="I341" s="32" t="s">
        <v>286</v>
      </c>
      <c r="J341" s="32" t="s">
        <v>702</v>
      </c>
      <c r="K341" s="335">
        <v>43466</v>
      </c>
      <c r="L341" s="345"/>
      <c r="M341" s="243">
        <f>3479600+57146</f>
        <v>3536746</v>
      </c>
      <c r="N341" s="243">
        <f t="shared" si="15"/>
        <v>3479600</v>
      </c>
      <c r="O341" s="356"/>
      <c r="P341" s="43">
        <v>2572700</v>
      </c>
      <c r="Q341" s="43"/>
      <c r="R341" s="360"/>
      <c r="S341" s="345">
        <v>49400</v>
      </c>
      <c r="T341" s="345"/>
      <c r="U341" s="356">
        <v>857500</v>
      </c>
      <c r="V341" s="356"/>
      <c r="W341" s="356"/>
      <c r="X341" s="356"/>
      <c r="Y341" s="363"/>
      <c r="Z341" s="363"/>
      <c r="AA341" s="363"/>
      <c r="AB341" s="356"/>
      <c r="AC341" s="356">
        <v>2521246</v>
      </c>
      <c r="AD341" s="356"/>
      <c r="AE341" s="356"/>
      <c r="AF341" s="356">
        <v>37000</v>
      </c>
      <c r="AG341" s="356"/>
      <c r="AH341" s="356">
        <v>578736</v>
      </c>
      <c r="AI341" s="356"/>
      <c r="AJ341" s="356"/>
      <c r="AK341" s="356"/>
      <c r="AL341" s="356"/>
      <c r="AM341" s="356"/>
      <c r="AN341" s="243">
        <f t="shared" si="17"/>
        <v>3136982</v>
      </c>
      <c r="AO341" s="43" t="s">
        <v>77</v>
      </c>
      <c r="AP341" s="216"/>
      <c r="AQ341" s="360"/>
      <c r="AR341" s="26" t="s">
        <v>384</v>
      </c>
      <c r="AS341" s="26"/>
      <c r="AT341" s="341"/>
      <c r="AU341" s="360"/>
      <c r="AV341" s="43" t="s">
        <v>66</v>
      </c>
      <c r="AW341" s="360"/>
      <c r="AX341" s="345" t="s">
        <v>86</v>
      </c>
      <c r="AY341" s="289" t="s">
        <v>1871</v>
      </c>
      <c r="AZ341" s="290">
        <v>43643</v>
      </c>
      <c r="BA341" s="290">
        <v>43643</v>
      </c>
      <c r="BB341" s="43"/>
      <c r="BC341" s="291">
        <v>44008</v>
      </c>
      <c r="BD341" s="26" t="s">
        <v>88</v>
      </c>
      <c r="BE341" s="297">
        <v>3536746</v>
      </c>
      <c r="BF341" s="298">
        <f t="shared" si="16"/>
        <v>1</v>
      </c>
      <c r="BG341" s="297" t="e">
        <f>VLOOKUP(B341,[1]Sheet2!$B:$X,23,0)</f>
        <v>#N/A</v>
      </c>
    </row>
    <row r="342" spans="1:59" s="28" customFormat="1" ht="33" customHeight="1">
      <c r="A342" s="26" t="s">
        <v>1121</v>
      </c>
      <c r="B342" s="25" t="s">
        <v>1123</v>
      </c>
      <c r="C342" s="26" t="s">
        <v>1122</v>
      </c>
      <c r="D342" s="26" t="s">
        <v>1124</v>
      </c>
      <c r="E342" s="25" t="s">
        <v>106</v>
      </c>
      <c r="F342" s="216" t="s">
        <v>1277</v>
      </c>
      <c r="G342" s="216" t="s">
        <v>1277</v>
      </c>
      <c r="H342" s="218" t="s">
        <v>1277</v>
      </c>
      <c r="I342" s="53" t="s">
        <v>107</v>
      </c>
      <c r="J342" s="53" t="s">
        <v>63</v>
      </c>
      <c r="K342" s="335">
        <v>43452</v>
      </c>
      <c r="L342" s="26"/>
      <c r="M342" s="243">
        <v>7558000</v>
      </c>
      <c r="N342" s="243">
        <v>4388000</v>
      </c>
      <c r="O342" s="243"/>
      <c r="P342" s="243"/>
      <c r="Q342" s="243"/>
      <c r="R342" s="243"/>
      <c r="S342" s="243"/>
      <c r="T342" s="243"/>
      <c r="U342" s="243">
        <v>4338000</v>
      </c>
      <c r="V342" s="243"/>
      <c r="W342" s="243">
        <v>3170000</v>
      </c>
      <c r="X342" s="243">
        <v>3170000</v>
      </c>
      <c r="Y342" s="263"/>
      <c r="Z342" s="263"/>
      <c r="AA342" s="263">
        <v>0.15</v>
      </c>
      <c r="AB342" s="243"/>
      <c r="AC342" s="243"/>
      <c r="AD342" s="243"/>
      <c r="AE342" s="243"/>
      <c r="AF342" s="243"/>
      <c r="AG342" s="243"/>
      <c r="AH342" s="243"/>
      <c r="AI342" s="243"/>
      <c r="AJ342" s="243"/>
      <c r="AK342" s="243">
        <v>3170000</v>
      </c>
      <c r="AL342" s="243"/>
      <c r="AM342" s="243"/>
      <c r="AN342" s="243">
        <f t="shared" si="17"/>
        <v>3170000</v>
      </c>
      <c r="AO342" s="25" t="s">
        <v>93</v>
      </c>
      <c r="AP342" s="216"/>
      <c r="AQ342" s="245"/>
      <c r="AR342" s="26" t="s">
        <v>384</v>
      </c>
      <c r="AS342" s="26"/>
      <c r="AT342" s="308"/>
      <c r="AU342" s="245"/>
      <c r="AV342" s="43" t="s">
        <v>66</v>
      </c>
      <c r="AW342" s="360"/>
      <c r="AX342" s="345" t="s">
        <v>86</v>
      </c>
      <c r="AY342" s="289"/>
      <c r="AZ342" s="290">
        <v>43684</v>
      </c>
      <c r="BA342" s="290">
        <v>43703</v>
      </c>
      <c r="BB342" s="25"/>
      <c r="BC342" s="291">
        <v>44049</v>
      </c>
      <c r="BD342" s="113" t="s">
        <v>931</v>
      </c>
      <c r="BE342" s="297">
        <v>3779000</v>
      </c>
      <c r="BF342" s="298">
        <f t="shared" si="16"/>
        <v>0.5</v>
      </c>
      <c r="BG342" s="297" t="e">
        <f>VLOOKUP(B342,[1]Sheet2!$B:$X,23,0)</f>
        <v>#N/A</v>
      </c>
    </row>
    <row r="343" spans="1:59" s="28" customFormat="1" ht="33" customHeight="1">
      <c r="A343" s="26" t="s">
        <v>1109</v>
      </c>
      <c r="B343" s="26" t="s">
        <v>1111</v>
      </c>
      <c r="C343" s="26" t="s">
        <v>1110</v>
      </c>
      <c r="D343" s="26" t="s">
        <v>1112</v>
      </c>
      <c r="E343" s="25" t="s">
        <v>883</v>
      </c>
      <c r="F343" s="25" t="s">
        <v>315</v>
      </c>
      <c r="G343" s="25" t="s">
        <v>315</v>
      </c>
      <c r="H343" s="218" t="s">
        <v>1275</v>
      </c>
      <c r="I343" s="53" t="s">
        <v>76</v>
      </c>
      <c r="J343" s="53" t="s">
        <v>128</v>
      </c>
      <c r="K343" s="335"/>
      <c r="L343" s="26"/>
      <c r="M343" s="243">
        <v>24918.81</v>
      </c>
      <c r="N343" s="243">
        <f t="shared" ref="N343:N348" si="18">SUM(O343:V343)</f>
        <v>24918.81</v>
      </c>
      <c r="O343" s="243"/>
      <c r="P343" s="243">
        <v>19488</v>
      </c>
      <c r="Q343" s="243"/>
      <c r="R343" s="243"/>
      <c r="S343" s="243">
        <v>5430.81</v>
      </c>
      <c r="T343" s="243"/>
      <c r="U343" s="243"/>
      <c r="V343" s="243"/>
      <c r="W343" s="243"/>
      <c r="X343" s="243"/>
      <c r="Y343" s="263"/>
      <c r="Z343" s="263"/>
      <c r="AA343" s="263">
        <v>0.15</v>
      </c>
      <c r="AB343" s="243"/>
      <c r="AC343" s="243">
        <v>19293.12</v>
      </c>
      <c r="AD343" s="243"/>
      <c r="AE343" s="243"/>
      <c r="AF343" s="243">
        <v>2028.9884999999999</v>
      </c>
      <c r="AG343" s="243"/>
      <c r="AH343" s="243"/>
      <c r="AI343" s="243"/>
      <c r="AJ343" s="243"/>
      <c r="AK343" s="243"/>
      <c r="AL343" s="243"/>
      <c r="AM343" s="243"/>
      <c r="AN343" s="243">
        <f t="shared" si="17"/>
        <v>21322.108499999998</v>
      </c>
      <c r="AO343" s="25" t="s">
        <v>145</v>
      </c>
      <c r="AP343" s="216" t="s">
        <v>1274</v>
      </c>
      <c r="AQ343" s="245"/>
      <c r="AR343" s="26" t="s">
        <v>384</v>
      </c>
      <c r="AS343" s="26"/>
      <c r="AT343" s="308"/>
      <c r="AU343" s="245"/>
      <c r="AV343" s="43" t="s">
        <v>66</v>
      </c>
      <c r="AW343" s="245"/>
      <c r="AX343" s="289" t="s">
        <v>86</v>
      </c>
      <c r="AY343" s="289" t="s">
        <v>1872</v>
      </c>
      <c r="AZ343" s="290">
        <v>43525</v>
      </c>
      <c r="BA343" s="290">
        <v>43556</v>
      </c>
      <c r="BB343" s="25"/>
      <c r="BC343" s="291">
        <v>43922</v>
      </c>
      <c r="BD343" s="341" t="s">
        <v>88</v>
      </c>
      <c r="BE343" s="297">
        <v>24918.81</v>
      </c>
      <c r="BF343" s="298">
        <f t="shared" si="16"/>
        <v>1</v>
      </c>
      <c r="BG343" s="297" t="e">
        <f>VLOOKUP(B343,[1]Sheet2!$B:$X,23,0)</f>
        <v>#N/A</v>
      </c>
    </row>
    <row r="344" spans="1:59" s="28" customFormat="1" ht="33" customHeight="1">
      <c r="A344" s="26" t="s">
        <v>1113</v>
      </c>
      <c r="B344" s="26" t="s">
        <v>1115</v>
      </c>
      <c r="C344" s="26" t="s">
        <v>1114</v>
      </c>
      <c r="D344" s="26" t="s">
        <v>1116</v>
      </c>
      <c r="E344" s="25" t="s">
        <v>883</v>
      </c>
      <c r="F344" s="25" t="s">
        <v>315</v>
      </c>
      <c r="G344" s="25" t="s">
        <v>315</v>
      </c>
      <c r="H344" s="218" t="s">
        <v>1275</v>
      </c>
      <c r="I344" s="53" t="s">
        <v>76</v>
      </c>
      <c r="J344" s="53" t="s">
        <v>128</v>
      </c>
      <c r="K344" s="335"/>
      <c r="L344" s="26"/>
      <c r="M344" s="243">
        <v>24945.21</v>
      </c>
      <c r="N344" s="243">
        <f t="shared" si="18"/>
        <v>24945.21</v>
      </c>
      <c r="O344" s="243"/>
      <c r="P344" s="243">
        <v>19488</v>
      </c>
      <c r="Q344" s="243"/>
      <c r="R344" s="243"/>
      <c r="S344" s="243">
        <v>5457.21</v>
      </c>
      <c r="T344" s="243"/>
      <c r="U344" s="243"/>
      <c r="V344" s="243"/>
      <c r="W344" s="243"/>
      <c r="X344" s="243"/>
      <c r="Y344" s="263"/>
      <c r="Z344" s="263"/>
      <c r="AA344" s="263">
        <v>0.15</v>
      </c>
      <c r="AB344" s="243"/>
      <c r="AC344" s="243">
        <v>19293.12</v>
      </c>
      <c r="AD344" s="243"/>
      <c r="AE344" s="243"/>
      <c r="AF344" s="243">
        <v>2051.4285</v>
      </c>
      <c r="AG344" s="243"/>
      <c r="AH344" s="243"/>
      <c r="AI344" s="243"/>
      <c r="AJ344" s="243"/>
      <c r="AK344" s="243"/>
      <c r="AL344" s="243"/>
      <c r="AM344" s="243"/>
      <c r="AN344" s="243">
        <f t="shared" si="17"/>
        <v>21344.548499999997</v>
      </c>
      <c r="AO344" s="25" t="s">
        <v>145</v>
      </c>
      <c r="AP344" s="216" t="s">
        <v>1274</v>
      </c>
      <c r="AQ344" s="245"/>
      <c r="AR344" s="26" t="s">
        <v>384</v>
      </c>
      <c r="AS344" s="26"/>
      <c r="AT344" s="308"/>
      <c r="AU344" s="245"/>
      <c r="AV344" s="43" t="s">
        <v>66</v>
      </c>
      <c r="AW344" s="245"/>
      <c r="AX344" s="289" t="s">
        <v>86</v>
      </c>
      <c r="AY344" s="289" t="s">
        <v>1872</v>
      </c>
      <c r="AZ344" s="290">
        <v>43525</v>
      </c>
      <c r="BA344" s="290">
        <v>43556</v>
      </c>
      <c r="BB344" s="25"/>
      <c r="BC344" s="291">
        <v>43922</v>
      </c>
      <c r="BD344" s="341" t="s">
        <v>88</v>
      </c>
      <c r="BE344" s="297"/>
      <c r="BF344" s="298">
        <f t="shared" si="16"/>
        <v>0</v>
      </c>
      <c r="BG344" s="297" t="e">
        <f>VLOOKUP(B344,[1]Sheet2!$B:$X,23,0)</f>
        <v>#N/A</v>
      </c>
    </row>
    <row r="345" spans="1:59" s="28" customFormat="1" ht="33" customHeight="1">
      <c r="A345" s="26" t="s">
        <v>1117</v>
      </c>
      <c r="B345" s="26" t="s">
        <v>1119</v>
      </c>
      <c r="C345" s="26" t="s">
        <v>1118</v>
      </c>
      <c r="D345" s="26" t="s">
        <v>1120</v>
      </c>
      <c r="E345" s="25" t="s">
        <v>883</v>
      </c>
      <c r="F345" s="25" t="s">
        <v>315</v>
      </c>
      <c r="G345" s="25" t="s">
        <v>315</v>
      </c>
      <c r="H345" s="218" t="s">
        <v>1275</v>
      </c>
      <c r="I345" s="53" t="s">
        <v>76</v>
      </c>
      <c r="J345" s="53" t="s">
        <v>128</v>
      </c>
      <c r="K345" s="335"/>
      <c r="L345" s="26"/>
      <c r="M345" s="243">
        <v>24824.65</v>
      </c>
      <c r="N345" s="243">
        <f t="shared" si="18"/>
        <v>24824.65</v>
      </c>
      <c r="O345" s="243"/>
      <c r="P345" s="243">
        <v>19488</v>
      </c>
      <c r="Q345" s="243"/>
      <c r="R345" s="243"/>
      <c r="S345" s="243">
        <v>5336.65</v>
      </c>
      <c r="T345" s="243"/>
      <c r="U345" s="243"/>
      <c r="V345" s="243"/>
      <c r="W345" s="243"/>
      <c r="X345" s="243"/>
      <c r="Y345" s="263"/>
      <c r="Z345" s="263"/>
      <c r="AA345" s="263">
        <v>0.15</v>
      </c>
      <c r="AB345" s="243"/>
      <c r="AC345" s="243">
        <v>19293.12</v>
      </c>
      <c r="AD345" s="243"/>
      <c r="AE345" s="243"/>
      <c r="AF345" s="243">
        <v>1948.9525000000001</v>
      </c>
      <c r="AG345" s="243"/>
      <c r="AH345" s="243"/>
      <c r="AI345" s="243"/>
      <c r="AJ345" s="243"/>
      <c r="AK345" s="243"/>
      <c r="AL345" s="243"/>
      <c r="AM345" s="243"/>
      <c r="AN345" s="243">
        <f t="shared" si="17"/>
        <v>21242.072499999998</v>
      </c>
      <c r="AO345" s="25" t="s">
        <v>145</v>
      </c>
      <c r="AP345" s="216" t="s">
        <v>1274</v>
      </c>
      <c r="AQ345" s="245"/>
      <c r="AR345" s="26" t="s">
        <v>384</v>
      </c>
      <c r="AS345" s="26"/>
      <c r="AT345" s="308"/>
      <c r="AU345" s="245"/>
      <c r="AV345" s="43" t="s">
        <v>66</v>
      </c>
      <c r="AW345" s="245"/>
      <c r="AX345" s="289" t="s">
        <v>86</v>
      </c>
      <c r="AY345" s="289" t="s">
        <v>1872</v>
      </c>
      <c r="AZ345" s="290">
        <v>43525</v>
      </c>
      <c r="BA345" s="290">
        <v>43556</v>
      </c>
      <c r="BB345" s="25"/>
      <c r="BC345" s="291">
        <v>43922</v>
      </c>
      <c r="BD345" s="341" t="s">
        <v>88</v>
      </c>
      <c r="BE345" s="297">
        <v>24824.65</v>
      </c>
      <c r="BF345" s="298">
        <f t="shared" si="16"/>
        <v>1</v>
      </c>
      <c r="BG345" s="297" t="e">
        <f>VLOOKUP(B345,[1]Sheet2!$B:$X,23,0)</f>
        <v>#N/A</v>
      </c>
    </row>
    <row r="346" spans="1:59" s="28" customFormat="1" ht="33" customHeight="1">
      <c r="A346" s="26" t="s">
        <v>1094</v>
      </c>
      <c r="B346" s="26" t="s">
        <v>1096</v>
      </c>
      <c r="C346" s="26" t="s">
        <v>1095</v>
      </c>
      <c r="D346" s="26" t="s">
        <v>1097</v>
      </c>
      <c r="E346" s="25" t="s">
        <v>224</v>
      </c>
      <c r="F346" s="25" t="s">
        <v>315</v>
      </c>
      <c r="G346" s="216" t="s">
        <v>1850</v>
      </c>
      <c r="H346" s="218" t="s">
        <v>1850</v>
      </c>
      <c r="I346" s="53" t="s">
        <v>76</v>
      </c>
      <c r="J346" s="53" t="s">
        <v>128</v>
      </c>
      <c r="K346" s="335">
        <v>43454</v>
      </c>
      <c r="L346" s="26"/>
      <c r="M346" s="243">
        <v>5794786</v>
      </c>
      <c r="N346" s="243">
        <f t="shared" si="18"/>
        <v>5418466</v>
      </c>
      <c r="O346" s="243"/>
      <c r="P346" s="243">
        <v>2854733</v>
      </c>
      <c r="Q346" s="243"/>
      <c r="R346" s="243"/>
      <c r="S346" s="243">
        <v>1063733</v>
      </c>
      <c r="T346" s="243"/>
      <c r="U346" s="243">
        <v>1500000</v>
      </c>
      <c r="V346" s="243"/>
      <c r="W346" s="243">
        <v>376320</v>
      </c>
      <c r="X346" s="243">
        <v>376320</v>
      </c>
      <c r="Y346" s="263">
        <v>0.06</v>
      </c>
      <c r="Z346" s="263"/>
      <c r="AA346" s="263">
        <v>0.08</v>
      </c>
      <c r="AB346" s="243"/>
      <c r="AC346" s="243">
        <v>2826186</v>
      </c>
      <c r="AD346" s="243"/>
      <c r="AE346" s="243"/>
      <c r="AF346" s="243">
        <v>850986.4</v>
      </c>
      <c r="AG346" s="243"/>
      <c r="AH346" s="243">
        <v>1200000</v>
      </c>
      <c r="AI346" s="243"/>
      <c r="AJ346" s="243"/>
      <c r="AK346" s="243">
        <v>376320</v>
      </c>
      <c r="AL346" s="243"/>
      <c r="AM346" s="243"/>
      <c r="AN346" s="243">
        <f t="shared" si="17"/>
        <v>5253492.4000000004</v>
      </c>
      <c r="AO346" s="25" t="s">
        <v>145</v>
      </c>
      <c r="AP346" s="216" t="s">
        <v>1308</v>
      </c>
      <c r="AQ346" s="245"/>
      <c r="AR346" s="26" t="s">
        <v>384</v>
      </c>
      <c r="AS346" s="26"/>
      <c r="AT346" s="308"/>
      <c r="AU346" s="245"/>
      <c r="AV346" s="43" t="s">
        <v>66</v>
      </c>
      <c r="AW346" s="245"/>
      <c r="AX346" s="289" t="s">
        <v>86</v>
      </c>
      <c r="AY346" s="289"/>
      <c r="AZ346" s="290">
        <v>43525</v>
      </c>
      <c r="BA346" s="290">
        <v>43545</v>
      </c>
      <c r="BB346" s="25"/>
      <c r="BC346" s="291">
        <v>43891</v>
      </c>
      <c r="BD346" s="341" t="s">
        <v>88</v>
      </c>
      <c r="BE346" s="297">
        <v>724348.25</v>
      </c>
      <c r="BF346" s="298">
        <f t="shared" si="16"/>
        <v>0.125</v>
      </c>
      <c r="BG346" s="297" t="e">
        <f>VLOOKUP(B346,[1]Sheet2!$B:$X,23,0)</f>
        <v>#N/A</v>
      </c>
    </row>
    <row r="347" spans="1:59" s="24" customFormat="1" ht="33" customHeight="1">
      <c r="A347" s="346" t="s">
        <v>1162</v>
      </c>
      <c r="B347" s="346" t="s">
        <v>1163</v>
      </c>
      <c r="C347" s="274" t="s">
        <v>1873</v>
      </c>
      <c r="D347" s="43" t="s">
        <v>1164</v>
      </c>
      <c r="E347" s="346" t="s">
        <v>1093</v>
      </c>
      <c r="F347" s="216" t="s">
        <v>315</v>
      </c>
      <c r="G347" s="216" t="s">
        <v>315</v>
      </c>
      <c r="H347" s="218" t="s">
        <v>1275</v>
      </c>
      <c r="I347" s="240"/>
      <c r="J347" s="240"/>
      <c r="K347" s="353">
        <v>43458</v>
      </c>
      <c r="L347" s="219"/>
      <c r="M347" s="357">
        <v>674031.2</v>
      </c>
      <c r="N347" s="243">
        <f t="shared" si="18"/>
        <v>674031.2</v>
      </c>
      <c r="O347" s="106"/>
      <c r="P347" s="243">
        <v>540040</v>
      </c>
      <c r="Q347" s="243"/>
      <c r="R347" s="243"/>
      <c r="S347" s="243">
        <v>133991.20000000001</v>
      </c>
      <c r="T347" s="243"/>
      <c r="U347" s="243"/>
      <c r="V347" s="243"/>
      <c r="W347" s="243"/>
      <c r="X347" s="243"/>
      <c r="Y347" s="263"/>
      <c r="Z347" s="263"/>
      <c r="AA347" s="263">
        <v>0.15</v>
      </c>
      <c r="AB347" s="243"/>
      <c r="AC347" s="243"/>
      <c r="AD347" s="243"/>
      <c r="AE347" s="243"/>
      <c r="AF347" s="243"/>
      <c r="AG347" s="243"/>
      <c r="AH347" s="243"/>
      <c r="AI347" s="243"/>
      <c r="AJ347" s="243"/>
      <c r="AK347" s="243"/>
      <c r="AL347" s="243"/>
      <c r="AM347" s="243"/>
      <c r="AN347" s="243">
        <f t="shared" si="17"/>
        <v>0</v>
      </c>
      <c r="AO347" s="216" t="s">
        <v>145</v>
      </c>
      <c r="AP347" s="216" t="s">
        <v>1276</v>
      </c>
      <c r="AQ347" s="277"/>
      <c r="AR347" s="26" t="s">
        <v>384</v>
      </c>
      <c r="AS347" s="219"/>
      <c r="AT347" s="278"/>
      <c r="AU347" s="277"/>
      <c r="AV347" s="43" t="s">
        <v>66</v>
      </c>
      <c r="AW347" s="277"/>
      <c r="AX347" s="289" t="s">
        <v>86</v>
      </c>
      <c r="AY347" s="289"/>
      <c r="AZ347" s="290">
        <v>43483</v>
      </c>
      <c r="BA347" s="290">
        <v>43483</v>
      </c>
      <c r="BB347" s="25"/>
      <c r="BC347" s="291">
        <v>43831</v>
      </c>
      <c r="BD347" s="113" t="s">
        <v>88</v>
      </c>
      <c r="BE347" s="297">
        <v>640329.64</v>
      </c>
      <c r="BF347" s="298">
        <f t="shared" si="16"/>
        <v>0.95000000000000007</v>
      </c>
      <c r="BG347" s="297" t="e">
        <f>VLOOKUP(B347,[1]Sheet2!$B:$X,23,0)</f>
        <v>#N/A</v>
      </c>
    </row>
    <row r="348" spans="1:59" s="28" customFormat="1" ht="33" customHeight="1">
      <c r="A348" s="347" t="s">
        <v>1155</v>
      </c>
      <c r="B348" s="25" t="s">
        <v>1157</v>
      </c>
      <c r="C348" s="26" t="s">
        <v>1156</v>
      </c>
      <c r="D348" s="297" t="s">
        <v>1158</v>
      </c>
      <c r="E348" s="25" t="s">
        <v>1093</v>
      </c>
      <c r="F348" s="25" t="s">
        <v>315</v>
      </c>
      <c r="G348" s="25" t="s">
        <v>315</v>
      </c>
      <c r="H348" s="218" t="s">
        <v>1275</v>
      </c>
      <c r="I348" s="53" t="s">
        <v>76</v>
      </c>
      <c r="J348" s="53" t="s">
        <v>128</v>
      </c>
      <c r="K348" s="335">
        <v>43466</v>
      </c>
      <c r="L348" s="26"/>
      <c r="M348" s="243">
        <v>753031</v>
      </c>
      <c r="N348" s="243">
        <f t="shared" si="18"/>
        <v>753031</v>
      </c>
      <c r="O348" s="106"/>
      <c r="P348" s="243">
        <v>581374</v>
      </c>
      <c r="Q348" s="243"/>
      <c r="R348" s="243"/>
      <c r="S348" s="243">
        <v>157449</v>
      </c>
      <c r="T348" s="243"/>
      <c r="U348" s="243">
        <v>14208</v>
      </c>
      <c r="V348" s="243"/>
      <c r="W348" s="243"/>
      <c r="X348" s="243"/>
      <c r="Y348" s="263"/>
      <c r="Z348" s="263"/>
      <c r="AA348" s="263">
        <v>0.15</v>
      </c>
      <c r="AB348" s="243"/>
      <c r="AC348" s="243">
        <v>575560.26</v>
      </c>
      <c r="AD348" s="243"/>
      <c r="AE348" s="243"/>
      <c r="AF348" s="243">
        <v>52540.45</v>
      </c>
      <c r="AG348" s="243"/>
      <c r="AH348" s="243">
        <v>4741.18</v>
      </c>
      <c r="AI348" s="243"/>
      <c r="AJ348" s="243"/>
      <c r="AK348" s="243"/>
      <c r="AL348" s="243"/>
      <c r="AM348" s="243"/>
      <c r="AN348" s="243">
        <f t="shared" si="17"/>
        <v>632841.89</v>
      </c>
      <c r="AO348" s="25" t="s">
        <v>145</v>
      </c>
      <c r="AP348" s="216" t="s">
        <v>1276</v>
      </c>
      <c r="AQ348" s="245"/>
      <c r="AR348" s="26" t="s">
        <v>384</v>
      </c>
      <c r="AS348" s="26"/>
      <c r="AT348" s="308"/>
      <c r="AU348" s="245"/>
      <c r="AV348" s="43" t="s">
        <v>66</v>
      </c>
      <c r="AW348" s="245"/>
      <c r="AX348" s="289" t="s">
        <v>86</v>
      </c>
      <c r="AY348" s="26"/>
      <c r="AZ348" s="308">
        <v>43633</v>
      </c>
      <c r="BA348" s="308">
        <v>43637</v>
      </c>
      <c r="BB348" s="25"/>
      <c r="BC348" s="291">
        <v>44002</v>
      </c>
      <c r="BD348" s="113" t="s">
        <v>88</v>
      </c>
      <c r="BE348" s="297"/>
      <c r="BF348" s="298">
        <f t="shared" si="16"/>
        <v>0</v>
      </c>
      <c r="BG348" s="297" t="e">
        <f>VLOOKUP(B348,[1]Sheet2!$B:$X,23,0)</f>
        <v>#N/A</v>
      </c>
    </row>
    <row r="349" spans="1:59" s="28" customFormat="1" ht="33" customHeight="1">
      <c r="A349" s="312"/>
      <c r="B349" s="40" t="s">
        <v>712</v>
      </c>
      <c r="C349" s="26" t="s">
        <v>1874</v>
      </c>
      <c r="D349" s="332" t="s">
        <v>713</v>
      </c>
      <c r="E349" s="25"/>
      <c r="F349" s="25" t="s">
        <v>196</v>
      </c>
      <c r="G349" s="25" t="s">
        <v>196</v>
      </c>
      <c r="H349" s="218"/>
      <c r="I349" s="53"/>
      <c r="J349" s="53"/>
      <c r="K349" s="335">
        <v>43466</v>
      </c>
      <c r="L349" s="26"/>
      <c r="M349" s="243"/>
      <c r="N349" s="243"/>
      <c r="O349" s="106"/>
      <c r="P349" s="243"/>
      <c r="Q349" s="243"/>
      <c r="R349" s="243"/>
      <c r="S349" s="243"/>
      <c r="T349" s="243"/>
      <c r="U349" s="243"/>
      <c r="V349" s="243"/>
      <c r="W349" s="243"/>
      <c r="X349" s="243"/>
      <c r="Y349" s="263"/>
      <c r="Z349" s="263"/>
      <c r="AA349" s="263"/>
      <c r="AB349" s="243"/>
      <c r="AC349" s="243"/>
      <c r="AD349" s="243"/>
      <c r="AE349" s="243"/>
      <c r="AF349" s="243"/>
      <c r="AG349" s="243"/>
      <c r="AH349" s="243"/>
      <c r="AI349" s="243"/>
      <c r="AJ349" s="243"/>
      <c r="AK349" s="243"/>
      <c r="AL349" s="243"/>
      <c r="AM349" s="243"/>
      <c r="AN349" s="243"/>
      <c r="AO349" s="25" t="s">
        <v>108</v>
      </c>
      <c r="AP349" s="216"/>
      <c r="AQ349" s="245"/>
      <c r="AR349" s="26" t="s">
        <v>384</v>
      </c>
      <c r="AS349" s="26"/>
      <c r="AT349" s="308"/>
      <c r="AU349" s="245"/>
      <c r="AV349" s="341"/>
      <c r="AW349" s="245"/>
      <c r="AX349" s="26"/>
      <c r="AY349" s="26"/>
      <c r="AZ349" s="308"/>
      <c r="BA349" s="308"/>
      <c r="BB349" s="25"/>
      <c r="BC349" s="291"/>
      <c r="BD349" s="341"/>
      <c r="BE349" s="297">
        <v>66480</v>
      </c>
      <c r="BF349" s="298" t="e">
        <f t="shared" si="16"/>
        <v>#DIV/0!</v>
      </c>
      <c r="BG349" s="297" t="e">
        <f>VLOOKUP(B349,[1]Sheet2!$B:$X,23,0)</f>
        <v>#N/A</v>
      </c>
    </row>
    <row r="350" spans="1:59" s="28" customFormat="1" ht="33" customHeight="1">
      <c r="A350" s="26" t="s">
        <v>1135</v>
      </c>
      <c r="B350" s="25" t="s">
        <v>1137</v>
      </c>
      <c r="C350" s="26" t="s">
        <v>1875</v>
      </c>
      <c r="D350" s="26" t="s">
        <v>1138</v>
      </c>
      <c r="E350" s="25" t="s">
        <v>139</v>
      </c>
      <c r="F350" s="25" t="s">
        <v>315</v>
      </c>
      <c r="G350" s="25" t="s">
        <v>315</v>
      </c>
      <c r="H350" s="218" t="s">
        <v>1275</v>
      </c>
      <c r="I350" s="53" t="s">
        <v>150</v>
      </c>
      <c r="J350" s="53" t="s">
        <v>128</v>
      </c>
      <c r="K350" s="335">
        <v>43466</v>
      </c>
      <c r="L350" s="26"/>
      <c r="M350" s="243">
        <v>453236</v>
      </c>
      <c r="N350" s="243">
        <v>453236</v>
      </c>
      <c r="O350" s="243"/>
      <c r="P350" s="243"/>
      <c r="Q350" s="243"/>
      <c r="R350" s="243"/>
      <c r="S350" s="243">
        <v>453236</v>
      </c>
      <c r="T350" s="243"/>
      <c r="U350" s="243"/>
      <c r="V350" s="243"/>
      <c r="W350" s="243"/>
      <c r="X350" s="243"/>
      <c r="Y350" s="263"/>
      <c r="Z350" s="263"/>
      <c r="AA350" s="263">
        <v>0.1</v>
      </c>
      <c r="AB350" s="243"/>
      <c r="AC350" s="243"/>
      <c r="AD350" s="243"/>
      <c r="AE350" s="243"/>
      <c r="AF350" s="243">
        <v>407912.4</v>
      </c>
      <c r="AG350" s="243"/>
      <c r="AH350" s="243"/>
      <c r="AI350" s="243"/>
      <c r="AJ350" s="243"/>
      <c r="AK350" s="243"/>
      <c r="AL350" s="243"/>
      <c r="AM350" s="243"/>
      <c r="AN350" s="243">
        <f t="shared" si="17"/>
        <v>407912.4</v>
      </c>
      <c r="AO350" s="25" t="s">
        <v>108</v>
      </c>
      <c r="AP350" s="216"/>
      <c r="AQ350" s="245"/>
      <c r="AR350" s="26" t="s">
        <v>384</v>
      </c>
      <c r="AS350" s="26"/>
      <c r="AT350" s="308"/>
      <c r="AU350" s="245"/>
      <c r="AV350" s="43" t="s">
        <v>66</v>
      </c>
      <c r="AW350" s="245"/>
      <c r="AX350" s="289" t="s">
        <v>86</v>
      </c>
      <c r="AY350" s="289"/>
      <c r="AZ350" s="290">
        <v>43581</v>
      </c>
      <c r="BA350" s="290">
        <v>43602</v>
      </c>
      <c r="BB350" s="25"/>
      <c r="BC350" s="291">
        <v>43946</v>
      </c>
      <c r="BD350" s="113" t="s">
        <v>88</v>
      </c>
      <c r="BE350" s="297">
        <v>407912.4</v>
      </c>
      <c r="BF350" s="298">
        <f t="shared" si="16"/>
        <v>0.9</v>
      </c>
      <c r="BG350" s="297" t="e">
        <f>VLOOKUP(B350,[1]Sheet2!$B:$X,23,0)</f>
        <v>#N/A</v>
      </c>
    </row>
    <row r="351" spans="1:59" s="28" customFormat="1" ht="33" customHeight="1">
      <c r="A351" s="26" t="s">
        <v>1146</v>
      </c>
      <c r="B351" s="25" t="s">
        <v>1148</v>
      </c>
      <c r="C351" s="26" t="s">
        <v>1876</v>
      </c>
      <c r="D351" s="26" t="s">
        <v>1149</v>
      </c>
      <c r="E351" s="25" t="s">
        <v>1093</v>
      </c>
      <c r="F351" s="25" t="s">
        <v>315</v>
      </c>
      <c r="G351" s="25" t="s">
        <v>315</v>
      </c>
      <c r="H351" s="218" t="s">
        <v>1275</v>
      </c>
      <c r="I351" s="53" t="s">
        <v>76</v>
      </c>
      <c r="J351" s="53" t="s">
        <v>128</v>
      </c>
      <c r="K351" s="335">
        <v>43466</v>
      </c>
      <c r="L351" s="26"/>
      <c r="M351" s="243">
        <v>1283700</v>
      </c>
      <c r="N351" s="243">
        <f t="shared" ref="N351:N356" si="19">SUM(O351:V351)</f>
        <v>1283700</v>
      </c>
      <c r="O351" s="243"/>
      <c r="P351" s="243">
        <v>755720</v>
      </c>
      <c r="Q351" s="243"/>
      <c r="R351" s="243"/>
      <c r="S351" s="243">
        <v>433480</v>
      </c>
      <c r="T351" s="243"/>
      <c r="U351" s="243">
        <v>94500</v>
      </c>
      <c r="V351" s="243"/>
      <c r="W351" s="243"/>
      <c r="X351" s="243"/>
      <c r="Y351" s="263"/>
      <c r="Z351" s="263"/>
      <c r="AA351" s="263">
        <v>0.15</v>
      </c>
      <c r="AB351" s="243"/>
      <c r="AC351" s="243">
        <v>748162.8</v>
      </c>
      <c r="AD351" s="243"/>
      <c r="AE351" s="243"/>
      <c r="AF351" s="243">
        <v>271237.11</v>
      </c>
      <c r="AG351" s="243"/>
      <c r="AH351" s="243">
        <v>59130.54</v>
      </c>
      <c r="AI351" s="243"/>
      <c r="AJ351" s="243"/>
      <c r="AK351" s="243"/>
      <c r="AL351" s="243"/>
      <c r="AM351" s="243"/>
      <c r="AN351" s="243">
        <f t="shared" si="17"/>
        <v>1078530.45</v>
      </c>
      <c r="AO351" s="25" t="s">
        <v>1021</v>
      </c>
      <c r="AP351" s="216"/>
      <c r="AQ351" s="245"/>
      <c r="AR351" s="26" t="s">
        <v>384</v>
      </c>
      <c r="AS351" s="26"/>
      <c r="AT351" s="308">
        <v>43536</v>
      </c>
      <c r="AU351" s="245"/>
      <c r="AV351" s="43" t="s">
        <v>66</v>
      </c>
      <c r="AW351" s="245"/>
      <c r="AX351" s="289" t="s">
        <v>86</v>
      </c>
      <c r="AY351" s="289"/>
      <c r="AZ351" s="290">
        <v>43547</v>
      </c>
      <c r="BA351" s="290">
        <v>43483</v>
      </c>
      <c r="BB351" s="25"/>
      <c r="BC351" s="291">
        <v>43891</v>
      </c>
      <c r="BD351" s="113" t="s">
        <v>88</v>
      </c>
      <c r="BE351" s="297">
        <v>1219515</v>
      </c>
      <c r="BF351" s="298">
        <f t="shared" si="16"/>
        <v>0.95</v>
      </c>
      <c r="BG351" s="297" t="e">
        <f>VLOOKUP(B351,[1]Sheet2!$B:$X,23,0)</f>
        <v>#N/A</v>
      </c>
    </row>
    <row r="352" spans="1:59" s="28" customFormat="1" ht="33" customHeight="1">
      <c r="A352" s="26" t="s">
        <v>1150</v>
      </c>
      <c r="B352" s="25" t="s">
        <v>1152</v>
      </c>
      <c r="C352" s="26" t="s">
        <v>1877</v>
      </c>
      <c r="D352" s="26" t="s">
        <v>1153</v>
      </c>
      <c r="E352" s="25" t="s">
        <v>1093</v>
      </c>
      <c r="F352" s="25" t="s">
        <v>315</v>
      </c>
      <c r="G352" s="25" t="s">
        <v>315</v>
      </c>
      <c r="H352" s="218" t="s">
        <v>1275</v>
      </c>
      <c r="I352" s="53" t="s">
        <v>76</v>
      </c>
      <c r="J352" s="53" t="s">
        <v>128</v>
      </c>
      <c r="K352" s="335">
        <v>43466</v>
      </c>
      <c r="L352" s="26"/>
      <c r="M352" s="243">
        <v>49737</v>
      </c>
      <c r="N352" s="243">
        <f t="shared" si="19"/>
        <v>49737</v>
      </c>
      <c r="O352" s="106"/>
      <c r="P352" s="106"/>
      <c r="Q352" s="106"/>
      <c r="R352" s="106"/>
      <c r="S352" s="243">
        <v>49737</v>
      </c>
      <c r="T352" s="243"/>
      <c r="U352" s="106"/>
      <c r="V352" s="106"/>
      <c r="W352" s="243"/>
      <c r="X352" s="243"/>
      <c r="Y352" s="263"/>
      <c r="Z352" s="263"/>
      <c r="AA352" s="263">
        <v>0.15</v>
      </c>
      <c r="AB352" s="243"/>
      <c r="AC352" s="243"/>
      <c r="AD352" s="243"/>
      <c r="AE352" s="243"/>
      <c r="AF352" s="243">
        <v>42276.45</v>
      </c>
      <c r="AG352" s="243"/>
      <c r="AH352" s="243"/>
      <c r="AI352" s="243"/>
      <c r="AJ352" s="243"/>
      <c r="AK352" s="243"/>
      <c r="AL352" s="243"/>
      <c r="AM352" s="243"/>
      <c r="AN352" s="243">
        <f t="shared" si="17"/>
        <v>42276.45</v>
      </c>
      <c r="AO352" s="25" t="s">
        <v>1021</v>
      </c>
      <c r="AP352" s="216"/>
      <c r="AQ352" s="245"/>
      <c r="AR352" s="26" t="s">
        <v>384</v>
      </c>
      <c r="AS352" s="26"/>
      <c r="AT352" s="308"/>
      <c r="AU352" s="245"/>
      <c r="AV352" s="43" t="s">
        <v>66</v>
      </c>
      <c r="AW352" s="245"/>
      <c r="AX352" s="289" t="s">
        <v>86</v>
      </c>
      <c r="AY352" s="289"/>
      <c r="AZ352" s="290">
        <v>43466</v>
      </c>
      <c r="BA352" s="290">
        <v>43483</v>
      </c>
      <c r="BB352" s="25"/>
      <c r="BC352" s="291">
        <v>43891</v>
      </c>
      <c r="BD352" s="113" t="s">
        <v>88</v>
      </c>
      <c r="BE352" s="297">
        <v>49737</v>
      </c>
      <c r="BF352" s="298">
        <f t="shared" si="16"/>
        <v>1</v>
      </c>
      <c r="BG352" s="297" t="e">
        <f>VLOOKUP(B352,[1]Sheet2!$B:$X,23,0)</f>
        <v>#N/A</v>
      </c>
    </row>
    <row r="353" spans="1:59" s="28" customFormat="1" ht="33" customHeight="1">
      <c r="A353" s="26" t="s">
        <v>1242</v>
      </c>
      <c r="B353" s="25" t="s">
        <v>1244</v>
      </c>
      <c r="C353" s="26" t="s">
        <v>1136</v>
      </c>
      <c r="D353" s="26" t="s">
        <v>1245</v>
      </c>
      <c r="E353" s="25" t="s">
        <v>261</v>
      </c>
      <c r="F353" s="25" t="s">
        <v>315</v>
      </c>
      <c r="G353" s="25" t="s">
        <v>315</v>
      </c>
      <c r="H353" s="218" t="s">
        <v>1314</v>
      </c>
      <c r="I353" s="53" t="s">
        <v>76</v>
      </c>
      <c r="J353" s="53" t="s">
        <v>63</v>
      </c>
      <c r="K353" s="335">
        <v>43466</v>
      </c>
      <c r="L353" s="26"/>
      <c r="M353" s="243">
        <v>699682.88</v>
      </c>
      <c r="N353" s="243">
        <f t="shared" si="19"/>
        <v>656482.89</v>
      </c>
      <c r="O353" s="106"/>
      <c r="P353" s="243">
        <v>528482.89</v>
      </c>
      <c r="Q353" s="243"/>
      <c r="R353" s="243"/>
      <c r="S353" s="243">
        <v>128000</v>
      </c>
      <c r="T353" s="243"/>
      <c r="U353" s="243"/>
      <c r="V353" s="243"/>
      <c r="W353" s="243">
        <v>43199.99</v>
      </c>
      <c r="X353" s="243">
        <v>43199.99</v>
      </c>
      <c r="Y353" s="263">
        <v>0.06</v>
      </c>
      <c r="Z353" s="263"/>
      <c r="AA353" s="263">
        <v>0.05</v>
      </c>
      <c r="AB353" s="243"/>
      <c r="AC353" s="243">
        <v>523205.89</v>
      </c>
      <c r="AD353" s="243"/>
      <c r="AE353" s="243"/>
      <c r="AF353" s="243">
        <v>86147.36</v>
      </c>
      <c r="AG353" s="243"/>
      <c r="AH353" s="243"/>
      <c r="AI353" s="243">
        <v>43199.99</v>
      </c>
      <c r="AJ353" s="243"/>
      <c r="AK353" s="243"/>
      <c r="AL353" s="243"/>
      <c r="AM353" s="243"/>
      <c r="AN353" s="243">
        <f t="shared" si="17"/>
        <v>652553.24</v>
      </c>
      <c r="AO353" s="25" t="s">
        <v>77</v>
      </c>
      <c r="AP353" s="216"/>
      <c r="AQ353" s="245"/>
      <c r="AR353" s="26" t="s">
        <v>384</v>
      </c>
      <c r="AS353" s="26"/>
      <c r="AT353" s="308">
        <v>43487</v>
      </c>
      <c r="AU353" s="245"/>
      <c r="AV353" s="43" t="s">
        <v>66</v>
      </c>
      <c r="AW353" s="245"/>
      <c r="AX353" s="289" t="s">
        <v>86</v>
      </c>
      <c r="AY353" s="26"/>
      <c r="AZ353" s="308">
        <v>43558</v>
      </c>
      <c r="BA353" s="342">
        <v>43567</v>
      </c>
      <c r="BB353" s="25"/>
      <c r="BC353" s="291">
        <v>43923</v>
      </c>
      <c r="BD353" s="113" t="s">
        <v>88</v>
      </c>
      <c r="BE353" s="297">
        <v>629714.6</v>
      </c>
      <c r="BF353" s="298">
        <f t="shared" si="16"/>
        <v>0.90000001143375119</v>
      </c>
      <c r="BG353" s="297" t="e">
        <f>VLOOKUP(B353,[1]Sheet2!$B:$X,23,0)</f>
        <v>#N/A</v>
      </c>
    </row>
    <row r="354" spans="1:59" s="28" customFormat="1" ht="33" customHeight="1">
      <c r="A354" s="26" t="s">
        <v>1238</v>
      </c>
      <c r="B354" s="25" t="s">
        <v>1240</v>
      </c>
      <c r="C354" s="26" t="s">
        <v>1147</v>
      </c>
      <c r="D354" s="26" t="s">
        <v>1241</v>
      </c>
      <c r="E354" s="25" t="s">
        <v>261</v>
      </c>
      <c r="F354" s="25" t="s">
        <v>315</v>
      </c>
      <c r="G354" s="25" t="s">
        <v>315</v>
      </c>
      <c r="H354" s="218" t="s">
        <v>1798</v>
      </c>
      <c r="I354" s="53" t="s">
        <v>76</v>
      </c>
      <c r="J354" s="53" t="s">
        <v>63</v>
      </c>
      <c r="K354" s="335">
        <v>43466</v>
      </c>
      <c r="L354" s="26"/>
      <c r="M354" s="243">
        <v>9220000</v>
      </c>
      <c r="N354" s="243">
        <f t="shared" si="19"/>
        <v>7172350</v>
      </c>
      <c r="O354" s="106"/>
      <c r="P354" s="243"/>
      <c r="Q354" s="243"/>
      <c r="R354" s="243"/>
      <c r="S354" s="243"/>
      <c r="T354" s="243"/>
      <c r="U354" s="243">
        <v>7172350</v>
      </c>
      <c r="V354" s="243"/>
      <c r="W354" s="243">
        <v>2047650</v>
      </c>
      <c r="X354" s="243">
        <v>2047650</v>
      </c>
      <c r="Y354" s="263">
        <v>0.1</v>
      </c>
      <c r="Z354" s="263"/>
      <c r="AA354" s="263">
        <v>0.11</v>
      </c>
      <c r="AB354" s="243"/>
      <c r="AC354" s="243"/>
      <c r="AD354" s="243"/>
      <c r="AE354" s="243"/>
      <c r="AF354" s="243"/>
      <c r="AG354" s="243"/>
      <c r="AH354" s="243">
        <v>6303863.875</v>
      </c>
      <c r="AI354" s="243">
        <v>2047650</v>
      </c>
      <c r="AJ354" s="243"/>
      <c r="AK354" s="243"/>
      <c r="AL354" s="243"/>
      <c r="AM354" s="243"/>
      <c r="AN354" s="243">
        <f t="shared" si="17"/>
        <v>8351513.875</v>
      </c>
      <c r="AO354" s="25" t="s">
        <v>77</v>
      </c>
      <c r="AP354" s="216"/>
      <c r="AQ354" s="245"/>
      <c r="AR354" s="26" t="s">
        <v>384</v>
      </c>
      <c r="AS354" s="26"/>
      <c r="AT354" s="308"/>
      <c r="AU354" s="245"/>
      <c r="AV354" s="341"/>
      <c r="AW354" s="245"/>
      <c r="AX354" s="26"/>
      <c r="AY354" s="26"/>
      <c r="AZ354" s="308"/>
      <c r="BA354" s="342"/>
      <c r="BB354" s="25"/>
      <c r="BC354" s="291"/>
      <c r="BD354" s="341"/>
      <c r="BE354" s="297">
        <v>2766000</v>
      </c>
      <c r="BF354" s="298">
        <f t="shared" si="16"/>
        <v>0.3</v>
      </c>
      <c r="BG354" s="297" t="e">
        <f>VLOOKUP(B354,[1]Sheet2!$B:$X,23,0)</f>
        <v>#N/A</v>
      </c>
    </row>
    <row r="355" spans="1:59" s="28" customFormat="1" ht="33" customHeight="1">
      <c r="A355" s="26" t="s">
        <v>1249</v>
      </c>
      <c r="B355" s="25" t="s">
        <v>1251</v>
      </c>
      <c r="C355" s="26" t="s">
        <v>1151</v>
      </c>
      <c r="D355" s="26" t="s">
        <v>1252</v>
      </c>
      <c r="E355" s="25" t="s">
        <v>261</v>
      </c>
      <c r="F355" s="25" t="s">
        <v>315</v>
      </c>
      <c r="G355" s="25" t="s">
        <v>315</v>
      </c>
      <c r="H355" s="218" t="s">
        <v>1275</v>
      </c>
      <c r="I355" s="53" t="s">
        <v>76</v>
      </c>
      <c r="J355" s="53" t="s">
        <v>63</v>
      </c>
      <c r="K355" s="335">
        <v>43523</v>
      </c>
      <c r="L355" s="26"/>
      <c r="M355" s="243">
        <v>663366</v>
      </c>
      <c r="N355" s="243">
        <f t="shared" si="19"/>
        <v>663366</v>
      </c>
      <c r="O355" s="106"/>
      <c r="P355" s="243">
        <v>379146</v>
      </c>
      <c r="Q355" s="243"/>
      <c r="R355" s="243"/>
      <c r="S355" s="243">
        <v>284220</v>
      </c>
      <c r="T355" s="243"/>
      <c r="U355" s="243"/>
      <c r="V355" s="243"/>
      <c r="W355" s="243"/>
      <c r="X355" s="243"/>
      <c r="Y355" s="263"/>
      <c r="Z355" s="263"/>
      <c r="AA355" s="263">
        <v>0.1</v>
      </c>
      <c r="AB355" s="243"/>
      <c r="AC355" s="243">
        <v>379146</v>
      </c>
      <c r="AD355" s="243"/>
      <c r="AE355" s="243"/>
      <c r="AF355" s="243">
        <v>207844</v>
      </c>
      <c r="AG355" s="243"/>
      <c r="AH355" s="243"/>
      <c r="AI355" s="243"/>
      <c r="AJ355" s="243"/>
      <c r="AK355" s="243"/>
      <c r="AL355" s="243"/>
      <c r="AM355" s="243"/>
      <c r="AN355" s="243">
        <f t="shared" si="17"/>
        <v>586990</v>
      </c>
      <c r="AO355" s="25" t="s">
        <v>77</v>
      </c>
      <c r="AP355" s="216"/>
      <c r="AQ355" s="245"/>
      <c r="AR355" s="278" t="s">
        <v>1253</v>
      </c>
      <c r="AS355" s="278"/>
      <c r="AT355" s="308">
        <v>43460</v>
      </c>
      <c r="AU355" s="245"/>
      <c r="AV355" s="341" t="s">
        <v>66</v>
      </c>
      <c r="AW355" s="245"/>
      <c r="AX355" s="26" t="s">
        <v>86</v>
      </c>
      <c r="AY355" s="26"/>
      <c r="AZ355" s="308">
        <v>43636</v>
      </c>
      <c r="BA355" s="342">
        <v>43702</v>
      </c>
      <c r="BB355" s="25"/>
      <c r="BC355" s="291">
        <v>44001</v>
      </c>
      <c r="BD355" s="341" t="s">
        <v>88</v>
      </c>
      <c r="BE355" s="297">
        <v>663366</v>
      </c>
      <c r="BF355" s="298">
        <f t="shared" si="16"/>
        <v>1</v>
      </c>
      <c r="BG355" s="297" t="e">
        <f>VLOOKUP(B355,[1]Sheet2!$B:$X,23,0)</f>
        <v>#N/A</v>
      </c>
    </row>
    <row r="356" spans="1:59" s="28" customFormat="1" ht="33" customHeight="1">
      <c r="A356" s="26" t="s">
        <v>1254</v>
      </c>
      <c r="B356" s="322" t="s">
        <v>1256</v>
      </c>
      <c r="C356" s="26" t="s">
        <v>1878</v>
      </c>
      <c r="D356" s="26" t="s">
        <v>1257</v>
      </c>
      <c r="E356" s="25" t="s">
        <v>106</v>
      </c>
      <c r="F356" s="25" t="s">
        <v>315</v>
      </c>
      <c r="G356" s="25" t="s">
        <v>315</v>
      </c>
      <c r="H356" s="218" t="s">
        <v>1275</v>
      </c>
      <c r="I356" s="53" t="s">
        <v>76</v>
      </c>
      <c r="J356" s="53" t="s">
        <v>63</v>
      </c>
      <c r="K356" s="335">
        <v>43539</v>
      </c>
      <c r="L356" s="26"/>
      <c r="M356" s="243">
        <v>653774.65</v>
      </c>
      <c r="N356" s="243">
        <f t="shared" si="19"/>
        <v>653774.65</v>
      </c>
      <c r="O356" s="106"/>
      <c r="P356" s="243">
        <v>386637</v>
      </c>
      <c r="Q356" s="243"/>
      <c r="R356" s="243"/>
      <c r="S356" s="243">
        <v>267137.65000000002</v>
      </c>
      <c r="T356" s="243"/>
      <c r="U356" s="243"/>
      <c r="V356" s="243"/>
      <c r="W356" s="243"/>
      <c r="X356" s="243"/>
      <c r="Y356" s="263"/>
      <c r="Z356" s="263"/>
      <c r="AA356" s="263">
        <v>0.15</v>
      </c>
      <c r="AB356" s="243"/>
      <c r="AC356" s="243">
        <v>382742.25</v>
      </c>
      <c r="AD356" s="243"/>
      <c r="AE356" s="243"/>
      <c r="AF356" s="243">
        <v>165560.53</v>
      </c>
      <c r="AG356" s="243"/>
      <c r="AH356" s="243"/>
      <c r="AI356" s="243"/>
      <c r="AJ356" s="243"/>
      <c r="AK356" s="243"/>
      <c r="AL356" s="243"/>
      <c r="AM356" s="243"/>
      <c r="AN356" s="243">
        <f t="shared" si="17"/>
        <v>548302.78</v>
      </c>
      <c r="AO356" s="25" t="s">
        <v>1258</v>
      </c>
      <c r="AP356" s="216"/>
      <c r="AQ356" s="245"/>
      <c r="AR356" s="26" t="s">
        <v>384</v>
      </c>
      <c r="AS356" s="26"/>
      <c r="AT356" s="308">
        <v>43544</v>
      </c>
      <c r="AU356" s="245"/>
      <c r="AV356" s="43" t="s">
        <v>66</v>
      </c>
      <c r="AW356" s="245"/>
      <c r="AX356" s="26" t="s">
        <v>86</v>
      </c>
      <c r="AY356" s="26"/>
      <c r="AZ356" s="308">
        <v>43607</v>
      </c>
      <c r="BA356" s="342">
        <v>43607</v>
      </c>
      <c r="BB356" s="25"/>
      <c r="BC356" s="291">
        <v>43972</v>
      </c>
      <c r="BD356" s="341" t="s">
        <v>88</v>
      </c>
      <c r="BE356" s="297">
        <v>653774.65</v>
      </c>
      <c r="BF356" s="298">
        <f t="shared" si="16"/>
        <v>1</v>
      </c>
      <c r="BG356" s="297" t="e">
        <f>VLOOKUP(B356,[1]Sheet2!$B:$X,23,0)</f>
        <v>#N/A</v>
      </c>
    </row>
    <row r="357" spans="1:59" s="28" customFormat="1" ht="33" customHeight="1">
      <c r="A357" s="26" t="s">
        <v>863</v>
      </c>
      <c r="B357" s="25" t="s">
        <v>864</v>
      </c>
      <c r="C357" s="26"/>
      <c r="D357" s="26" t="s">
        <v>865</v>
      </c>
      <c r="E357" s="25" t="s">
        <v>294</v>
      </c>
      <c r="F357" s="25" t="s">
        <v>315</v>
      </c>
      <c r="G357" s="25" t="s">
        <v>315</v>
      </c>
      <c r="H357" s="218"/>
      <c r="I357" s="53" t="s">
        <v>76</v>
      </c>
      <c r="J357" s="53"/>
      <c r="K357" s="295">
        <v>43238</v>
      </c>
      <c r="L357" s="26" t="s">
        <v>866</v>
      </c>
      <c r="M357" s="26">
        <v>329000</v>
      </c>
      <c r="N357" s="243">
        <f t="shared" ref="N357:N372" si="20">SUM(O357:V357)</f>
        <v>329000</v>
      </c>
      <c r="O357" s="53"/>
      <c r="P357" s="245">
        <v>225260</v>
      </c>
      <c r="Q357" s="245"/>
      <c r="R357" s="245"/>
      <c r="S357" s="245">
        <v>103740</v>
      </c>
      <c r="T357" s="245"/>
      <c r="U357" s="245"/>
      <c r="V357" s="245"/>
      <c r="W357" s="26"/>
      <c r="X357" s="26"/>
      <c r="Y357" s="263"/>
      <c r="Z357" s="263"/>
      <c r="AA357" s="263">
        <v>0.15</v>
      </c>
      <c r="AB357" s="26"/>
      <c r="AC357" s="26">
        <v>191471</v>
      </c>
      <c r="AD357" s="26"/>
      <c r="AE357" s="26"/>
      <c r="AF357" s="26">
        <v>88179</v>
      </c>
      <c r="AG357" s="26"/>
      <c r="AH357" s="26"/>
      <c r="AI357" s="26"/>
      <c r="AJ357" s="26"/>
      <c r="AK357" s="26"/>
      <c r="AL357" s="26"/>
      <c r="AM357" s="26"/>
      <c r="AN357" s="243">
        <f>SUM(AB357:AH357)</f>
        <v>279650</v>
      </c>
      <c r="AO357" s="25" t="s">
        <v>62</v>
      </c>
      <c r="AP357" s="216"/>
      <c r="AQ357" s="245"/>
      <c r="AR357" s="26" t="s">
        <v>384</v>
      </c>
      <c r="AS357" s="26"/>
      <c r="AT357" s="308"/>
      <c r="AU357" s="245"/>
      <c r="AV357" s="43" t="s">
        <v>66</v>
      </c>
      <c r="AW357" s="245"/>
      <c r="AX357" s="289" t="s">
        <v>86</v>
      </c>
      <c r="AY357" s="289"/>
      <c r="AZ357" s="290" t="s">
        <v>867</v>
      </c>
      <c r="BA357" s="343" t="s">
        <v>868</v>
      </c>
      <c r="BB357" s="25"/>
      <c r="BC357" s="291" t="s">
        <v>869</v>
      </c>
      <c r="BD357" s="113" t="s">
        <v>88</v>
      </c>
      <c r="BE357" s="297"/>
      <c r="BF357" s="298">
        <f t="shared" si="16"/>
        <v>0</v>
      </c>
      <c r="BG357" s="297" t="e">
        <f>VLOOKUP(B357,[1]Sheet2!$B:$X,23,0)</f>
        <v>#N/A</v>
      </c>
    </row>
    <row r="358" spans="1:59" s="28" customFormat="1" ht="33" customHeight="1">
      <c r="A358" s="43" t="s">
        <v>1090</v>
      </c>
      <c r="B358" s="43" t="s">
        <v>1091</v>
      </c>
      <c r="C358" s="26" t="s">
        <v>1879</v>
      </c>
      <c r="D358" s="26" t="s">
        <v>1092</v>
      </c>
      <c r="E358" s="25" t="s">
        <v>1093</v>
      </c>
      <c r="F358" s="25" t="s">
        <v>196</v>
      </c>
      <c r="G358" s="25" t="s">
        <v>196</v>
      </c>
      <c r="H358" s="218" t="s">
        <v>1275</v>
      </c>
      <c r="I358" s="53"/>
      <c r="J358" s="53"/>
      <c r="K358" s="335">
        <v>43466</v>
      </c>
      <c r="L358" s="26"/>
      <c r="M358" s="243">
        <v>1198000</v>
      </c>
      <c r="N358" s="243">
        <f t="shared" si="20"/>
        <v>1198000</v>
      </c>
      <c r="O358" s="243"/>
      <c r="P358" s="243"/>
      <c r="Q358" s="243"/>
      <c r="R358" s="243"/>
      <c r="S358" s="243"/>
      <c r="T358" s="243"/>
      <c r="U358" s="336">
        <v>1198000</v>
      </c>
      <c r="V358" s="243"/>
      <c r="W358" s="243"/>
      <c r="X358" s="243"/>
      <c r="Y358" s="263"/>
      <c r="Z358" s="263"/>
      <c r="AA358" s="263">
        <v>0.15</v>
      </c>
      <c r="AB358" s="243"/>
      <c r="AC358" s="243"/>
      <c r="AD358" s="243"/>
      <c r="AE358" s="243"/>
      <c r="AF358" s="243"/>
      <c r="AG358" s="243"/>
      <c r="AH358" s="243"/>
      <c r="AI358" s="243"/>
      <c r="AJ358" s="243"/>
      <c r="AK358" s="243"/>
      <c r="AL358" s="243"/>
      <c r="AM358" s="243"/>
      <c r="AN358" s="243">
        <f>SUM(AB358:AL358)</f>
        <v>0</v>
      </c>
      <c r="AO358" s="26" t="s">
        <v>93</v>
      </c>
      <c r="AP358" s="216"/>
      <c r="AQ358" s="245"/>
      <c r="AR358" s="26" t="s">
        <v>384</v>
      </c>
      <c r="AS358" s="26"/>
      <c r="AT358" s="308"/>
      <c r="AU358" s="245"/>
      <c r="AV358" s="43" t="s">
        <v>66</v>
      </c>
      <c r="AW358" s="245"/>
      <c r="AX358" s="289" t="s">
        <v>86</v>
      </c>
      <c r="AY358" s="289"/>
      <c r="AZ358" s="290">
        <v>43634</v>
      </c>
      <c r="BA358" s="290">
        <v>43636</v>
      </c>
      <c r="BB358" s="25"/>
      <c r="BC358" s="291">
        <v>43804</v>
      </c>
      <c r="BD358" s="113" t="s">
        <v>931</v>
      </c>
      <c r="BE358" s="297">
        <v>359400</v>
      </c>
      <c r="BF358" s="298">
        <f t="shared" si="16"/>
        <v>0.3</v>
      </c>
      <c r="BG358" s="297" t="e">
        <f>VLOOKUP(B358,[1]Sheet2!$B:$X,23,0)</f>
        <v>#N/A</v>
      </c>
    </row>
    <row r="359" spans="1:59" s="28" customFormat="1" ht="33" customHeight="1">
      <c r="A359" s="348" t="s">
        <v>1880</v>
      </c>
      <c r="B359" s="43" t="s">
        <v>1881</v>
      </c>
      <c r="C359" s="26" t="s">
        <v>1882</v>
      </c>
      <c r="D359" s="26" t="s">
        <v>1883</v>
      </c>
      <c r="E359" s="25" t="s">
        <v>294</v>
      </c>
      <c r="F359" s="25" t="s">
        <v>315</v>
      </c>
      <c r="G359" s="25" t="s">
        <v>315</v>
      </c>
      <c r="H359" s="218" t="s">
        <v>1798</v>
      </c>
      <c r="I359" s="53"/>
      <c r="J359" s="53"/>
      <c r="K359" s="335">
        <v>43466</v>
      </c>
      <c r="L359" s="26" t="s">
        <v>1884</v>
      </c>
      <c r="M359" s="26">
        <v>622000</v>
      </c>
      <c r="N359" s="243"/>
      <c r="O359" s="243"/>
      <c r="P359" s="243"/>
      <c r="Q359" s="243"/>
      <c r="R359" s="243"/>
      <c r="S359" s="243"/>
      <c r="T359" s="243"/>
      <c r="U359" s="336"/>
      <c r="V359" s="243"/>
      <c r="W359" s="243"/>
      <c r="X359" s="243"/>
      <c r="Y359" s="263"/>
      <c r="Z359" s="263"/>
      <c r="AA359" s="263"/>
      <c r="AB359" s="243"/>
      <c r="AC359" s="243"/>
      <c r="AD359" s="243"/>
      <c r="AE359" s="243"/>
      <c r="AF359" s="243"/>
      <c r="AG359" s="243"/>
      <c r="AH359" s="243"/>
      <c r="AI359" s="243"/>
      <c r="AJ359" s="243"/>
      <c r="AK359" s="243"/>
      <c r="AL359" s="243"/>
      <c r="AM359" s="243"/>
      <c r="AN359" s="243"/>
      <c r="AO359" s="26" t="s">
        <v>93</v>
      </c>
      <c r="AP359" s="216"/>
      <c r="AQ359" s="245" t="s">
        <v>62</v>
      </c>
      <c r="AR359" s="26" t="s">
        <v>384</v>
      </c>
      <c r="AS359" s="26"/>
      <c r="AT359" s="308"/>
      <c r="AU359" s="245"/>
      <c r="AV359" s="43"/>
      <c r="AW359" s="245"/>
      <c r="AX359" s="26"/>
      <c r="AY359" s="289"/>
      <c r="AZ359" s="290"/>
      <c r="BA359" s="290"/>
      <c r="BB359" s="25"/>
      <c r="BC359" s="291"/>
      <c r="BD359" s="113"/>
      <c r="BE359" s="297">
        <v>207333</v>
      </c>
      <c r="BF359" s="298">
        <f t="shared" si="16"/>
        <v>0.33333279742765276</v>
      </c>
      <c r="BG359" s="297" t="e">
        <f>VLOOKUP(B359,[1]Sheet2!$B:$X,23,0)</f>
        <v>#N/A</v>
      </c>
    </row>
    <row r="360" spans="1:59" s="28" customFormat="1" ht="33" customHeight="1">
      <c r="A360" s="348" t="s">
        <v>1885</v>
      </c>
      <c r="B360" s="43" t="s">
        <v>1886</v>
      </c>
      <c r="C360" s="26" t="s">
        <v>1243</v>
      </c>
      <c r="D360" s="26" t="s">
        <v>1887</v>
      </c>
      <c r="E360" s="25" t="s">
        <v>576</v>
      </c>
      <c r="F360" s="25" t="s">
        <v>315</v>
      </c>
      <c r="G360" s="25" t="s">
        <v>315</v>
      </c>
      <c r="H360" s="218" t="s">
        <v>1275</v>
      </c>
      <c r="I360" s="53"/>
      <c r="J360" s="53"/>
      <c r="K360" s="335">
        <v>43466</v>
      </c>
      <c r="L360" s="26"/>
      <c r="M360" s="26">
        <v>320000</v>
      </c>
      <c r="N360" s="243"/>
      <c r="O360" s="243"/>
      <c r="P360" s="243"/>
      <c r="Q360" s="243"/>
      <c r="R360" s="243"/>
      <c r="S360" s="243"/>
      <c r="T360" s="243"/>
      <c r="U360" s="336"/>
      <c r="V360" s="243"/>
      <c r="W360" s="243"/>
      <c r="X360" s="243"/>
      <c r="Y360" s="263"/>
      <c r="Z360" s="263"/>
      <c r="AA360" s="263"/>
      <c r="AB360" s="243"/>
      <c r="AC360" s="243"/>
      <c r="AD360" s="243"/>
      <c r="AE360" s="243"/>
      <c r="AF360" s="243"/>
      <c r="AG360" s="243"/>
      <c r="AH360" s="243"/>
      <c r="AI360" s="243"/>
      <c r="AJ360" s="243"/>
      <c r="AK360" s="243"/>
      <c r="AL360" s="243"/>
      <c r="AM360" s="243"/>
      <c r="AN360" s="243"/>
      <c r="AO360" s="26" t="s">
        <v>1021</v>
      </c>
      <c r="AP360" s="216"/>
      <c r="AQ360" s="245"/>
      <c r="AR360" s="26" t="s">
        <v>384</v>
      </c>
      <c r="AS360" s="26"/>
      <c r="AT360" s="308"/>
      <c r="AU360" s="245"/>
      <c r="AV360" s="43" t="s">
        <v>66</v>
      </c>
      <c r="AW360" s="245"/>
      <c r="AX360" s="26" t="s">
        <v>86</v>
      </c>
      <c r="AY360" s="289"/>
      <c r="AZ360" s="290">
        <v>43586</v>
      </c>
      <c r="BA360" s="290">
        <v>43599</v>
      </c>
      <c r="BB360" s="25"/>
      <c r="BC360" s="291">
        <v>43952</v>
      </c>
      <c r="BD360" s="26" t="s">
        <v>88</v>
      </c>
      <c r="BE360" s="297">
        <v>304000</v>
      </c>
      <c r="BF360" s="298">
        <f t="shared" si="16"/>
        <v>0.95</v>
      </c>
      <c r="BG360" s="297" t="e">
        <f>VLOOKUP(B360,[1]Sheet2!$B:$X,23,0)</f>
        <v>#N/A</v>
      </c>
    </row>
    <row r="361" spans="1:59" s="28" customFormat="1" ht="33" customHeight="1">
      <c r="A361" s="348" t="s">
        <v>1888</v>
      </c>
      <c r="B361" s="43" t="s">
        <v>1889</v>
      </c>
      <c r="C361" s="26" t="s">
        <v>1890</v>
      </c>
      <c r="D361" s="26" t="s">
        <v>1891</v>
      </c>
      <c r="E361" s="25" t="s">
        <v>224</v>
      </c>
      <c r="F361" s="25" t="s">
        <v>315</v>
      </c>
      <c r="G361" s="25" t="s">
        <v>315</v>
      </c>
      <c r="H361" s="218" t="s">
        <v>1275</v>
      </c>
      <c r="I361" s="53"/>
      <c r="J361" s="53"/>
      <c r="K361" s="335">
        <v>43466</v>
      </c>
      <c r="L361" s="26"/>
      <c r="M361" s="26">
        <v>582870.86</v>
      </c>
      <c r="N361" s="243"/>
      <c r="O361" s="243"/>
      <c r="P361" s="243"/>
      <c r="Q361" s="243"/>
      <c r="R361" s="243"/>
      <c r="S361" s="243"/>
      <c r="T361" s="243"/>
      <c r="U361" s="336"/>
      <c r="V361" s="243"/>
      <c r="W361" s="243"/>
      <c r="X361" s="243"/>
      <c r="Y361" s="263"/>
      <c r="Z361" s="263"/>
      <c r="AA361" s="263"/>
      <c r="AB361" s="243"/>
      <c r="AC361" s="243"/>
      <c r="AD361" s="243"/>
      <c r="AE361" s="243"/>
      <c r="AF361" s="243"/>
      <c r="AG361" s="243"/>
      <c r="AH361" s="243"/>
      <c r="AI361" s="243"/>
      <c r="AJ361" s="243"/>
      <c r="AK361" s="243"/>
      <c r="AL361" s="243"/>
      <c r="AM361" s="243"/>
      <c r="AN361" s="243"/>
      <c r="AO361" s="26" t="s">
        <v>77</v>
      </c>
      <c r="AP361" s="216"/>
      <c r="AQ361" s="245"/>
      <c r="AR361" s="26" t="s">
        <v>384</v>
      </c>
      <c r="AS361" s="26"/>
      <c r="AT361" s="308"/>
      <c r="AU361" s="245"/>
      <c r="AV361" s="43" t="s">
        <v>66</v>
      </c>
      <c r="AW361" s="245"/>
      <c r="AX361" s="26" t="s">
        <v>86</v>
      </c>
      <c r="AY361" s="289"/>
      <c r="AZ361" s="290">
        <v>43584</v>
      </c>
      <c r="BA361" s="290">
        <v>43637</v>
      </c>
      <c r="BB361" s="25"/>
      <c r="BC361" s="291">
        <v>44002</v>
      </c>
      <c r="BD361" s="26" t="s">
        <v>88</v>
      </c>
      <c r="BE361" s="297">
        <v>0</v>
      </c>
      <c r="BF361" s="298">
        <f t="shared" si="16"/>
        <v>0</v>
      </c>
      <c r="BG361" s="297" t="e">
        <f>VLOOKUP(B361,[1]Sheet2!$B:$X,23,0)</f>
        <v>#N/A</v>
      </c>
    </row>
    <row r="362" spans="1:59" s="28" customFormat="1" ht="33" customHeight="1">
      <c r="A362" s="348" t="s">
        <v>1892</v>
      </c>
      <c r="B362" s="43" t="s">
        <v>1893</v>
      </c>
      <c r="C362" s="26" t="s">
        <v>1894</v>
      </c>
      <c r="D362" s="26" t="s">
        <v>1895</v>
      </c>
      <c r="E362" s="25" t="s">
        <v>83</v>
      </c>
      <c r="F362" s="25" t="s">
        <v>315</v>
      </c>
      <c r="G362" s="25" t="s">
        <v>315</v>
      </c>
      <c r="H362" s="218" t="s">
        <v>1275</v>
      </c>
      <c r="I362" s="53"/>
      <c r="J362" s="53"/>
      <c r="K362" s="335">
        <v>43466</v>
      </c>
      <c r="L362" s="26"/>
      <c r="M362" s="26">
        <v>427300</v>
      </c>
      <c r="N362" s="243"/>
      <c r="O362" s="243"/>
      <c r="P362" s="243"/>
      <c r="Q362" s="243"/>
      <c r="R362" s="243"/>
      <c r="S362" s="243"/>
      <c r="T362" s="243"/>
      <c r="U362" s="336"/>
      <c r="V362" s="243"/>
      <c r="W362" s="243"/>
      <c r="X362" s="243"/>
      <c r="Y362" s="263"/>
      <c r="Z362" s="263"/>
      <c r="AA362" s="263"/>
      <c r="AB362" s="243"/>
      <c r="AC362" s="243"/>
      <c r="AD362" s="243"/>
      <c r="AE362" s="243"/>
      <c r="AF362" s="243"/>
      <c r="AG362" s="243"/>
      <c r="AH362" s="243"/>
      <c r="AI362" s="243"/>
      <c r="AJ362" s="243"/>
      <c r="AK362" s="243"/>
      <c r="AL362" s="243"/>
      <c r="AM362" s="243"/>
      <c r="AN362" s="243"/>
      <c r="AO362" s="26" t="s">
        <v>1021</v>
      </c>
      <c r="AP362" s="216"/>
      <c r="AQ362" s="245"/>
      <c r="AR362" s="26" t="s">
        <v>384</v>
      </c>
      <c r="AS362" s="26"/>
      <c r="AT362" s="308">
        <v>43405</v>
      </c>
      <c r="AU362" s="245"/>
      <c r="AV362" s="43" t="s">
        <v>66</v>
      </c>
      <c r="AW362" s="245"/>
      <c r="AX362" s="26" t="s">
        <v>86</v>
      </c>
      <c r="AY362" s="289"/>
      <c r="AZ362" s="290">
        <v>43590</v>
      </c>
      <c r="BA362" s="290">
        <v>43590</v>
      </c>
      <c r="BB362" s="25"/>
      <c r="BC362" s="291">
        <v>43955</v>
      </c>
      <c r="BD362" s="26" t="s">
        <v>88</v>
      </c>
      <c r="BE362" s="297">
        <v>427300</v>
      </c>
      <c r="BF362" s="298">
        <f t="shared" si="16"/>
        <v>1</v>
      </c>
      <c r="BG362" s="297" t="e">
        <f>VLOOKUP(B362,[1]Sheet2!$B:$X,23,0)</f>
        <v>#N/A</v>
      </c>
    </row>
    <row r="363" spans="1:59" s="28" customFormat="1" ht="33" customHeight="1">
      <c r="A363" s="348" t="s">
        <v>1896</v>
      </c>
      <c r="B363" s="36" t="s">
        <v>1897</v>
      </c>
      <c r="C363" s="26" t="s">
        <v>1898</v>
      </c>
      <c r="D363" s="349" t="s">
        <v>1899</v>
      </c>
      <c r="E363" s="349" t="s">
        <v>139</v>
      </c>
      <c r="F363" s="25" t="s">
        <v>1350</v>
      </c>
      <c r="G363" s="25" t="s">
        <v>1350</v>
      </c>
      <c r="H363" s="218" t="s">
        <v>1275</v>
      </c>
      <c r="I363" s="53"/>
      <c r="J363" s="53"/>
      <c r="K363" s="335">
        <v>43466</v>
      </c>
      <c r="L363" s="26"/>
      <c r="M363" s="243">
        <v>1480000</v>
      </c>
      <c r="N363" s="243"/>
      <c r="O363" s="243"/>
      <c r="P363" s="243"/>
      <c r="Q363" s="243"/>
      <c r="R363" s="243"/>
      <c r="S363" s="243"/>
      <c r="T363" s="243"/>
      <c r="U363" s="336"/>
      <c r="V363" s="243"/>
      <c r="W363" s="243"/>
      <c r="X363" s="243"/>
      <c r="Y363" s="263"/>
      <c r="Z363" s="263"/>
      <c r="AA363" s="263"/>
      <c r="AB363" s="243"/>
      <c r="AC363" s="243"/>
      <c r="AD363" s="243"/>
      <c r="AE363" s="243"/>
      <c r="AF363" s="243"/>
      <c r="AG363" s="243"/>
      <c r="AH363" s="243"/>
      <c r="AI363" s="243"/>
      <c r="AJ363" s="243"/>
      <c r="AK363" s="243"/>
      <c r="AL363" s="243"/>
      <c r="AM363" s="243"/>
      <c r="AN363" s="243"/>
      <c r="AO363" s="26" t="s">
        <v>1021</v>
      </c>
      <c r="AP363" s="216"/>
      <c r="AQ363" s="245"/>
      <c r="AR363" s="26" t="s">
        <v>384</v>
      </c>
      <c r="AS363" s="26"/>
      <c r="AT363" s="308"/>
      <c r="AU363" s="245"/>
      <c r="AV363" s="43"/>
      <c r="AW363" s="245"/>
      <c r="AX363" s="26"/>
      <c r="AY363" s="289"/>
      <c r="AZ363" s="290"/>
      <c r="BA363" s="290"/>
      <c r="BB363" s="25"/>
      <c r="BC363" s="291"/>
      <c r="BD363" s="113"/>
      <c r="BE363" s="297">
        <v>1036000</v>
      </c>
      <c r="BF363" s="298">
        <f t="shared" si="16"/>
        <v>0.7</v>
      </c>
      <c r="BG363" s="297" t="e">
        <f>VLOOKUP(B363,[1]Sheet2!$B:$X,23,0)</f>
        <v>#N/A</v>
      </c>
    </row>
    <row r="364" spans="1:59" s="28" customFormat="1" ht="33" customHeight="1">
      <c r="A364" s="348" t="s">
        <v>1900</v>
      </c>
      <c r="B364" s="43" t="s">
        <v>1901</v>
      </c>
      <c r="C364" s="26" t="s">
        <v>1239</v>
      </c>
      <c r="D364" s="26" t="s">
        <v>1902</v>
      </c>
      <c r="E364" s="25" t="s">
        <v>139</v>
      </c>
      <c r="F364" s="25" t="s">
        <v>315</v>
      </c>
      <c r="G364" s="25" t="s">
        <v>315</v>
      </c>
      <c r="H364" s="218" t="s">
        <v>1275</v>
      </c>
      <c r="I364" s="53"/>
      <c r="J364" s="53"/>
      <c r="K364" s="335">
        <v>43466</v>
      </c>
      <c r="L364" s="26"/>
      <c r="M364" s="243">
        <v>5640000</v>
      </c>
      <c r="N364" s="243"/>
      <c r="O364" s="243"/>
      <c r="P364" s="243"/>
      <c r="Q364" s="243"/>
      <c r="R364" s="243"/>
      <c r="S364" s="243"/>
      <c r="T364" s="243"/>
      <c r="U364" s="336"/>
      <c r="V364" s="243"/>
      <c r="W364" s="243"/>
      <c r="X364" s="243"/>
      <c r="Y364" s="263"/>
      <c r="Z364" s="263"/>
      <c r="AA364" s="263"/>
      <c r="AB364" s="243"/>
      <c r="AC364" s="243"/>
      <c r="AD364" s="243"/>
      <c r="AE364" s="243"/>
      <c r="AF364" s="243"/>
      <c r="AG364" s="243"/>
      <c r="AH364" s="243"/>
      <c r="AI364" s="243"/>
      <c r="AJ364" s="243"/>
      <c r="AK364" s="243"/>
      <c r="AL364" s="243"/>
      <c r="AM364" s="243"/>
      <c r="AN364" s="243"/>
      <c r="AO364" s="26" t="s">
        <v>1021</v>
      </c>
      <c r="AP364" s="216"/>
      <c r="AQ364" s="245"/>
      <c r="AR364" s="26" t="s">
        <v>384</v>
      </c>
      <c r="AS364" s="26"/>
      <c r="AT364" s="308">
        <v>43488</v>
      </c>
      <c r="AU364" s="245"/>
      <c r="AV364" s="43" t="s">
        <v>66</v>
      </c>
      <c r="AW364" s="245"/>
      <c r="AX364" s="26" t="s">
        <v>86</v>
      </c>
      <c r="AY364" s="289"/>
      <c r="AZ364" s="290">
        <v>43539</v>
      </c>
      <c r="BA364" s="290">
        <v>43666</v>
      </c>
      <c r="BB364" s="25"/>
      <c r="BC364" s="291">
        <v>43904</v>
      </c>
      <c r="BD364" s="113" t="s">
        <v>88</v>
      </c>
      <c r="BE364" s="297">
        <v>0</v>
      </c>
      <c r="BF364" s="298">
        <f t="shared" si="16"/>
        <v>0</v>
      </c>
      <c r="BG364" s="297" t="e">
        <f>VLOOKUP(B364,[1]Sheet2!$B:$X,23,0)</f>
        <v>#N/A</v>
      </c>
    </row>
    <row r="365" spans="1:59" s="28" customFormat="1" ht="33" customHeight="1">
      <c r="A365" s="43" t="s">
        <v>1139</v>
      </c>
      <c r="B365" s="43" t="s">
        <v>1140</v>
      </c>
      <c r="C365" s="26" t="s">
        <v>1903</v>
      </c>
      <c r="D365" s="43" t="s">
        <v>1141</v>
      </c>
      <c r="E365" s="25" t="s">
        <v>1142</v>
      </c>
      <c r="F365" s="25" t="s">
        <v>315</v>
      </c>
      <c r="G365" s="25" t="s">
        <v>315</v>
      </c>
      <c r="H365" s="218" t="s">
        <v>1275</v>
      </c>
      <c r="I365" s="32" t="s">
        <v>795</v>
      </c>
      <c r="J365" s="53" t="s">
        <v>128</v>
      </c>
      <c r="K365" s="335">
        <v>43466</v>
      </c>
      <c r="L365" s="26"/>
      <c r="M365" s="243">
        <v>710000</v>
      </c>
      <c r="N365" s="243">
        <f t="shared" si="20"/>
        <v>710000</v>
      </c>
      <c r="O365" s="243"/>
      <c r="P365" s="243"/>
      <c r="Q365" s="243"/>
      <c r="R365" s="243"/>
      <c r="S365" s="243"/>
      <c r="T365" s="243"/>
      <c r="U365" s="243">
        <v>710000</v>
      </c>
      <c r="V365" s="243"/>
      <c r="W365" s="243"/>
      <c r="X365" s="243"/>
      <c r="Y365" s="263"/>
      <c r="Z365" s="263"/>
      <c r="AA365" s="263">
        <v>0.1</v>
      </c>
      <c r="AB365" s="243"/>
      <c r="AC365" s="243"/>
      <c r="AD365" s="243"/>
      <c r="AE365" s="243"/>
      <c r="AF365" s="243"/>
      <c r="AG365" s="243"/>
      <c r="AH365" s="243">
        <v>625000</v>
      </c>
      <c r="AI365" s="243"/>
      <c r="AJ365" s="243"/>
      <c r="AK365" s="243"/>
      <c r="AL365" s="243"/>
      <c r="AM365" s="243"/>
      <c r="AN365" s="243">
        <f>SUM(AB365:AL365)</f>
        <v>625000</v>
      </c>
      <c r="AO365" s="25" t="s">
        <v>85</v>
      </c>
      <c r="AP365" s="216" t="e">
        <v>#N/A</v>
      </c>
      <c r="AQ365" s="245"/>
      <c r="AR365" s="26" t="s">
        <v>384</v>
      </c>
      <c r="AS365" s="26"/>
      <c r="AT365" s="308"/>
      <c r="AU365" s="245"/>
      <c r="AV365" s="341"/>
      <c r="AW365" s="245"/>
      <c r="AX365" s="289"/>
      <c r="AY365" s="289"/>
      <c r="AZ365" s="290"/>
      <c r="BA365" s="290"/>
      <c r="BB365" s="25"/>
      <c r="BC365" s="291"/>
      <c r="BD365" s="341"/>
      <c r="BE365" s="297">
        <v>710000</v>
      </c>
      <c r="BF365" s="298">
        <f t="shared" si="16"/>
        <v>1</v>
      </c>
      <c r="BG365" s="297" t="e">
        <f>VLOOKUP(B365,[1]Sheet2!$B:$X,23,0)</f>
        <v>#N/A</v>
      </c>
    </row>
    <row r="366" spans="1:59" s="28" customFormat="1" ht="33" customHeight="1">
      <c r="A366" s="43" t="s">
        <v>1143</v>
      </c>
      <c r="B366" s="43" t="s">
        <v>1144</v>
      </c>
      <c r="C366" s="26" t="s">
        <v>1904</v>
      </c>
      <c r="D366" s="43" t="s">
        <v>1145</v>
      </c>
      <c r="E366" s="25" t="s">
        <v>83</v>
      </c>
      <c r="F366" s="25" t="s">
        <v>315</v>
      </c>
      <c r="G366" s="25" t="s">
        <v>315</v>
      </c>
      <c r="H366" s="218" t="s">
        <v>1314</v>
      </c>
      <c r="I366" s="32" t="s">
        <v>795</v>
      </c>
      <c r="J366" s="53" t="s">
        <v>128</v>
      </c>
      <c r="K366" s="335">
        <v>43466</v>
      </c>
      <c r="L366" s="26"/>
      <c r="M366" s="243">
        <v>1492699</v>
      </c>
      <c r="N366" s="243">
        <f t="shared" si="20"/>
        <v>1391082.23</v>
      </c>
      <c r="O366" s="243"/>
      <c r="P366" s="243">
        <v>621600</v>
      </c>
      <c r="Q366" s="243"/>
      <c r="R366" s="243"/>
      <c r="S366" s="243">
        <v>3982.23</v>
      </c>
      <c r="T366" s="243"/>
      <c r="U366" s="243">
        <v>765500</v>
      </c>
      <c r="V366" s="243"/>
      <c r="W366" s="243">
        <v>101616.77</v>
      </c>
      <c r="X366" s="243">
        <v>101616.77</v>
      </c>
      <c r="Y366" s="263">
        <v>0.06</v>
      </c>
      <c r="Z366" s="263"/>
      <c r="AA366" s="263">
        <v>0.11</v>
      </c>
      <c r="AB366" s="243"/>
      <c r="AC366" s="243">
        <v>617000</v>
      </c>
      <c r="AD366" s="243"/>
      <c r="AE366" s="243"/>
      <c r="AF366" s="243">
        <v>3584.9070000000002</v>
      </c>
      <c r="AG366" s="243"/>
      <c r="AH366" s="243">
        <v>610000</v>
      </c>
      <c r="AI366" s="243"/>
      <c r="AJ366" s="243"/>
      <c r="AK366" s="243"/>
      <c r="AL366" s="243"/>
      <c r="AM366" s="243"/>
      <c r="AN366" s="243">
        <f>SUM(AB366:AL366)</f>
        <v>1230584.9070000001</v>
      </c>
      <c r="AO366" s="25" t="s">
        <v>85</v>
      </c>
      <c r="AP366" s="216" t="s">
        <v>1308</v>
      </c>
      <c r="AQ366" s="245"/>
      <c r="AR366" s="26" t="s">
        <v>384</v>
      </c>
      <c r="AS366" s="61">
        <v>43643</v>
      </c>
      <c r="AT366" s="308">
        <v>43646</v>
      </c>
      <c r="AU366" s="245"/>
      <c r="AV366" s="43" t="s">
        <v>66</v>
      </c>
      <c r="AW366" s="245"/>
      <c r="AX366" s="289" t="s">
        <v>86</v>
      </c>
      <c r="AY366" s="289"/>
      <c r="AZ366" s="290">
        <v>43703</v>
      </c>
      <c r="BA366" s="290">
        <v>43703</v>
      </c>
      <c r="BB366" s="25"/>
      <c r="BC366" s="291">
        <v>44068</v>
      </c>
      <c r="BD366" s="341" t="s">
        <v>88</v>
      </c>
      <c r="BE366" s="297">
        <v>1492700</v>
      </c>
      <c r="BF366" s="298">
        <f t="shared" si="16"/>
        <v>1.0000006699274269</v>
      </c>
      <c r="BG366" s="297" t="e">
        <f>VLOOKUP(B366,[1]Sheet2!$B:$X,23,0)</f>
        <v>#N/A</v>
      </c>
    </row>
    <row r="367" spans="1:59" s="28" customFormat="1" ht="33" customHeight="1">
      <c r="A367" s="26" t="s">
        <v>1159</v>
      </c>
      <c r="B367" s="25" t="s">
        <v>1160</v>
      </c>
      <c r="C367" s="26" t="s">
        <v>1905</v>
      </c>
      <c r="D367" s="26" t="s">
        <v>1161</v>
      </c>
      <c r="E367" s="25" t="s">
        <v>714</v>
      </c>
      <c r="F367" s="25" t="s">
        <v>315</v>
      </c>
      <c r="G367" s="25" t="s">
        <v>315</v>
      </c>
      <c r="H367" s="218"/>
      <c r="I367" s="53" t="s">
        <v>157</v>
      </c>
      <c r="J367" s="53" t="s">
        <v>63</v>
      </c>
      <c r="K367" s="335">
        <v>43466</v>
      </c>
      <c r="L367" s="26"/>
      <c r="M367" s="243">
        <v>66480</v>
      </c>
      <c r="N367" s="243">
        <f t="shared" si="20"/>
        <v>66480</v>
      </c>
      <c r="O367" s="106"/>
      <c r="P367" s="243"/>
      <c r="Q367" s="243"/>
      <c r="R367" s="243"/>
      <c r="S367" s="243"/>
      <c r="T367" s="243"/>
      <c r="U367" s="243">
        <v>66480</v>
      </c>
      <c r="V367" s="243"/>
      <c r="W367" s="243"/>
      <c r="X367" s="243"/>
      <c r="Y367" s="263"/>
      <c r="Z367" s="263"/>
      <c r="AA367" s="263">
        <v>0.15</v>
      </c>
      <c r="AB367" s="243"/>
      <c r="AC367" s="243"/>
      <c r="AD367" s="243"/>
      <c r="AE367" s="243"/>
      <c r="AF367" s="243"/>
      <c r="AG367" s="243"/>
      <c r="AH367" s="243">
        <v>56508</v>
      </c>
      <c r="AI367" s="243"/>
      <c r="AJ367" s="243"/>
      <c r="AK367" s="243"/>
      <c r="AL367" s="243"/>
      <c r="AM367" s="243"/>
      <c r="AN367" s="243">
        <f>SUM(AB367:AL367)</f>
        <v>56508</v>
      </c>
      <c r="AO367" s="25" t="s">
        <v>108</v>
      </c>
      <c r="AP367" s="216"/>
      <c r="AQ367" s="245"/>
      <c r="AR367" s="26" t="s">
        <v>384</v>
      </c>
      <c r="AS367" s="26"/>
      <c r="AT367" s="308"/>
      <c r="AU367" s="245"/>
      <c r="AV367" s="341"/>
      <c r="AW367" s="245"/>
      <c r="AX367" s="26"/>
      <c r="AY367" s="26"/>
      <c r="AZ367" s="308"/>
      <c r="BA367" s="308"/>
      <c r="BB367" s="25"/>
      <c r="BC367" s="291"/>
      <c r="BD367" s="341"/>
      <c r="BE367" s="297"/>
      <c r="BF367" s="298">
        <f t="shared" si="16"/>
        <v>0</v>
      </c>
      <c r="BG367" s="297" t="e">
        <f>VLOOKUP(B367,[1]Sheet2!$B:$X,23,0)</f>
        <v>#N/A</v>
      </c>
    </row>
    <row r="368" spans="1:59" s="28" customFormat="1" ht="33" customHeight="1">
      <c r="A368" s="312" t="s">
        <v>1165</v>
      </c>
      <c r="B368" s="25" t="s">
        <v>1166</v>
      </c>
      <c r="C368" s="26" t="s">
        <v>1906</v>
      </c>
      <c r="D368" s="43" t="s">
        <v>1167</v>
      </c>
      <c r="E368" s="25" t="s">
        <v>271</v>
      </c>
      <c r="F368" s="25" t="s">
        <v>315</v>
      </c>
      <c r="G368" s="25" t="s">
        <v>315</v>
      </c>
      <c r="H368" s="218" t="s">
        <v>1275</v>
      </c>
      <c r="I368" s="53"/>
      <c r="J368" s="53"/>
      <c r="K368" s="335">
        <v>43466</v>
      </c>
      <c r="L368" s="26"/>
      <c r="M368" s="243">
        <v>150040.79999999999</v>
      </c>
      <c r="N368" s="243">
        <f t="shared" si="20"/>
        <v>150040.79999999999</v>
      </c>
      <c r="O368" s="106"/>
      <c r="P368" s="358">
        <v>93929.8</v>
      </c>
      <c r="Q368" s="358"/>
      <c r="R368" s="243"/>
      <c r="S368" s="358">
        <v>56111</v>
      </c>
      <c r="T368" s="358"/>
      <c r="U368" s="243"/>
      <c r="V368" s="243"/>
      <c r="W368" s="243"/>
      <c r="X368" s="243"/>
      <c r="Y368" s="263"/>
      <c r="Z368" s="263"/>
      <c r="AA368" s="263">
        <v>0.15</v>
      </c>
      <c r="AB368" s="243"/>
      <c r="AC368" s="243"/>
      <c r="AD368" s="243"/>
      <c r="AE368" s="243"/>
      <c r="AF368" s="243"/>
      <c r="AG368" s="243"/>
      <c r="AH368" s="243"/>
      <c r="AI368" s="243"/>
      <c r="AJ368" s="243"/>
      <c r="AK368" s="243"/>
      <c r="AL368" s="243"/>
      <c r="AM368" s="243"/>
      <c r="AN368" s="243">
        <f t="shared" ref="AN368:AN371" si="21">SUM(AB368:AL368)</f>
        <v>0</v>
      </c>
      <c r="AO368" s="25" t="s">
        <v>1168</v>
      </c>
      <c r="AP368" s="216"/>
      <c r="AQ368" s="245"/>
      <c r="AR368" s="26" t="s">
        <v>384</v>
      </c>
      <c r="AS368" s="26"/>
      <c r="AT368" s="308"/>
      <c r="AU368" s="245"/>
      <c r="AV368" s="43" t="s">
        <v>66</v>
      </c>
      <c r="AW368" s="245"/>
      <c r="AX368" s="25" t="s">
        <v>86</v>
      </c>
      <c r="AY368" s="26"/>
      <c r="AZ368" s="290">
        <v>43483</v>
      </c>
      <c r="BA368" s="290">
        <v>43553</v>
      </c>
      <c r="BB368" s="25"/>
      <c r="BC368" s="291">
        <v>43831</v>
      </c>
      <c r="BD368" s="113" t="s">
        <v>88</v>
      </c>
      <c r="BE368" s="297">
        <v>150040.79999999999</v>
      </c>
      <c r="BF368" s="298">
        <f t="shared" si="16"/>
        <v>1</v>
      </c>
      <c r="BG368" s="297" t="e">
        <f>VLOOKUP(B368,[1]Sheet2!$B:$X,23,0)</f>
        <v>#N/A</v>
      </c>
    </row>
    <row r="369" spans="1:59" s="28" customFormat="1" ht="33" customHeight="1">
      <c r="A369" s="312" t="s">
        <v>1907</v>
      </c>
      <c r="B369" s="25" t="s">
        <v>1908</v>
      </c>
      <c r="C369" s="26" t="s">
        <v>1909</v>
      </c>
      <c r="D369" s="43" t="s">
        <v>1910</v>
      </c>
      <c r="E369" s="25" t="s">
        <v>1093</v>
      </c>
      <c r="F369" s="25" t="s">
        <v>196</v>
      </c>
      <c r="G369" s="25" t="s">
        <v>196</v>
      </c>
      <c r="H369" s="218" t="s">
        <v>1275</v>
      </c>
      <c r="I369" s="53" t="s">
        <v>1019</v>
      </c>
      <c r="J369" s="53" t="s">
        <v>1020</v>
      </c>
      <c r="K369" s="335">
        <v>43466</v>
      </c>
      <c r="L369" s="26"/>
      <c r="M369" s="243">
        <v>2389528</v>
      </c>
      <c r="N369" s="243">
        <f t="shared" si="20"/>
        <v>2289130</v>
      </c>
      <c r="O369" s="106"/>
      <c r="P369" s="358"/>
      <c r="Q369" s="358"/>
      <c r="R369" s="243"/>
      <c r="S369" s="358"/>
      <c r="T369" s="358"/>
      <c r="U369" s="243">
        <v>2289130</v>
      </c>
      <c r="V369" s="243"/>
      <c r="W369" s="243">
        <v>100398</v>
      </c>
      <c r="X369" s="243"/>
      <c r="Y369" s="263">
        <v>0.06</v>
      </c>
      <c r="Z369" s="263"/>
      <c r="AA369" s="263">
        <v>0.1066</v>
      </c>
      <c r="AB369" s="243"/>
      <c r="AC369" s="243"/>
      <c r="AD369" s="243"/>
      <c r="AE369" s="243"/>
      <c r="AF369" s="243"/>
      <c r="AG369" s="243"/>
      <c r="AH369" s="243">
        <f>100398+1300000+464000+255000</f>
        <v>2119398</v>
      </c>
      <c r="AI369" s="243"/>
      <c r="AJ369" s="243"/>
      <c r="AK369" s="243"/>
      <c r="AL369" s="243"/>
      <c r="AM369" s="243"/>
      <c r="AN369" s="243">
        <f t="shared" si="21"/>
        <v>2119398</v>
      </c>
      <c r="AO369" s="25" t="s">
        <v>286</v>
      </c>
      <c r="AP369" s="216"/>
      <c r="AQ369" s="245"/>
      <c r="AR369" s="26" t="s">
        <v>384</v>
      </c>
      <c r="AS369" s="26"/>
      <c r="AT369" s="308"/>
      <c r="AU369" s="245"/>
      <c r="AV369" s="43"/>
      <c r="AW369" s="245"/>
      <c r="AX369" s="25"/>
      <c r="AY369" s="26" t="s">
        <v>1911</v>
      </c>
      <c r="AZ369" s="290"/>
      <c r="BA369" s="290"/>
      <c r="BB369" s="25"/>
      <c r="BC369" s="291"/>
      <c r="BD369" s="113"/>
      <c r="BE369" s="297">
        <v>716858.4</v>
      </c>
      <c r="BF369" s="298">
        <f t="shared" si="16"/>
        <v>0.3</v>
      </c>
      <c r="BG369" s="297" t="str">
        <f>VLOOKUP(B369,[1]Sheet2!$B:$X,23,0)</f>
        <v>王帅</v>
      </c>
    </row>
    <row r="370" spans="1:59" s="28" customFormat="1" ht="33" customHeight="1">
      <c r="A370" s="312" t="s">
        <v>1912</v>
      </c>
      <c r="B370" s="25" t="s">
        <v>1913</v>
      </c>
      <c r="C370" s="26" t="s">
        <v>1914</v>
      </c>
      <c r="D370" s="43" t="s">
        <v>1915</v>
      </c>
      <c r="E370" s="25" t="s">
        <v>1093</v>
      </c>
      <c r="F370" s="216" t="s">
        <v>1277</v>
      </c>
      <c r="G370" s="216" t="s">
        <v>1277</v>
      </c>
      <c r="H370" s="218" t="s">
        <v>1277</v>
      </c>
      <c r="I370" s="53" t="s">
        <v>1004</v>
      </c>
      <c r="J370" s="53"/>
      <c r="K370" s="335">
        <v>43525</v>
      </c>
      <c r="L370" s="26"/>
      <c r="M370" s="243">
        <v>1190000</v>
      </c>
      <c r="N370" s="243">
        <f t="shared" si="20"/>
        <v>1190000</v>
      </c>
      <c r="O370" s="106"/>
      <c r="P370" s="358"/>
      <c r="Q370" s="358"/>
      <c r="R370" s="243"/>
      <c r="S370" s="358"/>
      <c r="T370" s="358"/>
      <c r="U370" s="243">
        <v>1190000</v>
      </c>
      <c r="V370" s="243"/>
      <c r="W370" s="243"/>
      <c r="X370" s="243"/>
      <c r="Y370" s="263"/>
      <c r="Z370" s="263"/>
      <c r="AA370" s="263">
        <v>0.1052</v>
      </c>
      <c r="AB370" s="243"/>
      <c r="AC370" s="243"/>
      <c r="AD370" s="243"/>
      <c r="AE370" s="243"/>
      <c r="AF370" s="243"/>
      <c r="AG370" s="243"/>
      <c r="AH370" s="243"/>
      <c r="AI370" s="243"/>
      <c r="AJ370" s="243"/>
      <c r="AK370" s="243"/>
      <c r="AL370" s="243"/>
      <c r="AM370" s="243"/>
      <c r="AN370" s="243">
        <f t="shared" si="21"/>
        <v>0</v>
      </c>
      <c r="AO370" s="25" t="s">
        <v>286</v>
      </c>
      <c r="AP370" s="216"/>
      <c r="AQ370" s="245"/>
      <c r="AR370" s="26" t="s">
        <v>384</v>
      </c>
      <c r="AS370" s="26"/>
      <c r="AT370" s="308"/>
      <c r="AU370" s="245"/>
      <c r="AV370" s="43"/>
      <c r="AW370" s="245"/>
      <c r="AX370" s="25"/>
      <c r="AY370" s="26"/>
      <c r="AZ370" s="290"/>
      <c r="BA370" s="290"/>
      <c r="BB370" s="25"/>
      <c r="BC370" s="291"/>
      <c r="BD370" s="113"/>
      <c r="BE370" s="297">
        <v>595000</v>
      </c>
      <c r="BF370" s="298">
        <f t="shared" si="16"/>
        <v>0.5</v>
      </c>
      <c r="BG370" s="297" t="e">
        <f>VLOOKUP(B370,[1]Sheet2!$B:$X,23,0)</f>
        <v>#N/A</v>
      </c>
    </row>
    <row r="371" spans="1:59" s="28" customFormat="1" ht="33" customHeight="1">
      <c r="A371" s="312" t="s">
        <v>1916</v>
      </c>
      <c r="B371" s="25" t="s">
        <v>1917</v>
      </c>
      <c r="C371" s="26" t="s">
        <v>1918</v>
      </c>
      <c r="D371" s="43" t="s">
        <v>1919</v>
      </c>
      <c r="E371" s="25" t="s">
        <v>83</v>
      </c>
      <c r="F371" s="25" t="s">
        <v>315</v>
      </c>
      <c r="G371" s="25" t="s">
        <v>315</v>
      </c>
      <c r="H371" s="218" t="s">
        <v>1275</v>
      </c>
      <c r="I371" s="53" t="s">
        <v>76</v>
      </c>
      <c r="J371" s="53" t="s">
        <v>128</v>
      </c>
      <c r="K371" s="335">
        <v>43525</v>
      </c>
      <c r="L371" s="26"/>
      <c r="M371" s="243">
        <v>140000</v>
      </c>
      <c r="N371" s="243">
        <f t="shared" si="20"/>
        <v>140000</v>
      </c>
      <c r="O371" s="106"/>
      <c r="P371" s="358">
        <v>64975</v>
      </c>
      <c r="Q371" s="358"/>
      <c r="R371" s="243"/>
      <c r="S371" s="358">
        <v>75025</v>
      </c>
      <c r="T371" s="358"/>
      <c r="U371" s="243"/>
      <c r="V371" s="243"/>
      <c r="W371" s="243"/>
      <c r="X371" s="243"/>
      <c r="Y371" s="263"/>
      <c r="Z371" s="263"/>
      <c r="AA371" s="263">
        <v>0.15</v>
      </c>
      <c r="AB371" s="243"/>
      <c r="AC371" s="243">
        <v>64325.25</v>
      </c>
      <c r="AD371" s="243"/>
      <c r="AE371" s="243"/>
      <c r="AF371" s="243">
        <v>55145.25</v>
      </c>
      <c r="AG371" s="243"/>
      <c r="AH371" s="243"/>
      <c r="AI371" s="243"/>
      <c r="AJ371" s="243"/>
      <c r="AK371" s="243"/>
      <c r="AL371" s="243"/>
      <c r="AM371" s="243"/>
      <c r="AN371" s="243">
        <f t="shared" si="21"/>
        <v>119470.5</v>
      </c>
      <c r="AO371" s="25" t="s">
        <v>286</v>
      </c>
      <c r="AP371" s="25"/>
      <c r="AQ371" s="245"/>
      <c r="AR371" s="61">
        <v>43669</v>
      </c>
      <c r="AS371" s="61"/>
      <c r="AT371" s="308">
        <v>43570</v>
      </c>
      <c r="AU371" s="245"/>
      <c r="AV371" s="43" t="s">
        <v>66</v>
      </c>
      <c r="AW371" s="245"/>
      <c r="AX371" s="25" t="s">
        <v>86</v>
      </c>
      <c r="AY371" s="26"/>
      <c r="AZ371" s="290">
        <v>43655</v>
      </c>
      <c r="BA371" s="290">
        <v>43661</v>
      </c>
      <c r="BB371" s="25"/>
      <c r="BC371" s="291">
        <v>44026</v>
      </c>
      <c r="BD371" s="113" t="s">
        <v>88</v>
      </c>
      <c r="BE371" s="297">
        <v>140000</v>
      </c>
      <c r="BF371" s="298">
        <f t="shared" si="16"/>
        <v>1</v>
      </c>
      <c r="BG371" s="297" t="e">
        <f>VLOOKUP(B371,[1]Sheet2!$B:$X,23,0)</f>
        <v>#N/A</v>
      </c>
    </row>
    <row r="372" spans="1:59" s="28" customFormat="1" ht="33" customHeight="1">
      <c r="A372" s="312" t="s">
        <v>1920</v>
      </c>
      <c r="B372" s="26" t="s">
        <v>1921</v>
      </c>
      <c r="C372" s="26" t="s">
        <v>1250</v>
      </c>
      <c r="D372" s="26" t="s">
        <v>1922</v>
      </c>
      <c r="E372" s="26" t="s">
        <v>139</v>
      </c>
      <c r="F372" s="25" t="s">
        <v>315</v>
      </c>
      <c r="G372" s="25" t="s">
        <v>315</v>
      </c>
      <c r="H372" s="218" t="s">
        <v>1275</v>
      </c>
      <c r="I372" s="26" t="s">
        <v>150</v>
      </c>
      <c r="J372" s="53" t="s">
        <v>128</v>
      </c>
      <c r="K372" s="335">
        <v>43466</v>
      </c>
      <c r="L372" s="26"/>
      <c r="M372" s="243">
        <v>6462022</v>
      </c>
      <c r="N372" s="243">
        <f t="shared" si="20"/>
        <v>6462022</v>
      </c>
      <c r="O372" s="26"/>
      <c r="P372" s="26"/>
      <c r="Q372" s="26"/>
      <c r="R372" s="26"/>
      <c r="S372" s="26">
        <v>6462022</v>
      </c>
      <c r="T372" s="26"/>
      <c r="U372" s="26"/>
      <c r="V372" s="26"/>
      <c r="W372" s="26"/>
      <c r="X372" s="26"/>
      <c r="Y372" s="26"/>
      <c r="Z372" s="26"/>
      <c r="AA372" s="364">
        <v>0.1</v>
      </c>
      <c r="AB372" s="26"/>
      <c r="AC372" s="26"/>
      <c r="AD372" s="26"/>
      <c r="AE372" s="26"/>
      <c r="AF372" s="26"/>
      <c r="AG372" s="26"/>
      <c r="AH372" s="26"/>
      <c r="AI372" s="26"/>
      <c r="AJ372" s="26"/>
      <c r="AK372" s="26"/>
      <c r="AL372" s="26"/>
      <c r="AM372" s="26"/>
      <c r="AN372" s="26"/>
      <c r="AO372" s="26" t="s">
        <v>1021</v>
      </c>
      <c r="AP372" s="26"/>
      <c r="AQ372" s="26" t="s">
        <v>1923</v>
      </c>
      <c r="AR372" s="26" t="s">
        <v>384</v>
      </c>
      <c r="AS372" s="26"/>
      <c r="AT372" s="308"/>
      <c r="AU372" s="26"/>
      <c r="AV372" s="26"/>
      <c r="AW372" s="26"/>
      <c r="AX372" s="26"/>
      <c r="AY372" s="26"/>
      <c r="AZ372" s="308"/>
      <c r="BA372" s="308"/>
      <c r="BB372" s="26"/>
      <c r="BC372" s="26"/>
      <c r="BD372" s="26"/>
      <c r="BE372" s="297"/>
      <c r="BF372" s="298">
        <f t="shared" si="16"/>
        <v>0</v>
      </c>
      <c r="BG372" s="297" t="e">
        <f>VLOOKUP(B372,[1]Sheet2!$B:$X,23,0)</f>
        <v>#N/A</v>
      </c>
    </row>
    <row r="373" spans="1:59" s="28" customFormat="1" ht="33" customHeight="1">
      <c r="A373" s="26" t="s">
        <v>1924</v>
      </c>
      <c r="B373" s="26" t="s">
        <v>1925</v>
      </c>
      <c r="C373" s="26" t="s">
        <v>1926</v>
      </c>
      <c r="D373" s="26" t="s">
        <v>1927</v>
      </c>
      <c r="E373" s="216" t="s">
        <v>83</v>
      </c>
      <c r="F373" s="25" t="s">
        <v>315</v>
      </c>
      <c r="G373" s="25" t="s">
        <v>315</v>
      </c>
      <c r="H373" s="218" t="s">
        <v>1275</v>
      </c>
      <c r="I373" s="26" t="s">
        <v>1928</v>
      </c>
      <c r="J373" s="26" t="s">
        <v>128</v>
      </c>
      <c r="K373" s="61">
        <v>43565</v>
      </c>
      <c r="L373" s="26"/>
      <c r="M373" s="26">
        <v>898711</v>
      </c>
      <c r="N373" s="26">
        <v>898711</v>
      </c>
      <c r="O373" s="26"/>
      <c r="P373" s="26"/>
      <c r="Q373" s="26"/>
      <c r="R373" s="26"/>
      <c r="S373" s="26"/>
      <c r="T373" s="26">
        <v>898711</v>
      </c>
      <c r="U373" s="26"/>
      <c r="V373" s="26"/>
      <c r="W373" s="26"/>
      <c r="X373" s="26"/>
      <c r="Y373" s="26"/>
      <c r="Z373" s="26"/>
      <c r="AA373" s="26"/>
      <c r="AB373" s="26"/>
      <c r="AC373" s="26"/>
      <c r="AD373" s="26"/>
      <c r="AE373" s="26"/>
      <c r="AF373" s="26"/>
      <c r="AG373" s="26">
        <v>800000</v>
      </c>
      <c r="AH373" s="26"/>
      <c r="AI373" s="26"/>
      <c r="AJ373" s="26"/>
      <c r="AK373" s="26"/>
      <c r="AL373" s="26"/>
      <c r="AM373" s="26"/>
      <c r="AN373" s="26">
        <v>800000</v>
      </c>
      <c r="AO373" s="26" t="s">
        <v>1258</v>
      </c>
      <c r="AP373" s="26"/>
      <c r="AQ373" s="26"/>
      <c r="AR373" s="26" t="s">
        <v>384</v>
      </c>
      <c r="AS373" s="26"/>
      <c r="AT373" s="308"/>
      <c r="AU373" s="26"/>
      <c r="AV373" s="26"/>
      <c r="AW373" s="26"/>
      <c r="AX373" s="26"/>
      <c r="AY373" s="26"/>
      <c r="AZ373" s="308"/>
      <c r="BA373" s="308"/>
      <c r="BB373" s="26"/>
      <c r="BC373" s="26"/>
      <c r="BD373" s="26"/>
      <c r="BE373" s="297">
        <v>449355.5</v>
      </c>
      <c r="BF373" s="298">
        <f t="shared" si="16"/>
        <v>0.5</v>
      </c>
      <c r="BG373" s="297" t="e">
        <f>VLOOKUP(B373,[1]Sheet2!$B:$X,23,0)</f>
        <v>#N/A</v>
      </c>
    </row>
    <row r="374" spans="1:59" s="28" customFormat="1" ht="33" customHeight="1">
      <c r="A374" s="26" t="s">
        <v>1929</v>
      </c>
      <c r="B374" s="26" t="s">
        <v>1930</v>
      </c>
      <c r="C374" s="26" t="s">
        <v>1931</v>
      </c>
      <c r="D374" s="26" t="s">
        <v>1932</v>
      </c>
      <c r="E374" s="26" t="s">
        <v>1093</v>
      </c>
      <c r="F374" s="216" t="s">
        <v>1277</v>
      </c>
      <c r="G374" s="216" t="s">
        <v>1277</v>
      </c>
      <c r="H374" s="218" t="s">
        <v>1277</v>
      </c>
      <c r="I374" s="26" t="s">
        <v>76</v>
      </c>
      <c r="J374" s="26" t="s">
        <v>128</v>
      </c>
      <c r="K374" s="61">
        <v>43556</v>
      </c>
      <c r="L374" s="26"/>
      <c r="M374" s="26">
        <v>200000</v>
      </c>
      <c r="N374" s="26">
        <v>200000</v>
      </c>
      <c r="O374" s="26"/>
      <c r="P374" s="26"/>
      <c r="Q374" s="26"/>
      <c r="R374" s="26"/>
      <c r="S374" s="26"/>
      <c r="T374" s="26">
        <v>200000</v>
      </c>
      <c r="U374" s="26"/>
      <c r="V374" s="26"/>
      <c r="W374" s="26"/>
      <c r="X374" s="26"/>
      <c r="Y374" s="26"/>
      <c r="Z374" s="26"/>
      <c r="AA374" s="26"/>
      <c r="AB374" s="26"/>
      <c r="AC374" s="26"/>
      <c r="AD374" s="26"/>
      <c r="AE374" s="26"/>
      <c r="AF374" s="26"/>
      <c r="AG374" s="26"/>
      <c r="AH374" s="26">
        <v>168000</v>
      </c>
      <c r="AI374" s="26"/>
      <c r="AJ374" s="26"/>
      <c r="AK374" s="26"/>
      <c r="AL374" s="26"/>
      <c r="AM374" s="26"/>
      <c r="AN374" s="26">
        <v>168000</v>
      </c>
      <c r="AO374" s="26" t="s">
        <v>286</v>
      </c>
      <c r="AP374" s="26"/>
      <c r="AQ374" s="26"/>
      <c r="AR374" s="61">
        <v>43579</v>
      </c>
      <c r="AS374" s="61"/>
      <c r="AT374" s="308"/>
      <c r="AU374" s="26"/>
      <c r="AV374" s="26"/>
      <c r="AW374" s="26"/>
      <c r="AX374" s="26"/>
      <c r="AY374" s="26"/>
      <c r="AZ374" s="308"/>
      <c r="BA374" s="308"/>
      <c r="BB374" s="26"/>
      <c r="BC374" s="26"/>
      <c r="BD374" s="26"/>
      <c r="BE374" s="297">
        <v>100000</v>
      </c>
      <c r="BF374" s="298">
        <f t="shared" si="16"/>
        <v>0.5</v>
      </c>
      <c r="BG374" s="297" t="e">
        <f>VLOOKUP(B374,[1]Sheet2!$B:$X,23,0)</f>
        <v>#N/A</v>
      </c>
    </row>
    <row r="375" spans="1:59" s="28" customFormat="1" ht="33" customHeight="1">
      <c r="A375" s="26" t="s">
        <v>1933</v>
      </c>
      <c r="B375" s="26" t="s">
        <v>1934</v>
      </c>
      <c r="C375" s="26" t="s">
        <v>1935</v>
      </c>
      <c r="D375" s="26" t="s">
        <v>1936</v>
      </c>
      <c r="E375" s="26" t="s">
        <v>271</v>
      </c>
      <c r="F375" s="26" t="s">
        <v>315</v>
      </c>
      <c r="G375" s="26" t="s">
        <v>315</v>
      </c>
      <c r="H375" s="218" t="s">
        <v>1275</v>
      </c>
      <c r="I375" s="26" t="s">
        <v>1937</v>
      </c>
      <c r="J375" s="26"/>
      <c r="K375" s="61">
        <v>43565</v>
      </c>
      <c r="L375" s="26"/>
      <c r="M375" s="26">
        <v>562405</v>
      </c>
      <c r="N375" s="26">
        <v>562405</v>
      </c>
      <c r="O375" s="26"/>
      <c r="P375" s="26"/>
      <c r="Q375" s="358">
        <v>277760</v>
      </c>
      <c r="R375" s="358"/>
      <c r="S375" s="358"/>
      <c r="T375" s="358">
        <v>284645</v>
      </c>
      <c r="U375" s="358"/>
      <c r="V375" s="26"/>
      <c r="W375" s="26"/>
      <c r="X375" s="26"/>
      <c r="Y375" s="26"/>
      <c r="Z375" s="26"/>
      <c r="AA375" s="26">
        <v>9</v>
      </c>
      <c r="AB375" s="26"/>
      <c r="AC375" s="26"/>
      <c r="AD375" s="26">
        <v>275010</v>
      </c>
      <c r="AE375" s="26"/>
      <c r="AF375" s="26"/>
      <c r="AG375" s="26">
        <v>195699</v>
      </c>
      <c r="AH375" s="26"/>
      <c r="AI375" s="26"/>
      <c r="AJ375" s="26"/>
      <c r="AK375" s="26"/>
      <c r="AL375" s="26"/>
      <c r="AM375" s="26"/>
      <c r="AN375" s="26">
        <f>SUM(AB375:AL375)</f>
        <v>470709</v>
      </c>
      <c r="AO375" s="26" t="s">
        <v>108</v>
      </c>
      <c r="AP375" s="26"/>
      <c r="AQ375" s="26"/>
      <c r="AR375" s="26" t="s">
        <v>384</v>
      </c>
      <c r="AS375" s="26"/>
      <c r="AT375" s="308">
        <v>43564</v>
      </c>
      <c r="AU375" s="26"/>
      <c r="AV375" s="26" t="s">
        <v>66</v>
      </c>
      <c r="AW375" s="26"/>
      <c r="AX375" s="26" t="s">
        <v>86</v>
      </c>
      <c r="AY375" s="26"/>
      <c r="AZ375" s="61">
        <v>43578</v>
      </c>
      <c r="BA375" s="308">
        <v>43600</v>
      </c>
      <c r="BB375" s="26"/>
      <c r="BC375" s="291">
        <v>43943</v>
      </c>
      <c r="BD375" s="26" t="s">
        <v>88</v>
      </c>
      <c r="BE375" s="297">
        <v>545532.85</v>
      </c>
      <c r="BF375" s="298">
        <f t="shared" si="16"/>
        <v>0.97</v>
      </c>
      <c r="BG375" s="297" t="str">
        <f>VLOOKUP(B375,[1]Sheet2!$B:$X,23,0)</f>
        <v>杨楠</v>
      </c>
    </row>
    <row r="376" spans="1:59" s="28" customFormat="1" ht="33" customHeight="1">
      <c r="A376" s="26" t="s">
        <v>1938</v>
      </c>
      <c r="B376" s="26" t="s">
        <v>1939</v>
      </c>
      <c r="C376" s="26" t="s">
        <v>1940</v>
      </c>
      <c r="D376" s="26" t="s">
        <v>1941</v>
      </c>
      <c r="E376" s="350" t="s">
        <v>883</v>
      </c>
      <c r="F376" s="26" t="s">
        <v>315</v>
      </c>
      <c r="G376" s="26" t="s">
        <v>315</v>
      </c>
      <c r="H376" s="218" t="s">
        <v>1275</v>
      </c>
      <c r="I376" s="26" t="s">
        <v>76</v>
      </c>
      <c r="J376" s="26" t="s">
        <v>128</v>
      </c>
      <c r="K376" s="61">
        <v>43637</v>
      </c>
      <c r="L376" s="26"/>
      <c r="M376" s="26">
        <f>SUM(N376,W376)</f>
        <v>288000</v>
      </c>
      <c r="N376" s="26">
        <f>SUM(O376:V376)</f>
        <v>288000</v>
      </c>
      <c r="O376" s="26"/>
      <c r="P376" s="26">
        <v>103010</v>
      </c>
      <c r="Q376" s="26"/>
      <c r="R376" s="26"/>
      <c r="S376" s="26">
        <v>184990</v>
      </c>
      <c r="T376" s="26"/>
      <c r="U376" s="26"/>
      <c r="V376" s="26"/>
      <c r="W376" s="26"/>
      <c r="X376" s="26"/>
      <c r="Y376" s="26"/>
      <c r="Z376" s="26"/>
      <c r="AA376" s="26"/>
      <c r="AB376" s="26"/>
      <c r="AC376" s="26">
        <v>101979.9</v>
      </c>
      <c r="AD376" s="26"/>
      <c r="AE376" s="26"/>
      <c r="AF376" s="26">
        <v>139083.015614834</v>
      </c>
      <c r="AG376" s="26"/>
      <c r="AH376" s="26"/>
      <c r="AI376" s="26"/>
      <c r="AJ376" s="26"/>
      <c r="AK376" s="26"/>
      <c r="AL376" s="26"/>
      <c r="AM376" s="26"/>
      <c r="AN376" s="26">
        <f t="shared" ref="AN376:AN393" si="22">SUM(AB376:AL376)</f>
        <v>241062.915614834</v>
      </c>
      <c r="AO376" s="26" t="s">
        <v>77</v>
      </c>
      <c r="AP376" s="26"/>
      <c r="AQ376" s="26"/>
      <c r="AR376" s="61">
        <v>43643</v>
      </c>
      <c r="AS376" s="61"/>
      <c r="AT376" s="308">
        <v>43647</v>
      </c>
      <c r="AU376" s="26"/>
      <c r="AV376" s="26" t="s">
        <v>66</v>
      </c>
      <c r="AW376" s="26"/>
      <c r="AX376" s="26" t="s">
        <v>86</v>
      </c>
      <c r="AY376" s="26"/>
      <c r="AZ376" s="308">
        <v>43663</v>
      </c>
      <c r="BA376" s="308">
        <v>43663</v>
      </c>
      <c r="BB376" s="26"/>
      <c r="BC376" s="61">
        <v>44028</v>
      </c>
      <c r="BD376" s="26" t="s">
        <v>88</v>
      </c>
      <c r="BE376" s="297">
        <v>283654.21999999997</v>
      </c>
      <c r="BF376" s="298">
        <f t="shared" si="16"/>
        <v>0.98491048611111098</v>
      </c>
      <c r="BG376" s="297" t="e">
        <f>VLOOKUP(B376,[1]Sheet2!$B:$X,23,0)</f>
        <v>#N/A</v>
      </c>
    </row>
    <row r="377" spans="1:59" s="28" customFormat="1" ht="33" customHeight="1">
      <c r="A377" s="26" t="s">
        <v>1254</v>
      </c>
      <c r="B377" s="26" t="s">
        <v>1942</v>
      </c>
      <c r="C377" s="26" t="s">
        <v>1943</v>
      </c>
      <c r="D377" s="26" t="s">
        <v>1944</v>
      </c>
      <c r="E377" s="26" t="s">
        <v>83</v>
      </c>
      <c r="F377" s="26" t="s">
        <v>315</v>
      </c>
      <c r="G377" s="26" t="s">
        <v>315</v>
      </c>
      <c r="H377" s="218" t="s">
        <v>1314</v>
      </c>
      <c r="I377" s="26" t="s">
        <v>1945</v>
      </c>
      <c r="J377" s="26" t="s">
        <v>1020</v>
      </c>
      <c r="K377" s="61">
        <v>43525</v>
      </c>
      <c r="L377" s="26"/>
      <c r="M377" s="26">
        <f>SUM(N377,W377)</f>
        <v>910000</v>
      </c>
      <c r="N377" s="26">
        <f>SUM(O377:V377)</f>
        <v>226000</v>
      </c>
      <c r="O377" s="26"/>
      <c r="P377" s="26"/>
      <c r="Q377" s="26"/>
      <c r="R377" s="26"/>
      <c r="S377" s="26">
        <v>226000</v>
      </c>
      <c r="T377" s="26"/>
      <c r="U377" s="26"/>
      <c r="V377" s="26"/>
      <c r="W377" s="26">
        <v>684000</v>
      </c>
      <c r="X377" s="26">
        <v>0.1</v>
      </c>
      <c r="Y377" s="26"/>
      <c r="Z377" s="26"/>
      <c r="AA377" s="26">
        <v>15</v>
      </c>
      <c r="AB377" s="26"/>
      <c r="AC377" s="26"/>
      <c r="AD377" s="26"/>
      <c r="AE377" s="26"/>
      <c r="AF377" s="26">
        <v>177840</v>
      </c>
      <c r="AG377" s="26"/>
      <c r="AH377" s="26"/>
      <c r="AI377" s="26">
        <v>684000</v>
      </c>
      <c r="AJ377" s="26"/>
      <c r="AK377" s="26"/>
      <c r="AL377" s="26"/>
      <c r="AM377" s="26"/>
      <c r="AN377" s="26">
        <f t="shared" si="22"/>
        <v>861840</v>
      </c>
      <c r="AO377" s="26" t="s">
        <v>1258</v>
      </c>
      <c r="AP377" s="26"/>
      <c r="AQ377" s="26"/>
      <c r="AR377" s="61">
        <v>43577</v>
      </c>
      <c r="AS377" s="61">
        <v>43608</v>
      </c>
      <c r="AT377" s="308">
        <v>43610</v>
      </c>
      <c r="AU377" s="26"/>
      <c r="AV377" s="26" t="s">
        <v>66</v>
      </c>
      <c r="AW377" s="26"/>
      <c r="AX377" s="26" t="s">
        <v>86</v>
      </c>
      <c r="AY377" s="26"/>
      <c r="AZ377" s="308">
        <v>43731</v>
      </c>
      <c r="BA377" s="308">
        <v>43734</v>
      </c>
      <c r="BB377" s="26"/>
      <c r="BC377" s="61">
        <v>44096</v>
      </c>
      <c r="BD377" s="26" t="s">
        <v>88</v>
      </c>
      <c r="BE377" s="297">
        <v>0</v>
      </c>
      <c r="BF377" s="298">
        <f t="shared" si="16"/>
        <v>0</v>
      </c>
      <c r="BG377" s="297" t="str">
        <f>VLOOKUP(B377,[1]Sheet2!$B:$X,23,0)</f>
        <v>包兰天</v>
      </c>
    </row>
    <row r="378" spans="1:59" s="28" customFormat="1" ht="33" customHeight="1">
      <c r="A378" s="26" t="s">
        <v>1946</v>
      </c>
      <c r="B378" s="26" t="s">
        <v>1947</v>
      </c>
      <c r="C378" s="26" t="s">
        <v>1948</v>
      </c>
      <c r="D378" s="26" t="s">
        <v>1949</v>
      </c>
      <c r="E378" s="26" t="s">
        <v>261</v>
      </c>
      <c r="F378" s="26" t="s">
        <v>1950</v>
      </c>
      <c r="G378" s="26" t="s">
        <v>1950</v>
      </c>
      <c r="H378" s="218" t="s">
        <v>1798</v>
      </c>
      <c r="I378" s="26" t="s">
        <v>1951</v>
      </c>
      <c r="J378" s="26" t="s">
        <v>63</v>
      </c>
      <c r="K378" s="61">
        <v>43595</v>
      </c>
      <c r="L378" s="26"/>
      <c r="M378" s="26">
        <f t="shared" ref="M378:M399" si="23">SUM(N378,W378)</f>
        <v>4175100</v>
      </c>
      <c r="N378" s="26">
        <f t="shared" ref="N378:N382" si="24">SUM(O378:V378)</f>
        <v>1676700</v>
      </c>
      <c r="O378" s="26"/>
      <c r="P378" s="26"/>
      <c r="Q378" s="26"/>
      <c r="R378" s="26"/>
      <c r="S378" s="26"/>
      <c r="T378" s="26"/>
      <c r="U378" s="26">
        <v>1676700</v>
      </c>
      <c r="V378" s="26"/>
      <c r="W378" s="26">
        <v>2498400</v>
      </c>
      <c r="X378" s="26">
        <v>6</v>
      </c>
      <c r="Y378" s="26"/>
      <c r="Z378" s="26"/>
      <c r="AA378" s="26">
        <v>15</v>
      </c>
      <c r="AB378" s="26"/>
      <c r="AC378" s="26"/>
      <c r="AD378" s="26"/>
      <c r="AE378" s="26"/>
      <c r="AF378" s="26"/>
      <c r="AG378" s="26"/>
      <c r="AH378" s="26">
        <v>2498400</v>
      </c>
      <c r="AI378" s="26"/>
      <c r="AJ378" s="26"/>
      <c r="AK378" s="26">
        <v>1420000</v>
      </c>
      <c r="AL378" s="26"/>
      <c r="AM378" s="26"/>
      <c r="AN378" s="26">
        <f t="shared" si="22"/>
        <v>3918400</v>
      </c>
      <c r="AO378" s="26" t="s">
        <v>77</v>
      </c>
      <c r="AP378" s="26"/>
      <c r="AQ378" s="26"/>
      <c r="AR378" s="61">
        <v>43595</v>
      </c>
      <c r="AS378" s="61"/>
      <c r="AT378" s="308"/>
      <c r="AU378" s="26"/>
      <c r="AV378" s="26"/>
      <c r="AW378" s="26"/>
      <c r="AX378" s="26"/>
      <c r="AY378" s="26"/>
      <c r="AZ378" s="308"/>
      <c r="BA378" s="308"/>
      <c r="BB378" s="26"/>
      <c r="BC378" s="26"/>
      <c r="BD378" s="26"/>
      <c r="BE378" s="297">
        <v>0</v>
      </c>
      <c r="BF378" s="298">
        <f t="shared" si="16"/>
        <v>0</v>
      </c>
      <c r="BG378" s="297" t="e">
        <f>VLOOKUP(B378,[1]Sheet2!$B:$X,23,0)</f>
        <v>#N/A</v>
      </c>
    </row>
    <row r="379" spans="1:59" s="28" customFormat="1" ht="33" customHeight="1">
      <c r="A379" s="26" t="s">
        <v>1952</v>
      </c>
      <c r="B379" s="26" t="s">
        <v>1953</v>
      </c>
      <c r="C379" s="26" t="s">
        <v>1954</v>
      </c>
      <c r="D379" s="26" t="s">
        <v>1955</v>
      </c>
      <c r="E379" s="26" t="s">
        <v>75</v>
      </c>
      <c r="F379" s="26" t="s">
        <v>1277</v>
      </c>
      <c r="G379" s="26" t="s">
        <v>1277</v>
      </c>
      <c r="H379" s="218" t="s">
        <v>1956</v>
      </c>
      <c r="I379" s="26" t="s">
        <v>1928</v>
      </c>
      <c r="J379" s="26" t="s">
        <v>128</v>
      </c>
      <c r="K379" s="61">
        <v>43525</v>
      </c>
      <c r="L379" s="26"/>
      <c r="M379" s="26">
        <f t="shared" si="23"/>
        <v>102860</v>
      </c>
      <c r="N379" s="26">
        <f t="shared" si="24"/>
        <v>76340</v>
      </c>
      <c r="O379" s="26"/>
      <c r="P379" s="245"/>
      <c r="Q379" s="245"/>
      <c r="R379" s="245"/>
      <c r="S379" s="245"/>
      <c r="T379" s="245"/>
      <c r="U379" s="245">
        <v>76340</v>
      </c>
      <c r="V379" s="245"/>
      <c r="W379" s="245">
        <v>26520</v>
      </c>
      <c r="X379" s="26">
        <v>6</v>
      </c>
      <c r="Y379" s="26"/>
      <c r="Z379" s="26"/>
      <c r="AA379" s="26">
        <v>15</v>
      </c>
      <c r="AB379" s="26"/>
      <c r="AC379" s="26"/>
      <c r="AD379" s="26"/>
      <c r="AE379" s="26"/>
      <c r="AF379" s="26"/>
      <c r="AG379" s="26"/>
      <c r="AH379" s="26">
        <v>63574</v>
      </c>
      <c r="AI379" s="26"/>
      <c r="AJ379" s="26"/>
      <c r="AK379" s="26"/>
      <c r="AL379" s="26"/>
      <c r="AM379" s="26"/>
      <c r="AN379" s="26">
        <f t="shared" si="22"/>
        <v>63574</v>
      </c>
      <c r="AO379" s="26" t="s">
        <v>114</v>
      </c>
      <c r="AP379" s="26"/>
      <c r="AQ379" s="26"/>
      <c r="AR379" s="26" t="s">
        <v>384</v>
      </c>
      <c r="AS379" s="26"/>
      <c r="AT379" s="308"/>
      <c r="AU379" s="26"/>
      <c r="AV379" s="26" t="s">
        <v>66</v>
      </c>
      <c r="AW379" s="26"/>
      <c r="AX379" s="26" t="s">
        <v>86</v>
      </c>
      <c r="AY379" s="26"/>
      <c r="AZ379" s="308">
        <v>43634</v>
      </c>
      <c r="BA379" s="308">
        <v>43668</v>
      </c>
      <c r="BB379" s="26"/>
      <c r="BC379" s="61">
        <v>43999</v>
      </c>
      <c r="BD379" s="113" t="s">
        <v>931</v>
      </c>
      <c r="BE379" s="297">
        <v>649800</v>
      </c>
      <c r="BF379" s="298">
        <f t="shared" si="16"/>
        <v>6.3173245187633675</v>
      </c>
      <c r="BG379" s="297" t="e">
        <f>VLOOKUP(B379,[1]Sheet2!$B:$X,23,0)</f>
        <v>#N/A</v>
      </c>
    </row>
    <row r="380" spans="1:59" s="28" customFormat="1" ht="33" customHeight="1">
      <c r="A380" s="26" t="s">
        <v>1957</v>
      </c>
      <c r="B380" s="26" t="s">
        <v>1958</v>
      </c>
      <c r="C380" s="26" t="s">
        <v>1959</v>
      </c>
      <c r="D380" s="26" t="s">
        <v>1960</v>
      </c>
      <c r="E380" s="26" t="s">
        <v>60</v>
      </c>
      <c r="F380" s="26" t="s">
        <v>1277</v>
      </c>
      <c r="G380" s="26" t="s">
        <v>1277</v>
      </c>
      <c r="H380" s="218" t="s">
        <v>1961</v>
      </c>
      <c r="I380" s="26" t="s">
        <v>1928</v>
      </c>
      <c r="J380" s="26" t="s">
        <v>702</v>
      </c>
      <c r="K380" s="61">
        <v>43525</v>
      </c>
      <c r="L380" s="26"/>
      <c r="M380" s="26">
        <f t="shared" si="23"/>
        <v>4400000</v>
      </c>
      <c r="N380" s="26">
        <f t="shared" si="24"/>
        <v>3760000</v>
      </c>
      <c r="O380" s="26"/>
      <c r="P380" s="245"/>
      <c r="Q380" s="245"/>
      <c r="R380" s="245"/>
      <c r="S380" s="245"/>
      <c r="T380" s="245"/>
      <c r="U380" s="245">
        <v>3760000</v>
      </c>
      <c r="V380" s="245"/>
      <c r="W380" s="245">
        <v>640000</v>
      </c>
      <c r="X380" s="26">
        <v>6</v>
      </c>
      <c r="Y380" s="26"/>
      <c r="Z380" s="26"/>
      <c r="AA380" s="26">
        <v>12</v>
      </c>
      <c r="AB380" s="26"/>
      <c r="AC380" s="26"/>
      <c r="AD380" s="26"/>
      <c r="AE380" s="26"/>
      <c r="AF380" s="26"/>
      <c r="AG380" s="26"/>
      <c r="AH380" s="26">
        <v>3180000</v>
      </c>
      <c r="AI380" s="26"/>
      <c r="AJ380" s="26"/>
      <c r="AK380" s="26"/>
      <c r="AL380" s="26"/>
      <c r="AM380" s="26"/>
      <c r="AN380" s="26">
        <f t="shared" si="22"/>
        <v>3180000</v>
      </c>
      <c r="AO380" s="26" t="s">
        <v>62</v>
      </c>
      <c r="AP380" s="26"/>
      <c r="AQ380" s="26"/>
      <c r="AR380" s="26" t="s">
        <v>384</v>
      </c>
      <c r="AS380" s="61">
        <v>43522</v>
      </c>
      <c r="AT380" s="308"/>
      <c r="AU380" s="26"/>
      <c r="AV380" s="26" t="s">
        <v>66</v>
      </c>
      <c r="AW380" s="26"/>
      <c r="AX380" s="26" t="s">
        <v>86</v>
      </c>
      <c r="AY380" s="26"/>
      <c r="AZ380" s="308">
        <v>43712</v>
      </c>
      <c r="BA380" s="308">
        <v>43734</v>
      </c>
      <c r="BB380" s="26"/>
      <c r="BC380" s="61">
        <v>44078</v>
      </c>
      <c r="BD380" s="26" t="s">
        <v>931</v>
      </c>
      <c r="BE380" s="297">
        <v>1019000</v>
      </c>
      <c r="BF380" s="298">
        <f t="shared" si="16"/>
        <v>0.2315909090909091</v>
      </c>
      <c r="BG380" s="297" t="e">
        <f>VLOOKUP(B380,[1]Sheet2!$B:$X,23,0)</f>
        <v>#N/A</v>
      </c>
    </row>
    <row r="381" spans="1:59" s="28" customFormat="1" ht="33" customHeight="1">
      <c r="A381" s="26" t="s">
        <v>1962</v>
      </c>
      <c r="B381" s="26" t="s">
        <v>1963</v>
      </c>
      <c r="C381" s="26" t="s">
        <v>1964</v>
      </c>
      <c r="D381" s="26" t="s">
        <v>1965</v>
      </c>
      <c r="E381" s="26"/>
      <c r="F381" s="26" t="s">
        <v>315</v>
      </c>
      <c r="G381" s="26" t="s">
        <v>315</v>
      </c>
      <c r="H381" s="218" t="s">
        <v>1956</v>
      </c>
      <c r="I381" s="26" t="s">
        <v>795</v>
      </c>
      <c r="J381" s="26"/>
      <c r="K381" s="61">
        <v>43497</v>
      </c>
      <c r="L381" s="26"/>
      <c r="M381" s="26">
        <f t="shared" si="23"/>
        <v>1750050</v>
      </c>
      <c r="N381" s="26">
        <f t="shared" si="24"/>
        <v>1750050</v>
      </c>
      <c r="O381" s="26"/>
      <c r="P381" s="245">
        <v>1081628</v>
      </c>
      <c r="Q381" s="245"/>
      <c r="R381" s="245"/>
      <c r="S381" s="245"/>
      <c r="T381" s="245"/>
      <c r="U381" s="245">
        <v>668422</v>
      </c>
      <c r="V381" s="245"/>
      <c r="W381" s="245"/>
      <c r="X381" s="26"/>
      <c r="Y381" s="26"/>
      <c r="Z381" s="26"/>
      <c r="AA381" s="26">
        <v>10</v>
      </c>
      <c r="AB381" s="26"/>
      <c r="AC381" s="26"/>
      <c r="AD381" s="26"/>
      <c r="AE381" s="26"/>
      <c r="AF381" s="26"/>
      <c r="AG381" s="26"/>
      <c r="AH381" s="26"/>
      <c r="AI381" s="26"/>
      <c r="AJ381" s="26"/>
      <c r="AK381" s="26"/>
      <c r="AL381" s="26"/>
      <c r="AM381" s="26"/>
      <c r="AN381" s="26">
        <f t="shared" si="22"/>
        <v>0</v>
      </c>
      <c r="AO381" s="26" t="s">
        <v>1843</v>
      </c>
      <c r="AP381" s="26"/>
      <c r="AQ381" s="26"/>
      <c r="AR381" s="26" t="s">
        <v>384</v>
      </c>
      <c r="AS381" s="26"/>
      <c r="AT381" s="308">
        <v>43439</v>
      </c>
      <c r="AU381" s="26"/>
      <c r="AV381" s="26" t="s">
        <v>66</v>
      </c>
      <c r="AW381" s="26"/>
      <c r="AX381" s="26" t="s">
        <v>86</v>
      </c>
      <c r="AY381" s="26"/>
      <c r="AZ381" s="308">
        <v>43480</v>
      </c>
      <c r="BA381" s="308">
        <v>43703</v>
      </c>
      <c r="BB381" s="26"/>
      <c r="BC381" s="61">
        <v>43844</v>
      </c>
      <c r="BD381" s="26" t="s">
        <v>88</v>
      </c>
      <c r="BE381" s="297"/>
      <c r="BF381" s="298">
        <f t="shared" si="16"/>
        <v>0</v>
      </c>
      <c r="BG381" s="297" t="e">
        <f>VLOOKUP(B381,[1]Sheet2!$B:$X,23,0)</f>
        <v>#N/A</v>
      </c>
    </row>
    <row r="382" spans="1:59" s="28" customFormat="1" ht="33" customHeight="1">
      <c r="A382" s="26" t="s">
        <v>1966</v>
      </c>
      <c r="B382" s="26" t="s">
        <v>1967</v>
      </c>
      <c r="C382" s="26" t="s">
        <v>1968</v>
      </c>
      <c r="D382" s="26" t="s">
        <v>1969</v>
      </c>
      <c r="E382" s="26" t="s">
        <v>83</v>
      </c>
      <c r="F382" s="26" t="s">
        <v>1970</v>
      </c>
      <c r="G382" s="216" t="s">
        <v>1794</v>
      </c>
      <c r="H382" s="218" t="s">
        <v>1794</v>
      </c>
      <c r="I382" s="26" t="s">
        <v>1004</v>
      </c>
      <c r="J382" s="26"/>
      <c r="K382" s="61">
        <v>43466</v>
      </c>
      <c r="L382" s="26"/>
      <c r="M382" s="26">
        <f t="shared" si="23"/>
        <v>854240</v>
      </c>
      <c r="N382" s="26">
        <f t="shared" si="24"/>
        <v>854240</v>
      </c>
      <c r="O382" s="26"/>
      <c r="P382" s="245"/>
      <c r="Q382" s="245"/>
      <c r="R382" s="245"/>
      <c r="S382" s="245"/>
      <c r="T382" s="245"/>
      <c r="U382" s="245">
        <v>854240</v>
      </c>
      <c r="V382" s="245"/>
      <c r="W382" s="245"/>
      <c r="X382" s="26"/>
      <c r="Y382" s="26"/>
      <c r="Z382" s="26"/>
      <c r="AA382" s="26">
        <v>10</v>
      </c>
      <c r="AB382" s="26"/>
      <c r="AC382" s="26"/>
      <c r="AD382" s="26"/>
      <c r="AE382" s="26"/>
      <c r="AF382" s="26"/>
      <c r="AG382" s="26"/>
      <c r="AH382" s="26">
        <v>768816</v>
      </c>
      <c r="AI382" s="365"/>
      <c r="AJ382" s="366"/>
      <c r="AK382" s="26"/>
      <c r="AL382" s="26"/>
      <c r="AM382" s="26"/>
      <c r="AN382" s="26">
        <f t="shared" si="22"/>
        <v>768816</v>
      </c>
      <c r="AO382" s="26" t="s">
        <v>77</v>
      </c>
      <c r="AP382" s="26"/>
      <c r="AQ382" s="26"/>
      <c r="AR382" s="26" t="s">
        <v>384</v>
      </c>
      <c r="AS382" s="26"/>
      <c r="AT382" s="308">
        <v>43586</v>
      </c>
      <c r="AU382" s="26"/>
      <c r="AV382" s="26" t="s">
        <v>66</v>
      </c>
      <c r="AW382" s="26"/>
      <c r="AX382" s="26" t="s">
        <v>86</v>
      </c>
      <c r="AY382" s="26"/>
      <c r="AZ382" s="308">
        <v>43728</v>
      </c>
      <c r="BA382" s="308">
        <v>43734</v>
      </c>
      <c r="BB382" s="26"/>
      <c r="BC382" s="26" t="s">
        <v>1971</v>
      </c>
      <c r="BD382" s="113" t="s">
        <v>931</v>
      </c>
      <c r="BE382" s="297">
        <v>341696</v>
      </c>
      <c r="BF382" s="298">
        <f t="shared" si="16"/>
        <v>0.4</v>
      </c>
      <c r="BG382" s="297" t="e">
        <f>VLOOKUP(B382,[1]Sheet2!$B:$X,23,0)</f>
        <v>#N/A</v>
      </c>
    </row>
    <row r="383" spans="1:59" s="28" customFormat="1" ht="33" customHeight="1">
      <c r="A383" s="26" t="s">
        <v>1972</v>
      </c>
      <c r="B383" s="26" t="s">
        <v>1973</v>
      </c>
      <c r="C383" s="26" t="s">
        <v>1974</v>
      </c>
      <c r="D383" s="26" t="s">
        <v>1975</v>
      </c>
      <c r="E383" s="26" t="s">
        <v>83</v>
      </c>
      <c r="F383" s="26" t="s">
        <v>315</v>
      </c>
      <c r="G383" s="26" t="s">
        <v>315</v>
      </c>
      <c r="H383" s="218" t="s">
        <v>1275</v>
      </c>
      <c r="I383" s="26" t="s">
        <v>107</v>
      </c>
      <c r="J383" s="26" t="s">
        <v>702</v>
      </c>
      <c r="K383" s="61">
        <v>43590</v>
      </c>
      <c r="L383" s="26" t="s">
        <v>1976</v>
      </c>
      <c r="M383" s="26">
        <f t="shared" si="23"/>
        <v>2910000</v>
      </c>
      <c r="N383" s="26">
        <f t="shared" ref="N383:N399" si="25">SUM(O383:V383)</f>
        <v>1590000</v>
      </c>
      <c r="O383" s="26"/>
      <c r="P383" s="245"/>
      <c r="Q383" s="245"/>
      <c r="R383" s="245"/>
      <c r="S383" s="245"/>
      <c r="T383" s="245"/>
      <c r="U383" s="245">
        <v>1590000</v>
      </c>
      <c r="V383" s="245"/>
      <c r="W383" s="245">
        <f>200000+1120000</f>
        <v>1320000</v>
      </c>
      <c r="X383" s="26" t="s">
        <v>1977</v>
      </c>
      <c r="Y383" s="26"/>
      <c r="Z383" s="26"/>
      <c r="AA383" s="26">
        <v>18.239999999999998</v>
      </c>
      <c r="AB383" s="26"/>
      <c r="AC383" s="26"/>
      <c r="AD383" s="26"/>
      <c r="AE383" s="26"/>
      <c r="AF383" s="26"/>
      <c r="AG383" s="26"/>
      <c r="AH383" s="26">
        <v>1300000</v>
      </c>
      <c r="AI383" s="26"/>
      <c r="AJ383" s="26">
        <v>200000</v>
      </c>
      <c r="AK383" s="26">
        <v>1120000</v>
      </c>
      <c r="AL383" s="26"/>
      <c r="AM383" s="26"/>
      <c r="AN383" s="26">
        <f t="shared" si="22"/>
        <v>2620000</v>
      </c>
      <c r="AO383" s="26" t="s">
        <v>1021</v>
      </c>
      <c r="AP383" s="26"/>
      <c r="AQ383" s="26"/>
      <c r="AR383" s="26" t="s">
        <v>384</v>
      </c>
      <c r="AS383" s="26"/>
      <c r="AT383" s="308"/>
      <c r="AU383" s="26"/>
      <c r="AV383" s="26" t="s">
        <v>66</v>
      </c>
      <c r="AW383" s="26"/>
      <c r="AX383" s="26" t="s">
        <v>86</v>
      </c>
      <c r="AY383" s="26"/>
      <c r="AZ383" s="308">
        <v>43711</v>
      </c>
      <c r="BA383" s="308">
        <v>43711</v>
      </c>
      <c r="BB383" s="26"/>
      <c r="BC383" s="26"/>
      <c r="BD383" s="25" t="s">
        <v>88</v>
      </c>
      <c r="BE383" s="297">
        <v>2910000</v>
      </c>
      <c r="BF383" s="298">
        <f t="shared" si="16"/>
        <v>1</v>
      </c>
      <c r="BG383" s="297" t="e">
        <f>VLOOKUP(B383,[1]Sheet2!$B:$X,23,0)</f>
        <v>#N/A</v>
      </c>
    </row>
    <row r="384" spans="1:59" s="28" customFormat="1" ht="33" customHeight="1">
      <c r="A384" s="351" t="s">
        <v>1978</v>
      </c>
      <c r="B384" s="312" t="s">
        <v>1979</v>
      </c>
      <c r="C384" s="26" t="s">
        <v>1980</v>
      </c>
      <c r="D384" s="26" t="s">
        <v>1981</v>
      </c>
      <c r="E384" s="350" t="s">
        <v>249</v>
      </c>
      <c r="F384" s="216" t="s">
        <v>1277</v>
      </c>
      <c r="G384" s="216" t="s">
        <v>1277</v>
      </c>
      <c r="H384" s="218" t="s">
        <v>1277</v>
      </c>
      <c r="I384" s="26" t="s">
        <v>1982</v>
      </c>
      <c r="J384" s="26" t="s">
        <v>1982</v>
      </c>
      <c r="K384" s="61">
        <v>43590</v>
      </c>
      <c r="L384" s="26" t="s">
        <v>1983</v>
      </c>
      <c r="M384" s="26">
        <f t="shared" si="23"/>
        <v>500000</v>
      </c>
      <c r="N384" s="26">
        <f t="shared" si="25"/>
        <v>500000</v>
      </c>
      <c r="O384" s="26"/>
      <c r="P384" s="245"/>
      <c r="Q384" s="245"/>
      <c r="R384" s="245"/>
      <c r="S384" s="245"/>
      <c r="T384" s="245"/>
      <c r="U384" s="245">
        <v>500000</v>
      </c>
      <c r="V384" s="245"/>
      <c r="W384" s="245"/>
      <c r="X384" s="26"/>
      <c r="Y384" s="26"/>
      <c r="Z384" s="26"/>
      <c r="AA384" s="26">
        <v>10</v>
      </c>
      <c r="AB384" s="26"/>
      <c r="AC384" s="26"/>
      <c r="AD384" s="26"/>
      <c r="AE384" s="26"/>
      <c r="AF384" s="26"/>
      <c r="AG384" s="26"/>
      <c r="AH384" s="26">
        <v>442500</v>
      </c>
      <c r="AI384" s="26"/>
      <c r="AJ384" s="26"/>
      <c r="AK384" s="26"/>
      <c r="AL384" s="26"/>
      <c r="AM384" s="26"/>
      <c r="AN384" s="26">
        <f t="shared" si="22"/>
        <v>442500</v>
      </c>
      <c r="AO384" s="26" t="s">
        <v>1258</v>
      </c>
      <c r="AP384" s="26"/>
      <c r="AQ384" s="26"/>
      <c r="AR384" s="61">
        <v>43592</v>
      </c>
      <c r="AS384" s="61"/>
      <c r="AT384" s="308"/>
      <c r="AU384" s="26"/>
      <c r="AV384" s="26"/>
      <c r="AW384" s="26"/>
      <c r="AX384" s="26"/>
      <c r="AY384" s="26"/>
      <c r="AZ384" s="308"/>
      <c r="BA384" s="308"/>
      <c r="BB384" s="26"/>
      <c r="BC384" s="26"/>
      <c r="BD384" s="26"/>
      <c r="BE384" s="297">
        <v>250000</v>
      </c>
      <c r="BF384" s="298">
        <f t="shared" si="16"/>
        <v>0.5</v>
      </c>
      <c r="BG384" s="297" t="e">
        <f>VLOOKUP(B384,[1]Sheet2!$B:$X,23,0)</f>
        <v>#N/A</v>
      </c>
    </row>
    <row r="385" spans="1:59" s="28" customFormat="1" ht="33" customHeight="1">
      <c r="A385" s="351" t="s">
        <v>1984</v>
      </c>
      <c r="B385" s="312" t="s">
        <v>1985</v>
      </c>
      <c r="C385" s="26" t="s">
        <v>1255</v>
      </c>
      <c r="D385" s="26" t="s">
        <v>1986</v>
      </c>
      <c r="E385" s="26" t="s">
        <v>106</v>
      </c>
      <c r="F385" s="26" t="s">
        <v>315</v>
      </c>
      <c r="G385" s="26" t="s">
        <v>315</v>
      </c>
      <c r="H385" s="218" t="s">
        <v>1275</v>
      </c>
      <c r="I385" s="26" t="s">
        <v>1987</v>
      </c>
      <c r="J385" s="26"/>
      <c r="K385" s="61">
        <v>43590</v>
      </c>
      <c r="L385" s="26"/>
      <c r="M385" s="26">
        <f t="shared" si="23"/>
        <v>17280</v>
      </c>
      <c r="N385" s="26">
        <f t="shared" si="25"/>
        <v>17280</v>
      </c>
      <c r="O385" s="26"/>
      <c r="P385" s="245"/>
      <c r="Q385" s="245"/>
      <c r="R385" s="245"/>
      <c r="S385" s="245"/>
      <c r="T385" s="245"/>
      <c r="U385" s="245">
        <v>17280</v>
      </c>
      <c r="V385" s="245"/>
      <c r="W385" s="245"/>
      <c r="X385" s="26"/>
      <c r="Y385" s="26"/>
      <c r="Z385" s="26"/>
      <c r="AA385" s="26">
        <v>15</v>
      </c>
      <c r="AB385" s="26"/>
      <c r="AC385" s="26"/>
      <c r="AD385" s="26"/>
      <c r="AE385" s="26"/>
      <c r="AF385" s="26"/>
      <c r="AG385" s="26"/>
      <c r="AH385" s="26">
        <v>14670.23</v>
      </c>
      <c r="AI385" s="26"/>
      <c r="AJ385" s="26"/>
      <c r="AK385" s="26"/>
      <c r="AL385" s="26"/>
      <c r="AM385" s="26"/>
      <c r="AN385" s="26">
        <f t="shared" si="22"/>
        <v>14670.23</v>
      </c>
      <c r="AO385" s="26" t="s">
        <v>108</v>
      </c>
      <c r="AP385" s="26"/>
      <c r="AQ385" s="26"/>
      <c r="AR385" s="26" t="s">
        <v>384</v>
      </c>
      <c r="AS385" s="26"/>
      <c r="AT385" s="308">
        <v>43611</v>
      </c>
      <c r="AU385" s="26"/>
      <c r="AV385" s="26" t="s">
        <v>66</v>
      </c>
      <c r="AW385" s="26"/>
      <c r="AX385" s="26" t="s">
        <v>86</v>
      </c>
      <c r="AY385" s="26"/>
      <c r="AZ385" s="308">
        <v>43617</v>
      </c>
      <c r="BA385" s="308">
        <v>43620</v>
      </c>
      <c r="BB385" s="26"/>
      <c r="BC385" s="61">
        <v>43982</v>
      </c>
      <c r="BD385" s="26" t="s">
        <v>88</v>
      </c>
      <c r="BE385" s="297">
        <v>17280</v>
      </c>
      <c r="BF385" s="298">
        <f t="shared" si="16"/>
        <v>1</v>
      </c>
      <c r="BG385" s="297" t="str">
        <f>VLOOKUP(B385,[1]Sheet2!$B:$X,23,0)</f>
        <v>章双佐</v>
      </c>
    </row>
    <row r="386" spans="1:59" s="28" customFormat="1" ht="33" customHeight="1">
      <c r="A386" s="351" t="s">
        <v>1988</v>
      </c>
      <c r="B386" s="312" t="s">
        <v>1989</v>
      </c>
      <c r="C386" s="26" t="s">
        <v>1990</v>
      </c>
      <c r="D386" s="26" t="s">
        <v>1991</v>
      </c>
      <c r="E386" s="26" t="s">
        <v>576</v>
      </c>
      <c r="F386" s="26" t="s">
        <v>1277</v>
      </c>
      <c r="G386" s="26" t="s">
        <v>1277</v>
      </c>
      <c r="H386" s="218" t="s">
        <v>1314</v>
      </c>
      <c r="I386" s="26" t="s">
        <v>1992</v>
      </c>
      <c r="J386" s="26"/>
      <c r="K386" s="335">
        <v>43466</v>
      </c>
      <c r="L386" s="26" t="s">
        <v>1993</v>
      </c>
      <c r="M386" s="26">
        <f t="shared" si="23"/>
        <v>1520004</v>
      </c>
      <c r="N386" s="26">
        <f t="shared" si="25"/>
        <v>1520004</v>
      </c>
      <c r="O386" s="26"/>
      <c r="P386" s="245"/>
      <c r="Q386" s="245"/>
      <c r="R386" s="245"/>
      <c r="S386" s="245">
        <v>957468</v>
      </c>
      <c r="T386" s="245"/>
      <c r="U386" s="245">
        <v>562536</v>
      </c>
      <c r="V386" s="245"/>
      <c r="W386" s="245"/>
      <c r="X386" s="26"/>
      <c r="Y386" s="26"/>
      <c r="Z386" s="26"/>
      <c r="AA386" s="26">
        <v>15</v>
      </c>
      <c r="AB386" s="26"/>
      <c r="AC386" s="26"/>
      <c r="AD386" s="26"/>
      <c r="AE386" s="26"/>
      <c r="AF386" s="26">
        <v>830000</v>
      </c>
      <c r="AG386" s="26"/>
      <c r="AH386" s="26">
        <v>459160.03</v>
      </c>
      <c r="AI386" s="26"/>
      <c r="AJ386" s="26"/>
      <c r="AK386" s="26"/>
      <c r="AL386" s="26"/>
      <c r="AM386" s="26"/>
      <c r="AN386" s="26">
        <f t="shared" si="22"/>
        <v>1289160.03</v>
      </c>
      <c r="AO386" s="26" t="s">
        <v>1843</v>
      </c>
      <c r="AP386" s="26"/>
      <c r="AQ386" s="26"/>
      <c r="AR386" s="26" t="s">
        <v>384</v>
      </c>
      <c r="AS386" s="26"/>
      <c r="AT386" s="308"/>
      <c r="AU386" s="26"/>
      <c r="AV386" s="26"/>
      <c r="AW386" s="26"/>
      <c r="AX386" s="26"/>
      <c r="AY386" s="26"/>
      <c r="AZ386" s="308"/>
      <c r="BA386" s="308"/>
      <c r="BB386" s="26"/>
      <c r="BC386" s="26"/>
      <c r="BD386" s="26"/>
      <c r="BE386" s="297">
        <v>760002</v>
      </c>
      <c r="BF386" s="298">
        <f t="shared" si="16"/>
        <v>0.5</v>
      </c>
      <c r="BG386" s="297" t="e">
        <f>VLOOKUP(B386,[1]Sheet2!$B:$X,23,0)</f>
        <v>#N/A</v>
      </c>
    </row>
    <row r="387" spans="1:59" s="28" customFormat="1" ht="33" customHeight="1">
      <c r="A387" s="351" t="s">
        <v>1994</v>
      </c>
      <c r="B387" s="312" t="s">
        <v>1995</v>
      </c>
      <c r="C387" s="26" t="s">
        <v>1996</v>
      </c>
      <c r="D387" s="26" t="s">
        <v>1997</v>
      </c>
      <c r="E387" s="26" t="s">
        <v>1093</v>
      </c>
      <c r="F387" s="25" t="s">
        <v>315</v>
      </c>
      <c r="G387" s="25" t="s">
        <v>315</v>
      </c>
      <c r="H387" s="218" t="s">
        <v>1275</v>
      </c>
      <c r="I387" s="26" t="s">
        <v>1998</v>
      </c>
      <c r="J387" s="26" t="s">
        <v>1998</v>
      </c>
      <c r="K387" s="61">
        <v>43593</v>
      </c>
      <c r="L387" s="26"/>
      <c r="M387" s="26">
        <f t="shared" si="23"/>
        <v>1573000</v>
      </c>
      <c r="N387" s="26">
        <f t="shared" si="25"/>
        <v>1573000</v>
      </c>
      <c r="O387" s="26"/>
      <c r="P387" s="26"/>
      <c r="Q387" s="245">
        <v>1161358.52</v>
      </c>
      <c r="R387" s="245"/>
      <c r="S387" s="245"/>
      <c r="T387" s="245">
        <v>347987</v>
      </c>
      <c r="U387" s="245">
        <v>63654.48</v>
      </c>
      <c r="V387" s="245"/>
      <c r="W387" s="26"/>
      <c r="X387" s="26"/>
      <c r="Y387" s="26"/>
      <c r="Z387" s="26"/>
      <c r="AA387" s="26">
        <v>15</v>
      </c>
      <c r="AB387" s="26"/>
      <c r="AC387" s="26"/>
      <c r="AD387" s="26">
        <v>986583.3</v>
      </c>
      <c r="AE387" s="26"/>
      <c r="AF387" s="26"/>
      <c r="AG387" s="26">
        <v>287430</v>
      </c>
      <c r="AH387" s="26">
        <v>41468.25</v>
      </c>
      <c r="AI387" s="26"/>
      <c r="AJ387" s="26"/>
      <c r="AK387" s="26"/>
      <c r="AL387" s="26"/>
      <c r="AM387" s="26"/>
      <c r="AN387" s="26">
        <f t="shared" si="22"/>
        <v>1315481.55</v>
      </c>
      <c r="AO387" s="26" t="s">
        <v>286</v>
      </c>
      <c r="AP387" s="26"/>
      <c r="AQ387" s="26"/>
      <c r="AR387" s="26" t="s">
        <v>384</v>
      </c>
      <c r="AS387" s="26"/>
      <c r="AT387" s="308">
        <v>43692</v>
      </c>
      <c r="AU387" s="26"/>
      <c r="AV387" s="26" t="s">
        <v>66</v>
      </c>
      <c r="AW387" s="26"/>
      <c r="AX387" s="26" t="s">
        <v>86</v>
      </c>
      <c r="AY387" s="26"/>
      <c r="AZ387" s="308">
        <v>43732</v>
      </c>
      <c r="BA387" s="308">
        <v>43734</v>
      </c>
      <c r="BB387" s="26"/>
      <c r="BC387" s="61">
        <v>44097</v>
      </c>
      <c r="BD387" s="26" t="s">
        <v>88</v>
      </c>
      <c r="BE387" s="297">
        <v>471900</v>
      </c>
      <c r="BF387" s="298">
        <f t="shared" ref="BF387:BF450" si="26">BE387/M387</f>
        <v>0.3</v>
      </c>
      <c r="BG387" s="297" t="e">
        <f>VLOOKUP(B387,[1]Sheet2!$B:$X,23,0)</f>
        <v>#N/A</v>
      </c>
    </row>
    <row r="388" spans="1:59" s="28" customFormat="1" ht="33" customHeight="1">
      <c r="A388" s="351" t="s">
        <v>1999</v>
      </c>
      <c r="B388" s="312" t="s">
        <v>2000</v>
      </c>
      <c r="C388" s="26" t="s">
        <v>2001</v>
      </c>
      <c r="D388" s="26" t="s">
        <v>2002</v>
      </c>
      <c r="E388" s="26" t="s">
        <v>83</v>
      </c>
      <c r="F388" s="26" t="s">
        <v>1277</v>
      </c>
      <c r="G388" s="26" t="s">
        <v>1277</v>
      </c>
      <c r="H388" s="218" t="s">
        <v>1277</v>
      </c>
      <c r="I388" s="370" t="s">
        <v>107</v>
      </c>
      <c r="J388" s="370" t="s">
        <v>702</v>
      </c>
      <c r="K388" s="61">
        <v>43593</v>
      </c>
      <c r="L388" s="26"/>
      <c r="M388" s="26">
        <f t="shared" si="23"/>
        <v>1446000</v>
      </c>
      <c r="N388" s="26">
        <f t="shared" si="25"/>
        <v>1446000</v>
      </c>
      <c r="O388" s="26"/>
      <c r="P388" s="26"/>
      <c r="Q388" s="26"/>
      <c r="R388" s="26"/>
      <c r="S388" s="26"/>
      <c r="T388" s="26"/>
      <c r="U388" s="26">
        <v>1446000</v>
      </c>
      <c r="V388" s="26"/>
      <c r="W388" s="26"/>
      <c r="X388" s="26"/>
      <c r="Y388" s="26"/>
      <c r="Z388" s="26"/>
      <c r="AA388" s="26">
        <v>19</v>
      </c>
      <c r="AB388" s="26"/>
      <c r="AC388" s="26"/>
      <c r="AD388" s="26"/>
      <c r="AE388" s="26"/>
      <c r="AF388" s="26"/>
      <c r="AG388" s="26"/>
      <c r="AH388" s="26">
        <v>1163880</v>
      </c>
      <c r="AI388" s="26"/>
      <c r="AJ388" s="26"/>
      <c r="AK388" s="26"/>
      <c r="AL388" s="26"/>
      <c r="AM388" s="26"/>
      <c r="AN388" s="26">
        <f t="shared" si="22"/>
        <v>1163880</v>
      </c>
      <c r="AO388" s="26" t="s">
        <v>108</v>
      </c>
      <c r="AP388" s="26"/>
      <c r="AQ388" s="26"/>
      <c r="AR388" s="61">
        <v>43593</v>
      </c>
      <c r="AS388" s="61"/>
      <c r="AT388" s="308"/>
      <c r="AU388" s="26"/>
      <c r="AV388" s="26" t="s">
        <v>66</v>
      </c>
      <c r="AW388" s="26"/>
      <c r="AX388" s="26" t="s">
        <v>86</v>
      </c>
      <c r="AY388" s="26"/>
      <c r="AZ388" s="308">
        <v>43636</v>
      </c>
      <c r="BA388" s="308">
        <v>43636</v>
      </c>
      <c r="BB388" s="26"/>
      <c r="BC388" s="61">
        <v>44001</v>
      </c>
      <c r="BD388" s="113" t="s">
        <v>931</v>
      </c>
      <c r="BE388" s="297">
        <v>1446000</v>
      </c>
      <c r="BF388" s="298">
        <f t="shared" si="26"/>
        <v>1</v>
      </c>
      <c r="BG388" s="297" t="e">
        <f>VLOOKUP(B388,[1]Sheet2!$B:$X,23,0)</f>
        <v>#N/A</v>
      </c>
    </row>
    <row r="389" spans="1:59" s="28" customFormat="1" ht="33" customHeight="1">
      <c r="A389" s="351" t="s">
        <v>2003</v>
      </c>
      <c r="B389" s="312" t="s">
        <v>284</v>
      </c>
      <c r="C389" s="26" t="s">
        <v>2004</v>
      </c>
      <c r="D389" s="26" t="s">
        <v>2005</v>
      </c>
      <c r="E389" s="26" t="s">
        <v>265</v>
      </c>
      <c r="F389" s="26" t="s">
        <v>315</v>
      </c>
      <c r="G389" s="26" t="s">
        <v>315</v>
      </c>
      <c r="H389" s="218"/>
      <c r="I389" s="26" t="s">
        <v>402</v>
      </c>
      <c r="J389" s="26" t="s">
        <v>63</v>
      </c>
      <c r="K389" s="61">
        <v>43600</v>
      </c>
      <c r="L389" s="26"/>
      <c r="M389" s="26">
        <f t="shared" si="23"/>
        <v>485000</v>
      </c>
      <c r="N389" s="26">
        <f t="shared" si="25"/>
        <v>485000</v>
      </c>
      <c r="O389" s="26"/>
      <c r="P389" s="26"/>
      <c r="Q389" s="26">
        <v>290418</v>
      </c>
      <c r="R389" s="26"/>
      <c r="S389" s="26"/>
      <c r="T389" s="26">
        <v>91410.2</v>
      </c>
      <c r="U389" s="26">
        <v>103171.8</v>
      </c>
      <c r="V389" s="26"/>
      <c r="W389" s="26"/>
      <c r="X389" s="26"/>
      <c r="Y389" s="26"/>
      <c r="Z389" s="26"/>
      <c r="AA389" s="26">
        <v>15</v>
      </c>
      <c r="AB389" s="26"/>
      <c r="AC389" s="26"/>
      <c r="AD389" s="26">
        <v>246855.3</v>
      </c>
      <c r="AE389" s="26"/>
      <c r="AF389" s="26"/>
      <c r="AG389" s="26">
        <v>77698.67</v>
      </c>
      <c r="AH389" s="26">
        <v>87696.03</v>
      </c>
      <c r="AI389" s="26"/>
      <c r="AJ389" s="26"/>
      <c r="AK389" s="26"/>
      <c r="AL389" s="26"/>
      <c r="AM389" s="26"/>
      <c r="AN389" s="26">
        <f t="shared" si="22"/>
        <v>412250</v>
      </c>
      <c r="AO389" s="26" t="s">
        <v>62</v>
      </c>
      <c r="AP389" s="26"/>
      <c r="AQ389" s="26"/>
      <c r="AR389" s="61">
        <v>43600</v>
      </c>
      <c r="AS389" s="61"/>
      <c r="AT389" s="308"/>
      <c r="AU389" s="26"/>
      <c r="AV389" s="26"/>
      <c r="AW389" s="26"/>
      <c r="AX389" s="26"/>
      <c r="AY389" s="26"/>
      <c r="AZ389" s="308"/>
      <c r="BA389" s="308"/>
      <c r="BB389" s="26"/>
      <c r="BC389" s="26"/>
      <c r="BD389" s="26"/>
      <c r="BE389" s="297">
        <v>9884886</v>
      </c>
      <c r="BF389" s="298">
        <f t="shared" si="26"/>
        <v>20.381208247422681</v>
      </c>
      <c r="BG389" s="297" t="e">
        <f>VLOOKUP(B389,[1]Sheet2!$B:$X,23,0)</f>
        <v>#N/A</v>
      </c>
    </row>
    <row r="390" spans="1:59" s="28" customFormat="1" ht="33" customHeight="1">
      <c r="A390" s="351" t="s">
        <v>2006</v>
      </c>
      <c r="B390" s="312" t="s">
        <v>2007</v>
      </c>
      <c r="C390" s="26" t="s">
        <v>2008</v>
      </c>
      <c r="D390" s="26" t="s">
        <v>2009</v>
      </c>
      <c r="E390" s="26" t="s">
        <v>92</v>
      </c>
      <c r="F390" s="26" t="s">
        <v>1350</v>
      </c>
      <c r="G390" s="26" t="s">
        <v>1350</v>
      </c>
      <c r="H390" s="218" t="s">
        <v>1277</v>
      </c>
      <c r="I390" s="26" t="s">
        <v>1004</v>
      </c>
      <c r="J390" s="26"/>
      <c r="K390" s="61">
        <v>43600</v>
      </c>
      <c r="L390" s="26"/>
      <c r="M390" s="26">
        <f t="shared" si="23"/>
        <v>154000</v>
      </c>
      <c r="N390" s="26">
        <f t="shared" si="25"/>
        <v>154000</v>
      </c>
      <c r="O390" s="26"/>
      <c r="P390" s="26"/>
      <c r="Q390" s="26"/>
      <c r="R390" s="26"/>
      <c r="S390" s="26"/>
      <c r="T390" s="26"/>
      <c r="U390" s="26">
        <v>154000</v>
      </c>
      <c r="V390" s="26"/>
      <c r="W390" s="26"/>
      <c r="X390" s="26"/>
      <c r="Y390" s="26"/>
      <c r="Z390" s="26"/>
      <c r="AA390" s="26">
        <v>15</v>
      </c>
      <c r="AB390" s="26"/>
      <c r="AC390" s="26"/>
      <c r="AD390" s="26"/>
      <c r="AE390" s="26"/>
      <c r="AF390" s="26"/>
      <c r="AG390" s="26"/>
      <c r="AH390" s="26">
        <v>130900</v>
      </c>
      <c r="AI390" s="26"/>
      <c r="AJ390" s="26"/>
      <c r="AK390" s="26"/>
      <c r="AL390" s="26"/>
      <c r="AM390" s="26"/>
      <c r="AN390" s="26">
        <f t="shared" si="22"/>
        <v>130900</v>
      </c>
      <c r="AO390" s="26" t="s">
        <v>93</v>
      </c>
      <c r="AP390" s="26"/>
      <c r="AQ390" s="26"/>
      <c r="AR390" s="26" t="s">
        <v>384</v>
      </c>
      <c r="AS390" s="26"/>
      <c r="AT390" s="308"/>
      <c r="AU390" s="26"/>
      <c r="AV390" s="26"/>
      <c r="AW390" s="26"/>
      <c r="AX390" s="26"/>
      <c r="AY390" s="26"/>
      <c r="AZ390" s="308"/>
      <c r="BA390" s="308"/>
      <c r="BB390" s="26"/>
      <c r="BC390" s="26"/>
      <c r="BD390" s="26"/>
      <c r="BE390" s="297">
        <v>154000</v>
      </c>
      <c r="BF390" s="298">
        <f t="shared" si="26"/>
        <v>1</v>
      </c>
      <c r="BG390" s="297" t="e">
        <f>VLOOKUP(B390,[1]Sheet2!$B:$X,23,0)</f>
        <v>#N/A</v>
      </c>
    </row>
    <row r="391" spans="1:59" s="28" customFormat="1" ht="33" customHeight="1">
      <c r="A391" s="351" t="s">
        <v>2010</v>
      </c>
      <c r="B391" s="312" t="s">
        <v>2011</v>
      </c>
      <c r="C391" s="26" t="s">
        <v>2012</v>
      </c>
      <c r="D391" s="26" t="s">
        <v>2013</v>
      </c>
      <c r="E391" s="26" t="s">
        <v>249</v>
      </c>
      <c r="F391" s="25" t="s">
        <v>315</v>
      </c>
      <c r="G391" s="25" t="s">
        <v>315</v>
      </c>
      <c r="H391" s="218" t="s">
        <v>1275</v>
      </c>
      <c r="I391" s="26" t="s">
        <v>1928</v>
      </c>
      <c r="J391" s="26" t="s">
        <v>128</v>
      </c>
      <c r="K391" s="61">
        <v>43614</v>
      </c>
      <c r="L391" s="26"/>
      <c r="M391" s="26">
        <f t="shared" si="23"/>
        <v>2800000</v>
      </c>
      <c r="N391" s="26">
        <f t="shared" si="25"/>
        <v>2800000</v>
      </c>
      <c r="O391" s="26"/>
      <c r="P391" s="26"/>
      <c r="Q391" s="26"/>
      <c r="R391" s="26"/>
      <c r="S391" s="26"/>
      <c r="T391" s="26"/>
      <c r="U391" s="26">
        <v>2800000</v>
      </c>
      <c r="V391" s="26"/>
      <c r="W391" s="26"/>
      <c r="X391" s="26"/>
      <c r="Y391" s="26"/>
      <c r="Z391" s="26"/>
      <c r="AA391" s="26">
        <v>10</v>
      </c>
      <c r="AB391" s="26"/>
      <c r="AC391" s="26"/>
      <c r="AD391" s="26"/>
      <c r="AE391" s="26"/>
      <c r="AF391" s="26"/>
      <c r="AG391" s="26"/>
      <c r="AH391" s="26">
        <v>2520000</v>
      </c>
      <c r="AI391" s="26"/>
      <c r="AJ391" s="26"/>
      <c r="AK391" s="26"/>
      <c r="AL391" s="26"/>
      <c r="AM391" s="26"/>
      <c r="AN391" s="26">
        <f t="shared" si="22"/>
        <v>2520000</v>
      </c>
      <c r="AO391" s="26" t="s">
        <v>62</v>
      </c>
      <c r="AP391" s="26"/>
      <c r="AQ391" s="26"/>
      <c r="AR391" s="26" t="s">
        <v>384</v>
      </c>
      <c r="AS391" s="26"/>
      <c r="AT391" s="308">
        <v>43635</v>
      </c>
      <c r="AU391" s="26"/>
      <c r="AV391" s="26" t="s">
        <v>66</v>
      </c>
      <c r="AW391" s="26"/>
      <c r="AX391" s="26" t="s">
        <v>86</v>
      </c>
      <c r="AY391" s="26"/>
      <c r="AZ391" s="308">
        <v>43642</v>
      </c>
      <c r="BA391" s="308">
        <v>43636</v>
      </c>
      <c r="BB391" s="26"/>
      <c r="BC391" s="61">
        <v>44007</v>
      </c>
      <c r="BD391" s="26" t="s">
        <v>88</v>
      </c>
      <c r="BE391" s="297">
        <v>2800000</v>
      </c>
      <c r="BF391" s="298">
        <f t="shared" si="26"/>
        <v>1</v>
      </c>
      <c r="BG391" s="297" t="e">
        <f>VLOOKUP(B391,[1]Sheet2!$B:$X,23,0)</f>
        <v>#N/A</v>
      </c>
    </row>
    <row r="392" spans="1:59" s="28" customFormat="1" ht="33" customHeight="1">
      <c r="A392" s="351" t="s">
        <v>2014</v>
      </c>
      <c r="B392" s="312" t="s">
        <v>2015</v>
      </c>
      <c r="C392" s="26" t="s">
        <v>2016</v>
      </c>
      <c r="D392" s="26" t="s">
        <v>2017</v>
      </c>
      <c r="E392" s="26" t="s">
        <v>224</v>
      </c>
      <c r="F392" s="26" t="s">
        <v>315</v>
      </c>
      <c r="G392" s="26" t="s">
        <v>315</v>
      </c>
      <c r="H392" s="218" t="s">
        <v>1277</v>
      </c>
      <c r="I392" s="26" t="s">
        <v>107</v>
      </c>
      <c r="J392" s="26" t="s">
        <v>2018</v>
      </c>
      <c r="K392" s="61">
        <v>43614</v>
      </c>
      <c r="L392" s="26"/>
      <c r="M392" s="26">
        <f t="shared" si="23"/>
        <v>1000000</v>
      </c>
      <c r="N392" s="26">
        <f t="shared" si="25"/>
        <v>1000000</v>
      </c>
      <c r="O392" s="26"/>
      <c r="P392" s="26"/>
      <c r="Q392" s="26"/>
      <c r="R392" s="26"/>
      <c r="S392" s="26"/>
      <c r="T392" s="26"/>
      <c r="U392" s="26">
        <v>1000000</v>
      </c>
      <c r="V392" s="26"/>
      <c r="W392" s="26"/>
      <c r="X392" s="26"/>
      <c r="Y392" s="26"/>
      <c r="Z392" s="26"/>
      <c r="AA392" s="26">
        <v>9</v>
      </c>
      <c r="AB392" s="26"/>
      <c r="AC392" s="26"/>
      <c r="AD392" s="26"/>
      <c r="AE392" s="26"/>
      <c r="AF392" s="26"/>
      <c r="AG392" s="26"/>
      <c r="AH392" s="26">
        <v>910000</v>
      </c>
      <c r="AI392" s="26"/>
      <c r="AJ392" s="26"/>
      <c r="AK392" s="26"/>
      <c r="AL392" s="26"/>
      <c r="AM392" s="26"/>
      <c r="AN392" s="26">
        <f t="shared" si="22"/>
        <v>910000</v>
      </c>
      <c r="AO392" s="26" t="s">
        <v>1258</v>
      </c>
      <c r="AP392" s="26"/>
      <c r="AQ392" s="26"/>
      <c r="AR392" s="26" t="s">
        <v>384</v>
      </c>
      <c r="AS392" s="26"/>
      <c r="AT392" s="308"/>
      <c r="AU392" s="26"/>
      <c r="AV392" s="26"/>
      <c r="AW392" s="26"/>
      <c r="AX392" s="26"/>
      <c r="AY392" s="26"/>
      <c r="AZ392" s="308"/>
      <c r="BA392" s="308"/>
      <c r="BB392" s="26"/>
      <c r="BC392" s="26"/>
      <c r="BD392" s="26"/>
      <c r="BE392" s="297">
        <v>1000000</v>
      </c>
      <c r="BF392" s="298">
        <f t="shared" si="26"/>
        <v>1</v>
      </c>
      <c r="BG392" s="297" t="e">
        <f>VLOOKUP(B392,[1]Sheet2!$B:$X,23,0)</f>
        <v>#N/A</v>
      </c>
    </row>
    <row r="393" spans="1:59" s="28" customFormat="1" ht="33" customHeight="1">
      <c r="A393" s="351" t="s">
        <v>2019</v>
      </c>
      <c r="B393" s="312" t="s">
        <v>2020</v>
      </c>
      <c r="C393" s="26" t="s">
        <v>2021</v>
      </c>
      <c r="D393" s="26" t="s">
        <v>2022</v>
      </c>
      <c r="E393" s="26" t="s">
        <v>224</v>
      </c>
      <c r="F393" s="26" t="s">
        <v>315</v>
      </c>
      <c r="G393" s="26" t="s">
        <v>315</v>
      </c>
      <c r="H393" s="218" t="s">
        <v>1275</v>
      </c>
      <c r="I393" s="26" t="s">
        <v>1004</v>
      </c>
      <c r="J393" s="26"/>
      <c r="K393" s="61">
        <v>43622</v>
      </c>
      <c r="L393" s="26"/>
      <c r="M393" s="26">
        <f t="shared" si="23"/>
        <v>20325.259999999998</v>
      </c>
      <c r="N393" s="26">
        <f t="shared" si="25"/>
        <v>20325.259999999998</v>
      </c>
      <c r="O393" s="26"/>
      <c r="P393" s="26"/>
      <c r="Q393" s="26"/>
      <c r="R393" s="26"/>
      <c r="S393" s="26"/>
      <c r="T393" s="26"/>
      <c r="U393" s="26">
        <v>20325.259999999998</v>
      </c>
      <c r="V393" s="26"/>
      <c r="W393" s="26"/>
      <c r="X393" s="26"/>
      <c r="Y393" s="26"/>
      <c r="Z393" s="26"/>
      <c r="AA393" s="26">
        <v>15</v>
      </c>
      <c r="AB393" s="26"/>
      <c r="AC393" s="26"/>
      <c r="AD393" s="26"/>
      <c r="AE393" s="26"/>
      <c r="AF393" s="26"/>
      <c r="AG393" s="26"/>
      <c r="AH393" s="26">
        <v>17276.47</v>
      </c>
      <c r="AI393" s="26"/>
      <c r="AJ393" s="26"/>
      <c r="AK393" s="26"/>
      <c r="AL393" s="26"/>
      <c r="AM393" s="26"/>
      <c r="AN393" s="26">
        <f t="shared" si="22"/>
        <v>17276.47</v>
      </c>
      <c r="AO393" s="26" t="s">
        <v>1258</v>
      </c>
      <c r="AP393" s="26"/>
      <c r="AQ393" s="26"/>
      <c r="AR393" s="61">
        <v>43622</v>
      </c>
      <c r="AS393" s="61"/>
      <c r="AT393" s="308">
        <v>43617</v>
      </c>
      <c r="AU393" s="26"/>
      <c r="AV393" s="43" t="s">
        <v>66</v>
      </c>
      <c r="AW393" s="26"/>
      <c r="AX393" s="26" t="s">
        <v>86</v>
      </c>
      <c r="AY393" s="26"/>
      <c r="AZ393" s="308">
        <v>43617</v>
      </c>
      <c r="BA393" s="308">
        <v>43643</v>
      </c>
      <c r="BB393" s="26"/>
      <c r="BC393" s="61">
        <v>44008</v>
      </c>
      <c r="BD393" s="26" t="s">
        <v>88</v>
      </c>
      <c r="BE393" s="297">
        <v>20325.259999999998</v>
      </c>
      <c r="BF393" s="298">
        <f t="shared" si="26"/>
        <v>1</v>
      </c>
      <c r="BG393" s="297" t="e">
        <f>VLOOKUP(B393,[1]Sheet2!$B:$X,23,0)</f>
        <v>#N/A</v>
      </c>
    </row>
    <row r="394" spans="1:59" s="28" customFormat="1" ht="33" customHeight="1">
      <c r="A394" s="351" t="s">
        <v>2023</v>
      </c>
      <c r="B394" s="312" t="s">
        <v>2024</v>
      </c>
      <c r="C394" s="26" t="s">
        <v>2025</v>
      </c>
      <c r="D394" s="26" t="s">
        <v>2026</v>
      </c>
      <c r="E394" s="26" t="s">
        <v>106</v>
      </c>
      <c r="F394" s="26" t="s">
        <v>315</v>
      </c>
      <c r="G394" s="26" t="s">
        <v>315</v>
      </c>
      <c r="H394" s="218" t="s">
        <v>1277</v>
      </c>
      <c r="I394" s="350" t="s">
        <v>76</v>
      </c>
      <c r="J394" s="350" t="s">
        <v>63</v>
      </c>
      <c r="K394" s="61">
        <v>43628</v>
      </c>
      <c r="L394" s="26"/>
      <c r="M394" s="26">
        <f t="shared" si="23"/>
        <v>637200</v>
      </c>
      <c r="N394" s="26">
        <f t="shared" si="25"/>
        <v>637200</v>
      </c>
      <c r="O394" s="26"/>
      <c r="P394" s="26"/>
      <c r="Q394" s="26"/>
      <c r="R394" s="26"/>
      <c r="S394" s="26"/>
      <c r="T394" s="26"/>
      <c r="U394" s="26">
        <v>637200</v>
      </c>
      <c r="V394" s="26"/>
      <c r="W394" s="26"/>
      <c r="X394" s="26"/>
      <c r="Y394" s="26"/>
      <c r="Z394" s="26"/>
      <c r="AA394" s="26">
        <v>15</v>
      </c>
      <c r="AB394" s="26"/>
      <c r="AC394" s="26"/>
      <c r="AD394" s="26"/>
      <c r="AE394" s="26"/>
      <c r="AF394" s="26"/>
      <c r="AG394" s="26"/>
      <c r="AH394" s="26">
        <v>532062</v>
      </c>
      <c r="AI394" s="26"/>
      <c r="AJ394" s="26"/>
      <c r="AK394" s="26"/>
      <c r="AL394" s="26"/>
      <c r="AM394" s="26"/>
      <c r="AN394" s="26">
        <f t="shared" ref="AN394:AN411" si="27">SUM(AB394:AL394)</f>
        <v>532062</v>
      </c>
      <c r="AO394" s="26" t="s">
        <v>1258</v>
      </c>
      <c r="AP394" s="26"/>
      <c r="AQ394" s="26"/>
      <c r="AR394" s="61">
        <v>43628</v>
      </c>
      <c r="AS394" s="61"/>
      <c r="AT394" s="308"/>
      <c r="AU394" s="26"/>
      <c r="AV394" s="26"/>
      <c r="AW394" s="26"/>
      <c r="AX394" s="26"/>
      <c r="AY394" s="26"/>
      <c r="AZ394" s="308"/>
      <c r="BA394" s="308"/>
      <c r="BB394" s="26"/>
      <c r="BC394" s="26"/>
      <c r="BD394" s="26"/>
      <c r="BE394" s="297"/>
      <c r="BF394" s="298">
        <f t="shared" si="26"/>
        <v>0</v>
      </c>
      <c r="BG394" s="297" t="e">
        <f>VLOOKUP(B394,[1]Sheet2!$B:$X,23,0)</f>
        <v>#N/A</v>
      </c>
    </row>
    <row r="395" spans="1:59" s="28" customFormat="1" ht="33" customHeight="1">
      <c r="A395" s="351" t="s">
        <v>2027</v>
      </c>
      <c r="B395" s="312" t="s">
        <v>2028</v>
      </c>
      <c r="C395" s="26" t="s">
        <v>2029</v>
      </c>
      <c r="D395" s="26" t="s">
        <v>2030</v>
      </c>
      <c r="E395" s="26" t="s">
        <v>106</v>
      </c>
      <c r="F395" s="26" t="s">
        <v>315</v>
      </c>
      <c r="G395" s="26" t="s">
        <v>315</v>
      </c>
      <c r="H395" s="218" t="s">
        <v>1275</v>
      </c>
      <c r="I395" s="26" t="s">
        <v>1982</v>
      </c>
      <c r="J395" s="26"/>
      <c r="K395" s="61">
        <v>43629</v>
      </c>
      <c r="L395" s="26"/>
      <c r="M395" s="26">
        <f t="shared" si="23"/>
        <v>400000</v>
      </c>
      <c r="N395" s="26">
        <f t="shared" si="25"/>
        <v>400000</v>
      </c>
      <c r="O395" s="26"/>
      <c r="P395" s="26"/>
      <c r="Q395" s="26"/>
      <c r="R395" s="26"/>
      <c r="S395" s="26"/>
      <c r="T395" s="26"/>
      <c r="U395" s="26">
        <v>400000</v>
      </c>
      <c r="V395" s="26"/>
      <c r="W395" s="26"/>
      <c r="X395" s="26"/>
      <c r="Y395" s="26"/>
      <c r="Z395" s="26"/>
      <c r="AA395" s="26">
        <v>15</v>
      </c>
      <c r="AB395" s="26"/>
      <c r="AC395" s="26"/>
      <c r="AD395" s="26"/>
      <c r="AE395" s="26"/>
      <c r="AF395" s="26"/>
      <c r="AG395" s="26"/>
      <c r="AH395" s="26"/>
      <c r="AI395" s="26"/>
      <c r="AJ395" s="26"/>
      <c r="AK395" s="26">
        <v>340000</v>
      </c>
      <c r="AL395" s="26"/>
      <c r="AM395" s="26"/>
      <c r="AN395" s="26">
        <f t="shared" si="27"/>
        <v>340000</v>
      </c>
      <c r="AO395" s="26" t="s">
        <v>108</v>
      </c>
      <c r="AP395" s="26"/>
      <c r="AQ395" s="26"/>
      <c r="AR395" s="61">
        <v>43629</v>
      </c>
      <c r="AS395" s="61"/>
      <c r="AT395" s="308">
        <v>43627</v>
      </c>
      <c r="AU395" s="26"/>
      <c r="AV395" s="43" t="s">
        <v>66</v>
      </c>
      <c r="AW395" s="26"/>
      <c r="AX395" s="26" t="s">
        <v>86</v>
      </c>
      <c r="AY395" s="26"/>
      <c r="AZ395" s="308">
        <v>43762</v>
      </c>
      <c r="BA395" s="308">
        <v>43776</v>
      </c>
      <c r="BB395" s="26"/>
      <c r="BC395" s="61">
        <v>44141</v>
      </c>
      <c r="BD395" s="26" t="s">
        <v>88</v>
      </c>
      <c r="BE395" s="297">
        <v>120000</v>
      </c>
      <c r="BF395" s="298">
        <f t="shared" si="26"/>
        <v>0.3</v>
      </c>
      <c r="BG395" s="297" t="e">
        <f>VLOOKUP(B395,[1]Sheet2!$B:$X,23,0)</f>
        <v>#N/A</v>
      </c>
    </row>
    <row r="396" spans="1:59" s="28" customFormat="1" ht="33" customHeight="1">
      <c r="A396" s="351" t="s">
        <v>2031</v>
      </c>
      <c r="B396" s="312" t="s">
        <v>2032</v>
      </c>
      <c r="C396" s="26" t="s">
        <v>2033</v>
      </c>
      <c r="D396" s="26" t="s">
        <v>2034</v>
      </c>
      <c r="E396" s="26" t="s">
        <v>106</v>
      </c>
      <c r="F396" s="26" t="s">
        <v>315</v>
      </c>
      <c r="G396" s="26" t="s">
        <v>315</v>
      </c>
      <c r="H396" s="218" t="s">
        <v>1314</v>
      </c>
      <c r="I396" s="26" t="s">
        <v>2035</v>
      </c>
      <c r="J396" s="26" t="s">
        <v>1020</v>
      </c>
      <c r="K396" s="61">
        <v>43630</v>
      </c>
      <c r="L396" s="26"/>
      <c r="M396" s="26">
        <f t="shared" si="23"/>
        <v>948900</v>
      </c>
      <c r="N396" s="26">
        <f t="shared" si="25"/>
        <v>700500</v>
      </c>
      <c r="O396" s="26"/>
      <c r="P396" s="26"/>
      <c r="Q396" s="26"/>
      <c r="R396" s="26"/>
      <c r="S396" s="26"/>
      <c r="T396" s="26"/>
      <c r="U396" s="26">
        <v>700500</v>
      </c>
      <c r="V396" s="26"/>
      <c r="W396" s="26">
        <v>248400</v>
      </c>
      <c r="X396" s="26" t="s">
        <v>2036</v>
      </c>
      <c r="Y396" s="26"/>
      <c r="Z396" s="26"/>
      <c r="AA396" s="26">
        <v>15</v>
      </c>
      <c r="AB396" s="26"/>
      <c r="AC396" s="26"/>
      <c r="AD396" s="26"/>
      <c r="AE396" s="26"/>
      <c r="AF396" s="26"/>
      <c r="AG396" s="26"/>
      <c r="AH396" s="26">
        <v>595425</v>
      </c>
      <c r="AI396" s="26"/>
      <c r="AJ396" s="26">
        <v>2927.52</v>
      </c>
      <c r="AK396" s="26">
        <v>245472.48</v>
      </c>
      <c r="AL396" s="26"/>
      <c r="AM396" s="26"/>
      <c r="AN396" s="26">
        <f t="shared" si="27"/>
        <v>843825</v>
      </c>
      <c r="AO396" s="26" t="s">
        <v>108</v>
      </c>
      <c r="AP396" s="26"/>
      <c r="AQ396" s="26"/>
      <c r="AR396" s="61">
        <v>43630</v>
      </c>
      <c r="AS396" s="61"/>
      <c r="AT396" s="308">
        <v>43617</v>
      </c>
      <c r="AU396" s="26"/>
      <c r="AV396" s="43" t="s">
        <v>66</v>
      </c>
      <c r="AW396" s="26"/>
      <c r="AX396" s="26" t="s">
        <v>86</v>
      </c>
      <c r="AY396" s="26"/>
      <c r="AZ396" s="308">
        <v>43647</v>
      </c>
      <c r="BA396" s="308">
        <v>43656</v>
      </c>
      <c r="BB396" s="26"/>
      <c r="BC396" s="61">
        <v>44021</v>
      </c>
      <c r="BD396" s="26" t="s">
        <v>88</v>
      </c>
      <c r="BE396" s="297">
        <v>901455</v>
      </c>
      <c r="BF396" s="298">
        <f t="shared" si="26"/>
        <v>0.95</v>
      </c>
      <c r="BG396" s="297" t="str">
        <f>VLOOKUP(B396,[1]Sheet2!$B:$X,23,0)</f>
        <v>付欣</v>
      </c>
    </row>
    <row r="397" spans="1:59" s="28" customFormat="1" ht="33" customHeight="1">
      <c r="A397" s="351" t="s">
        <v>2037</v>
      </c>
      <c r="B397" s="312" t="s">
        <v>2038</v>
      </c>
      <c r="C397" s="26" t="s">
        <v>2039</v>
      </c>
      <c r="D397" s="26" t="s">
        <v>2040</v>
      </c>
      <c r="E397" s="26" t="s">
        <v>168</v>
      </c>
      <c r="F397" s="26" t="s">
        <v>315</v>
      </c>
      <c r="G397" s="26" t="s">
        <v>315</v>
      </c>
      <c r="H397" s="218" t="s">
        <v>1314</v>
      </c>
      <c r="I397" s="26" t="s">
        <v>1987</v>
      </c>
      <c r="J397" s="26"/>
      <c r="K397" s="61">
        <v>43630</v>
      </c>
      <c r="L397" s="26"/>
      <c r="M397" s="26">
        <f t="shared" si="23"/>
        <v>3456260</v>
      </c>
      <c r="N397" s="26">
        <f t="shared" si="25"/>
        <v>3166700</v>
      </c>
      <c r="O397" s="26"/>
      <c r="P397" s="26"/>
      <c r="Q397" s="26">
        <v>1583200</v>
      </c>
      <c r="R397" s="26"/>
      <c r="S397" s="26"/>
      <c r="T397" s="26">
        <v>522600</v>
      </c>
      <c r="U397" s="26">
        <v>1060900</v>
      </c>
      <c r="V397" s="26"/>
      <c r="W397" s="26">
        <v>289560</v>
      </c>
      <c r="X397" s="26"/>
      <c r="Y397" s="364">
        <v>0.06</v>
      </c>
      <c r="Z397" s="364"/>
      <c r="AA397" s="26">
        <v>19</v>
      </c>
      <c r="AB397" s="26"/>
      <c r="AC397" s="26"/>
      <c r="AD397" s="26">
        <v>1503440</v>
      </c>
      <c r="AE397" s="26"/>
      <c r="AF397" s="26"/>
      <c r="AG397" s="26">
        <v>473334.29849999998</v>
      </c>
      <c r="AH397" s="26">
        <v>810169.97</v>
      </c>
      <c r="AI397" s="26"/>
      <c r="AJ397" s="26"/>
      <c r="AK397" s="26"/>
      <c r="AL397" s="26"/>
      <c r="AM397" s="26"/>
      <c r="AN397" s="26">
        <f t="shared" si="27"/>
        <v>2786944.2685000002</v>
      </c>
      <c r="AO397" s="26" t="s">
        <v>1258</v>
      </c>
      <c r="AP397" s="26"/>
      <c r="AQ397" s="26"/>
      <c r="AR397" s="61">
        <v>43630</v>
      </c>
      <c r="AS397" s="61"/>
      <c r="AT397" s="308"/>
      <c r="AU397" s="26"/>
      <c r="AV397" s="26"/>
      <c r="AW397" s="26"/>
      <c r="AX397" s="26"/>
      <c r="AY397" s="26"/>
      <c r="AZ397" s="308"/>
      <c r="BA397" s="308"/>
      <c r="BB397" s="26"/>
      <c r="BC397" s="26"/>
      <c r="BD397" s="26"/>
      <c r="BE397" s="297">
        <v>0</v>
      </c>
      <c r="BF397" s="298">
        <f t="shared" si="26"/>
        <v>0</v>
      </c>
      <c r="BG397" s="297" t="str">
        <f>VLOOKUP(B397,[1]Sheet2!$B:$X,23,0)</f>
        <v>章双佐</v>
      </c>
    </row>
    <row r="398" spans="1:59" s="28" customFormat="1" ht="33" customHeight="1">
      <c r="A398" s="351" t="s">
        <v>2041</v>
      </c>
      <c r="B398" s="312" t="s">
        <v>2042</v>
      </c>
      <c r="C398" s="26" t="s">
        <v>2043</v>
      </c>
      <c r="D398" s="26" t="s">
        <v>2044</v>
      </c>
      <c r="E398" s="26" t="s">
        <v>1093</v>
      </c>
      <c r="F398" s="26" t="s">
        <v>2045</v>
      </c>
      <c r="G398" s="26" t="s">
        <v>2045</v>
      </c>
      <c r="H398" s="218" t="s">
        <v>1275</v>
      </c>
      <c r="I398" s="26" t="s">
        <v>1928</v>
      </c>
      <c r="J398" s="26" t="s">
        <v>2018</v>
      </c>
      <c r="K398" s="61">
        <v>43633</v>
      </c>
      <c r="L398" s="26" t="s">
        <v>2046</v>
      </c>
      <c r="M398" s="26">
        <f t="shared" si="23"/>
        <v>49600</v>
      </c>
      <c r="N398" s="26">
        <f t="shared" si="25"/>
        <v>49600</v>
      </c>
      <c r="O398" s="26"/>
      <c r="P398" s="26"/>
      <c r="Q398" s="26"/>
      <c r="R398" s="26"/>
      <c r="S398" s="26"/>
      <c r="T398" s="26"/>
      <c r="U398" s="26">
        <v>49600</v>
      </c>
      <c r="V398" s="26"/>
      <c r="W398" s="26"/>
      <c r="X398" s="26"/>
      <c r="Y398" s="26"/>
      <c r="Z398" s="26"/>
      <c r="AA398" s="26">
        <v>15</v>
      </c>
      <c r="AB398" s="26"/>
      <c r="AC398" s="26"/>
      <c r="AD398" s="26"/>
      <c r="AE398" s="26"/>
      <c r="AF398" s="26"/>
      <c r="AG398" s="26"/>
      <c r="AH398" s="26">
        <v>42100</v>
      </c>
      <c r="AI398" s="26"/>
      <c r="AJ398" s="26"/>
      <c r="AK398" s="26"/>
      <c r="AL398" s="26"/>
      <c r="AM398" s="26"/>
      <c r="AN398" s="26">
        <f t="shared" si="27"/>
        <v>42100</v>
      </c>
      <c r="AO398" s="26" t="s">
        <v>286</v>
      </c>
      <c r="AP398" s="26"/>
      <c r="AQ398" s="26"/>
      <c r="AR398" s="26" t="s">
        <v>384</v>
      </c>
      <c r="AS398" s="26"/>
      <c r="AT398" s="308">
        <v>43624</v>
      </c>
      <c r="AU398" s="26"/>
      <c r="AV398" s="26" t="s">
        <v>66</v>
      </c>
      <c r="AW398" s="26"/>
      <c r="AX398" s="26" t="s">
        <v>86</v>
      </c>
      <c r="AY398" s="26"/>
      <c r="AZ398" s="308">
        <v>43682</v>
      </c>
      <c r="BA398" s="308" t="s">
        <v>2047</v>
      </c>
      <c r="BB398" s="26"/>
      <c r="BC398" s="61">
        <v>44047</v>
      </c>
      <c r="BD398" s="113" t="s">
        <v>931</v>
      </c>
      <c r="BE398" s="297">
        <v>49578</v>
      </c>
      <c r="BF398" s="298">
        <f t="shared" si="26"/>
        <v>0.99955645161290319</v>
      </c>
      <c r="BG398" s="297" t="e">
        <f>VLOOKUP(B398,[1]Sheet2!$B:$X,23,0)</f>
        <v>#N/A</v>
      </c>
    </row>
    <row r="399" spans="1:59" s="28" customFormat="1" ht="33" customHeight="1">
      <c r="A399" s="351" t="s">
        <v>2048</v>
      </c>
      <c r="B399" s="312" t="s">
        <v>2049</v>
      </c>
      <c r="C399" s="26" t="s">
        <v>2050</v>
      </c>
      <c r="D399" s="26" t="s">
        <v>2051</v>
      </c>
      <c r="E399" s="26" t="s">
        <v>1093</v>
      </c>
      <c r="F399" s="25" t="s">
        <v>315</v>
      </c>
      <c r="G399" s="25" t="s">
        <v>315</v>
      </c>
      <c r="H399" s="218"/>
      <c r="I399" s="26" t="s">
        <v>1928</v>
      </c>
      <c r="J399" s="350" t="s">
        <v>702</v>
      </c>
      <c r="K399" s="61">
        <v>43633</v>
      </c>
      <c r="L399" s="26" t="s">
        <v>2046</v>
      </c>
      <c r="M399" s="26">
        <f t="shared" si="23"/>
        <v>1421300</v>
      </c>
      <c r="N399" s="26">
        <f t="shared" si="25"/>
        <v>1421300</v>
      </c>
      <c r="O399" s="26"/>
      <c r="P399" s="26"/>
      <c r="Q399" s="26"/>
      <c r="R399" s="26"/>
      <c r="S399" s="26"/>
      <c r="T399" s="26">
        <v>1421300</v>
      </c>
      <c r="U399" s="26"/>
      <c r="V399" s="26"/>
      <c r="W399" s="26"/>
      <c r="X399" s="26"/>
      <c r="Y399" s="26"/>
      <c r="Z399" s="26"/>
      <c r="AA399" s="26">
        <v>10</v>
      </c>
      <c r="AB399" s="26"/>
      <c r="AC399" s="26"/>
      <c r="AD399" s="26"/>
      <c r="AE399" s="26"/>
      <c r="AF399" s="26"/>
      <c r="AG399" s="26">
        <v>1279200</v>
      </c>
      <c r="AH399" s="26"/>
      <c r="AI399" s="26"/>
      <c r="AJ399" s="26"/>
      <c r="AK399" s="26"/>
      <c r="AL399" s="26"/>
      <c r="AM399" s="26"/>
      <c r="AN399" s="26">
        <f t="shared" si="27"/>
        <v>1279200</v>
      </c>
      <c r="AO399" s="26" t="s">
        <v>286</v>
      </c>
      <c r="AP399" s="26"/>
      <c r="AQ399" s="26"/>
      <c r="AR399" s="26" t="s">
        <v>384</v>
      </c>
      <c r="AS399" s="26"/>
      <c r="AT399" s="308"/>
      <c r="AU399" s="26"/>
      <c r="AV399" s="43" t="s">
        <v>66</v>
      </c>
      <c r="AW399" s="26"/>
      <c r="AX399" s="26" t="s">
        <v>86</v>
      </c>
      <c r="AY399" s="26"/>
      <c r="AZ399" s="308">
        <v>43617</v>
      </c>
      <c r="BA399" s="308">
        <v>43636</v>
      </c>
      <c r="BB399" s="26"/>
      <c r="BC399" s="61">
        <v>43982</v>
      </c>
      <c r="BD399" s="26" t="s">
        <v>88</v>
      </c>
      <c r="BE399" s="297">
        <v>1421345.35</v>
      </c>
      <c r="BF399" s="298">
        <f t="shared" si="26"/>
        <v>1.0000319074087105</v>
      </c>
      <c r="BG399" s="297" t="e">
        <f>VLOOKUP(B399,[1]Sheet2!$B:$X,23,0)</f>
        <v>#N/A</v>
      </c>
    </row>
    <row r="400" spans="1:59" s="28" customFormat="1" ht="33" customHeight="1">
      <c r="A400" s="351" t="s">
        <v>2052</v>
      </c>
      <c r="B400" s="312" t="s">
        <v>2053</v>
      </c>
      <c r="C400" s="26" t="s">
        <v>2054</v>
      </c>
      <c r="D400" s="26" t="s">
        <v>2055</v>
      </c>
      <c r="E400" s="26" t="s">
        <v>92</v>
      </c>
      <c r="F400" s="26" t="s">
        <v>1277</v>
      </c>
      <c r="G400" s="26" t="s">
        <v>1277</v>
      </c>
      <c r="H400" s="218" t="s">
        <v>1275</v>
      </c>
      <c r="I400" s="26" t="s">
        <v>1928</v>
      </c>
      <c r="J400" s="350" t="s">
        <v>702</v>
      </c>
      <c r="K400" s="61">
        <v>43633</v>
      </c>
      <c r="L400" s="26" t="s">
        <v>2046</v>
      </c>
      <c r="M400" s="26">
        <f t="shared" ref="M400:M409" si="28">SUM(N400,W400)</f>
        <v>81900</v>
      </c>
      <c r="N400" s="26">
        <f t="shared" ref="N400:N409" si="29">SUM(O400:V400)</f>
        <v>81900</v>
      </c>
      <c r="O400" s="26"/>
      <c r="P400" s="26"/>
      <c r="Q400" s="26"/>
      <c r="R400" s="26"/>
      <c r="S400" s="26"/>
      <c r="T400" s="26"/>
      <c r="U400" s="26">
        <v>81900</v>
      </c>
      <c r="V400" s="26"/>
      <c r="W400" s="26"/>
      <c r="X400" s="26"/>
      <c r="Y400" s="26"/>
      <c r="Z400" s="26"/>
      <c r="AA400" s="26">
        <v>15</v>
      </c>
      <c r="AB400" s="26"/>
      <c r="AC400" s="26"/>
      <c r="AD400" s="26"/>
      <c r="AE400" s="26"/>
      <c r="AF400" s="26"/>
      <c r="AG400" s="26"/>
      <c r="AH400" s="26">
        <v>70000</v>
      </c>
      <c r="AI400" s="26"/>
      <c r="AJ400" s="26"/>
      <c r="AK400" s="26"/>
      <c r="AL400" s="26"/>
      <c r="AM400" s="26"/>
      <c r="AN400" s="26">
        <f t="shared" si="27"/>
        <v>70000</v>
      </c>
      <c r="AO400" s="26" t="s">
        <v>1843</v>
      </c>
      <c r="AP400" s="26"/>
      <c r="AQ400" s="26"/>
      <c r="AR400" s="26" t="s">
        <v>384</v>
      </c>
      <c r="AS400" s="26"/>
      <c r="AT400" s="308">
        <v>43636</v>
      </c>
      <c r="AU400" s="26"/>
      <c r="AV400" s="43" t="s">
        <v>66</v>
      </c>
      <c r="AW400" s="26"/>
      <c r="AX400" s="26" t="s">
        <v>86</v>
      </c>
      <c r="AY400" s="26"/>
      <c r="AZ400" s="308">
        <v>43661</v>
      </c>
      <c r="BA400" s="308">
        <v>43702</v>
      </c>
      <c r="BB400" s="26"/>
      <c r="BC400" s="61">
        <v>44026</v>
      </c>
      <c r="BD400" s="113" t="s">
        <v>931</v>
      </c>
      <c r="BE400" s="297">
        <v>28665</v>
      </c>
      <c r="BF400" s="298">
        <f t="shared" si="26"/>
        <v>0.35</v>
      </c>
      <c r="BG400" s="297" t="e">
        <f>VLOOKUP(B400,[1]Sheet2!$B:$X,23,0)</f>
        <v>#N/A</v>
      </c>
    </row>
    <row r="401" spans="1:59" s="28" customFormat="1" ht="33" customHeight="1">
      <c r="A401" s="351" t="s">
        <v>2056</v>
      </c>
      <c r="B401" s="312" t="s">
        <v>2057</v>
      </c>
      <c r="C401" s="26" t="s">
        <v>2058</v>
      </c>
      <c r="D401" s="26" t="s">
        <v>2059</v>
      </c>
      <c r="E401" s="26" t="s">
        <v>271</v>
      </c>
      <c r="F401" s="26" t="s">
        <v>315</v>
      </c>
      <c r="G401" s="26" t="s">
        <v>315</v>
      </c>
      <c r="H401" s="218" t="s">
        <v>1275</v>
      </c>
      <c r="I401" s="26" t="s">
        <v>2060</v>
      </c>
      <c r="J401" s="26" t="s">
        <v>1020</v>
      </c>
      <c r="K401" s="61">
        <v>43630</v>
      </c>
      <c r="L401" s="26"/>
      <c r="M401" s="26">
        <f t="shared" si="28"/>
        <v>33823.480000000003</v>
      </c>
      <c r="N401" s="26">
        <f t="shared" si="29"/>
        <v>33823.480000000003</v>
      </c>
      <c r="O401" s="26"/>
      <c r="P401" s="26"/>
      <c r="Q401" s="26">
        <v>10429.9</v>
      </c>
      <c r="R401" s="26"/>
      <c r="S401" s="26"/>
      <c r="T401" s="26">
        <v>23393.58</v>
      </c>
      <c r="U401" s="26"/>
      <c r="V401" s="26"/>
      <c r="W401" s="26"/>
      <c r="X401" s="26"/>
      <c r="Y401" s="26"/>
      <c r="Z401" s="26"/>
      <c r="AA401" s="26">
        <v>19</v>
      </c>
      <c r="AB401" s="26"/>
      <c r="AC401" s="26"/>
      <c r="AD401" s="26">
        <v>8370</v>
      </c>
      <c r="AE401" s="26"/>
      <c r="AF401" s="26"/>
      <c r="AG401" s="26">
        <v>20342.240000000002</v>
      </c>
      <c r="AH401" s="26"/>
      <c r="AI401" s="26"/>
      <c r="AJ401" s="26"/>
      <c r="AK401" s="26"/>
      <c r="AL401" s="26"/>
      <c r="AM401" s="26"/>
      <c r="AN401" s="26">
        <f t="shared" si="27"/>
        <v>28712.240000000002</v>
      </c>
      <c r="AO401" s="26" t="s">
        <v>1021</v>
      </c>
      <c r="AP401" s="26"/>
      <c r="AQ401" s="26"/>
      <c r="AR401" s="61">
        <v>43630</v>
      </c>
      <c r="AS401" s="61"/>
      <c r="AT401" s="308" t="s">
        <v>2061</v>
      </c>
      <c r="AU401" s="26"/>
      <c r="AV401" s="43" t="s">
        <v>66</v>
      </c>
      <c r="AW401" s="26"/>
      <c r="AX401" s="26" t="s">
        <v>86</v>
      </c>
      <c r="AY401" s="26"/>
      <c r="AZ401" s="308">
        <v>43645</v>
      </c>
      <c r="BA401" s="308">
        <v>43720</v>
      </c>
      <c r="BB401" s="26"/>
      <c r="BC401" s="61">
        <v>44010</v>
      </c>
      <c r="BD401" s="26" t="s">
        <v>88</v>
      </c>
      <c r="BE401" s="297">
        <v>33823.480000000003</v>
      </c>
      <c r="BF401" s="298">
        <f t="shared" si="26"/>
        <v>1</v>
      </c>
      <c r="BG401" s="297" t="str">
        <f>VLOOKUP(B401,[1]Sheet2!$B:$X,23,0)</f>
        <v>李天慈</v>
      </c>
    </row>
    <row r="402" spans="1:59" s="28" customFormat="1" ht="33" customHeight="1">
      <c r="A402" s="351" t="s">
        <v>2062</v>
      </c>
      <c r="B402" s="312" t="s">
        <v>2063</v>
      </c>
      <c r="C402" s="26" t="s">
        <v>2064</v>
      </c>
      <c r="D402" s="26" t="s">
        <v>2065</v>
      </c>
      <c r="E402" s="26" t="s">
        <v>1093</v>
      </c>
      <c r="F402" s="26" t="s">
        <v>315</v>
      </c>
      <c r="G402" s="26" t="s">
        <v>315</v>
      </c>
      <c r="H402" s="218" t="s">
        <v>1275</v>
      </c>
      <c r="I402" s="26" t="s">
        <v>2060</v>
      </c>
      <c r="J402" s="26" t="s">
        <v>1020</v>
      </c>
      <c r="K402" s="61">
        <v>43633</v>
      </c>
      <c r="L402" s="26" t="s">
        <v>2046</v>
      </c>
      <c r="M402" s="26">
        <f t="shared" si="28"/>
        <v>965188.88</v>
      </c>
      <c r="N402" s="26">
        <f t="shared" si="29"/>
        <v>965188.88</v>
      </c>
      <c r="O402" s="26"/>
      <c r="P402" s="26"/>
      <c r="Q402" s="26">
        <v>388866</v>
      </c>
      <c r="R402" s="26"/>
      <c r="S402" s="26"/>
      <c r="T402" s="26">
        <v>308211.88</v>
      </c>
      <c r="U402" s="26">
        <v>268111</v>
      </c>
      <c r="V402" s="26"/>
      <c r="W402" s="26"/>
      <c r="X402" s="26"/>
      <c r="Y402" s="26"/>
      <c r="Z402" s="26"/>
      <c r="AA402" s="26"/>
      <c r="AB402" s="26"/>
      <c r="AC402" s="26"/>
      <c r="AD402" s="26">
        <v>365865</v>
      </c>
      <c r="AE402" s="26"/>
      <c r="AF402" s="26"/>
      <c r="AG402" s="26">
        <v>225324.5</v>
      </c>
      <c r="AH402" s="26">
        <v>220800</v>
      </c>
      <c r="AI402" s="26"/>
      <c r="AJ402" s="26"/>
      <c r="AK402" s="26"/>
      <c r="AL402" s="26"/>
      <c r="AM402" s="26"/>
      <c r="AN402" s="26">
        <f t="shared" si="27"/>
        <v>811989.5</v>
      </c>
      <c r="AO402" s="26" t="s">
        <v>286</v>
      </c>
      <c r="AP402" s="26"/>
      <c r="AQ402" s="26"/>
      <c r="AR402" s="26" t="s">
        <v>384</v>
      </c>
      <c r="AS402" s="26"/>
      <c r="AT402" s="308"/>
      <c r="AU402" s="26"/>
      <c r="AV402" s="26"/>
      <c r="AW402" s="26"/>
      <c r="AX402" s="26"/>
      <c r="AY402" s="26"/>
      <c r="AZ402" s="308"/>
      <c r="BA402" s="308"/>
      <c r="BB402" s="26"/>
      <c r="BC402" s="26"/>
      <c r="BD402" s="26"/>
      <c r="BE402" s="297">
        <v>193038</v>
      </c>
      <c r="BF402" s="298">
        <f t="shared" si="26"/>
        <v>0.20000023207892739</v>
      </c>
      <c r="BG402" s="297" t="str">
        <f>VLOOKUP(B402,[1]Sheet2!$B:$X,23,0)</f>
        <v>李天慈</v>
      </c>
    </row>
    <row r="403" spans="1:59" s="28" customFormat="1" ht="33" customHeight="1">
      <c r="A403" s="351" t="s">
        <v>2066</v>
      </c>
      <c r="B403" s="312" t="s">
        <v>2067</v>
      </c>
      <c r="C403" s="26" t="s">
        <v>2068</v>
      </c>
      <c r="D403" s="26" t="s">
        <v>2069</v>
      </c>
      <c r="E403" s="26" t="s">
        <v>265</v>
      </c>
      <c r="F403" s="26" t="s">
        <v>315</v>
      </c>
      <c r="G403" s="26" t="s">
        <v>315</v>
      </c>
      <c r="H403" s="218" t="s">
        <v>1275</v>
      </c>
      <c r="I403" s="26" t="s">
        <v>402</v>
      </c>
      <c r="J403" s="26" t="s">
        <v>702</v>
      </c>
      <c r="K403" s="61">
        <v>43633</v>
      </c>
      <c r="L403" s="26"/>
      <c r="M403" s="26">
        <f t="shared" si="28"/>
        <v>179189</v>
      </c>
      <c r="N403" s="26">
        <f t="shared" si="29"/>
        <v>179189</v>
      </c>
      <c r="O403" s="26"/>
      <c r="P403" s="26"/>
      <c r="Q403" s="26">
        <v>84630</v>
      </c>
      <c r="R403" s="26"/>
      <c r="S403" s="26"/>
      <c r="T403" s="26">
        <v>21543</v>
      </c>
      <c r="U403" s="26">
        <v>73016</v>
      </c>
      <c r="V403" s="26"/>
      <c r="W403" s="26"/>
      <c r="X403" s="26"/>
      <c r="Y403" s="26"/>
      <c r="Z403" s="26"/>
      <c r="AA403" s="26">
        <v>8</v>
      </c>
      <c r="AB403" s="26"/>
      <c r="AC403" s="26"/>
      <c r="AD403" s="26">
        <v>77849</v>
      </c>
      <c r="AE403" s="26"/>
      <c r="AF403" s="26"/>
      <c r="AG403" s="26">
        <v>19819</v>
      </c>
      <c r="AH403" s="26">
        <v>67173</v>
      </c>
      <c r="AI403" s="26"/>
      <c r="AJ403" s="26"/>
      <c r="AK403" s="26"/>
      <c r="AL403" s="26"/>
      <c r="AM403" s="26"/>
      <c r="AN403" s="26">
        <f t="shared" si="27"/>
        <v>164841</v>
      </c>
      <c r="AO403" s="26" t="s">
        <v>62</v>
      </c>
      <c r="AP403" s="26"/>
      <c r="AQ403" s="26"/>
      <c r="AR403" s="61">
        <v>43633</v>
      </c>
      <c r="AS403" s="61">
        <v>43654</v>
      </c>
      <c r="AT403" s="308">
        <v>43666</v>
      </c>
      <c r="AU403" s="26"/>
      <c r="AV403" s="43" t="s">
        <v>66</v>
      </c>
      <c r="AW403" s="26"/>
      <c r="AX403" s="26" t="s">
        <v>86</v>
      </c>
      <c r="AY403" s="26"/>
      <c r="AZ403" s="308">
        <v>43734</v>
      </c>
      <c r="BA403" s="308">
        <v>43734</v>
      </c>
      <c r="BB403" s="26"/>
      <c r="BC403" s="61">
        <v>44099</v>
      </c>
      <c r="BD403" s="26" t="s">
        <v>88</v>
      </c>
      <c r="BE403" s="297">
        <v>179189</v>
      </c>
      <c r="BF403" s="298">
        <f t="shared" si="26"/>
        <v>1</v>
      </c>
      <c r="BG403" s="297" t="e">
        <f>VLOOKUP(B403,[1]Sheet2!$B:$X,23,0)</f>
        <v>#N/A</v>
      </c>
    </row>
    <row r="404" spans="1:59" s="28" customFormat="1" ht="33" customHeight="1">
      <c r="A404" s="351" t="s">
        <v>2070</v>
      </c>
      <c r="B404" s="312" t="s">
        <v>2071</v>
      </c>
      <c r="C404" s="26" t="s">
        <v>2072</v>
      </c>
      <c r="D404" s="26" t="s">
        <v>2073</v>
      </c>
      <c r="E404" s="26" t="s">
        <v>265</v>
      </c>
      <c r="F404" s="26" t="s">
        <v>315</v>
      </c>
      <c r="G404" s="26" t="s">
        <v>315</v>
      </c>
      <c r="H404" s="218" t="s">
        <v>1275</v>
      </c>
      <c r="I404" s="26" t="s">
        <v>402</v>
      </c>
      <c r="J404" s="26" t="s">
        <v>702</v>
      </c>
      <c r="K404" s="61">
        <v>43633</v>
      </c>
      <c r="L404" s="26"/>
      <c r="M404" s="26">
        <f t="shared" si="28"/>
        <v>186644</v>
      </c>
      <c r="N404" s="26">
        <f t="shared" si="29"/>
        <v>186644</v>
      </c>
      <c r="O404" s="26"/>
      <c r="P404" s="26"/>
      <c r="Q404" s="26">
        <v>128377</v>
      </c>
      <c r="R404" s="26"/>
      <c r="S404" s="26"/>
      <c r="T404" s="26">
        <v>21546</v>
      </c>
      <c r="U404" s="26">
        <v>36721</v>
      </c>
      <c r="V404" s="26"/>
      <c r="W404" s="26"/>
      <c r="X404" s="26"/>
      <c r="Y404" s="26"/>
      <c r="Z404" s="26"/>
      <c r="AA404" s="26">
        <v>8</v>
      </c>
      <c r="AB404" s="26"/>
      <c r="AC404" s="26"/>
      <c r="AD404" s="26">
        <v>118085</v>
      </c>
      <c r="AE404" s="26"/>
      <c r="AF404" s="26"/>
      <c r="AG404" s="26">
        <v>19821</v>
      </c>
      <c r="AH404" s="26">
        <v>33781</v>
      </c>
      <c r="AI404" s="26"/>
      <c r="AJ404" s="26"/>
      <c r="AK404" s="26"/>
      <c r="AL404" s="26"/>
      <c r="AM404" s="26"/>
      <c r="AN404" s="26">
        <f t="shared" si="27"/>
        <v>171687</v>
      </c>
      <c r="AO404" s="26" t="s">
        <v>62</v>
      </c>
      <c r="AP404" s="26"/>
      <c r="AQ404" s="26"/>
      <c r="AR404" s="61">
        <v>43633</v>
      </c>
      <c r="AS404" s="61">
        <v>43654</v>
      </c>
      <c r="AT404" s="308">
        <v>43666</v>
      </c>
      <c r="AU404" s="26"/>
      <c r="AV404" s="43" t="s">
        <v>66</v>
      </c>
      <c r="AW404" s="26"/>
      <c r="AX404" s="26" t="s">
        <v>86</v>
      </c>
      <c r="AY404" s="26"/>
      <c r="AZ404" s="308">
        <v>43734</v>
      </c>
      <c r="BA404" s="308">
        <v>43734</v>
      </c>
      <c r="BB404" s="26"/>
      <c r="BC404" s="61">
        <v>44099</v>
      </c>
      <c r="BD404" s="26" t="s">
        <v>88</v>
      </c>
      <c r="BE404" s="297">
        <v>0</v>
      </c>
      <c r="BF404" s="298">
        <f t="shared" si="26"/>
        <v>0</v>
      </c>
      <c r="BG404" s="297" t="e">
        <f>VLOOKUP(B404,[1]Sheet2!$B:$X,23,0)</f>
        <v>#N/A</v>
      </c>
    </row>
    <row r="405" spans="1:59" s="28" customFormat="1" ht="33" customHeight="1">
      <c r="A405" s="351" t="s">
        <v>2074</v>
      </c>
      <c r="B405" s="43" t="s">
        <v>2075</v>
      </c>
      <c r="C405" s="26" t="s">
        <v>2076</v>
      </c>
      <c r="D405" s="26" t="s">
        <v>2077</v>
      </c>
      <c r="E405" s="26" t="s">
        <v>576</v>
      </c>
      <c r="F405" s="26" t="s">
        <v>315</v>
      </c>
      <c r="G405" s="26" t="s">
        <v>315</v>
      </c>
      <c r="H405" s="218" t="s">
        <v>1850</v>
      </c>
      <c r="I405" s="26" t="s">
        <v>1004</v>
      </c>
      <c r="J405" s="26"/>
      <c r="K405" s="61">
        <v>43633</v>
      </c>
      <c r="L405" s="26"/>
      <c r="M405" s="26">
        <f t="shared" si="28"/>
        <v>11626488</v>
      </c>
      <c r="N405" s="26">
        <f t="shared" si="29"/>
        <v>11626488</v>
      </c>
      <c r="O405" s="26"/>
      <c r="P405" s="26"/>
      <c r="Q405" s="26"/>
      <c r="R405" s="26"/>
      <c r="S405" s="26"/>
      <c r="T405" s="26"/>
      <c r="U405" s="26">
        <v>11626488</v>
      </c>
      <c r="V405" s="26"/>
      <c r="W405" s="26"/>
      <c r="X405" s="26" t="s">
        <v>2078</v>
      </c>
      <c r="Y405" s="364" t="s">
        <v>2079</v>
      </c>
      <c r="Z405" s="364"/>
      <c r="AA405" s="26">
        <v>15</v>
      </c>
      <c r="AB405" s="26"/>
      <c r="AC405" s="26"/>
      <c r="AD405" s="26"/>
      <c r="AE405" s="26"/>
      <c r="AF405" s="26"/>
      <c r="AG405" s="26"/>
      <c r="AH405" s="26">
        <v>5288450</v>
      </c>
      <c r="AI405" s="26"/>
      <c r="AJ405" s="26">
        <v>3988800</v>
      </c>
      <c r="AK405" s="26">
        <v>1484766</v>
      </c>
      <c r="AL405" s="26"/>
      <c r="AM405" s="26"/>
      <c r="AN405" s="26">
        <f t="shared" si="27"/>
        <v>10762016</v>
      </c>
      <c r="AO405" s="26" t="s">
        <v>108</v>
      </c>
      <c r="AP405" s="26"/>
      <c r="AQ405" s="26"/>
      <c r="AR405" s="61">
        <v>43634</v>
      </c>
      <c r="AS405" s="61"/>
      <c r="AT405" s="308">
        <v>43600</v>
      </c>
      <c r="AU405" s="26"/>
      <c r="AV405" s="43" t="s">
        <v>66</v>
      </c>
      <c r="AW405" s="26"/>
      <c r="AX405" s="26" t="s">
        <v>86</v>
      </c>
      <c r="AY405" s="26"/>
      <c r="AZ405" s="308">
        <v>43750</v>
      </c>
      <c r="BA405" s="308">
        <v>43783</v>
      </c>
      <c r="BB405" s="26"/>
      <c r="BC405" s="26"/>
      <c r="BD405" s="26"/>
      <c r="BE405" s="297"/>
      <c r="BF405" s="298">
        <f t="shared" si="26"/>
        <v>0</v>
      </c>
      <c r="BG405" s="297" t="e">
        <f>VLOOKUP(B405,[1]Sheet2!$B:$X,23,0)</f>
        <v>#N/A</v>
      </c>
    </row>
    <row r="406" spans="1:59" s="28" customFormat="1" ht="33" customHeight="1">
      <c r="A406" s="351" t="s">
        <v>2080</v>
      </c>
      <c r="B406" s="312" t="s">
        <v>2081</v>
      </c>
      <c r="C406" s="26" t="s">
        <v>2082</v>
      </c>
      <c r="D406" s="26" t="s">
        <v>2083</v>
      </c>
      <c r="E406" s="26" t="s">
        <v>576</v>
      </c>
      <c r="F406" s="26" t="s">
        <v>315</v>
      </c>
      <c r="G406" s="26" t="s">
        <v>315</v>
      </c>
      <c r="H406" s="218"/>
      <c r="I406" s="26" t="s">
        <v>1004</v>
      </c>
      <c r="J406" s="26"/>
      <c r="K406" s="61">
        <v>43657</v>
      </c>
      <c r="L406" s="26"/>
      <c r="M406" s="26">
        <f t="shared" si="28"/>
        <v>62805.8</v>
      </c>
      <c r="N406" s="26">
        <f t="shared" si="29"/>
        <v>62805.8</v>
      </c>
      <c r="O406" s="26"/>
      <c r="P406" s="26"/>
      <c r="Q406" s="26"/>
      <c r="R406" s="26"/>
      <c r="S406" s="26"/>
      <c r="T406" s="26"/>
      <c r="U406" s="26">
        <v>62805.8</v>
      </c>
      <c r="V406" s="26"/>
      <c r="W406" s="26"/>
      <c r="X406" s="26"/>
      <c r="Y406" s="364"/>
      <c r="Z406" s="364"/>
      <c r="AA406" s="26">
        <v>15</v>
      </c>
      <c r="AB406" s="26"/>
      <c r="AC406" s="26"/>
      <c r="AD406" s="26"/>
      <c r="AE406" s="26"/>
      <c r="AF406" s="26"/>
      <c r="AG406" s="26"/>
      <c r="AH406" s="26">
        <v>53384.93</v>
      </c>
      <c r="AI406" s="26"/>
      <c r="AJ406" s="26"/>
      <c r="AK406" s="26"/>
      <c r="AL406" s="26"/>
      <c r="AM406" s="26"/>
      <c r="AN406" s="26">
        <f t="shared" si="27"/>
        <v>53384.93</v>
      </c>
      <c r="AO406" s="26" t="s">
        <v>286</v>
      </c>
      <c r="AP406" s="26"/>
      <c r="AQ406" s="26"/>
      <c r="AR406" s="26" t="s">
        <v>384</v>
      </c>
      <c r="AS406" s="26"/>
      <c r="AT406" s="308"/>
      <c r="AU406" s="26"/>
      <c r="AV406" s="26"/>
      <c r="AW406" s="26"/>
      <c r="AX406" s="26"/>
      <c r="AY406" s="26"/>
      <c r="AZ406" s="308"/>
      <c r="BA406" s="308"/>
      <c r="BB406" s="26"/>
      <c r="BC406" s="26"/>
      <c r="BD406" s="26"/>
      <c r="BE406" s="297">
        <v>0</v>
      </c>
      <c r="BF406" s="298">
        <f t="shared" si="26"/>
        <v>0</v>
      </c>
      <c r="BG406" s="297" t="e">
        <f>VLOOKUP(B406,[1]Sheet2!$B:$X,23,0)</f>
        <v>#N/A</v>
      </c>
    </row>
    <row r="407" spans="1:59" s="28" customFormat="1" ht="33" customHeight="1">
      <c r="A407" s="351" t="s">
        <v>2084</v>
      </c>
      <c r="B407" s="312" t="s">
        <v>2085</v>
      </c>
      <c r="C407" s="26" t="s">
        <v>2086</v>
      </c>
      <c r="D407" s="26" t="s">
        <v>2087</v>
      </c>
      <c r="E407" s="26" t="s">
        <v>75</v>
      </c>
      <c r="F407" s="26" t="s">
        <v>196</v>
      </c>
      <c r="G407" s="26" t="s">
        <v>196</v>
      </c>
      <c r="H407" s="218" t="s">
        <v>1277</v>
      </c>
      <c r="I407" s="26" t="s">
        <v>1998</v>
      </c>
      <c r="J407" s="26" t="s">
        <v>1998</v>
      </c>
      <c r="K407" s="61">
        <v>43633</v>
      </c>
      <c r="L407" s="26"/>
      <c r="M407" s="26">
        <f t="shared" si="28"/>
        <v>109350</v>
      </c>
      <c r="N407" s="26">
        <f t="shared" si="29"/>
        <v>109350</v>
      </c>
      <c r="O407" s="26"/>
      <c r="P407" s="26"/>
      <c r="Q407" s="26"/>
      <c r="R407" s="26"/>
      <c r="S407" s="26"/>
      <c r="T407" s="26"/>
      <c r="U407" s="26">
        <v>109350</v>
      </c>
      <c r="V407" s="26"/>
      <c r="W407" s="26"/>
      <c r="X407" s="26"/>
      <c r="Y407" s="26"/>
      <c r="Z407" s="26"/>
      <c r="AA407" s="364">
        <v>0.15</v>
      </c>
      <c r="AB407" s="26"/>
      <c r="AC407" s="26"/>
      <c r="AD407" s="26"/>
      <c r="AE407" s="26"/>
      <c r="AF407" s="26"/>
      <c r="AG407" s="26"/>
      <c r="AH407" s="26">
        <v>92500</v>
      </c>
      <c r="AI407" s="26"/>
      <c r="AJ407" s="26"/>
      <c r="AK407" s="26"/>
      <c r="AL407" s="26"/>
      <c r="AM407" s="26"/>
      <c r="AN407" s="26">
        <f t="shared" si="27"/>
        <v>92500</v>
      </c>
      <c r="AO407" s="26" t="s">
        <v>114</v>
      </c>
      <c r="AP407" s="26"/>
      <c r="AQ407" s="26"/>
      <c r="AR407" s="61">
        <v>43633</v>
      </c>
      <c r="AS407" s="61"/>
      <c r="AT407" s="308"/>
      <c r="AU407" s="26"/>
      <c r="AV407" s="26"/>
      <c r="AW407" s="26"/>
      <c r="AX407" s="26"/>
      <c r="AY407" s="26"/>
      <c r="AZ407" s="308"/>
      <c r="BA407" s="308"/>
      <c r="BB407" s="26"/>
      <c r="BC407" s="26"/>
      <c r="BD407" s="26"/>
      <c r="BE407" s="297"/>
      <c r="BF407" s="298">
        <f t="shared" si="26"/>
        <v>0</v>
      </c>
      <c r="BG407" s="297" t="e">
        <f>VLOOKUP(B407,[1]Sheet2!$B:$X,23,0)</f>
        <v>#N/A</v>
      </c>
    </row>
    <row r="408" spans="1:59" s="28" customFormat="1" ht="33" customHeight="1">
      <c r="A408" s="351" t="s">
        <v>2088</v>
      </c>
      <c r="B408" s="312" t="s">
        <v>2089</v>
      </c>
      <c r="C408" s="26" t="s">
        <v>2090</v>
      </c>
      <c r="D408" s="26" t="s">
        <v>2091</v>
      </c>
      <c r="E408" s="26" t="s">
        <v>265</v>
      </c>
      <c r="F408" s="26" t="s">
        <v>1350</v>
      </c>
      <c r="G408" s="26" t="s">
        <v>1350</v>
      </c>
      <c r="H408" s="218"/>
      <c r="I408" s="26" t="s">
        <v>1987</v>
      </c>
      <c r="J408" s="26"/>
      <c r="K408" s="61">
        <v>43633</v>
      </c>
      <c r="L408" s="26" t="s">
        <v>2046</v>
      </c>
      <c r="M408" s="26">
        <f t="shared" si="28"/>
        <v>20000</v>
      </c>
      <c r="N408" s="26">
        <f t="shared" si="29"/>
        <v>20000</v>
      </c>
      <c r="O408" s="26"/>
      <c r="P408" s="26"/>
      <c r="Q408" s="26"/>
      <c r="R408" s="26"/>
      <c r="S408" s="26"/>
      <c r="T408" s="26"/>
      <c r="U408" s="26">
        <v>20000</v>
      </c>
      <c r="V408" s="26"/>
      <c r="W408" s="26"/>
      <c r="X408" s="26"/>
      <c r="Y408" s="26"/>
      <c r="Z408" s="26"/>
      <c r="AA408" s="364">
        <v>0.15</v>
      </c>
      <c r="AB408" s="26"/>
      <c r="AC408" s="26"/>
      <c r="AD408" s="26"/>
      <c r="AE408" s="26"/>
      <c r="AF408" s="26"/>
      <c r="AG408" s="26"/>
      <c r="AH408" s="26">
        <v>16999.990000000002</v>
      </c>
      <c r="AI408" s="26"/>
      <c r="AJ408" s="26"/>
      <c r="AK408" s="26"/>
      <c r="AL408" s="26"/>
      <c r="AM408" s="26"/>
      <c r="AN408" s="26">
        <f t="shared" si="27"/>
        <v>16999.990000000002</v>
      </c>
      <c r="AO408" s="26" t="s">
        <v>286</v>
      </c>
      <c r="AP408" s="26"/>
      <c r="AQ408" s="26"/>
      <c r="AR408" s="26" t="s">
        <v>384</v>
      </c>
      <c r="AS408" s="26"/>
      <c r="AT408" s="308"/>
      <c r="AU408" s="26"/>
      <c r="AV408" s="26"/>
      <c r="AW408" s="26"/>
      <c r="AX408" s="26"/>
      <c r="AY408" s="26"/>
      <c r="AZ408" s="308"/>
      <c r="BA408" s="308"/>
      <c r="BB408" s="26"/>
      <c r="BC408" s="26"/>
      <c r="BD408" s="26"/>
      <c r="BE408" s="297"/>
      <c r="BF408" s="298">
        <f t="shared" si="26"/>
        <v>0</v>
      </c>
      <c r="BG408" s="297" t="str">
        <f>VLOOKUP(B408,[1]Sheet2!$B:$X,23,0)</f>
        <v>章双佐</v>
      </c>
    </row>
    <row r="409" spans="1:59" s="28" customFormat="1" ht="33" customHeight="1">
      <c r="A409" s="351" t="s">
        <v>2092</v>
      </c>
      <c r="B409" s="312" t="s">
        <v>2093</v>
      </c>
      <c r="C409" s="26" t="s">
        <v>2094</v>
      </c>
      <c r="D409" s="26" t="s">
        <v>2095</v>
      </c>
      <c r="E409" s="26"/>
      <c r="F409" s="26" t="s">
        <v>315</v>
      </c>
      <c r="G409" s="26" t="s">
        <v>315</v>
      </c>
      <c r="H409" s="218" t="s">
        <v>1275</v>
      </c>
      <c r="I409" s="26" t="s">
        <v>795</v>
      </c>
      <c r="J409" s="26" t="s">
        <v>702</v>
      </c>
      <c r="K409" s="61">
        <v>43633</v>
      </c>
      <c r="L409" s="26"/>
      <c r="M409" s="26">
        <f t="shared" si="28"/>
        <v>483477</v>
      </c>
      <c r="N409" s="26">
        <f t="shared" si="29"/>
        <v>483477</v>
      </c>
      <c r="O409" s="26"/>
      <c r="P409" s="26">
        <v>98828</v>
      </c>
      <c r="Q409" s="26"/>
      <c r="R409" s="26"/>
      <c r="S409" s="26">
        <v>384649</v>
      </c>
      <c r="T409" s="26"/>
      <c r="U409" s="26"/>
      <c r="V409" s="26"/>
      <c r="W409" s="26"/>
      <c r="X409" s="26"/>
      <c r="Y409" s="26"/>
      <c r="Z409" s="26"/>
      <c r="AA409" s="364">
        <v>0.15</v>
      </c>
      <c r="AB409" s="26"/>
      <c r="AC409" s="26">
        <v>98000</v>
      </c>
      <c r="AD409" s="26"/>
      <c r="AE409" s="26"/>
      <c r="AF409" s="26">
        <v>313000</v>
      </c>
      <c r="AG409" s="26"/>
      <c r="AH409" s="26"/>
      <c r="AI409" s="26"/>
      <c r="AJ409" s="26"/>
      <c r="AK409" s="26"/>
      <c r="AL409" s="26"/>
      <c r="AM409" s="26"/>
      <c r="AN409" s="26">
        <f t="shared" si="27"/>
        <v>411000</v>
      </c>
      <c r="AO409" s="26" t="s">
        <v>114</v>
      </c>
      <c r="AP409" s="26"/>
      <c r="AQ409" s="26"/>
      <c r="AR409" s="26" t="s">
        <v>384</v>
      </c>
      <c r="AS409" s="26"/>
      <c r="AT409" s="308">
        <v>43635</v>
      </c>
      <c r="AU409" s="26"/>
      <c r="AV409" s="43" t="s">
        <v>66</v>
      </c>
      <c r="AW409" s="26"/>
      <c r="AX409" s="26" t="s">
        <v>86</v>
      </c>
      <c r="AY409" s="26"/>
      <c r="AZ409" s="61">
        <v>43641</v>
      </c>
      <c r="BA409" s="308">
        <v>43641</v>
      </c>
      <c r="BB409" s="26"/>
      <c r="BC409" s="61">
        <v>43996</v>
      </c>
      <c r="BD409" s="26" t="s">
        <v>88</v>
      </c>
      <c r="BE409" s="297"/>
      <c r="BF409" s="298">
        <f t="shared" si="26"/>
        <v>0</v>
      </c>
      <c r="BG409" s="297" t="e">
        <f>VLOOKUP(B409,[1]Sheet2!$B:$X,23,0)</f>
        <v>#N/A</v>
      </c>
    </row>
    <row r="410" spans="1:59" s="28" customFormat="1" ht="33" customHeight="1">
      <c r="A410" s="351" t="s">
        <v>2096</v>
      </c>
      <c r="B410" s="312" t="s">
        <v>2097</v>
      </c>
      <c r="C410" s="26" t="s">
        <v>2098</v>
      </c>
      <c r="D410" s="26" t="s">
        <v>2099</v>
      </c>
      <c r="E410" s="26" t="s">
        <v>374</v>
      </c>
      <c r="F410" s="26" t="s">
        <v>315</v>
      </c>
      <c r="G410" s="26" t="s">
        <v>315</v>
      </c>
      <c r="H410" s="218" t="s">
        <v>1275</v>
      </c>
      <c r="I410" s="371" t="s">
        <v>1004</v>
      </c>
      <c r="J410" s="26"/>
      <c r="K410" s="61">
        <v>43635</v>
      </c>
      <c r="L410" s="26"/>
      <c r="M410" s="26">
        <f t="shared" ref="M410:M415" si="30">SUM(N410,W410)</f>
        <v>12260</v>
      </c>
      <c r="N410" s="26">
        <f t="shared" ref="N410:N415" si="31">SUM(O410:V410)</f>
        <v>12260</v>
      </c>
      <c r="O410" s="26"/>
      <c r="P410" s="26"/>
      <c r="Q410" s="26"/>
      <c r="R410" s="26"/>
      <c r="S410" s="26"/>
      <c r="T410" s="26"/>
      <c r="U410" s="26">
        <v>12260</v>
      </c>
      <c r="V410" s="26"/>
      <c r="W410" s="26"/>
      <c r="X410" s="26"/>
      <c r="Y410" s="26"/>
      <c r="Z410" s="26"/>
      <c r="AA410" s="364">
        <v>0.15</v>
      </c>
      <c r="AB410" s="26"/>
      <c r="AC410" s="26"/>
      <c r="AD410" s="26"/>
      <c r="AE410" s="26"/>
      <c r="AF410" s="26"/>
      <c r="AG410" s="26"/>
      <c r="AH410" s="26">
        <v>10421</v>
      </c>
      <c r="AI410" s="26"/>
      <c r="AJ410" s="26"/>
      <c r="AK410" s="26"/>
      <c r="AL410" s="26"/>
      <c r="AM410" s="26"/>
      <c r="AN410" s="26">
        <f t="shared" si="27"/>
        <v>10421</v>
      </c>
      <c r="AO410" s="26" t="s">
        <v>77</v>
      </c>
      <c r="AP410" s="26"/>
      <c r="AQ410" s="26"/>
      <c r="AR410" s="61">
        <v>43635</v>
      </c>
      <c r="AS410" s="61"/>
      <c r="AT410" s="308">
        <v>43642</v>
      </c>
      <c r="AU410" s="26"/>
      <c r="AV410" s="43" t="s">
        <v>66</v>
      </c>
      <c r="AW410" s="26"/>
      <c r="AX410" s="26" t="s">
        <v>86</v>
      </c>
      <c r="AY410" s="26"/>
      <c r="AZ410" s="308">
        <v>43645</v>
      </c>
      <c r="BA410" s="308">
        <v>43636</v>
      </c>
      <c r="BB410" s="26"/>
      <c r="BC410" s="61">
        <v>44000</v>
      </c>
      <c r="BD410" s="26" t="s">
        <v>88</v>
      </c>
      <c r="BE410" s="297">
        <v>12260</v>
      </c>
      <c r="BF410" s="298">
        <f t="shared" si="26"/>
        <v>1</v>
      </c>
      <c r="BG410" s="297" t="e">
        <f>VLOOKUP(B410,[1]Sheet2!$B:$X,23,0)</f>
        <v>#N/A</v>
      </c>
    </row>
    <row r="411" spans="1:59" s="28" customFormat="1" ht="33" customHeight="1">
      <c r="A411" s="351" t="s">
        <v>2100</v>
      </c>
      <c r="B411" s="312" t="s">
        <v>2101</v>
      </c>
      <c r="C411" s="26" t="s">
        <v>2102</v>
      </c>
      <c r="D411" s="26" t="s">
        <v>2103</v>
      </c>
      <c r="E411" s="26" t="s">
        <v>1093</v>
      </c>
      <c r="F411" s="26" t="s">
        <v>2104</v>
      </c>
      <c r="G411" s="26" t="s">
        <v>2104</v>
      </c>
      <c r="H411" s="218" t="s">
        <v>1275</v>
      </c>
      <c r="I411" s="26" t="s">
        <v>1937</v>
      </c>
      <c r="J411" s="26"/>
      <c r="K411" s="61">
        <v>43634</v>
      </c>
      <c r="L411" s="26" t="s">
        <v>2046</v>
      </c>
      <c r="M411" s="26">
        <f t="shared" si="30"/>
        <v>2275777.5</v>
      </c>
      <c r="N411" s="26">
        <f t="shared" si="31"/>
        <v>2275777.5</v>
      </c>
      <c r="O411" s="26"/>
      <c r="P411" s="26"/>
      <c r="Q411" s="26"/>
      <c r="R411" s="26"/>
      <c r="S411" s="26"/>
      <c r="T411" s="26">
        <v>2275777.5</v>
      </c>
      <c r="U411" s="26"/>
      <c r="V411" s="26"/>
      <c r="W411" s="26"/>
      <c r="X411" s="26"/>
      <c r="Y411" s="26"/>
      <c r="Z411" s="26"/>
      <c r="AA411" s="26"/>
      <c r="AB411" s="26"/>
      <c r="AC411" s="26"/>
      <c r="AD411" s="26"/>
      <c r="AE411" s="26"/>
      <c r="AF411" s="26"/>
      <c r="AG411" s="26"/>
      <c r="AH411" s="26"/>
      <c r="AI411" s="26"/>
      <c r="AJ411" s="26"/>
      <c r="AK411" s="26"/>
      <c r="AL411" s="26"/>
      <c r="AM411" s="26"/>
      <c r="AN411" s="26">
        <f t="shared" si="27"/>
        <v>0</v>
      </c>
      <c r="AO411" s="26" t="s">
        <v>286</v>
      </c>
      <c r="AP411" s="26"/>
      <c r="AQ411" s="26"/>
      <c r="AR411" s="26" t="s">
        <v>384</v>
      </c>
      <c r="AS411" s="26"/>
      <c r="AT411" s="308">
        <v>43636</v>
      </c>
      <c r="AU411" s="26"/>
      <c r="AV411" s="43" t="s">
        <v>66</v>
      </c>
      <c r="AW411" s="26"/>
      <c r="AX411" s="26" t="s">
        <v>86</v>
      </c>
      <c r="AY411" s="26"/>
      <c r="AZ411" s="308">
        <v>43644</v>
      </c>
      <c r="BA411" s="308">
        <v>43636</v>
      </c>
      <c r="BB411" s="26"/>
      <c r="BC411" s="61">
        <v>44009</v>
      </c>
      <c r="BD411" s="26" t="s">
        <v>88</v>
      </c>
      <c r="BE411" s="297">
        <v>2275777.5</v>
      </c>
      <c r="BF411" s="298">
        <f t="shared" si="26"/>
        <v>1</v>
      </c>
      <c r="BG411" s="297" t="str">
        <f>VLOOKUP(B411,[1]Sheet2!$B:$X,23,0)</f>
        <v>杨楠</v>
      </c>
    </row>
    <row r="412" spans="1:59" s="28" customFormat="1" ht="33" customHeight="1">
      <c r="A412" s="351" t="s">
        <v>2105</v>
      </c>
      <c r="B412" s="312" t="s">
        <v>2106</v>
      </c>
      <c r="C412" s="26" t="s">
        <v>2107</v>
      </c>
      <c r="D412" s="26" t="s">
        <v>2108</v>
      </c>
      <c r="E412" s="26" t="s">
        <v>249</v>
      </c>
      <c r="F412" s="26" t="s">
        <v>2104</v>
      </c>
      <c r="G412" s="26" t="s">
        <v>2104</v>
      </c>
      <c r="H412" s="218"/>
      <c r="I412" s="26" t="s">
        <v>1937</v>
      </c>
      <c r="J412" s="26"/>
      <c r="K412" s="61">
        <v>43634</v>
      </c>
      <c r="L412" s="26" t="s">
        <v>2046</v>
      </c>
      <c r="M412" s="26">
        <v>32718</v>
      </c>
      <c r="N412" s="26">
        <f t="shared" si="31"/>
        <v>0</v>
      </c>
      <c r="O412" s="26"/>
      <c r="P412" s="26"/>
      <c r="Q412" s="26"/>
      <c r="R412" s="26"/>
      <c r="S412" s="26"/>
      <c r="T412" s="26"/>
      <c r="U412" s="26"/>
      <c r="V412" s="26"/>
      <c r="W412" s="26"/>
      <c r="X412" s="26"/>
      <c r="Y412" s="26"/>
      <c r="Z412" s="26"/>
      <c r="AA412" s="26"/>
      <c r="AB412" s="26"/>
      <c r="AC412" s="26"/>
      <c r="AD412" s="26"/>
      <c r="AE412" s="26"/>
      <c r="AF412" s="26"/>
      <c r="AG412" s="26"/>
      <c r="AH412" s="26"/>
      <c r="AI412" s="26"/>
      <c r="AJ412" s="26"/>
      <c r="AK412" s="26"/>
      <c r="AL412" s="26"/>
      <c r="AM412" s="26"/>
      <c r="AN412" s="26"/>
      <c r="AO412" s="26" t="s">
        <v>108</v>
      </c>
      <c r="AP412" s="26"/>
      <c r="AQ412" s="26"/>
      <c r="AR412" s="26" t="s">
        <v>384</v>
      </c>
      <c r="AS412" s="26"/>
      <c r="AT412" s="308"/>
      <c r="AU412" s="26"/>
      <c r="AV412" s="26"/>
      <c r="AW412" s="26"/>
      <c r="AX412" s="26"/>
      <c r="AY412" s="26"/>
      <c r="AZ412" s="308"/>
      <c r="BA412" s="308"/>
      <c r="BB412" s="26"/>
      <c r="BC412" s="26"/>
      <c r="BD412" s="26"/>
      <c r="BE412" s="297"/>
      <c r="BF412" s="298">
        <f t="shared" si="26"/>
        <v>0</v>
      </c>
      <c r="BG412" s="297" t="str">
        <f>VLOOKUP(B412,[1]Sheet2!$B:$X,23,0)</f>
        <v>杨楠</v>
      </c>
    </row>
    <row r="413" spans="1:59" s="28" customFormat="1" ht="33" customHeight="1">
      <c r="A413" s="351" t="s">
        <v>2109</v>
      </c>
      <c r="B413" s="312" t="s">
        <v>2110</v>
      </c>
      <c r="C413" s="26" t="s">
        <v>2111</v>
      </c>
      <c r="D413" s="26" t="s">
        <v>2112</v>
      </c>
      <c r="E413" s="26" t="s">
        <v>265</v>
      </c>
      <c r="F413" s="26" t="s">
        <v>2104</v>
      </c>
      <c r="G413" s="26" t="s">
        <v>2104</v>
      </c>
      <c r="H413" s="218"/>
      <c r="I413" s="26" t="s">
        <v>1937</v>
      </c>
      <c r="J413" s="26"/>
      <c r="K413" s="61">
        <v>43634</v>
      </c>
      <c r="L413" s="26" t="s">
        <v>2046</v>
      </c>
      <c r="M413" s="26">
        <v>80000</v>
      </c>
      <c r="N413" s="26">
        <f t="shared" si="31"/>
        <v>0</v>
      </c>
      <c r="O413" s="26"/>
      <c r="P413" s="26"/>
      <c r="Q413" s="26"/>
      <c r="R413" s="26"/>
      <c r="S413" s="26"/>
      <c r="T413" s="26"/>
      <c r="U413" s="26"/>
      <c r="V413" s="26"/>
      <c r="W413" s="26"/>
      <c r="X413" s="26"/>
      <c r="Y413" s="26"/>
      <c r="Z413" s="26"/>
      <c r="AA413" s="26"/>
      <c r="AB413" s="26"/>
      <c r="AC413" s="26"/>
      <c r="AD413" s="26"/>
      <c r="AE413" s="26"/>
      <c r="AF413" s="26"/>
      <c r="AG413" s="26"/>
      <c r="AH413" s="26"/>
      <c r="AI413" s="26"/>
      <c r="AJ413" s="26"/>
      <c r="AK413" s="26"/>
      <c r="AL413" s="26"/>
      <c r="AM413" s="26"/>
      <c r="AN413" s="26"/>
      <c r="AO413" s="26" t="s">
        <v>286</v>
      </c>
      <c r="AP413" s="26"/>
      <c r="AQ413" s="26"/>
      <c r="AR413" s="26" t="s">
        <v>384</v>
      </c>
      <c r="AS413" s="26"/>
      <c r="AT413" s="308">
        <v>43664</v>
      </c>
      <c r="AU413" s="26"/>
      <c r="AV413" s="26" t="s">
        <v>66</v>
      </c>
      <c r="AW413" s="26"/>
      <c r="AX413" s="26" t="s">
        <v>86</v>
      </c>
      <c r="AY413" s="26"/>
      <c r="AZ413" s="308">
        <v>43718</v>
      </c>
      <c r="BA413" s="308">
        <v>43734</v>
      </c>
      <c r="BB413" s="26"/>
      <c r="BC413" s="61">
        <v>44083</v>
      </c>
      <c r="BD413" s="26" t="s">
        <v>88</v>
      </c>
      <c r="BE413" s="297">
        <v>80000</v>
      </c>
      <c r="BF413" s="298">
        <f t="shared" si="26"/>
        <v>1</v>
      </c>
      <c r="BG413" s="297" t="str">
        <f>VLOOKUP(B413,[1]Sheet2!$B:$X,23,0)</f>
        <v>杨楠</v>
      </c>
    </row>
    <row r="414" spans="1:59" s="28" customFormat="1" ht="33" customHeight="1">
      <c r="A414" s="351" t="s">
        <v>2113</v>
      </c>
      <c r="B414" s="312" t="s">
        <v>2114</v>
      </c>
      <c r="C414" s="26" t="s">
        <v>2115</v>
      </c>
      <c r="D414" s="26" t="s">
        <v>2116</v>
      </c>
      <c r="E414" s="26" t="s">
        <v>224</v>
      </c>
      <c r="F414" s="26" t="s">
        <v>2117</v>
      </c>
      <c r="G414" s="26" t="s">
        <v>2117</v>
      </c>
      <c r="H414" s="218" t="s">
        <v>1956</v>
      </c>
      <c r="I414" s="26" t="s">
        <v>1982</v>
      </c>
      <c r="J414" s="26"/>
      <c r="K414" s="61">
        <v>43634</v>
      </c>
      <c r="L414" s="26"/>
      <c r="M414" s="26">
        <v>8220000</v>
      </c>
      <c r="N414" s="26">
        <f t="shared" si="31"/>
        <v>0</v>
      </c>
      <c r="O414" s="26"/>
      <c r="P414" s="26"/>
      <c r="Q414" s="26"/>
      <c r="R414" s="26"/>
      <c r="S414" s="26"/>
      <c r="T414" s="26"/>
      <c r="U414" s="26"/>
      <c r="V414" s="26"/>
      <c r="W414" s="26"/>
      <c r="X414" s="26"/>
      <c r="Y414" s="26"/>
      <c r="Z414" s="26"/>
      <c r="AA414" s="263">
        <v>8.1199999999999994E-2</v>
      </c>
      <c r="AB414" s="26"/>
      <c r="AC414" s="26"/>
      <c r="AD414" s="26"/>
      <c r="AE414" s="26"/>
      <c r="AF414" s="26"/>
      <c r="AG414" s="26"/>
      <c r="AH414" s="26"/>
      <c r="AI414" s="26"/>
      <c r="AJ414" s="26"/>
      <c r="AK414" s="26"/>
      <c r="AL414" s="26"/>
      <c r="AM414" s="26"/>
      <c r="AN414" s="26">
        <v>7555000</v>
      </c>
      <c r="AO414" s="26" t="s">
        <v>1258</v>
      </c>
      <c r="AP414" s="26"/>
      <c r="AQ414" s="26"/>
      <c r="AR414" s="61">
        <v>43647</v>
      </c>
      <c r="AS414" s="61"/>
      <c r="AT414" s="308">
        <v>43667</v>
      </c>
      <c r="AU414" s="26"/>
      <c r="AV414" s="26" t="s">
        <v>66</v>
      </c>
      <c r="AW414" s="26"/>
      <c r="AX414" s="26" t="s">
        <v>86</v>
      </c>
      <c r="AY414" s="26"/>
      <c r="AZ414" s="308">
        <v>43724</v>
      </c>
      <c r="BA414" s="308">
        <v>43728</v>
      </c>
      <c r="BB414" s="26"/>
      <c r="BC414" s="61">
        <v>44089</v>
      </c>
      <c r="BD414" s="26" t="s">
        <v>931</v>
      </c>
      <c r="BE414" s="297">
        <v>0</v>
      </c>
      <c r="BF414" s="298">
        <f t="shared" si="26"/>
        <v>0</v>
      </c>
      <c r="BG414" s="297" t="e">
        <f>VLOOKUP(B414,[1]Sheet2!$B:$X,23,0)</f>
        <v>#N/A</v>
      </c>
    </row>
    <row r="415" spans="1:59" s="28" customFormat="1" ht="33" customHeight="1">
      <c r="A415" s="351" t="s">
        <v>2118</v>
      </c>
      <c r="B415" s="312" t="s">
        <v>2119</v>
      </c>
      <c r="C415" s="26" t="s">
        <v>2120</v>
      </c>
      <c r="D415" s="26" t="s">
        <v>2121</v>
      </c>
      <c r="E415" s="26" t="s">
        <v>261</v>
      </c>
      <c r="F415" s="26" t="s">
        <v>2117</v>
      </c>
      <c r="G415" s="26" t="s">
        <v>2117</v>
      </c>
      <c r="H415" s="218" t="s">
        <v>1277</v>
      </c>
      <c r="I415" s="26" t="s">
        <v>402</v>
      </c>
      <c r="J415" s="26"/>
      <c r="K415" s="61">
        <v>43635</v>
      </c>
      <c r="L415" s="26" t="s">
        <v>2046</v>
      </c>
      <c r="M415" s="26">
        <f t="shared" si="30"/>
        <v>58760</v>
      </c>
      <c r="N415" s="26">
        <f t="shared" si="31"/>
        <v>58760</v>
      </c>
      <c r="O415" s="26"/>
      <c r="P415" s="26"/>
      <c r="Q415" s="26"/>
      <c r="R415" s="26"/>
      <c r="S415" s="26"/>
      <c r="T415" s="26"/>
      <c r="U415" s="26">
        <v>58760</v>
      </c>
      <c r="V415" s="26"/>
      <c r="W415" s="26"/>
      <c r="X415" s="26"/>
      <c r="Y415" s="26"/>
      <c r="Z415" s="26"/>
      <c r="AA415" s="26">
        <v>15</v>
      </c>
      <c r="AB415" s="26"/>
      <c r="AC415" s="26"/>
      <c r="AD415" s="26"/>
      <c r="AE415" s="26"/>
      <c r="AF415" s="26"/>
      <c r="AG415" s="26"/>
      <c r="AH415" s="26">
        <v>49946</v>
      </c>
      <c r="AI415" s="26"/>
      <c r="AJ415" s="26"/>
      <c r="AK415" s="26"/>
      <c r="AL415" s="26"/>
      <c r="AM415" s="26"/>
      <c r="AN415" s="26">
        <f t="shared" ref="AN415:AN478" si="32">SUM(AB415:AL415)</f>
        <v>49946</v>
      </c>
      <c r="AO415" s="26" t="s">
        <v>77</v>
      </c>
      <c r="AP415" s="26"/>
      <c r="AQ415" s="26"/>
      <c r="AR415" s="26" t="s">
        <v>384</v>
      </c>
      <c r="AS415" s="26"/>
      <c r="AT415" s="308"/>
      <c r="AU415" s="26"/>
      <c r="AV415" s="26" t="s">
        <v>66</v>
      </c>
      <c r="AW415" s="26"/>
      <c r="AX415" s="26" t="s">
        <v>86</v>
      </c>
      <c r="AY415" s="26"/>
      <c r="AZ415" s="308">
        <v>43657</v>
      </c>
      <c r="BA415" s="308">
        <v>43657</v>
      </c>
      <c r="BB415" s="26"/>
      <c r="BC415" s="61">
        <v>44022</v>
      </c>
      <c r="BD415" s="26" t="s">
        <v>931</v>
      </c>
      <c r="BE415" s="297">
        <v>58760</v>
      </c>
      <c r="BF415" s="298">
        <f t="shared" si="26"/>
        <v>1</v>
      </c>
      <c r="BG415" s="297" t="e">
        <f>VLOOKUP(B415,[1]Sheet2!$B:$X,23,0)</f>
        <v>#N/A</v>
      </c>
    </row>
    <row r="416" spans="1:59" s="28" customFormat="1" ht="33" customHeight="1">
      <c r="A416" s="351" t="s">
        <v>2122</v>
      </c>
      <c r="B416" s="312" t="s">
        <v>2123</v>
      </c>
      <c r="C416" s="26" t="s">
        <v>2124</v>
      </c>
      <c r="D416" s="26" t="s">
        <v>2125</v>
      </c>
      <c r="E416" s="26" t="s">
        <v>265</v>
      </c>
      <c r="F416" s="26" t="s">
        <v>315</v>
      </c>
      <c r="G416" s="26" t="s">
        <v>315</v>
      </c>
      <c r="H416" s="218"/>
      <c r="I416" s="26" t="s">
        <v>1928</v>
      </c>
      <c r="J416" s="26"/>
      <c r="K416" s="61">
        <v>43635</v>
      </c>
      <c r="L416" s="26" t="s">
        <v>2046</v>
      </c>
      <c r="M416" s="26">
        <f t="shared" ref="M416:M435" si="33">SUM(N416,W416)</f>
        <v>51800</v>
      </c>
      <c r="N416" s="26">
        <f t="shared" ref="N416:N435" si="34">SUM(O416:V416)</f>
        <v>51800</v>
      </c>
      <c r="O416" s="26"/>
      <c r="P416" s="26"/>
      <c r="Q416" s="26"/>
      <c r="R416" s="26"/>
      <c r="S416" s="26"/>
      <c r="T416" s="26">
        <v>51800</v>
      </c>
      <c r="U416" s="26"/>
      <c r="V416" s="26"/>
      <c r="W416" s="26"/>
      <c r="X416" s="26"/>
      <c r="Y416" s="26"/>
      <c r="Z416" s="26"/>
      <c r="AA416" s="26">
        <v>8</v>
      </c>
      <c r="AB416" s="26"/>
      <c r="AC416" s="26"/>
      <c r="AD416" s="26"/>
      <c r="AE416" s="26"/>
      <c r="AF416" s="26"/>
      <c r="AG416" s="26">
        <v>47700</v>
      </c>
      <c r="AH416" s="26"/>
      <c r="AI416" s="26"/>
      <c r="AJ416" s="26"/>
      <c r="AK416" s="26"/>
      <c r="AL416" s="26"/>
      <c r="AM416" s="26"/>
      <c r="AN416" s="26">
        <f t="shared" si="32"/>
        <v>47700</v>
      </c>
      <c r="AO416" s="26" t="s">
        <v>286</v>
      </c>
      <c r="AP416" s="26"/>
      <c r="AQ416" s="26"/>
      <c r="AR416" s="26" t="s">
        <v>384</v>
      </c>
      <c r="AS416" s="61">
        <v>43643</v>
      </c>
      <c r="AT416" s="308">
        <v>43647</v>
      </c>
      <c r="AU416" s="26"/>
      <c r="AV416" s="26" t="s">
        <v>66</v>
      </c>
      <c r="AW416" s="26"/>
      <c r="AX416" s="26" t="s">
        <v>86</v>
      </c>
      <c r="AY416" s="26"/>
      <c r="AZ416" s="308">
        <v>43700</v>
      </c>
      <c r="BA416" s="308">
        <v>43702</v>
      </c>
      <c r="BB416" s="26"/>
      <c r="BC416" s="61">
        <v>44065</v>
      </c>
      <c r="BD416" s="26" t="s">
        <v>88</v>
      </c>
      <c r="BE416" s="297">
        <v>51800</v>
      </c>
      <c r="BF416" s="298">
        <f t="shared" si="26"/>
        <v>1</v>
      </c>
      <c r="BG416" s="297" t="e">
        <f>VLOOKUP(B416,[1]Sheet2!$B:$X,23,0)</f>
        <v>#N/A</v>
      </c>
    </row>
    <row r="417" spans="1:59" s="28" customFormat="1" ht="33" customHeight="1">
      <c r="A417" s="351" t="s">
        <v>2126</v>
      </c>
      <c r="B417" s="312" t="s">
        <v>2127</v>
      </c>
      <c r="C417" s="26" t="s">
        <v>2128</v>
      </c>
      <c r="D417" s="26" t="s">
        <v>2129</v>
      </c>
      <c r="E417" s="26" t="s">
        <v>265</v>
      </c>
      <c r="F417" s="26" t="s">
        <v>196</v>
      </c>
      <c r="G417" s="26" t="s">
        <v>196</v>
      </c>
      <c r="H417" s="218" t="s">
        <v>1277</v>
      </c>
      <c r="I417" s="26" t="s">
        <v>1928</v>
      </c>
      <c r="J417" s="26"/>
      <c r="K417" s="61">
        <v>43635</v>
      </c>
      <c r="L417" s="26" t="s">
        <v>2046</v>
      </c>
      <c r="M417" s="26">
        <f t="shared" si="33"/>
        <v>34700</v>
      </c>
      <c r="N417" s="26">
        <f t="shared" si="34"/>
        <v>34700</v>
      </c>
      <c r="O417" s="26"/>
      <c r="P417" s="26"/>
      <c r="Q417" s="26"/>
      <c r="R417" s="26"/>
      <c r="S417" s="26"/>
      <c r="T417" s="26"/>
      <c r="U417" s="26">
        <v>34700</v>
      </c>
      <c r="V417" s="26"/>
      <c r="W417" s="26"/>
      <c r="X417" s="26"/>
      <c r="Y417" s="26"/>
      <c r="Z417" s="26"/>
      <c r="AA417" s="26">
        <v>15</v>
      </c>
      <c r="AB417" s="26"/>
      <c r="AC417" s="26"/>
      <c r="AD417" s="26"/>
      <c r="AE417" s="26"/>
      <c r="AF417" s="26"/>
      <c r="AG417" s="26"/>
      <c r="AH417" s="26">
        <v>30000</v>
      </c>
      <c r="AI417" s="26"/>
      <c r="AJ417" s="26"/>
      <c r="AK417" s="26"/>
      <c r="AL417" s="26"/>
      <c r="AM417" s="26"/>
      <c r="AN417" s="26">
        <f t="shared" si="32"/>
        <v>30000</v>
      </c>
      <c r="AO417" s="26" t="s">
        <v>286</v>
      </c>
      <c r="AP417" s="26"/>
      <c r="AQ417" s="26"/>
      <c r="AR417" s="26" t="s">
        <v>384</v>
      </c>
      <c r="AS417" s="26"/>
      <c r="AT417" s="308"/>
      <c r="AU417" s="26"/>
      <c r="AV417" s="26"/>
      <c r="AW417" s="26"/>
      <c r="AX417" s="26"/>
      <c r="AY417" s="26"/>
      <c r="AZ417" s="308"/>
      <c r="BA417" s="308"/>
      <c r="BB417" s="26"/>
      <c r="BC417" s="26"/>
      <c r="BD417" s="26"/>
      <c r="BE417" s="297">
        <v>34662</v>
      </c>
      <c r="BF417" s="298">
        <f t="shared" si="26"/>
        <v>0.99890489913544667</v>
      </c>
      <c r="BG417" s="297" t="e">
        <f>VLOOKUP(B417,[1]Sheet2!$B:$X,23,0)</f>
        <v>#N/A</v>
      </c>
    </row>
    <row r="418" spans="1:59" s="28" customFormat="1" ht="33" customHeight="1">
      <c r="A418" s="351" t="s">
        <v>2130</v>
      </c>
      <c r="B418" s="312" t="s">
        <v>2131</v>
      </c>
      <c r="C418" s="26" t="s">
        <v>2132</v>
      </c>
      <c r="D418" s="26" t="s">
        <v>2133</v>
      </c>
      <c r="E418" s="26" t="s">
        <v>106</v>
      </c>
      <c r="F418" s="26" t="s">
        <v>1277</v>
      </c>
      <c r="G418" s="26" t="s">
        <v>1277</v>
      </c>
      <c r="H418" s="218" t="s">
        <v>1850</v>
      </c>
      <c r="I418" s="26" t="s">
        <v>1004</v>
      </c>
      <c r="J418" s="26"/>
      <c r="K418" s="61">
        <v>43635</v>
      </c>
      <c r="L418" s="26" t="s">
        <v>2046</v>
      </c>
      <c r="M418" s="26">
        <f t="shared" si="33"/>
        <v>1245844</v>
      </c>
      <c r="N418" s="26">
        <f t="shared" si="34"/>
        <v>912000</v>
      </c>
      <c r="O418" s="26"/>
      <c r="P418" s="26"/>
      <c r="Q418" s="26"/>
      <c r="R418" s="26"/>
      <c r="S418" s="26"/>
      <c r="T418" s="26"/>
      <c r="U418" s="26">
        <v>912000</v>
      </c>
      <c r="V418" s="26"/>
      <c r="W418" s="26">
        <v>333844</v>
      </c>
      <c r="X418" s="26" t="s">
        <v>2134</v>
      </c>
      <c r="Y418" s="26"/>
      <c r="Z418" s="26"/>
      <c r="AA418" s="26">
        <v>15</v>
      </c>
      <c r="AB418" s="26"/>
      <c r="AC418" s="26"/>
      <c r="AD418" s="26"/>
      <c r="AE418" s="26"/>
      <c r="AF418" s="26"/>
      <c r="AG418" s="26"/>
      <c r="AH418" s="26"/>
      <c r="AI418" s="26"/>
      <c r="AJ418" s="26"/>
      <c r="AK418" s="26"/>
      <c r="AL418" s="26"/>
      <c r="AM418" s="26"/>
      <c r="AN418" s="26">
        <f t="shared" si="32"/>
        <v>0</v>
      </c>
      <c r="AO418" s="26" t="s">
        <v>108</v>
      </c>
      <c r="AP418" s="26"/>
      <c r="AQ418" s="26"/>
      <c r="AR418" s="61">
        <v>43671</v>
      </c>
      <c r="AS418" s="61"/>
      <c r="AT418" s="308">
        <v>43602</v>
      </c>
      <c r="AU418" s="26"/>
      <c r="AV418" s="26" t="s">
        <v>66</v>
      </c>
      <c r="AW418" s="26"/>
      <c r="AX418" s="26" t="s">
        <v>86</v>
      </c>
      <c r="AY418" s="26"/>
      <c r="AZ418" s="308">
        <v>43735</v>
      </c>
      <c r="BA418" s="308">
        <v>43737</v>
      </c>
      <c r="BB418" s="26" t="s">
        <v>2135</v>
      </c>
      <c r="BC418" s="61" t="s">
        <v>2135</v>
      </c>
      <c r="BD418" s="113" t="s">
        <v>931</v>
      </c>
      <c r="BE418" s="297">
        <v>0</v>
      </c>
      <c r="BF418" s="298">
        <f t="shared" si="26"/>
        <v>0</v>
      </c>
      <c r="BG418" s="297" t="e">
        <f>VLOOKUP(B418,[1]Sheet2!$B:$X,23,0)</f>
        <v>#N/A</v>
      </c>
    </row>
    <row r="419" spans="1:59" s="28" customFormat="1" ht="33" customHeight="1">
      <c r="A419" s="351" t="s">
        <v>2136</v>
      </c>
      <c r="B419" s="312" t="s">
        <v>2137</v>
      </c>
      <c r="C419" s="26" t="s">
        <v>2138</v>
      </c>
      <c r="D419" s="26" t="s">
        <v>2139</v>
      </c>
      <c r="E419" s="26" t="s">
        <v>168</v>
      </c>
      <c r="F419" s="26" t="s">
        <v>1277</v>
      </c>
      <c r="G419" s="26" t="s">
        <v>1277</v>
      </c>
      <c r="H419" s="218"/>
      <c r="I419" s="26" t="s">
        <v>1951</v>
      </c>
      <c r="J419" s="26"/>
      <c r="K419" s="61">
        <v>43642</v>
      </c>
      <c r="L419" s="26"/>
      <c r="M419" s="26">
        <f t="shared" si="33"/>
        <v>1818306</v>
      </c>
      <c r="N419" s="26">
        <f t="shared" si="34"/>
        <v>1818306</v>
      </c>
      <c r="O419" s="26"/>
      <c r="P419" s="26"/>
      <c r="Q419" s="26"/>
      <c r="R419" s="26"/>
      <c r="S419" s="26"/>
      <c r="T419" s="26"/>
      <c r="U419" s="26">
        <v>1818306</v>
      </c>
      <c r="V419" s="26"/>
      <c r="W419" s="26"/>
      <c r="X419" s="26"/>
      <c r="Y419" s="26"/>
      <c r="Z419" s="26"/>
      <c r="AA419" s="26">
        <v>10</v>
      </c>
      <c r="AB419" s="26"/>
      <c r="AC419" s="26"/>
      <c r="AD419" s="26"/>
      <c r="AE419" s="26"/>
      <c r="AF419" s="26"/>
      <c r="AG419" s="26"/>
      <c r="AH419" s="26">
        <v>1605672</v>
      </c>
      <c r="AI419" s="26"/>
      <c r="AJ419" s="26"/>
      <c r="AK419" s="26"/>
      <c r="AL419" s="26"/>
      <c r="AM419" s="26"/>
      <c r="AN419" s="26">
        <f t="shared" si="32"/>
        <v>1605672</v>
      </c>
      <c r="AO419" s="26" t="s">
        <v>1258</v>
      </c>
      <c r="AP419" s="26"/>
      <c r="AQ419" s="26"/>
      <c r="AR419" s="61">
        <v>43642</v>
      </c>
      <c r="AS419" s="61"/>
      <c r="AT419" s="308"/>
      <c r="AU419" s="26"/>
      <c r="AV419" s="26"/>
      <c r="AW419" s="26"/>
      <c r="AX419" s="26"/>
      <c r="AY419" s="26"/>
      <c r="AZ419" s="308"/>
      <c r="BA419" s="308"/>
      <c r="BB419" s="26"/>
      <c r="BC419" s="26"/>
      <c r="BD419" s="26"/>
      <c r="BE419" s="297"/>
      <c r="BF419" s="298">
        <f t="shared" si="26"/>
        <v>0</v>
      </c>
      <c r="BG419" s="297" t="e">
        <f>VLOOKUP(B419,[1]Sheet2!$B:$X,23,0)</f>
        <v>#N/A</v>
      </c>
    </row>
    <row r="420" spans="1:59" s="28" customFormat="1" ht="33" customHeight="1">
      <c r="A420" s="351" t="s">
        <v>2140</v>
      </c>
      <c r="B420" s="312" t="s">
        <v>2141</v>
      </c>
      <c r="C420" s="26" t="s">
        <v>2142</v>
      </c>
      <c r="D420" s="26" t="s">
        <v>2143</v>
      </c>
      <c r="E420" s="26" t="s">
        <v>224</v>
      </c>
      <c r="F420" s="26" t="s">
        <v>315</v>
      </c>
      <c r="G420" s="26" t="s">
        <v>315</v>
      </c>
      <c r="H420" s="218" t="s">
        <v>1275</v>
      </c>
      <c r="I420" s="26" t="s">
        <v>1004</v>
      </c>
      <c r="J420" s="26"/>
      <c r="K420" s="61">
        <v>43642</v>
      </c>
      <c r="L420" s="26"/>
      <c r="M420" s="26">
        <f t="shared" si="33"/>
        <v>295290.7</v>
      </c>
      <c r="N420" s="26">
        <f t="shared" si="34"/>
        <v>295290.7</v>
      </c>
      <c r="O420" s="26"/>
      <c r="P420" s="26"/>
      <c r="Q420" s="26">
        <v>101671.76</v>
      </c>
      <c r="R420" s="26"/>
      <c r="S420" s="26"/>
      <c r="T420" s="26"/>
      <c r="U420" s="26">
        <v>193618.94</v>
      </c>
      <c r="V420" s="26"/>
      <c r="W420" s="26"/>
      <c r="X420" s="26"/>
      <c r="Y420" s="26"/>
      <c r="Z420" s="26"/>
      <c r="AA420" s="26">
        <v>15</v>
      </c>
      <c r="AB420" s="26"/>
      <c r="AC420" s="26"/>
      <c r="AD420" s="26">
        <v>100655.17939999999</v>
      </c>
      <c r="AE420" s="26"/>
      <c r="AF420" s="26"/>
      <c r="AG420" s="26"/>
      <c r="AH420" s="26">
        <v>150329.20000000001</v>
      </c>
      <c r="AI420" s="26"/>
      <c r="AJ420" s="26"/>
      <c r="AK420" s="26"/>
      <c r="AL420" s="26"/>
      <c r="AM420" s="26"/>
      <c r="AN420" s="26">
        <f t="shared" si="32"/>
        <v>250984.37940000001</v>
      </c>
      <c r="AO420" s="26" t="s">
        <v>1258</v>
      </c>
      <c r="AP420" s="26"/>
      <c r="AQ420" s="26"/>
      <c r="AR420" s="61">
        <v>43642</v>
      </c>
      <c r="AS420" s="61"/>
      <c r="AT420" s="308">
        <v>43617</v>
      </c>
      <c r="AU420" s="26"/>
      <c r="AV420" s="26" t="s">
        <v>66</v>
      </c>
      <c r="AW420" s="26"/>
      <c r="AX420" s="26" t="s">
        <v>86</v>
      </c>
      <c r="AY420" s="26"/>
      <c r="AZ420" s="308">
        <v>43663</v>
      </c>
      <c r="BA420" s="308">
        <v>43663</v>
      </c>
      <c r="BB420" s="26"/>
      <c r="BC420" s="61">
        <v>44028</v>
      </c>
      <c r="BD420" s="26" t="s">
        <v>88</v>
      </c>
      <c r="BE420" s="297">
        <v>265761.63</v>
      </c>
      <c r="BF420" s="298">
        <f t="shared" si="26"/>
        <v>0.9</v>
      </c>
      <c r="BG420" s="297" t="e">
        <f>VLOOKUP(B420,[1]Sheet2!$B:$X,23,0)</f>
        <v>#N/A</v>
      </c>
    </row>
    <row r="421" spans="1:59" s="28" customFormat="1" ht="33" customHeight="1">
      <c r="A421" s="351"/>
      <c r="B421" s="312" t="s">
        <v>2144</v>
      </c>
      <c r="C421" s="26" t="s">
        <v>2145</v>
      </c>
      <c r="D421" s="26" t="s">
        <v>2146</v>
      </c>
      <c r="E421" s="26" t="s">
        <v>261</v>
      </c>
      <c r="F421" s="26" t="s">
        <v>1277</v>
      </c>
      <c r="G421" s="26" t="s">
        <v>1277</v>
      </c>
      <c r="H421" s="218" t="s">
        <v>1794</v>
      </c>
      <c r="I421" s="26" t="s">
        <v>1951</v>
      </c>
      <c r="J421" s="26"/>
      <c r="K421" s="61">
        <v>43640</v>
      </c>
      <c r="L421" s="26"/>
      <c r="M421" s="26">
        <f t="shared" si="33"/>
        <v>1396412</v>
      </c>
      <c r="N421" s="26">
        <f t="shared" si="34"/>
        <v>1396412</v>
      </c>
      <c r="O421" s="26"/>
      <c r="P421" s="26"/>
      <c r="Q421" s="26">
        <v>699200</v>
      </c>
      <c r="R421" s="26"/>
      <c r="S421" s="26"/>
      <c r="T421" s="26">
        <v>558739.85</v>
      </c>
      <c r="U421" s="26">
        <v>138472.15</v>
      </c>
      <c r="V421" s="26"/>
      <c r="W421" s="26"/>
      <c r="X421" s="26"/>
      <c r="Y421" s="26"/>
      <c r="Z421" s="26"/>
      <c r="AA421" s="26">
        <v>10</v>
      </c>
      <c r="AB421" s="26"/>
      <c r="AC421" s="26"/>
      <c r="AD421" s="26">
        <v>627000</v>
      </c>
      <c r="AE421" s="26"/>
      <c r="AF421" s="26"/>
      <c r="AG421" s="26">
        <v>501560</v>
      </c>
      <c r="AH421" s="26">
        <v>123980</v>
      </c>
      <c r="AI421" s="26"/>
      <c r="AJ421" s="26"/>
      <c r="AK421" s="26"/>
      <c r="AL421" s="26"/>
      <c r="AM421" s="26"/>
      <c r="AN421" s="26">
        <f t="shared" si="32"/>
        <v>1252540</v>
      </c>
      <c r="AO421" s="26" t="s">
        <v>77</v>
      </c>
      <c r="AP421" s="26"/>
      <c r="AQ421" s="26"/>
      <c r="AR421" s="61">
        <v>43640</v>
      </c>
      <c r="AS421" s="61"/>
      <c r="AT421" s="308"/>
      <c r="AU421" s="26"/>
      <c r="AV421" s="26"/>
      <c r="AW421" s="26"/>
      <c r="AX421" s="26"/>
      <c r="AY421" s="26"/>
      <c r="AZ421" s="308"/>
      <c r="BA421" s="308" t="s">
        <v>215</v>
      </c>
      <c r="BB421" s="26"/>
      <c r="BC421" s="26"/>
      <c r="BD421" s="26"/>
      <c r="BE421" s="297"/>
      <c r="BF421" s="298">
        <f t="shared" si="26"/>
        <v>0</v>
      </c>
      <c r="BG421" s="297" t="e">
        <f>VLOOKUP(B421,[1]Sheet2!$B:$X,23,0)</f>
        <v>#N/A</v>
      </c>
    </row>
    <row r="422" spans="1:59" s="28" customFormat="1" ht="33" customHeight="1">
      <c r="A422" s="351" t="s">
        <v>2147</v>
      </c>
      <c r="B422" s="312" t="s">
        <v>2148</v>
      </c>
      <c r="C422" s="26" t="s">
        <v>2149</v>
      </c>
      <c r="D422" s="26" t="s">
        <v>2150</v>
      </c>
      <c r="E422" s="26" t="s">
        <v>168</v>
      </c>
      <c r="F422" s="26" t="s">
        <v>1277</v>
      </c>
      <c r="G422" s="26" t="s">
        <v>1277</v>
      </c>
      <c r="H422" s="218" t="s">
        <v>1275</v>
      </c>
      <c r="I422" s="26" t="s">
        <v>1951</v>
      </c>
      <c r="J422" s="26"/>
      <c r="K422" s="61">
        <v>43640</v>
      </c>
      <c r="L422" s="26"/>
      <c r="M422" s="26">
        <f t="shared" si="33"/>
        <v>1500000</v>
      </c>
      <c r="N422" s="26">
        <f t="shared" si="34"/>
        <v>1500000</v>
      </c>
      <c r="O422" s="26"/>
      <c r="P422" s="26"/>
      <c r="Q422" s="26"/>
      <c r="R422" s="26"/>
      <c r="S422" s="26"/>
      <c r="T422" s="26"/>
      <c r="U422" s="26">
        <v>1500000</v>
      </c>
      <c r="V422" s="26"/>
      <c r="W422" s="26"/>
      <c r="X422" s="26"/>
      <c r="Y422" s="26"/>
      <c r="Z422" s="26"/>
      <c r="AA422" s="26">
        <v>10</v>
      </c>
      <c r="AB422" s="26"/>
      <c r="AC422" s="26"/>
      <c r="AD422" s="26"/>
      <c r="AE422" s="26"/>
      <c r="AF422" s="26"/>
      <c r="AG422" s="26"/>
      <c r="AH422" s="26">
        <v>1350000</v>
      </c>
      <c r="AI422" s="26"/>
      <c r="AJ422" s="26"/>
      <c r="AK422" s="26"/>
      <c r="AL422" s="26"/>
      <c r="AM422" s="26"/>
      <c r="AN422" s="26">
        <f t="shared" si="32"/>
        <v>1350000</v>
      </c>
      <c r="AO422" s="26" t="s">
        <v>1258</v>
      </c>
      <c r="AP422" s="26"/>
      <c r="AQ422" s="26"/>
      <c r="AR422" s="61">
        <v>43640</v>
      </c>
      <c r="AS422" s="61"/>
      <c r="AT422" s="308">
        <v>43617</v>
      </c>
      <c r="AU422" s="26"/>
      <c r="AV422" s="26" t="s">
        <v>66</v>
      </c>
      <c r="AW422" s="26"/>
      <c r="AX422" s="26" t="s">
        <v>86</v>
      </c>
      <c r="AY422" s="26"/>
      <c r="AZ422" s="308">
        <v>43617</v>
      </c>
      <c r="BA422" s="308">
        <v>43650</v>
      </c>
      <c r="BB422" s="26"/>
      <c r="BC422" s="61">
        <v>44015</v>
      </c>
      <c r="BD422" s="113" t="s">
        <v>931</v>
      </c>
      <c r="BE422" s="297">
        <v>0</v>
      </c>
      <c r="BF422" s="298">
        <f t="shared" si="26"/>
        <v>0</v>
      </c>
      <c r="BG422" s="297" t="e">
        <f>VLOOKUP(B422,[1]Sheet2!$B:$X,23,0)</f>
        <v>#N/A</v>
      </c>
    </row>
    <row r="423" spans="1:59" s="28" customFormat="1" ht="33" customHeight="1">
      <c r="A423" s="351" t="s">
        <v>2151</v>
      </c>
      <c r="B423" s="312" t="s">
        <v>2152</v>
      </c>
      <c r="C423" s="26" t="s">
        <v>2153</v>
      </c>
      <c r="D423" s="26" t="s">
        <v>2154</v>
      </c>
      <c r="E423" s="26" t="s">
        <v>249</v>
      </c>
      <c r="F423" s="26" t="s">
        <v>315</v>
      </c>
      <c r="G423" s="26" t="s">
        <v>315</v>
      </c>
      <c r="H423" s="218" t="s">
        <v>1275</v>
      </c>
      <c r="I423" s="26" t="s">
        <v>1998</v>
      </c>
      <c r="J423" s="26"/>
      <c r="K423" s="61">
        <v>43643</v>
      </c>
      <c r="L423" s="26"/>
      <c r="M423" s="26">
        <f t="shared" si="33"/>
        <v>58558.74</v>
      </c>
      <c r="N423" s="26">
        <f t="shared" si="34"/>
        <v>58558.74</v>
      </c>
      <c r="O423" s="26"/>
      <c r="P423" s="26"/>
      <c r="Q423" s="26">
        <v>33099.96</v>
      </c>
      <c r="R423" s="26"/>
      <c r="S423" s="26"/>
      <c r="T423" s="26">
        <v>16047.02</v>
      </c>
      <c r="U423" s="26">
        <v>9411.76</v>
      </c>
      <c r="V423" s="26"/>
      <c r="W423" s="26"/>
      <c r="X423" s="26"/>
      <c r="Y423" s="26"/>
      <c r="Z423" s="26"/>
      <c r="AA423" s="26">
        <v>15</v>
      </c>
      <c r="AB423" s="26"/>
      <c r="AC423" s="26"/>
      <c r="AD423" s="26">
        <v>28135</v>
      </c>
      <c r="AE423" s="26"/>
      <c r="AF423" s="26"/>
      <c r="AG423" s="26">
        <v>13640</v>
      </c>
      <c r="AH423" s="26">
        <v>8000</v>
      </c>
      <c r="AI423" s="26"/>
      <c r="AJ423" s="26"/>
      <c r="AK423" s="26"/>
      <c r="AL423" s="26"/>
      <c r="AM423" s="26"/>
      <c r="AN423" s="26">
        <f t="shared" si="32"/>
        <v>49775</v>
      </c>
      <c r="AO423" s="26" t="s">
        <v>62</v>
      </c>
      <c r="AP423" s="26"/>
      <c r="AQ423" s="26"/>
      <c r="AR423" s="61">
        <v>43647</v>
      </c>
      <c r="AS423" s="61"/>
      <c r="AT423" s="308"/>
      <c r="AU423" s="26"/>
      <c r="AV423" s="26" t="s">
        <v>66</v>
      </c>
      <c r="AW423" s="26"/>
      <c r="AX423" s="26" t="s">
        <v>86</v>
      </c>
      <c r="AY423" s="26"/>
      <c r="AZ423" s="308">
        <v>43657</v>
      </c>
      <c r="BA423" s="308">
        <v>43657</v>
      </c>
      <c r="BB423" s="26"/>
      <c r="BC423" s="61">
        <v>44022</v>
      </c>
      <c r="BD423" s="26" t="s">
        <v>88</v>
      </c>
      <c r="BE423" s="297">
        <v>58558.74</v>
      </c>
      <c r="BF423" s="298">
        <f t="shared" si="26"/>
        <v>1</v>
      </c>
      <c r="BG423" s="297" t="e">
        <f>VLOOKUP(B423,[1]Sheet2!$B:$X,23,0)</f>
        <v>#N/A</v>
      </c>
    </row>
    <row r="424" spans="1:59" s="28" customFormat="1" ht="33" customHeight="1">
      <c r="A424" s="351" t="s">
        <v>2155</v>
      </c>
      <c r="B424" s="312" t="s">
        <v>2156</v>
      </c>
      <c r="C424" s="26" t="s">
        <v>2157</v>
      </c>
      <c r="D424" s="26" t="s">
        <v>2158</v>
      </c>
      <c r="E424" s="26" t="s">
        <v>139</v>
      </c>
      <c r="F424" s="26" t="s">
        <v>315</v>
      </c>
      <c r="G424" s="26" t="s">
        <v>315</v>
      </c>
      <c r="H424" s="218" t="s">
        <v>1275</v>
      </c>
      <c r="I424" s="26" t="s">
        <v>1998</v>
      </c>
      <c r="J424" s="26"/>
      <c r="K424" s="61">
        <v>43642</v>
      </c>
      <c r="L424" s="26"/>
      <c r="M424" s="26">
        <f t="shared" si="33"/>
        <v>35812</v>
      </c>
      <c r="N424" s="26">
        <f t="shared" si="34"/>
        <v>35812</v>
      </c>
      <c r="O424" s="26"/>
      <c r="P424" s="26"/>
      <c r="Q424" s="26"/>
      <c r="R424" s="26"/>
      <c r="S424" s="26"/>
      <c r="T424" s="26"/>
      <c r="U424" s="26">
        <v>35812</v>
      </c>
      <c r="V424" s="26"/>
      <c r="W424" s="26"/>
      <c r="X424" s="26"/>
      <c r="Y424" s="26"/>
      <c r="Z424" s="26"/>
      <c r="AA424" s="26">
        <v>15</v>
      </c>
      <c r="AB424" s="26"/>
      <c r="AC424" s="26"/>
      <c r="AD424" s="26"/>
      <c r="AE424" s="26"/>
      <c r="AF424" s="26"/>
      <c r="AG424" s="26"/>
      <c r="AH424" s="26">
        <v>30440</v>
      </c>
      <c r="AI424" s="26"/>
      <c r="AJ424" s="26"/>
      <c r="AK424" s="26"/>
      <c r="AL424" s="26"/>
      <c r="AM424" s="26"/>
      <c r="AN424" s="26">
        <f t="shared" si="32"/>
        <v>30440</v>
      </c>
      <c r="AO424" s="26" t="s">
        <v>1843</v>
      </c>
      <c r="AP424" s="26"/>
      <c r="AQ424" s="26"/>
      <c r="AR424" s="61">
        <v>43648</v>
      </c>
      <c r="AS424" s="61">
        <v>43676</v>
      </c>
      <c r="AT424" s="308">
        <v>43671</v>
      </c>
      <c r="AU424" s="26"/>
      <c r="AV424" s="26" t="s">
        <v>66</v>
      </c>
      <c r="AW424" s="26"/>
      <c r="AX424" s="26" t="s">
        <v>86</v>
      </c>
      <c r="AY424" s="26"/>
      <c r="AZ424" s="308">
        <v>43692</v>
      </c>
      <c r="BA424" s="308">
        <v>43703</v>
      </c>
      <c r="BB424" s="26"/>
      <c r="BC424" s="61">
        <v>44057</v>
      </c>
      <c r="BD424" s="26" t="s">
        <v>88</v>
      </c>
      <c r="BE424" s="297">
        <v>35812</v>
      </c>
      <c r="BF424" s="298">
        <f t="shared" si="26"/>
        <v>1</v>
      </c>
      <c r="BG424" s="297" t="e">
        <f>VLOOKUP(B424,[1]Sheet2!$B:$X,23,0)</f>
        <v>#N/A</v>
      </c>
    </row>
    <row r="425" spans="1:59" s="28" customFormat="1" ht="33" customHeight="1">
      <c r="A425" s="351" t="s">
        <v>2159</v>
      </c>
      <c r="B425" s="312" t="s">
        <v>2160</v>
      </c>
      <c r="C425" s="26" t="s">
        <v>2161</v>
      </c>
      <c r="D425" s="26" t="s">
        <v>2162</v>
      </c>
      <c r="E425" s="26" t="s">
        <v>265</v>
      </c>
      <c r="F425" s="26" t="s">
        <v>315</v>
      </c>
      <c r="G425" s="26" t="s">
        <v>315</v>
      </c>
      <c r="H425" s="218" t="s">
        <v>1275</v>
      </c>
      <c r="I425" s="371" t="s">
        <v>1004</v>
      </c>
      <c r="J425" s="26"/>
      <c r="K425" s="61">
        <v>43642</v>
      </c>
      <c r="L425" s="26"/>
      <c r="M425" s="26">
        <f t="shared" si="33"/>
        <v>31294.12</v>
      </c>
      <c r="N425" s="26">
        <f t="shared" si="34"/>
        <v>31294.12</v>
      </c>
      <c r="O425" s="26"/>
      <c r="P425" s="26"/>
      <c r="Q425" s="26"/>
      <c r="R425" s="26"/>
      <c r="S425" s="26"/>
      <c r="T425" s="26"/>
      <c r="U425" s="26">
        <v>31294.12</v>
      </c>
      <c r="V425" s="26"/>
      <c r="W425" s="26"/>
      <c r="X425" s="26"/>
      <c r="Y425" s="26"/>
      <c r="Z425" s="26"/>
      <c r="AA425" s="26">
        <v>15</v>
      </c>
      <c r="AB425" s="26"/>
      <c r="AC425" s="26"/>
      <c r="AD425" s="26"/>
      <c r="AE425" s="26"/>
      <c r="AF425" s="26"/>
      <c r="AG425" s="26"/>
      <c r="AH425" s="26">
        <v>26600</v>
      </c>
      <c r="AI425" s="26"/>
      <c r="AJ425" s="26"/>
      <c r="AK425" s="26"/>
      <c r="AL425" s="26"/>
      <c r="AM425" s="26"/>
      <c r="AN425" s="26">
        <f t="shared" si="32"/>
        <v>26600</v>
      </c>
      <c r="AO425" s="26" t="s">
        <v>286</v>
      </c>
      <c r="AP425" s="26"/>
      <c r="AQ425" s="26"/>
      <c r="AR425" s="26" t="s">
        <v>384</v>
      </c>
      <c r="AS425" s="26"/>
      <c r="AT425" s="308"/>
      <c r="AU425" s="26"/>
      <c r="AV425" s="26" t="s">
        <v>66</v>
      </c>
      <c r="AW425" s="26"/>
      <c r="AX425" s="26" t="s">
        <v>86</v>
      </c>
      <c r="AY425" s="26"/>
      <c r="AZ425" s="308">
        <v>43672</v>
      </c>
      <c r="BA425" s="308">
        <v>43661</v>
      </c>
      <c r="BB425" s="26"/>
      <c r="BC425" s="61">
        <v>44026</v>
      </c>
      <c r="BD425" s="26" t="s">
        <v>88</v>
      </c>
      <c r="BE425" s="297">
        <v>31294.12</v>
      </c>
      <c r="BF425" s="298">
        <f t="shared" si="26"/>
        <v>1</v>
      </c>
      <c r="BG425" s="297" t="e">
        <f>VLOOKUP(B425,[1]Sheet2!$B:$X,23,0)</f>
        <v>#N/A</v>
      </c>
    </row>
    <row r="426" spans="1:59" s="28" customFormat="1" ht="33" customHeight="1">
      <c r="A426" s="351" t="s">
        <v>2163</v>
      </c>
      <c r="B426" s="312" t="s">
        <v>2164</v>
      </c>
      <c r="C426" s="26" t="s">
        <v>2165</v>
      </c>
      <c r="D426" s="26" t="s">
        <v>2166</v>
      </c>
      <c r="E426" s="26" t="s">
        <v>139</v>
      </c>
      <c r="F426" s="26" t="s">
        <v>315</v>
      </c>
      <c r="G426" s="26" t="s">
        <v>315</v>
      </c>
      <c r="H426" s="218" t="s">
        <v>2167</v>
      </c>
      <c r="I426" s="370" t="s">
        <v>795</v>
      </c>
      <c r="J426" s="370" t="s">
        <v>145</v>
      </c>
      <c r="K426" s="61">
        <v>43642</v>
      </c>
      <c r="L426" s="26"/>
      <c r="M426" s="26">
        <f t="shared" si="33"/>
        <v>64503880</v>
      </c>
      <c r="N426" s="26">
        <f t="shared" si="34"/>
        <v>31517080</v>
      </c>
      <c r="O426" s="26"/>
      <c r="P426" s="26"/>
      <c r="Q426" s="26"/>
      <c r="R426" s="26"/>
      <c r="S426" s="26"/>
      <c r="T426" s="26"/>
      <c r="U426" s="26">
        <v>31517080</v>
      </c>
      <c r="V426" s="26"/>
      <c r="W426" s="26">
        <v>32986800</v>
      </c>
      <c r="X426" s="26">
        <v>32986800</v>
      </c>
      <c r="Y426" s="364">
        <v>0.06</v>
      </c>
      <c r="Z426" s="364"/>
      <c r="AA426" s="26">
        <v>8</v>
      </c>
      <c r="AB426" s="26"/>
      <c r="AC426" s="26"/>
      <c r="AD426" s="26"/>
      <c r="AE426" s="26"/>
      <c r="AF426" s="26"/>
      <c r="AG426" s="26"/>
      <c r="AH426" s="26">
        <v>28995713.600000001</v>
      </c>
      <c r="AI426" s="26"/>
      <c r="AJ426" s="26"/>
      <c r="AK426" s="26"/>
      <c r="AL426" s="26"/>
      <c r="AM426" s="26"/>
      <c r="AN426" s="26">
        <f t="shared" si="32"/>
        <v>28995713.600000001</v>
      </c>
      <c r="AO426" s="26" t="s">
        <v>1843</v>
      </c>
      <c r="AP426" s="26"/>
      <c r="AQ426" s="26"/>
      <c r="AR426" s="26" t="s">
        <v>384</v>
      </c>
      <c r="AS426" s="26"/>
      <c r="AT426" s="308"/>
      <c r="AU426" s="26"/>
      <c r="AV426" s="26"/>
      <c r="AW426" s="26"/>
      <c r="AX426" s="26"/>
      <c r="AY426" s="26"/>
      <c r="AZ426" s="308"/>
      <c r="BA426" s="308"/>
      <c r="BB426" s="26"/>
      <c r="BC426" s="26"/>
      <c r="BD426" s="26"/>
      <c r="BE426" s="297">
        <v>805435.11</v>
      </c>
      <c r="BF426" s="298">
        <f t="shared" si="26"/>
        <v>1.2486614913707516E-2</v>
      </c>
      <c r="BG426" s="297" t="e">
        <f>VLOOKUP(B426,[1]Sheet2!$B:$X,23,0)</f>
        <v>#N/A</v>
      </c>
    </row>
    <row r="427" spans="1:59" s="28" customFormat="1" ht="33" customHeight="1">
      <c r="A427" s="351" t="s">
        <v>2168</v>
      </c>
      <c r="B427" s="312" t="s">
        <v>2169</v>
      </c>
      <c r="C427" s="26" t="s">
        <v>2170</v>
      </c>
      <c r="D427" s="26" t="s">
        <v>2171</v>
      </c>
      <c r="E427" s="26" t="s">
        <v>224</v>
      </c>
      <c r="F427" s="26" t="s">
        <v>2117</v>
      </c>
      <c r="G427" s="26" t="s">
        <v>2117</v>
      </c>
      <c r="H427" s="218" t="s">
        <v>1275</v>
      </c>
      <c r="I427" s="26" t="s">
        <v>1937</v>
      </c>
      <c r="J427" s="26"/>
      <c r="K427" s="61">
        <v>43649</v>
      </c>
      <c r="L427" s="26"/>
      <c r="M427" s="26">
        <f t="shared" si="33"/>
        <v>41060</v>
      </c>
      <c r="N427" s="26">
        <f t="shared" si="34"/>
        <v>41060</v>
      </c>
      <c r="O427" s="26"/>
      <c r="P427" s="26"/>
      <c r="Q427" s="26"/>
      <c r="R427" s="26"/>
      <c r="S427" s="26"/>
      <c r="T427" s="26"/>
      <c r="U427" s="26">
        <v>41060</v>
      </c>
      <c r="V427" s="26"/>
      <c r="W427" s="26"/>
      <c r="X427" s="26"/>
      <c r="Y427" s="26"/>
      <c r="Z427" s="26"/>
      <c r="AA427" s="26">
        <v>15</v>
      </c>
      <c r="AB427" s="26"/>
      <c r="AC427" s="26"/>
      <c r="AD427" s="26"/>
      <c r="AE427" s="26"/>
      <c r="AF427" s="26"/>
      <c r="AG427" s="26"/>
      <c r="AH427" s="26"/>
      <c r="AI427" s="26"/>
      <c r="AJ427" s="26"/>
      <c r="AK427" s="26"/>
      <c r="AL427" s="26"/>
      <c r="AM427" s="26"/>
      <c r="AN427" s="26">
        <f t="shared" si="32"/>
        <v>0</v>
      </c>
      <c r="AO427" s="26" t="s">
        <v>1258</v>
      </c>
      <c r="AP427" s="26"/>
      <c r="AQ427" s="26"/>
      <c r="AR427" s="61">
        <v>43649</v>
      </c>
      <c r="AS427" s="61">
        <v>43663</v>
      </c>
      <c r="AT427" s="308">
        <v>43662</v>
      </c>
      <c r="AU427" s="26"/>
      <c r="AV427" s="26" t="s">
        <v>66</v>
      </c>
      <c r="AW427" s="26"/>
      <c r="AX427" s="26" t="s">
        <v>86</v>
      </c>
      <c r="AY427" s="26" t="s">
        <v>2172</v>
      </c>
      <c r="AZ427" s="308">
        <v>43672</v>
      </c>
      <c r="BA427" s="308">
        <v>43674</v>
      </c>
      <c r="BB427" s="26"/>
      <c r="BC427" s="61">
        <v>44037</v>
      </c>
      <c r="BD427" s="26" t="s">
        <v>931</v>
      </c>
      <c r="BE427" s="297">
        <v>41060</v>
      </c>
      <c r="BF427" s="298">
        <f t="shared" si="26"/>
        <v>1</v>
      </c>
      <c r="BG427" s="297" t="str">
        <f>VLOOKUP(B427,[1]Sheet2!$B:$X,23,0)</f>
        <v>杨楠</v>
      </c>
    </row>
    <row r="428" spans="1:59" s="28" customFormat="1" ht="33" customHeight="1">
      <c r="A428" s="351" t="s">
        <v>2173</v>
      </c>
      <c r="B428" s="312" t="s">
        <v>2174</v>
      </c>
      <c r="C428" s="26" t="s">
        <v>2175</v>
      </c>
      <c r="D428" s="26" t="s">
        <v>2176</v>
      </c>
      <c r="E428" s="26" t="s">
        <v>106</v>
      </c>
      <c r="F428" s="26" t="s">
        <v>1277</v>
      </c>
      <c r="G428" s="26" t="s">
        <v>1277</v>
      </c>
      <c r="H428" s="218" t="s">
        <v>1275</v>
      </c>
      <c r="I428" s="26" t="s">
        <v>1992</v>
      </c>
      <c r="J428" s="26"/>
      <c r="K428" s="61">
        <v>43649</v>
      </c>
      <c r="L428" s="26"/>
      <c r="M428" s="26">
        <f t="shared" si="33"/>
        <v>490000</v>
      </c>
      <c r="N428" s="26">
        <f t="shared" si="34"/>
        <v>490000</v>
      </c>
      <c r="O428" s="26"/>
      <c r="P428" s="26"/>
      <c r="Q428" s="26"/>
      <c r="R428" s="26"/>
      <c r="S428" s="26"/>
      <c r="T428" s="26">
        <v>490000</v>
      </c>
      <c r="U428" s="26"/>
      <c r="V428" s="26"/>
      <c r="W428" s="26"/>
      <c r="X428" s="26"/>
      <c r="Y428" s="26"/>
      <c r="Z428" s="26"/>
      <c r="AA428" s="26">
        <v>15</v>
      </c>
      <c r="AB428" s="26"/>
      <c r="AC428" s="26"/>
      <c r="AD428" s="26"/>
      <c r="AE428" s="26"/>
      <c r="AF428" s="26"/>
      <c r="AG428" s="26">
        <v>415000</v>
      </c>
      <c r="AH428" s="26"/>
      <c r="AI428" s="26"/>
      <c r="AJ428" s="26"/>
      <c r="AK428" s="26"/>
      <c r="AL428" s="26"/>
      <c r="AM428" s="26"/>
      <c r="AN428" s="26">
        <f t="shared" si="32"/>
        <v>415000</v>
      </c>
      <c r="AO428" s="216" t="s">
        <v>108</v>
      </c>
      <c r="AP428" s="26"/>
      <c r="AQ428" s="26"/>
      <c r="AR428" s="61">
        <v>43649</v>
      </c>
      <c r="AS428" s="61"/>
      <c r="AT428" s="308">
        <v>43672</v>
      </c>
      <c r="AU428" s="26"/>
      <c r="AV428" s="26" t="s">
        <v>66</v>
      </c>
      <c r="AW428" s="26"/>
      <c r="AX428" s="26" t="s">
        <v>86</v>
      </c>
      <c r="AY428" s="26"/>
      <c r="AZ428" s="308">
        <v>43700</v>
      </c>
      <c r="BA428" s="308">
        <v>43703</v>
      </c>
      <c r="BB428" s="26"/>
      <c r="BC428" s="61">
        <v>44013</v>
      </c>
      <c r="BD428" s="113" t="s">
        <v>931</v>
      </c>
      <c r="BE428" s="297">
        <v>465500</v>
      </c>
      <c r="BF428" s="298">
        <f t="shared" si="26"/>
        <v>0.95</v>
      </c>
      <c r="BG428" s="297" t="e">
        <f>VLOOKUP(B428,[1]Sheet2!$B:$X,23,0)</f>
        <v>#N/A</v>
      </c>
    </row>
    <row r="429" spans="1:59" s="28" customFormat="1" ht="33" customHeight="1">
      <c r="A429" s="351" t="s">
        <v>2177</v>
      </c>
      <c r="B429" s="312" t="s">
        <v>2178</v>
      </c>
      <c r="C429" s="26" t="s">
        <v>2179</v>
      </c>
      <c r="D429" s="26" t="s">
        <v>2180</v>
      </c>
      <c r="E429" s="26" t="s">
        <v>1093</v>
      </c>
      <c r="F429" s="26" t="s">
        <v>315</v>
      </c>
      <c r="G429" s="26" t="s">
        <v>315</v>
      </c>
      <c r="H429" s="218" t="s">
        <v>1275</v>
      </c>
      <c r="I429" s="26" t="s">
        <v>402</v>
      </c>
      <c r="J429" s="26"/>
      <c r="K429" s="61">
        <v>43649</v>
      </c>
      <c r="L429" s="26"/>
      <c r="M429" s="26">
        <f t="shared" si="33"/>
        <v>24000</v>
      </c>
      <c r="N429" s="26">
        <f t="shared" si="34"/>
        <v>24000</v>
      </c>
      <c r="O429" s="26"/>
      <c r="P429" s="26"/>
      <c r="Q429" s="26"/>
      <c r="R429" s="26"/>
      <c r="S429" s="26"/>
      <c r="T429" s="26">
        <v>24000</v>
      </c>
      <c r="U429" s="26"/>
      <c r="V429" s="26"/>
      <c r="W429" s="26"/>
      <c r="X429" s="26"/>
      <c r="Y429" s="26"/>
      <c r="Z429" s="26"/>
      <c r="AA429" s="26">
        <v>15</v>
      </c>
      <c r="AB429" s="26"/>
      <c r="AC429" s="26"/>
      <c r="AD429" s="26"/>
      <c r="AE429" s="26"/>
      <c r="AF429" s="26"/>
      <c r="AG429" s="26">
        <v>20400</v>
      </c>
      <c r="AH429" s="26"/>
      <c r="AI429" s="26"/>
      <c r="AJ429" s="26"/>
      <c r="AK429" s="26"/>
      <c r="AL429" s="26"/>
      <c r="AM429" s="26"/>
      <c r="AN429" s="26">
        <f t="shared" si="32"/>
        <v>20400</v>
      </c>
      <c r="AO429" s="26" t="s">
        <v>286</v>
      </c>
      <c r="AP429" s="26"/>
      <c r="AQ429" s="26"/>
      <c r="AR429" s="26" t="s">
        <v>384</v>
      </c>
      <c r="AS429" s="61">
        <v>43672</v>
      </c>
      <c r="AT429" s="308">
        <v>43678</v>
      </c>
      <c r="AU429" s="26"/>
      <c r="AV429" s="26" t="s">
        <v>66</v>
      </c>
      <c r="AW429" s="26"/>
      <c r="AX429" s="26" t="s">
        <v>86</v>
      </c>
      <c r="AY429" s="26"/>
      <c r="AZ429" s="308">
        <v>43702</v>
      </c>
      <c r="BA429" s="308">
        <v>43703</v>
      </c>
      <c r="BB429" s="26"/>
      <c r="BC429" s="61">
        <v>43983</v>
      </c>
      <c r="BD429" s="26" t="s">
        <v>88</v>
      </c>
      <c r="BE429" s="297">
        <v>24000</v>
      </c>
      <c r="BF429" s="298">
        <f t="shared" si="26"/>
        <v>1</v>
      </c>
      <c r="BG429" s="297" t="e">
        <f>VLOOKUP(B429,[1]Sheet2!$B:$X,23,0)</f>
        <v>#N/A</v>
      </c>
    </row>
    <row r="430" spans="1:59" s="28" customFormat="1" ht="33" customHeight="1">
      <c r="A430" s="26" t="s">
        <v>2181</v>
      </c>
      <c r="B430" s="26" t="s">
        <v>2182</v>
      </c>
      <c r="C430" s="26" t="s">
        <v>2183</v>
      </c>
      <c r="D430" s="26" t="s">
        <v>2184</v>
      </c>
      <c r="E430" s="26" t="s">
        <v>156</v>
      </c>
      <c r="F430" s="26" t="s">
        <v>2117</v>
      </c>
      <c r="G430" s="26" t="s">
        <v>2117</v>
      </c>
      <c r="H430" s="218" t="s">
        <v>1275</v>
      </c>
      <c r="I430" s="26" t="s">
        <v>1982</v>
      </c>
      <c r="J430" s="26"/>
      <c r="K430" s="61">
        <v>43637</v>
      </c>
      <c r="L430" s="26"/>
      <c r="M430" s="26">
        <f t="shared" si="33"/>
        <v>248000</v>
      </c>
      <c r="N430" s="26">
        <f t="shared" si="34"/>
        <v>248000</v>
      </c>
      <c r="O430" s="26"/>
      <c r="P430" s="26"/>
      <c r="Q430" s="26"/>
      <c r="R430" s="26"/>
      <c r="S430" s="26"/>
      <c r="T430" s="26"/>
      <c r="U430" s="26">
        <v>248000</v>
      </c>
      <c r="V430" s="26"/>
      <c r="W430" s="26"/>
      <c r="X430" s="26"/>
      <c r="Y430" s="26"/>
      <c r="Z430" s="26"/>
      <c r="AA430" s="26">
        <v>15</v>
      </c>
      <c r="AB430" s="26"/>
      <c r="AC430" s="26"/>
      <c r="AD430" s="26"/>
      <c r="AE430" s="26"/>
      <c r="AF430" s="26"/>
      <c r="AG430" s="26"/>
      <c r="AH430" s="26">
        <v>210800</v>
      </c>
      <c r="AI430" s="26"/>
      <c r="AJ430" s="26"/>
      <c r="AK430" s="26"/>
      <c r="AL430" s="26"/>
      <c r="AM430" s="26"/>
      <c r="AN430" s="26">
        <f t="shared" si="32"/>
        <v>210800</v>
      </c>
      <c r="AO430" s="26" t="s">
        <v>1258</v>
      </c>
      <c r="AP430" s="26"/>
      <c r="AQ430" s="26"/>
      <c r="AR430" s="61">
        <v>43637</v>
      </c>
      <c r="AS430" s="61"/>
      <c r="AT430" s="308"/>
      <c r="AU430" s="26"/>
      <c r="AV430" s="26"/>
      <c r="AW430" s="26"/>
      <c r="AX430" s="26"/>
      <c r="AY430" s="26"/>
      <c r="AZ430" s="308"/>
      <c r="BA430" s="308"/>
      <c r="BB430" s="26"/>
      <c r="BC430" s="26"/>
      <c r="BD430" s="26"/>
      <c r="BE430" s="297">
        <v>99200</v>
      </c>
      <c r="BF430" s="298">
        <f t="shared" si="26"/>
        <v>0.4</v>
      </c>
      <c r="BG430" s="297" t="e">
        <f>VLOOKUP(B430,[1]Sheet2!$B:$X,23,0)</f>
        <v>#N/A</v>
      </c>
    </row>
    <row r="431" spans="1:59" s="28" customFormat="1" ht="33" customHeight="1">
      <c r="A431" s="26" t="s">
        <v>2185</v>
      </c>
      <c r="B431" s="26" t="s">
        <v>2186</v>
      </c>
      <c r="C431" s="26" t="s">
        <v>2187</v>
      </c>
      <c r="D431" s="26" t="s">
        <v>2188</v>
      </c>
      <c r="E431" s="26" t="s">
        <v>1093</v>
      </c>
      <c r="F431" s="26" t="s">
        <v>1277</v>
      </c>
      <c r="G431" s="26" t="s">
        <v>1277</v>
      </c>
      <c r="H431" s="218" t="s">
        <v>1275</v>
      </c>
      <c r="I431" s="26" t="s">
        <v>1951</v>
      </c>
      <c r="J431" s="26"/>
      <c r="K431" s="61">
        <v>43647</v>
      </c>
      <c r="L431" s="26"/>
      <c r="M431" s="26">
        <f t="shared" si="33"/>
        <v>40619</v>
      </c>
      <c r="N431" s="26">
        <f t="shared" si="34"/>
        <v>40619</v>
      </c>
      <c r="O431" s="26"/>
      <c r="P431" s="26"/>
      <c r="Q431" s="26"/>
      <c r="R431" s="26"/>
      <c r="S431" s="26"/>
      <c r="T431" s="26">
        <v>40619</v>
      </c>
      <c r="U431" s="26"/>
      <c r="V431" s="26"/>
      <c r="W431" s="26"/>
      <c r="X431" s="26"/>
      <c r="Y431" s="26"/>
      <c r="Z431" s="26"/>
      <c r="AA431" s="26">
        <v>15</v>
      </c>
      <c r="AB431" s="26"/>
      <c r="AC431" s="26"/>
      <c r="AD431" s="26"/>
      <c r="AE431" s="26"/>
      <c r="AF431" s="26"/>
      <c r="AG431" s="26">
        <v>34526.15</v>
      </c>
      <c r="AH431" s="26"/>
      <c r="AI431" s="26"/>
      <c r="AJ431" s="26"/>
      <c r="AK431" s="26"/>
      <c r="AL431" s="26"/>
      <c r="AM431" s="26"/>
      <c r="AN431" s="26">
        <f t="shared" si="32"/>
        <v>34526.15</v>
      </c>
      <c r="AO431" s="26" t="s">
        <v>286</v>
      </c>
      <c r="AP431" s="26"/>
      <c r="AQ431" s="26"/>
      <c r="AR431" s="61">
        <v>43647</v>
      </c>
      <c r="AS431" s="61">
        <v>43675</v>
      </c>
      <c r="AT431" s="308">
        <v>43676</v>
      </c>
      <c r="AU431" s="26"/>
      <c r="AV431" s="26" t="s">
        <v>66</v>
      </c>
      <c r="AW431" s="26"/>
      <c r="AX431" s="26" t="s">
        <v>86</v>
      </c>
      <c r="AY431" s="26"/>
      <c r="AZ431" s="308">
        <v>43692</v>
      </c>
      <c r="BA431" s="308">
        <v>43692</v>
      </c>
      <c r="BB431" s="26"/>
      <c r="BC431" s="61">
        <v>44025</v>
      </c>
      <c r="BD431" s="113" t="s">
        <v>931</v>
      </c>
      <c r="BE431" s="297">
        <v>40619</v>
      </c>
      <c r="BF431" s="298">
        <f t="shared" si="26"/>
        <v>1</v>
      </c>
      <c r="BG431" s="297" t="e">
        <f>VLOOKUP(B431,[1]Sheet2!$B:$X,23,0)</f>
        <v>#N/A</v>
      </c>
    </row>
    <row r="432" spans="1:59" s="28" customFormat="1" ht="33" customHeight="1">
      <c r="A432" s="26" t="s">
        <v>2189</v>
      </c>
      <c r="B432" s="26" t="s">
        <v>2190</v>
      </c>
      <c r="C432" s="26" t="s">
        <v>2191</v>
      </c>
      <c r="D432" s="26" t="s">
        <v>2192</v>
      </c>
      <c r="E432" s="26" t="s">
        <v>576</v>
      </c>
      <c r="F432" s="26" t="s">
        <v>1277</v>
      </c>
      <c r="G432" s="26" t="s">
        <v>1277</v>
      </c>
      <c r="H432" s="218" t="s">
        <v>1275</v>
      </c>
      <c r="I432" s="26" t="s">
        <v>1992</v>
      </c>
      <c r="J432" s="26"/>
      <c r="K432" s="61">
        <v>43654</v>
      </c>
      <c r="L432" s="26"/>
      <c r="M432" s="26">
        <f t="shared" si="33"/>
        <v>959000</v>
      </c>
      <c r="N432" s="26">
        <f t="shared" si="34"/>
        <v>959000</v>
      </c>
      <c r="O432" s="26"/>
      <c r="P432" s="26"/>
      <c r="Q432" s="26"/>
      <c r="R432" s="26"/>
      <c r="S432" s="26"/>
      <c r="T432" s="26">
        <v>959000</v>
      </c>
      <c r="U432" s="26"/>
      <c r="V432" s="26"/>
      <c r="W432" s="26"/>
      <c r="X432" s="26"/>
      <c r="Y432" s="26"/>
      <c r="Z432" s="26"/>
      <c r="AA432" s="26">
        <v>15</v>
      </c>
      <c r="AB432" s="26"/>
      <c r="AC432" s="26"/>
      <c r="AD432" s="26"/>
      <c r="AE432" s="26"/>
      <c r="AF432" s="26"/>
      <c r="AG432" s="26">
        <v>815149.99</v>
      </c>
      <c r="AH432" s="26"/>
      <c r="AI432" s="26"/>
      <c r="AJ432" s="26"/>
      <c r="AK432" s="26"/>
      <c r="AL432" s="26"/>
      <c r="AM432" s="26"/>
      <c r="AN432" s="26">
        <f t="shared" si="32"/>
        <v>815149.99</v>
      </c>
      <c r="AO432" s="26" t="s">
        <v>286</v>
      </c>
      <c r="AP432" s="26"/>
      <c r="AQ432" s="26"/>
      <c r="AR432" s="61">
        <v>43654</v>
      </c>
      <c r="AS432" s="61"/>
      <c r="AT432" s="308"/>
      <c r="AU432" s="26"/>
      <c r="AV432" s="26"/>
      <c r="AW432" s="26"/>
      <c r="AX432" s="26"/>
      <c r="AY432" s="26"/>
      <c r="AZ432" s="308"/>
      <c r="BA432" s="308"/>
      <c r="BB432" s="26"/>
      <c r="BC432" s="26"/>
      <c r="BD432" s="26"/>
      <c r="BE432" s="297">
        <v>0</v>
      </c>
      <c r="BF432" s="298">
        <f t="shared" si="26"/>
        <v>0</v>
      </c>
      <c r="BG432" s="297" t="e">
        <f>VLOOKUP(B432,[1]Sheet2!$B:$X,23,0)</f>
        <v>#N/A</v>
      </c>
    </row>
    <row r="433" spans="1:59" s="28" customFormat="1" ht="33" customHeight="1">
      <c r="A433" s="331" t="s">
        <v>2193</v>
      </c>
      <c r="B433" s="26" t="s">
        <v>2194</v>
      </c>
      <c r="C433" s="26" t="s">
        <v>2195</v>
      </c>
      <c r="D433" s="26" t="s">
        <v>2196</v>
      </c>
      <c r="E433" s="26" t="s">
        <v>92</v>
      </c>
      <c r="F433" s="26" t="s">
        <v>2104</v>
      </c>
      <c r="G433" s="26" t="s">
        <v>2104</v>
      </c>
      <c r="H433" s="218" t="s">
        <v>1275</v>
      </c>
      <c r="I433" s="26"/>
      <c r="J433" s="26"/>
      <c r="K433" s="61">
        <v>43657</v>
      </c>
      <c r="L433" s="26"/>
      <c r="M433" s="26">
        <f t="shared" si="33"/>
        <v>0</v>
      </c>
      <c r="N433" s="26">
        <f t="shared" si="34"/>
        <v>0</v>
      </c>
      <c r="O433" s="26"/>
      <c r="P433" s="26"/>
      <c r="Q433" s="26"/>
      <c r="R433" s="26"/>
      <c r="S433" s="26"/>
      <c r="T433" s="26"/>
      <c r="U433" s="26"/>
      <c r="V433" s="26"/>
      <c r="W433" s="26"/>
      <c r="X433" s="26"/>
      <c r="Y433" s="26"/>
      <c r="Z433" s="26"/>
      <c r="AA433" s="26"/>
      <c r="AB433" s="26"/>
      <c r="AC433" s="26"/>
      <c r="AD433" s="26"/>
      <c r="AE433" s="26"/>
      <c r="AF433" s="26"/>
      <c r="AG433" s="26"/>
      <c r="AH433" s="26"/>
      <c r="AI433" s="26"/>
      <c r="AJ433" s="26"/>
      <c r="AK433" s="26"/>
      <c r="AL433" s="26"/>
      <c r="AM433" s="26"/>
      <c r="AN433" s="26">
        <f t="shared" si="32"/>
        <v>0</v>
      </c>
      <c r="AO433" s="26" t="s">
        <v>1843</v>
      </c>
      <c r="AP433" s="26"/>
      <c r="AQ433" s="26"/>
      <c r="AR433" s="26" t="s">
        <v>384</v>
      </c>
      <c r="AS433" s="61">
        <v>43697</v>
      </c>
      <c r="AT433" s="308">
        <v>43697</v>
      </c>
      <c r="AU433" s="26"/>
      <c r="AV433" s="26" t="s">
        <v>66</v>
      </c>
      <c r="AW433" s="26"/>
      <c r="AX433" s="26" t="s">
        <v>86</v>
      </c>
      <c r="AY433" s="26"/>
      <c r="AZ433" s="308">
        <v>43720</v>
      </c>
      <c r="BA433" s="308">
        <v>43734</v>
      </c>
      <c r="BB433" s="26"/>
      <c r="BC433" s="61">
        <v>44085</v>
      </c>
      <c r="BD433" s="26" t="s">
        <v>88</v>
      </c>
      <c r="BE433" s="297">
        <v>175276.9</v>
      </c>
      <c r="BF433" s="298" t="e">
        <f t="shared" si="26"/>
        <v>#DIV/0!</v>
      </c>
      <c r="BG433" s="297" t="e">
        <f>VLOOKUP(B433,[1]Sheet2!$B:$X,23,0)</f>
        <v>#N/A</v>
      </c>
    </row>
    <row r="434" spans="1:59" s="28" customFormat="1" ht="33" customHeight="1">
      <c r="A434" s="26" t="s">
        <v>2197</v>
      </c>
      <c r="B434" s="26" t="s">
        <v>2198</v>
      </c>
      <c r="C434" s="26" t="s">
        <v>2199</v>
      </c>
      <c r="D434" s="26" t="s">
        <v>2200</v>
      </c>
      <c r="E434" s="26" t="s">
        <v>1093</v>
      </c>
      <c r="F434" s="26" t="s">
        <v>315</v>
      </c>
      <c r="G434" s="26" t="s">
        <v>315</v>
      </c>
      <c r="H434" s="218" t="s">
        <v>1314</v>
      </c>
      <c r="I434" s="26" t="s">
        <v>402</v>
      </c>
      <c r="J434" s="26"/>
      <c r="K434" s="61">
        <v>43663</v>
      </c>
      <c r="L434" s="26"/>
      <c r="M434" s="26">
        <f t="shared" si="33"/>
        <v>289387</v>
      </c>
      <c r="N434" s="26">
        <f t="shared" si="34"/>
        <v>289387</v>
      </c>
      <c r="O434" s="26"/>
      <c r="P434" s="26"/>
      <c r="Q434" s="26">
        <v>206563</v>
      </c>
      <c r="R434" s="26"/>
      <c r="S434" s="26"/>
      <c r="T434" s="26">
        <v>82824</v>
      </c>
      <c r="U434" s="26"/>
      <c r="V434" s="26"/>
      <c r="W434" s="26"/>
      <c r="X434" s="26"/>
      <c r="Y434" s="26"/>
      <c r="Z434" s="26"/>
      <c r="AA434" s="26"/>
      <c r="AB434" s="26"/>
      <c r="AC434" s="26"/>
      <c r="AD434" s="26">
        <v>204498</v>
      </c>
      <c r="AE434" s="26"/>
      <c r="AF434" s="26"/>
      <c r="AG434" s="26">
        <v>42504</v>
      </c>
      <c r="AH434" s="26"/>
      <c r="AI434" s="26"/>
      <c r="AJ434" s="26"/>
      <c r="AK434" s="26"/>
      <c r="AL434" s="26"/>
      <c r="AM434" s="26"/>
      <c r="AN434" s="26">
        <f t="shared" si="32"/>
        <v>247002</v>
      </c>
      <c r="AO434" s="26" t="s">
        <v>286</v>
      </c>
      <c r="AP434" s="26"/>
      <c r="AQ434" s="26"/>
      <c r="AR434" s="61">
        <v>43663</v>
      </c>
      <c r="AS434" s="61">
        <v>43704</v>
      </c>
      <c r="AT434" s="308">
        <v>43709</v>
      </c>
      <c r="AU434" s="26"/>
      <c r="AV434" s="26" t="s">
        <v>66</v>
      </c>
      <c r="AW434" s="26"/>
      <c r="AX434" s="26" t="s">
        <v>86</v>
      </c>
      <c r="AY434" s="26"/>
      <c r="AZ434" s="308">
        <v>43759</v>
      </c>
      <c r="BA434" s="308">
        <v>43759</v>
      </c>
      <c r="BB434" s="26"/>
      <c r="BC434" s="26"/>
      <c r="BD434" s="26" t="s">
        <v>88</v>
      </c>
      <c r="BE434" s="297">
        <v>0</v>
      </c>
      <c r="BF434" s="298">
        <f t="shared" si="26"/>
        <v>0</v>
      </c>
      <c r="BG434" s="297" t="e">
        <f>VLOOKUP(B434,[1]Sheet2!$B:$X,23,0)</f>
        <v>#N/A</v>
      </c>
    </row>
    <row r="435" spans="1:59" s="28" customFormat="1" ht="33" customHeight="1">
      <c r="A435" s="26" t="s">
        <v>2201</v>
      </c>
      <c r="B435" s="26" t="s">
        <v>2202</v>
      </c>
      <c r="C435" s="26" t="s">
        <v>2203</v>
      </c>
      <c r="D435" s="26" t="s">
        <v>2204</v>
      </c>
      <c r="E435" s="26" t="s">
        <v>1093</v>
      </c>
      <c r="F435" s="26" t="s">
        <v>1277</v>
      </c>
      <c r="G435" s="26" t="s">
        <v>1277</v>
      </c>
      <c r="H435" s="218"/>
      <c r="I435" s="26" t="s">
        <v>1928</v>
      </c>
      <c r="J435" s="26"/>
      <c r="K435" s="61">
        <v>43663</v>
      </c>
      <c r="L435" s="26"/>
      <c r="M435" s="26">
        <f t="shared" si="33"/>
        <v>37200</v>
      </c>
      <c r="N435" s="26">
        <f t="shared" si="34"/>
        <v>37200</v>
      </c>
      <c r="O435" s="26"/>
      <c r="P435" s="26"/>
      <c r="Q435" s="26"/>
      <c r="R435" s="26"/>
      <c r="S435" s="26"/>
      <c r="T435" s="26"/>
      <c r="U435" s="26">
        <v>37200</v>
      </c>
      <c r="V435" s="26"/>
      <c r="W435" s="26"/>
      <c r="X435" s="26"/>
      <c r="Y435" s="26"/>
      <c r="Z435" s="26"/>
      <c r="AA435" s="364">
        <v>0.15</v>
      </c>
      <c r="AB435" s="26"/>
      <c r="AC435" s="26"/>
      <c r="AD435" s="26"/>
      <c r="AE435" s="26"/>
      <c r="AF435" s="26"/>
      <c r="AG435" s="26"/>
      <c r="AH435" s="26">
        <v>31300</v>
      </c>
      <c r="AI435" s="26"/>
      <c r="AJ435" s="26"/>
      <c r="AK435" s="26"/>
      <c r="AL435" s="26"/>
      <c r="AM435" s="26"/>
      <c r="AN435" s="26">
        <f t="shared" si="32"/>
        <v>31300</v>
      </c>
      <c r="AO435" s="26" t="s">
        <v>286</v>
      </c>
      <c r="AP435" s="26"/>
      <c r="AQ435" s="26"/>
      <c r="AR435" s="61">
        <v>43663</v>
      </c>
      <c r="AS435" s="61"/>
      <c r="AT435" s="308"/>
      <c r="AU435" s="26"/>
      <c r="AV435" s="26"/>
      <c r="AW435" s="26"/>
      <c r="AX435" s="26"/>
      <c r="AY435" s="26"/>
      <c r="AZ435" s="308"/>
      <c r="BA435" s="308"/>
      <c r="BB435" s="26"/>
      <c r="BC435" s="26"/>
      <c r="BD435" s="26"/>
      <c r="BE435" s="297">
        <v>0</v>
      </c>
      <c r="BF435" s="298">
        <f t="shared" si="26"/>
        <v>0</v>
      </c>
      <c r="BG435" s="297" t="e">
        <f>VLOOKUP(B435,[1]Sheet2!$B:$X,23,0)</f>
        <v>#N/A</v>
      </c>
    </row>
    <row r="436" spans="1:59" s="28" customFormat="1" ht="33" customHeight="1">
      <c r="A436" s="26" t="s">
        <v>2205</v>
      </c>
      <c r="B436" s="26" t="s">
        <v>2206</v>
      </c>
      <c r="C436" s="26" t="s">
        <v>2207</v>
      </c>
      <c r="D436" s="26" t="s">
        <v>2208</v>
      </c>
      <c r="E436" s="26" t="s">
        <v>261</v>
      </c>
      <c r="F436" s="26" t="s">
        <v>1277</v>
      </c>
      <c r="G436" s="26" t="s">
        <v>1277</v>
      </c>
      <c r="H436" s="218" t="s">
        <v>1798</v>
      </c>
      <c r="I436" s="26" t="s">
        <v>1951</v>
      </c>
      <c r="J436" s="26"/>
      <c r="K436" s="61">
        <v>43663</v>
      </c>
      <c r="L436" s="26"/>
      <c r="M436" s="26">
        <f t="shared" ref="M436:M444" si="35">SUM(N436,W436)</f>
        <v>2399100</v>
      </c>
      <c r="N436" s="26">
        <f t="shared" ref="N436:N444" si="36">SUM(O436:V436)</f>
        <v>1122540</v>
      </c>
      <c r="O436" s="26"/>
      <c r="P436" s="26"/>
      <c r="Q436" s="26"/>
      <c r="R436" s="26"/>
      <c r="S436" s="26"/>
      <c r="T436" s="26"/>
      <c r="U436" s="26">
        <v>1122540</v>
      </c>
      <c r="V436" s="26"/>
      <c r="W436" s="26">
        <v>1276560</v>
      </c>
      <c r="X436" s="26"/>
      <c r="Y436" s="364">
        <v>0.09</v>
      </c>
      <c r="Z436" s="364"/>
      <c r="AA436" s="26"/>
      <c r="AB436" s="26"/>
      <c r="AC436" s="26"/>
      <c r="AD436" s="26"/>
      <c r="AE436" s="26"/>
      <c r="AF436" s="26"/>
      <c r="AG436" s="26"/>
      <c r="AH436" s="26">
        <v>1000000</v>
      </c>
      <c r="AI436" s="26"/>
      <c r="AJ436" s="26">
        <v>1276560</v>
      </c>
      <c r="AK436" s="26"/>
      <c r="AL436" s="26"/>
      <c r="AM436" s="26"/>
      <c r="AN436" s="26">
        <f t="shared" si="32"/>
        <v>2276560</v>
      </c>
      <c r="AO436" s="26" t="s">
        <v>2209</v>
      </c>
      <c r="AP436" s="26"/>
      <c r="AQ436" s="26"/>
      <c r="AR436" s="61">
        <v>43663</v>
      </c>
      <c r="AS436" s="61"/>
      <c r="AT436" s="308"/>
      <c r="AU436" s="26"/>
      <c r="AV436" s="26"/>
      <c r="AW436" s="26"/>
      <c r="AX436" s="26"/>
      <c r="AY436" s="26"/>
      <c r="AZ436" s="308"/>
      <c r="BA436" s="308"/>
      <c r="BB436" s="26"/>
      <c r="BC436" s="26"/>
      <c r="BD436" s="26"/>
      <c r="BE436" s="297"/>
      <c r="BF436" s="298">
        <f t="shared" si="26"/>
        <v>0</v>
      </c>
      <c r="BG436" s="297" t="e">
        <f>VLOOKUP(B436,[1]Sheet2!$B:$X,23,0)</f>
        <v>#N/A</v>
      </c>
    </row>
    <row r="437" spans="1:59" s="28" customFormat="1" ht="33" customHeight="1">
      <c r="A437" s="26" t="s">
        <v>2210</v>
      </c>
      <c r="B437" s="26" t="s">
        <v>2211</v>
      </c>
      <c r="C437" s="26" t="s">
        <v>2212</v>
      </c>
      <c r="D437" s="26" t="s">
        <v>2213</v>
      </c>
      <c r="E437" s="26" t="s">
        <v>83</v>
      </c>
      <c r="F437" s="26" t="s">
        <v>1277</v>
      </c>
      <c r="G437" s="26" t="s">
        <v>1277</v>
      </c>
      <c r="H437" s="218"/>
      <c r="I437" s="26" t="s">
        <v>2060</v>
      </c>
      <c r="J437" s="26"/>
      <c r="K437" s="61">
        <v>43662</v>
      </c>
      <c r="L437" s="26"/>
      <c r="M437" s="26">
        <f t="shared" si="35"/>
        <v>99680</v>
      </c>
      <c r="N437" s="26">
        <f t="shared" si="36"/>
        <v>99680</v>
      </c>
      <c r="O437" s="26"/>
      <c r="P437" s="26"/>
      <c r="Q437" s="26"/>
      <c r="R437" s="26"/>
      <c r="S437" s="26"/>
      <c r="T437" s="26"/>
      <c r="U437" s="26">
        <v>99680</v>
      </c>
      <c r="V437" s="26"/>
      <c r="W437" s="26"/>
      <c r="X437" s="26"/>
      <c r="Y437" s="26"/>
      <c r="Z437" s="26"/>
      <c r="AA437" s="364">
        <v>0.16</v>
      </c>
      <c r="AB437" s="26"/>
      <c r="AC437" s="26"/>
      <c r="AD437" s="26"/>
      <c r="AE437" s="26"/>
      <c r="AF437" s="26"/>
      <c r="AG437" s="26"/>
      <c r="AH437" s="26">
        <v>83630</v>
      </c>
      <c r="AI437" s="26"/>
      <c r="AJ437" s="26"/>
      <c r="AK437" s="26"/>
      <c r="AL437" s="26"/>
      <c r="AM437" s="26"/>
      <c r="AN437" s="26">
        <f t="shared" si="32"/>
        <v>83630</v>
      </c>
      <c r="AO437" s="26" t="s">
        <v>1258</v>
      </c>
      <c r="AP437" s="26"/>
      <c r="AQ437" s="26"/>
      <c r="AR437" s="61">
        <v>43662</v>
      </c>
      <c r="AS437" s="61"/>
      <c r="AT437" s="308"/>
      <c r="AU437" s="26"/>
      <c r="AV437" s="26"/>
      <c r="AW437" s="26"/>
      <c r="AX437" s="26"/>
      <c r="AY437" s="26"/>
      <c r="AZ437" s="308"/>
      <c r="BA437" s="308"/>
      <c r="BB437" s="26"/>
      <c r="BC437" s="26"/>
      <c r="BD437" s="26"/>
      <c r="BE437" s="297">
        <v>0</v>
      </c>
      <c r="BF437" s="298">
        <f t="shared" si="26"/>
        <v>0</v>
      </c>
      <c r="BG437" s="297" t="str">
        <f>VLOOKUP(B437,[1]Sheet2!$B:$X,23,0)</f>
        <v>李天慈</v>
      </c>
    </row>
    <row r="438" spans="1:59" s="28" customFormat="1" ht="33" customHeight="1">
      <c r="A438" s="26" t="s">
        <v>2214</v>
      </c>
      <c r="B438" s="26"/>
      <c r="C438" s="26" t="s">
        <v>2215</v>
      </c>
      <c r="D438" s="26" t="s">
        <v>2216</v>
      </c>
      <c r="E438" s="26"/>
      <c r="F438" s="26" t="s">
        <v>1277</v>
      </c>
      <c r="G438" s="26" t="s">
        <v>1277</v>
      </c>
      <c r="H438" s="218"/>
      <c r="I438" s="26" t="s">
        <v>2217</v>
      </c>
      <c r="J438" s="26"/>
      <c r="K438" s="61">
        <v>43662</v>
      </c>
      <c r="L438" s="26"/>
      <c r="M438" s="26">
        <f t="shared" si="35"/>
        <v>45000</v>
      </c>
      <c r="N438" s="26">
        <f t="shared" si="36"/>
        <v>45000</v>
      </c>
      <c r="O438" s="26"/>
      <c r="P438" s="26"/>
      <c r="Q438" s="26"/>
      <c r="R438" s="26"/>
      <c r="S438" s="26"/>
      <c r="T438" s="26"/>
      <c r="U438" s="26">
        <v>45000</v>
      </c>
      <c r="V438" s="26"/>
      <c r="W438" s="26"/>
      <c r="X438" s="26"/>
      <c r="Y438" s="26"/>
      <c r="Z438" s="26"/>
      <c r="AA438" s="364">
        <v>1</v>
      </c>
      <c r="AB438" s="26"/>
      <c r="AC438" s="26"/>
      <c r="AD438" s="26"/>
      <c r="AE438" s="26"/>
      <c r="AF438" s="26"/>
      <c r="AG438" s="26"/>
      <c r="AH438" s="26"/>
      <c r="AI438" s="26"/>
      <c r="AJ438" s="26"/>
      <c r="AK438" s="26"/>
      <c r="AL438" s="26"/>
      <c r="AM438" s="26"/>
      <c r="AN438" s="26">
        <f t="shared" si="32"/>
        <v>0</v>
      </c>
      <c r="AO438" s="216" t="s">
        <v>108</v>
      </c>
      <c r="AP438" s="26"/>
      <c r="AQ438" s="26"/>
      <c r="AR438" s="61">
        <v>43662</v>
      </c>
      <c r="AS438" s="61"/>
      <c r="AT438" s="308"/>
      <c r="AU438" s="26"/>
      <c r="AV438" s="26"/>
      <c r="AW438" s="26"/>
      <c r="AX438" s="26"/>
      <c r="AY438" s="26"/>
      <c r="AZ438" s="308"/>
      <c r="BA438" s="308"/>
      <c r="BB438" s="26"/>
      <c r="BC438" s="26"/>
      <c r="BD438" s="26"/>
      <c r="BE438" s="297"/>
      <c r="BF438" s="298">
        <f t="shared" si="26"/>
        <v>0</v>
      </c>
      <c r="BG438" s="297" t="e">
        <f>VLOOKUP(B438,[1]Sheet2!$B:$X,23,0)</f>
        <v>#N/A</v>
      </c>
    </row>
    <row r="439" spans="1:59" s="28" customFormat="1" ht="33" customHeight="1">
      <c r="A439" s="26" t="s">
        <v>2218</v>
      </c>
      <c r="B439" s="26" t="s">
        <v>2219</v>
      </c>
      <c r="C439" s="26" t="s">
        <v>2220</v>
      </c>
      <c r="D439" s="26" t="s">
        <v>2221</v>
      </c>
      <c r="E439" s="26" t="s">
        <v>1093</v>
      </c>
      <c r="F439" s="26" t="s">
        <v>315</v>
      </c>
      <c r="G439" s="26" t="s">
        <v>315</v>
      </c>
      <c r="H439" s="218" t="s">
        <v>1275</v>
      </c>
      <c r="I439" s="26" t="s">
        <v>107</v>
      </c>
      <c r="J439" s="26"/>
      <c r="K439" s="61">
        <v>43663</v>
      </c>
      <c r="L439" s="26"/>
      <c r="M439" s="26">
        <f t="shared" si="35"/>
        <v>63130</v>
      </c>
      <c r="N439" s="26">
        <f t="shared" si="36"/>
        <v>63130</v>
      </c>
      <c r="O439" s="26"/>
      <c r="P439" s="26"/>
      <c r="Q439" s="26"/>
      <c r="R439" s="26"/>
      <c r="S439" s="26"/>
      <c r="T439" s="26">
        <v>63130</v>
      </c>
      <c r="U439" s="26"/>
      <c r="V439" s="26"/>
      <c r="W439" s="26"/>
      <c r="X439" s="26"/>
      <c r="Y439" s="26"/>
      <c r="Z439" s="26"/>
      <c r="AA439" s="364">
        <v>0.2</v>
      </c>
      <c r="AB439" s="26"/>
      <c r="AC439" s="26"/>
      <c r="AD439" s="26">
        <v>27890</v>
      </c>
      <c r="AE439" s="26"/>
      <c r="AF439" s="26"/>
      <c r="AG439" s="26"/>
      <c r="AH439" s="26">
        <v>50500</v>
      </c>
      <c r="AI439" s="26"/>
      <c r="AJ439" s="26"/>
      <c r="AK439" s="26"/>
      <c r="AL439" s="26"/>
      <c r="AM439" s="26"/>
      <c r="AN439" s="26">
        <f t="shared" si="32"/>
        <v>78390</v>
      </c>
      <c r="AO439" s="26" t="s">
        <v>286</v>
      </c>
      <c r="AP439" s="26"/>
      <c r="AQ439" s="26"/>
      <c r="AR439" s="61">
        <v>43663</v>
      </c>
      <c r="AS439" s="308">
        <v>43697</v>
      </c>
      <c r="AT439" s="308">
        <v>43698</v>
      </c>
      <c r="AU439" s="26"/>
      <c r="AV439" s="26" t="s">
        <v>66</v>
      </c>
      <c r="AW439" s="26"/>
      <c r="AX439" s="26" t="s">
        <v>86</v>
      </c>
      <c r="AY439" s="26"/>
      <c r="AZ439" s="308">
        <v>43703</v>
      </c>
      <c r="BA439" s="308">
        <v>43707</v>
      </c>
      <c r="BB439" s="26"/>
      <c r="BC439" s="61">
        <v>44068</v>
      </c>
      <c r="BD439" s="26" t="s">
        <v>88</v>
      </c>
      <c r="BE439" s="297">
        <v>63130</v>
      </c>
      <c r="BF439" s="298">
        <f t="shared" si="26"/>
        <v>1</v>
      </c>
      <c r="BG439" s="297" t="e">
        <f>VLOOKUP(B439,[1]Sheet2!$B:$X,23,0)</f>
        <v>#N/A</v>
      </c>
    </row>
    <row r="440" spans="1:59" s="28" customFormat="1" ht="33" customHeight="1">
      <c r="A440" s="26" t="s">
        <v>2222</v>
      </c>
      <c r="B440" s="26" t="s">
        <v>2223</v>
      </c>
      <c r="C440" s="26" t="s">
        <v>2224</v>
      </c>
      <c r="D440" s="26" t="s">
        <v>2225</v>
      </c>
      <c r="E440" s="26" t="s">
        <v>174</v>
      </c>
      <c r="F440" s="26" t="s">
        <v>2104</v>
      </c>
      <c r="G440" s="26" t="s">
        <v>2104</v>
      </c>
      <c r="H440" s="218"/>
      <c r="I440" s="26" t="s">
        <v>1937</v>
      </c>
      <c r="J440" s="26"/>
      <c r="K440" s="61">
        <v>43658</v>
      </c>
      <c r="L440" s="26"/>
      <c r="M440" s="26">
        <f t="shared" si="35"/>
        <v>77000</v>
      </c>
      <c r="N440" s="26">
        <f t="shared" si="36"/>
        <v>77000</v>
      </c>
      <c r="O440" s="26"/>
      <c r="P440" s="26"/>
      <c r="Q440" s="26">
        <v>54877</v>
      </c>
      <c r="R440" s="26"/>
      <c r="S440" s="26"/>
      <c r="T440" s="26">
        <v>22123</v>
      </c>
      <c r="U440" s="26"/>
      <c r="V440" s="26"/>
      <c r="W440" s="26"/>
      <c r="X440" s="26"/>
      <c r="Y440" s="26"/>
      <c r="Z440" s="26"/>
      <c r="AA440" s="364">
        <v>0.15</v>
      </c>
      <c r="AB440" s="26"/>
      <c r="AC440" s="26"/>
      <c r="AD440" s="28">
        <f>73482-AG440</f>
        <v>54677</v>
      </c>
      <c r="AE440" s="26"/>
      <c r="AF440" s="26"/>
      <c r="AG440" s="26">
        <v>18805</v>
      </c>
      <c r="AH440" s="26"/>
      <c r="AI440" s="26"/>
      <c r="AJ440" s="26"/>
      <c r="AK440" s="26"/>
      <c r="AL440" s="26"/>
      <c r="AM440" s="26"/>
      <c r="AN440" s="26">
        <f t="shared" si="32"/>
        <v>73482</v>
      </c>
      <c r="AO440" s="26" t="s">
        <v>114</v>
      </c>
      <c r="AP440" s="26"/>
      <c r="AQ440" s="26"/>
      <c r="AR440" s="26" t="s">
        <v>384</v>
      </c>
      <c r="AS440" s="26"/>
      <c r="AT440" s="308">
        <v>43696</v>
      </c>
      <c r="AU440" s="26"/>
      <c r="AV440" s="26" t="s">
        <v>66</v>
      </c>
      <c r="AW440" s="26"/>
      <c r="AX440" s="26" t="s">
        <v>86</v>
      </c>
      <c r="AY440" s="26"/>
      <c r="AZ440" s="308">
        <v>43738</v>
      </c>
      <c r="BA440" s="308">
        <v>43758</v>
      </c>
      <c r="BB440" s="26"/>
      <c r="BC440" s="61">
        <v>44103</v>
      </c>
      <c r="BD440" s="26" t="s">
        <v>88</v>
      </c>
      <c r="BE440" s="297">
        <v>23100</v>
      </c>
      <c r="BF440" s="298">
        <f t="shared" si="26"/>
        <v>0.3</v>
      </c>
      <c r="BG440" s="297" t="str">
        <f>VLOOKUP(B440,[1]Sheet2!$B:$X,23,0)</f>
        <v>杨楠</v>
      </c>
    </row>
    <row r="441" spans="1:59" s="28" customFormat="1" ht="33" customHeight="1">
      <c r="A441" s="26" t="s">
        <v>2226</v>
      </c>
      <c r="B441" s="26" t="s">
        <v>2227</v>
      </c>
      <c r="C441" s="26" t="s">
        <v>2228</v>
      </c>
      <c r="D441" s="26" t="s">
        <v>2229</v>
      </c>
      <c r="E441" s="26" t="s">
        <v>1093</v>
      </c>
      <c r="F441" s="26" t="s">
        <v>315</v>
      </c>
      <c r="G441" s="26" t="s">
        <v>315</v>
      </c>
      <c r="H441" s="218" t="s">
        <v>1275</v>
      </c>
      <c r="I441" s="26" t="s">
        <v>107</v>
      </c>
      <c r="J441" s="26"/>
      <c r="K441" s="61">
        <v>43658</v>
      </c>
      <c r="L441" s="26"/>
      <c r="M441" s="26">
        <f t="shared" si="35"/>
        <v>307090</v>
      </c>
      <c r="N441" s="26">
        <f t="shared" si="36"/>
        <v>307090</v>
      </c>
      <c r="O441" s="26"/>
      <c r="P441" s="26"/>
      <c r="Q441" s="26"/>
      <c r="R441" s="26"/>
      <c r="S441" s="26"/>
      <c r="T441" s="26">
        <v>307090</v>
      </c>
      <c r="U441" s="26"/>
      <c r="V441" s="26"/>
      <c r="W441" s="26"/>
      <c r="X441" s="26"/>
      <c r="Y441" s="26"/>
      <c r="Z441" s="26"/>
      <c r="AA441" s="364">
        <v>0.2</v>
      </c>
      <c r="AB441" s="26"/>
      <c r="AC441" s="26"/>
      <c r="AD441" s="26"/>
      <c r="AE441" s="26"/>
      <c r="AF441" s="26"/>
      <c r="AG441" s="26">
        <v>245600</v>
      </c>
      <c r="AH441" s="26"/>
      <c r="AI441" s="26"/>
      <c r="AJ441" s="26"/>
      <c r="AK441" s="26"/>
      <c r="AL441" s="26"/>
      <c r="AM441" s="26"/>
      <c r="AN441" s="26">
        <f t="shared" si="32"/>
        <v>245600</v>
      </c>
      <c r="AO441" s="26" t="s">
        <v>286</v>
      </c>
      <c r="AP441" s="26"/>
      <c r="AQ441" s="26"/>
      <c r="AR441" s="61">
        <v>43602</v>
      </c>
      <c r="AS441" s="308">
        <v>43697</v>
      </c>
      <c r="AT441" s="308">
        <v>43698</v>
      </c>
      <c r="AU441" s="26"/>
      <c r="AV441" s="26" t="s">
        <v>66</v>
      </c>
      <c r="AW441" s="26"/>
      <c r="AX441" s="26" t="s">
        <v>86</v>
      </c>
      <c r="AY441" s="26"/>
      <c r="AZ441" s="308">
        <v>43703</v>
      </c>
      <c r="BA441" s="308">
        <v>43707</v>
      </c>
      <c r="BB441" s="26"/>
      <c r="BC441" s="61">
        <v>44068</v>
      </c>
      <c r="BD441" s="26" t="s">
        <v>88</v>
      </c>
      <c r="BE441" s="297">
        <v>307090</v>
      </c>
      <c r="BF441" s="298">
        <f t="shared" si="26"/>
        <v>1</v>
      </c>
      <c r="BG441" s="297" t="e">
        <f>VLOOKUP(B441,[1]Sheet2!$B:$X,23,0)</f>
        <v>#N/A</v>
      </c>
    </row>
    <row r="442" spans="1:59" s="28" customFormat="1" ht="33" customHeight="1">
      <c r="A442" s="26" t="s">
        <v>2230</v>
      </c>
      <c r="B442" s="26" t="s">
        <v>2231</v>
      </c>
      <c r="C442" s="26" t="s">
        <v>2232</v>
      </c>
      <c r="D442" s="26" t="s">
        <v>2233</v>
      </c>
      <c r="E442" s="26" t="s">
        <v>75</v>
      </c>
      <c r="F442" s="26" t="s">
        <v>315</v>
      </c>
      <c r="G442" s="26" t="s">
        <v>315</v>
      </c>
      <c r="H442" s="218"/>
      <c r="I442" s="26" t="s">
        <v>76</v>
      </c>
      <c r="J442" s="26"/>
      <c r="K442" s="61">
        <v>43602</v>
      </c>
      <c r="L442" s="26"/>
      <c r="M442" s="26">
        <f t="shared" si="35"/>
        <v>23510</v>
      </c>
      <c r="N442" s="26">
        <f t="shared" si="36"/>
        <v>23510</v>
      </c>
      <c r="O442" s="26"/>
      <c r="P442" s="26"/>
      <c r="Q442" s="26">
        <v>13500</v>
      </c>
      <c r="R442" s="26"/>
      <c r="S442" s="26"/>
      <c r="T442" s="26">
        <v>10010</v>
      </c>
      <c r="U442" s="26"/>
      <c r="V442" s="26"/>
      <c r="W442" s="26"/>
      <c r="X442" s="26"/>
      <c r="Y442" s="26"/>
      <c r="Z442" s="26"/>
      <c r="AA442" s="26"/>
      <c r="AB442" s="26"/>
      <c r="AC442" s="26"/>
      <c r="AD442" s="26">
        <v>11475.15</v>
      </c>
      <c r="AE442" s="26"/>
      <c r="AF442" s="26"/>
      <c r="AG442" s="26">
        <v>8279.64</v>
      </c>
      <c r="AH442" s="26"/>
      <c r="AI442" s="26"/>
      <c r="AJ442" s="26"/>
      <c r="AK442" s="26"/>
      <c r="AL442" s="26"/>
      <c r="AM442" s="26"/>
      <c r="AN442" s="26">
        <f t="shared" si="32"/>
        <v>19754.79</v>
      </c>
      <c r="AO442" s="26" t="s">
        <v>114</v>
      </c>
      <c r="AP442" s="26"/>
      <c r="AQ442" s="26"/>
      <c r="AR442" s="61">
        <v>43603</v>
      </c>
      <c r="AS442" s="61"/>
      <c r="AT442" s="308"/>
      <c r="AU442" s="26"/>
      <c r="AV442" s="26"/>
      <c r="AW442" s="26"/>
      <c r="AX442" s="26"/>
      <c r="AY442" s="26"/>
      <c r="AZ442" s="308"/>
      <c r="BA442" s="308"/>
      <c r="BB442" s="26"/>
      <c r="BC442" s="26"/>
      <c r="BD442" s="26"/>
      <c r="BE442" s="297">
        <v>0</v>
      </c>
      <c r="BF442" s="298">
        <f t="shared" si="26"/>
        <v>0</v>
      </c>
      <c r="BG442" s="297" t="e">
        <f>VLOOKUP(B442,[1]Sheet2!$B:$X,23,0)</f>
        <v>#N/A</v>
      </c>
    </row>
    <row r="443" spans="1:59" s="28" customFormat="1" ht="33" customHeight="1">
      <c r="A443" s="26" t="s">
        <v>2234</v>
      </c>
      <c r="B443" s="26" t="s">
        <v>391</v>
      </c>
      <c r="C443" s="26" t="s">
        <v>2235</v>
      </c>
      <c r="D443" s="26" t="s">
        <v>2236</v>
      </c>
      <c r="E443" s="26" t="s">
        <v>168</v>
      </c>
      <c r="F443" s="26" t="s">
        <v>315</v>
      </c>
      <c r="G443" s="26" t="s">
        <v>315</v>
      </c>
      <c r="H443" s="218" t="s">
        <v>1314</v>
      </c>
      <c r="I443" s="26" t="s">
        <v>107</v>
      </c>
      <c r="J443" s="26"/>
      <c r="K443" s="61">
        <v>43602</v>
      </c>
      <c r="L443" s="26"/>
      <c r="M443" s="26">
        <f t="shared" si="35"/>
        <v>149512.32000000001</v>
      </c>
      <c r="N443" s="26">
        <f t="shared" si="36"/>
        <v>149512.32000000001</v>
      </c>
      <c r="O443" s="26"/>
      <c r="P443" s="26"/>
      <c r="Q443" s="26">
        <v>22990.32</v>
      </c>
      <c r="R443" s="26"/>
      <c r="S443" s="26"/>
      <c r="T443" s="26">
        <v>126522</v>
      </c>
      <c r="U443" s="26"/>
      <c r="V443" s="26"/>
      <c r="W443" s="26"/>
      <c r="X443" s="26"/>
      <c r="Y443" s="26"/>
      <c r="Z443" s="26"/>
      <c r="AA443" s="364">
        <v>0.15</v>
      </c>
      <c r="AB443" s="26"/>
      <c r="AC443" s="26"/>
      <c r="AD443" s="26">
        <v>19541.77</v>
      </c>
      <c r="AE443" s="26"/>
      <c r="AF443" s="26"/>
      <c r="AG443" s="26">
        <v>1078543.7</v>
      </c>
      <c r="AH443" s="26"/>
      <c r="AI443" s="26"/>
      <c r="AJ443" s="26"/>
      <c r="AK443" s="26"/>
      <c r="AL443" s="26"/>
      <c r="AM443" s="26"/>
      <c r="AN443" s="26">
        <f t="shared" si="32"/>
        <v>1098085.47</v>
      </c>
      <c r="AO443" s="26" t="s">
        <v>62</v>
      </c>
      <c r="AP443" s="26"/>
      <c r="AQ443" s="26"/>
      <c r="AR443" s="26" t="s">
        <v>384</v>
      </c>
      <c r="AS443" s="26"/>
      <c r="AT443" s="308"/>
      <c r="AU443" s="26"/>
      <c r="AV443" s="26"/>
      <c r="AW443" s="26"/>
      <c r="AX443" s="26"/>
      <c r="AY443" s="26"/>
      <c r="AZ443" s="308"/>
      <c r="BA443" s="308"/>
      <c r="BB443" s="26"/>
      <c r="BC443" s="26"/>
      <c r="BD443" s="26"/>
      <c r="BE443" s="297">
        <v>6717672</v>
      </c>
      <c r="BF443" s="298">
        <f t="shared" si="26"/>
        <v>44.930558230920369</v>
      </c>
      <c r="BG443" s="297" t="e">
        <f>VLOOKUP(B443,[1]Sheet2!$B:$X,23,0)</f>
        <v>#N/A</v>
      </c>
    </row>
    <row r="444" spans="1:59" s="28" customFormat="1" ht="33" customHeight="1">
      <c r="A444" s="26" t="s">
        <v>2237</v>
      </c>
      <c r="B444" s="26" t="s">
        <v>2238</v>
      </c>
      <c r="C444" s="26" t="s">
        <v>2239</v>
      </c>
      <c r="D444" s="26" t="s">
        <v>2240</v>
      </c>
      <c r="E444" s="26" t="s">
        <v>75</v>
      </c>
      <c r="F444" s="26" t="s">
        <v>315</v>
      </c>
      <c r="G444" s="26" t="s">
        <v>315</v>
      </c>
      <c r="H444" s="218" t="s">
        <v>1275</v>
      </c>
      <c r="I444" s="26" t="s">
        <v>1987</v>
      </c>
      <c r="J444" s="26"/>
      <c r="K444" s="61">
        <v>43586</v>
      </c>
      <c r="L444" s="26"/>
      <c r="M444" s="26">
        <f t="shared" si="35"/>
        <v>190634.8</v>
      </c>
      <c r="N444" s="26">
        <f t="shared" si="36"/>
        <v>190634.8</v>
      </c>
      <c r="O444" s="26"/>
      <c r="P444" s="26">
        <v>110154.8</v>
      </c>
      <c r="Q444" s="26"/>
      <c r="R444" s="26"/>
      <c r="S444" s="26"/>
      <c r="T444" s="26"/>
      <c r="U444" s="26">
        <v>80480</v>
      </c>
      <c r="V444" s="26"/>
      <c r="W444" s="26"/>
      <c r="X444" s="26"/>
      <c r="Y444" s="26"/>
      <c r="Z444" s="26"/>
      <c r="AA444" s="364">
        <v>0.15</v>
      </c>
      <c r="AB444" s="26"/>
      <c r="AC444" s="26">
        <v>109053.25199999999</v>
      </c>
      <c r="AD444" s="26"/>
      <c r="AE444" s="26"/>
      <c r="AF444" s="26"/>
      <c r="AG444" s="26"/>
      <c r="AH444" s="26">
        <v>54315.78</v>
      </c>
      <c r="AI444" s="26"/>
      <c r="AJ444" s="26"/>
      <c r="AK444" s="26"/>
      <c r="AL444" s="26"/>
      <c r="AM444" s="26"/>
      <c r="AN444" s="26">
        <f t="shared" si="32"/>
        <v>163369.03200000001</v>
      </c>
      <c r="AO444" s="26" t="s">
        <v>114</v>
      </c>
      <c r="AP444" s="26"/>
      <c r="AQ444" s="26"/>
      <c r="AR444" s="61">
        <v>43603</v>
      </c>
      <c r="AS444" s="61">
        <v>43700</v>
      </c>
      <c r="AT444" s="308"/>
      <c r="AU444" s="26"/>
      <c r="AV444" s="26" t="s">
        <v>66</v>
      </c>
      <c r="AW444" s="26"/>
      <c r="AX444" s="26" t="s">
        <v>86</v>
      </c>
      <c r="AY444" s="26"/>
      <c r="AZ444" s="308">
        <v>43631</v>
      </c>
      <c r="BA444" s="308">
        <v>43748</v>
      </c>
      <c r="BB444" s="26"/>
      <c r="BC444" s="61">
        <v>43996</v>
      </c>
      <c r="BD444" s="26" t="s">
        <v>88</v>
      </c>
      <c r="BE444" s="297">
        <v>185172.03</v>
      </c>
      <c r="BF444" s="298">
        <f t="shared" si="26"/>
        <v>0.97134431908549757</v>
      </c>
      <c r="BG444" s="297" t="str">
        <f>VLOOKUP(B444,[1]Sheet2!$B:$X,23,0)</f>
        <v>章双佐</v>
      </c>
    </row>
    <row r="445" spans="1:59" s="28" customFormat="1" ht="33" customHeight="1">
      <c r="A445" s="26" t="s">
        <v>2241</v>
      </c>
      <c r="B445" s="26" t="s">
        <v>2242</v>
      </c>
      <c r="C445" s="26" t="s">
        <v>2243</v>
      </c>
      <c r="D445" s="26" t="s">
        <v>2244</v>
      </c>
      <c r="E445" s="26" t="s">
        <v>374</v>
      </c>
      <c r="F445" s="26" t="s">
        <v>315</v>
      </c>
      <c r="G445" s="26" t="s">
        <v>315</v>
      </c>
      <c r="H445" s="218" t="s">
        <v>1275</v>
      </c>
      <c r="I445" s="26" t="s">
        <v>1987</v>
      </c>
      <c r="J445" s="26"/>
      <c r="K445" s="61">
        <v>43664</v>
      </c>
      <c r="L445" s="26"/>
      <c r="M445" s="26">
        <f t="shared" ref="M445:M448" si="37">SUM(N445,W445)</f>
        <v>24000</v>
      </c>
      <c r="N445" s="26">
        <f t="shared" ref="N445:N451" si="38">SUM(O445:V445)</f>
        <v>24000</v>
      </c>
      <c r="O445" s="26"/>
      <c r="P445" s="26"/>
      <c r="Q445" s="26"/>
      <c r="R445" s="26"/>
      <c r="S445" s="26"/>
      <c r="T445" s="26"/>
      <c r="U445" s="26">
        <v>24000</v>
      </c>
      <c r="V445" s="26"/>
      <c r="W445" s="26"/>
      <c r="X445" s="26"/>
      <c r="Y445" s="26"/>
      <c r="Z445" s="26"/>
      <c r="AA445" s="364">
        <v>0.15</v>
      </c>
      <c r="AB445" s="26"/>
      <c r="AC445" s="26"/>
      <c r="AD445" s="26"/>
      <c r="AE445" s="26"/>
      <c r="AF445" s="26"/>
      <c r="AG445" s="26">
        <v>20400</v>
      </c>
      <c r="AH445" s="26"/>
      <c r="AI445" s="26"/>
      <c r="AJ445" s="26"/>
      <c r="AK445" s="26"/>
      <c r="AL445" s="26"/>
      <c r="AM445" s="26"/>
      <c r="AN445" s="26">
        <f t="shared" si="32"/>
        <v>20400</v>
      </c>
      <c r="AO445" s="26" t="s">
        <v>77</v>
      </c>
      <c r="AP445" s="26"/>
      <c r="AQ445" s="26"/>
      <c r="AR445" s="61">
        <v>43665</v>
      </c>
      <c r="AS445" s="61">
        <v>43676</v>
      </c>
      <c r="AT445" s="308">
        <v>43678</v>
      </c>
      <c r="AU445" s="26"/>
      <c r="AV445" s="26" t="s">
        <v>66</v>
      </c>
      <c r="AW445" s="26"/>
      <c r="AX445" s="26" t="s">
        <v>86</v>
      </c>
      <c r="AY445" s="26"/>
      <c r="AZ445" s="308">
        <v>43703</v>
      </c>
      <c r="BA445" s="308">
        <v>43703</v>
      </c>
      <c r="BB445" s="26"/>
      <c r="BC445" s="61">
        <v>44068</v>
      </c>
      <c r="BD445" s="26" t="s">
        <v>88</v>
      </c>
      <c r="BE445" s="297">
        <v>24000</v>
      </c>
      <c r="BF445" s="298">
        <f t="shared" si="26"/>
        <v>1</v>
      </c>
      <c r="BG445" s="297" t="str">
        <f>VLOOKUP(B445,[1]Sheet2!$B:$X,23,0)</f>
        <v>章双佐</v>
      </c>
    </row>
    <row r="446" spans="1:59" s="28" customFormat="1" ht="33" customHeight="1">
      <c r="A446" s="26" t="s">
        <v>2245</v>
      </c>
      <c r="B446" s="26" t="s">
        <v>2246</v>
      </c>
      <c r="C446" s="26" t="s">
        <v>2247</v>
      </c>
      <c r="D446" s="26" t="s">
        <v>2248</v>
      </c>
      <c r="E446" s="26" t="s">
        <v>374</v>
      </c>
      <c r="F446" s="26" t="s">
        <v>315</v>
      </c>
      <c r="G446" s="26" t="s">
        <v>315</v>
      </c>
      <c r="H446" s="218" t="s">
        <v>1275</v>
      </c>
      <c r="I446" s="26" t="s">
        <v>1998</v>
      </c>
      <c r="J446" s="26"/>
      <c r="K446" s="61">
        <v>43671</v>
      </c>
      <c r="L446" s="26"/>
      <c r="M446" s="26">
        <f t="shared" si="37"/>
        <v>35000</v>
      </c>
      <c r="N446" s="26">
        <f t="shared" si="38"/>
        <v>35000</v>
      </c>
      <c r="O446" s="26"/>
      <c r="P446" s="26"/>
      <c r="Q446" s="26"/>
      <c r="R446" s="26"/>
      <c r="S446" s="26"/>
      <c r="T446" s="26"/>
      <c r="U446" s="26">
        <v>35000</v>
      </c>
      <c r="V446" s="26"/>
      <c r="W446" s="26"/>
      <c r="X446" s="26"/>
      <c r="Y446" s="26"/>
      <c r="Z446" s="26"/>
      <c r="AA446" s="26"/>
      <c r="AB446" s="26"/>
      <c r="AC446" s="26"/>
      <c r="AD446" s="26"/>
      <c r="AE446" s="26"/>
      <c r="AF446" s="26"/>
      <c r="AG446" s="26"/>
      <c r="AH446" s="26">
        <v>29750</v>
      </c>
      <c r="AI446" s="26"/>
      <c r="AJ446" s="26"/>
      <c r="AK446" s="26"/>
      <c r="AL446" s="26"/>
      <c r="AM446" s="26"/>
      <c r="AN446" s="26">
        <f t="shared" si="32"/>
        <v>29750</v>
      </c>
      <c r="AO446" s="26" t="s">
        <v>77</v>
      </c>
      <c r="AP446" s="26"/>
      <c r="AQ446" s="26"/>
      <c r="AR446" s="61">
        <v>43671</v>
      </c>
      <c r="AS446" s="61">
        <v>43677</v>
      </c>
      <c r="AT446" s="308">
        <v>43677</v>
      </c>
      <c r="AU446" s="26"/>
      <c r="AV446" s="26" t="s">
        <v>66</v>
      </c>
      <c r="AW446" s="26"/>
      <c r="AX446" s="26" t="s">
        <v>86</v>
      </c>
      <c r="AY446" s="26"/>
      <c r="AZ446" s="61">
        <v>43702</v>
      </c>
      <c r="BA446" s="308">
        <v>43671</v>
      </c>
      <c r="BB446" s="26"/>
      <c r="BC446" s="61">
        <v>44067</v>
      </c>
      <c r="BD446" s="26" t="s">
        <v>88</v>
      </c>
      <c r="BE446" s="297">
        <v>35000</v>
      </c>
      <c r="BF446" s="298">
        <f t="shared" si="26"/>
        <v>1</v>
      </c>
      <c r="BG446" s="297" t="e">
        <f>VLOOKUP(B446,[1]Sheet2!$B:$X,23,0)</f>
        <v>#N/A</v>
      </c>
    </row>
    <row r="447" spans="1:59" s="28" customFormat="1" ht="33" customHeight="1">
      <c r="A447" s="26" t="s">
        <v>2249</v>
      </c>
      <c r="B447" s="26" t="s">
        <v>2250</v>
      </c>
      <c r="C447" s="26" t="s">
        <v>2251</v>
      </c>
      <c r="D447" s="26" t="s">
        <v>2252</v>
      </c>
      <c r="E447" s="26" t="s">
        <v>374</v>
      </c>
      <c r="F447" s="26" t="s">
        <v>315</v>
      </c>
      <c r="G447" s="26" t="s">
        <v>315</v>
      </c>
      <c r="H447" s="218" t="s">
        <v>1275</v>
      </c>
      <c r="I447" s="26" t="s">
        <v>2217</v>
      </c>
      <c r="J447" s="26"/>
      <c r="K447" s="61">
        <v>43670</v>
      </c>
      <c r="L447" s="26"/>
      <c r="M447" s="26">
        <f t="shared" si="37"/>
        <v>170000</v>
      </c>
      <c r="N447" s="26">
        <f t="shared" si="38"/>
        <v>170000</v>
      </c>
      <c r="O447" s="26"/>
      <c r="P447" s="26"/>
      <c r="Q447" s="26"/>
      <c r="R447" s="26"/>
      <c r="S447" s="26"/>
      <c r="T447" s="26">
        <v>170000</v>
      </c>
      <c r="U447" s="26"/>
      <c r="V447" s="26"/>
      <c r="W447" s="26"/>
      <c r="X447" s="26"/>
      <c r="Y447" s="26"/>
      <c r="Z447" s="26"/>
      <c r="AA447" s="26"/>
      <c r="AB447" s="26"/>
      <c r="AC447" s="26"/>
      <c r="AD447" s="26"/>
      <c r="AE447" s="26"/>
      <c r="AF447" s="26"/>
      <c r="AG447" s="26">
        <v>144500</v>
      </c>
      <c r="AH447" s="26"/>
      <c r="AI447" s="26"/>
      <c r="AJ447" s="26"/>
      <c r="AK447" s="26"/>
      <c r="AL447" s="26"/>
      <c r="AM447" s="26"/>
      <c r="AN447" s="26">
        <f t="shared" si="32"/>
        <v>144500</v>
      </c>
      <c r="AO447" s="26" t="s">
        <v>77</v>
      </c>
      <c r="AP447" s="26"/>
      <c r="AQ447" s="26"/>
      <c r="AR447" s="61">
        <v>43670</v>
      </c>
      <c r="AS447" s="61">
        <v>43697</v>
      </c>
      <c r="AT447" s="308">
        <v>43697</v>
      </c>
      <c r="AU447" s="26"/>
      <c r="AV447" s="26" t="s">
        <v>66</v>
      </c>
      <c r="AW447" s="26"/>
      <c r="AX447" s="26" t="s">
        <v>86</v>
      </c>
      <c r="AY447" s="26"/>
      <c r="AZ447" s="308">
        <v>43703</v>
      </c>
      <c r="BA447" s="308">
        <v>43683</v>
      </c>
      <c r="BB447" s="26"/>
      <c r="BC447" s="61">
        <v>44044</v>
      </c>
      <c r="BD447" s="26" t="s">
        <v>88</v>
      </c>
      <c r="BE447" s="297">
        <v>170000</v>
      </c>
      <c r="BF447" s="298">
        <f t="shared" si="26"/>
        <v>1</v>
      </c>
      <c r="BG447" s="297" t="e">
        <f>VLOOKUP(B447,[1]Sheet2!$B:$X,23,0)</f>
        <v>#N/A</v>
      </c>
    </row>
    <row r="448" spans="1:59" s="28" customFormat="1" ht="33" customHeight="1">
      <c r="A448" s="26" t="s">
        <v>2253</v>
      </c>
      <c r="B448" s="26" t="s">
        <v>2254</v>
      </c>
      <c r="C448" s="26" t="s">
        <v>2255</v>
      </c>
      <c r="D448" s="26" t="s">
        <v>2256</v>
      </c>
      <c r="E448" s="26" t="s">
        <v>83</v>
      </c>
      <c r="F448" s="26" t="s">
        <v>315</v>
      </c>
      <c r="G448" s="26" t="s">
        <v>315</v>
      </c>
      <c r="H448" s="218" t="s">
        <v>1275</v>
      </c>
      <c r="I448" s="26" t="s">
        <v>2217</v>
      </c>
      <c r="J448" s="26"/>
      <c r="K448" s="61">
        <v>43670</v>
      </c>
      <c r="L448" s="26"/>
      <c r="M448" s="26">
        <f t="shared" si="37"/>
        <v>30000</v>
      </c>
      <c r="N448" s="26">
        <f t="shared" si="38"/>
        <v>30000</v>
      </c>
      <c r="O448" s="26"/>
      <c r="P448" s="26"/>
      <c r="Q448" s="26"/>
      <c r="R448" s="26"/>
      <c r="S448" s="26"/>
      <c r="T448" s="26"/>
      <c r="U448" s="26">
        <v>30000</v>
      </c>
      <c r="V448" s="26"/>
      <c r="W448" s="26"/>
      <c r="X448" s="26"/>
      <c r="Y448" s="26"/>
      <c r="Z448" s="26"/>
      <c r="AA448" s="26"/>
      <c r="AB448" s="26"/>
      <c r="AC448" s="26"/>
      <c r="AD448" s="26"/>
      <c r="AE448" s="26"/>
      <c r="AF448" s="26"/>
      <c r="AG448" s="26">
        <v>25500</v>
      </c>
      <c r="AH448" s="26"/>
      <c r="AI448" s="26"/>
      <c r="AJ448" s="26"/>
      <c r="AK448" s="26"/>
      <c r="AL448" s="26"/>
      <c r="AM448" s="26"/>
      <c r="AN448" s="26">
        <f t="shared" si="32"/>
        <v>25500</v>
      </c>
      <c r="AO448" s="26" t="s">
        <v>1843</v>
      </c>
      <c r="AP448" s="26"/>
      <c r="AQ448" s="26"/>
      <c r="AR448" s="61">
        <v>43670</v>
      </c>
      <c r="AS448" s="61">
        <v>43692</v>
      </c>
      <c r="AT448" s="308">
        <v>43687</v>
      </c>
      <c r="AU448" s="26"/>
      <c r="AV448" s="26" t="s">
        <v>66</v>
      </c>
      <c r="AW448" s="26"/>
      <c r="AX448" s="26" t="s">
        <v>86</v>
      </c>
      <c r="AY448" s="26"/>
      <c r="AZ448" s="308">
        <v>43728</v>
      </c>
      <c r="BA448" s="308">
        <v>43728</v>
      </c>
      <c r="BB448" s="26"/>
      <c r="BC448" s="61">
        <v>44093</v>
      </c>
      <c r="BD448" s="26" t="s">
        <v>88</v>
      </c>
      <c r="BE448" s="297">
        <v>30000</v>
      </c>
      <c r="BF448" s="298">
        <f t="shared" si="26"/>
        <v>1</v>
      </c>
      <c r="BG448" s="297" t="e">
        <f>VLOOKUP(B448,[1]Sheet2!$B:$X,23,0)</f>
        <v>#N/A</v>
      </c>
    </row>
    <row r="449" spans="1:59" s="28" customFormat="1" ht="33" customHeight="1">
      <c r="A449" s="26" t="s">
        <v>2257</v>
      </c>
      <c r="B449" s="26" t="s">
        <v>2258</v>
      </c>
      <c r="C449" s="26" t="s">
        <v>2259</v>
      </c>
      <c r="D449" s="26" t="s">
        <v>2260</v>
      </c>
      <c r="E449" s="26" t="s">
        <v>168</v>
      </c>
      <c r="F449" s="26" t="s">
        <v>2117</v>
      </c>
      <c r="G449" s="26" t="s">
        <v>2117</v>
      </c>
      <c r="H449" s="218" t="s">
        <v>1314</v>
      </c>
      <c r="I449" s="26" t="s">
        <v>2035</v>
      </c>
      <c r="J449" s="26"/>
      <c r="K449" s="61">
        <v>43668</v>
      </c>
      <c r="L449" s="26"/>
      <c r="M449" s="26">
        <f>SUM(N449,W449,Z449)</f>
        <v>1363057.68</v>
      </c>
      <c r="N449" s="26">
        <f t="shared" si="38"/>
        <v>815700</v>
      </c>
      <c r="O449" s="26"/>
      <c r="P449" s="26"/>
      <c r="Q449" s="26"/>
      <c r="R449" s="26"/>
      <c r="S449" s="26"/>
      <c r="T449" s="26"/>
      <c r="U449" s="26">
        <v>815700</v>
      </c>
      <c r="V449" s="26"/>
      <c r="W449" s="26">
        <f>180000+70200</f>
        <v>250200</v>
      </c>
      <c r="X449" s="26"/>
      <c r="Y449" s="26"/>
      <c r="Z449" s="26">
        <v>297157.68</v>
      </c>
      <c r="AA449" s="364">
        <v>0.15</v>
      </c>
      <c r="AB449" s="26"/>
      <c r="AC449" s="26"/>
      <c r="AD449" s="26"/>
      <c r="AE449" s="26"/>
      <c r="AF449" s="26"/>
      <c r="AG449" s="26">
        <v>673620</v>
      </c>
      <c r="AH449" s="26"/>
      <c r="AI449" s="26"/>
      <c r="AJ449" s="26">
        <v>180000</v>
      </c>
      <c r="AK449" s="26">
        <v>70200</v>
      </c>
      <c r="AL449" s="26"/>
      <c r="AM449" s="26">
        <v>297150.48</v>
      </c>
      <c r="AN449" s="26">
        <f>SUM(AB449:AM449)</f>
        <v>1220970.48</v>
      </c>
      <c r="AO449" s="26" t="s">
        <v>1258</v>
      </c>
      <c r="AP449" s="26"/>
      <c r="AQ449" s="26"/>
      <c r="AR449" s="61">
        <v>43668</v>
      </c>
      <c r="AS449" s="61"/>
      <c r="AT449" s="308"/>
      <c r="AU449" s="26"/>
      <c r="AV449" s="26"/>
      <c r="AW449" s="26"/>
      <c r="AX449" s="26"/>
      <c r="AY449" s="26"/>
      <c r="AZ449" s="308"/>
      <c r="BA449" s="308"/>
      <c r="BB449" s="26"/>
      <c r="BC449" s="26"/>
      <c r="BD449" s="26"/>
      <c r="BE449" s="297">
        <v>408917.3</v>
      </c>
      <c r="BF449" s="298">
        <f t="shared" si="26"/>
        <v>0.29999999706542135</v>
      </c>
      <c r="BG449" s="297" t="str">
        <f>VLOOKUP(B449,[1]Sheet2!$B:$X,23,0)</f>
        <v>付欣</v>
      </c>
    </row>
    <row r="450" spans="1:59" s="28" customFormat="1" ht="33" customHeight="1">
      <c r="A450" s="26" t="s">
        <v>2261</v>
      </c>
      <c r="B450" s="26" t="s">
        <v>2262</v>
      </c>
      <c r="C450" s="26" t="s">
        <v>2263</v>
      </c>
      <c r="D450" s="26" t="s">
        <v>2264</v>
      </c>
      <c r="E450" s="26" t="s">
        <v>374</v>
      </c>
      <c r="F450" s="26" t="s">
        <v>315</v>
      </c>
      <c r="G450" s="26" t="s">
        <v>315</v>
      </c>
      <c r="H450" s="218" t="s">
        <v>1275</v>
      </c>
      <c r="I450" s="26" t="s">
        <v>1998</v>
      </c>
      <c r="J450" s="26"/>
      <c r="K450" s="61">
        <v>43676</v>
      </c>
      <c r="L450" s="26"/>
      <c r="M450" s="26">
        <f t="shared" ref="M450:M459" si="39">SUM(N450,W450,Z450)</f>
        <v>10160</v>
      </c>
      <c r="N450" s="26">
        <f t="shared" si="38"/>
        <v>10160</v>
      </c>
      <c r="O450" s="26"/>
      <c r="P450" s="26"/>
      <c r="Q450" s="26"/>
      <c r="R450" s="26"/>
      <c r="S450" s="26"/>
      <c r="T450" s="26"/>
      <c r="U450" s="26">
        <v>10160</v>
      </c>
      <c r="V450" s="26"/>
      <c r="W450" s="26"/>
      <c r="X450" s="26"/>
      <c r="Y450" s="26"/>
      <c r="Z450" s="26"/>
      <c r="AA450" s="364">
        <v>0.15</v>
      </c>
      <c r="AB450" s="26"/>
      <c r="AC450" s="26"/>
      <c r="AD450" s="26"/>
      <c r="AE450" s="26"/>
      <c r="AF450" s="26"/>
      <c r="AG450" s="26"/>
      <c r="AH450" s="26">
        <v>8636</v>
      </c>
      <c r="AI450" s="26"/>
      <c r="AJ450" s="26"/>
      <c r="AK450" s="26"/>
      <c r="AL450" s="26"/>
      <c r="AM450" s="26"/>
      <c r="AN450" s="26">
        <f t="shared" si="32"/>
        <v>8636</v>
      </c>
      <c r="AO450" s="26" t="s">
        <v>77</v>
      </c>
      <c r="AP450" s="26"/>
      <c r="AQ450" s="26"/>
      <c r="AR450" s="61">
        <v>43676</v>
      </c>
      <c r="AS450" s="61">
        <v>43691</v>
      </c>
      <c r="AT450" s="308">
        <v>43691</v>
      </c>
      <c r="AU450" s="26"/>
      <c r="AV450" s="26" t="s">
        <v>66</v>
      </c>
      <c r="AW450" s="26"/>
      <c r="AX450" s="26" t="s">
        <v>86</v>
      </c>
      <c r="AY450" s="26"/>
      <c r="AZ450" s="308">
        <v>43703</v>
      </c>
      <c r="BA450" s="308">
        <v>43703</v>
      </c>
      <c r="BB450" s="26"/>
      <c r="BC450" s="61">
        <v>44068</v>
      </c>
      <c r="BD450" s="26" t="s">
        <v>88</v>
      </c>
      <c r="BE450" s="297">
        <v>10160</v>
      </c>
      <c r="BF450" s="298">
        <f t="shared" si="26"/>
        <v>1</v>
      </c>
      <c r="BG450" s="297" t="e">
        <f>VLOOKUP(B450,[1]Sheet2!$B:$X,23,0)</f>
        <v>#N/A</v>
      </c>
    </row>
    <row r="451" spans="1:59" s="28" customFormat="1" ht="33" customHeight="1">
      <c r="A451" s="26" t="s">
        <v>2265</v>
      </c>
      <c r="B451" s="26" t="s">
        <v>2266</v>
      </c>
      <c r="C451" s="26" t="s">
        <v>2267</v>
      </c>
      <c r="D451" s="26" t="s">
        <v>2268</v>
      </c>
      <c r="E451" s="26" t="s">
        <v>224</v>
      </c>
      <c r="F451" s="26" t="s">
        <v>315</v>
      </c>
      <c r="G451" s="26" t="s">
        <v>315</v>
      </c>
      <c r="H451" s="218" t="s">
        <v>1275</v>
      </c>
      <c r="I451" s="26" t="s">
        <v>2217</v>
      </c>
      <c r="J451" s="26"/>
      <c r="K451" s="61">
        <v>43676</v>
      </c>
      <c r="L451" s="26"/>
      <c r="M451" s="26">
        <f t="shared" si="39"/>
        <v>14873.05</v>
      </c>
      <c r="N451" s="26">
        <f t="shared" si="38"/>
        <v>14873.05</v>
      </c>
      <c r="O451" s="26"/>
      <c r="P451" s="26"/>
      <c r="Q451" s="26"/>
      <c r="R451" s="26"/>
      <c r="S451" s="26"/>
      <c r="T451" s="26"/>
      <c r="U451" s="26">
        <v>14873.05</v>
      </c>
      <c r="V451" s="26"/>
      <c r="W451" s="26"/>
      <c r="X451" s="26"/>
      <c r="Y451" s="26"/>
      <c r="Z451" s="26"/>
      <c r="AA451" s="364">
        <v>0.15</v>
      </c>
      <c r="AB451" s="26"/>
      <c r="AC451" s="26"/>
      <c r="AD451" s="26"/>
      <c r="AE451" s="26"/>
      <c r="AF451" s="26"/>
      <c r="AG451" s="26"/>
      <c r="AH451" s="26">
        <v>12642.09</v>
      </c>
      <c r="AI451" s="26"/>
      <c r="AJ451" s="26"/>
      <c r="AK451" s="26"/>
      <c r="AL451" s="26"/>
      <c r="AM451" s="26"/>
      <c r="AN451" s="26">
        <f t="shared" si="32"/>
        <v>12642.09</v>
      </c>
      <c r="AO451" s="26" t="s">
        <v>1021</v>
      </c>
      <c r="AP451" s="26"/>
      <c r="AQ451" s="26"/>
      <c r="AR451" s="373">
        <v>43676</v>
      </c>
      <c r="AS451" s="373">
        <v>43692</v>
      </c>
      <c r="AT451" s="308">
        <v>43693</v>
      </c>
      <c r="AU451" s="26"/>
      <c r="AV451" s="26" t="s">
        <v>66</v>
      </c>
      <c r="AW451" s="26"/>
      <c r="AX451" s="26" t="s">
        <v>86</v>
      </c>
      <c r="AY451" s="26"/>
      <c r="AZ451" s="61">
        <v>43703</v>
      </c>
      <c r="BA451" s="308">
        <v>43703</v>
      </c>
      <c r="BB451" s="26"/>
      <c r="BC451" s="61">
        <v>44068</v>
      </c>
      <c r="BD451" s="26" t="s">
        <v>88</v>
      </c>
      <c r="BE451" s="297">
        <v>14873.05</v>
      </c>
      <c r="BF451" s="298">
        <f t="shared" ref="BF451:BF514" si="40">BE451/M451</f>
        <v>1</v>
      </c>
      <c r="BG451" s="297" t="e">
        <f>VLOOKUP(B451,[1]Sheet2!$B:$X,23,0)</f>
        <v>#N/A</v>
      </c>
    </row>
    <row r="452" spans="1:59" s="28" customFormat="1" ht="33" customHeight="1">
      <c r="A452" s="26" t="s">
        <v>2269</v>
      </c>
      <c r="B452" s="26" t="s">
        <v>2270</v>
      </c>
      <c r="C452" s="26" t="s">
        <v>2271</v>
      </c>
      <c r="D452" s="26" t="s">
        <v>2272</v>
      </c>
      <c r="E452" s="26" t="s">
        <v>156</v>
      </c>
      <c r="F452" s="26" t="s">
        <v>315</v>
      </c>
      <c r="G452" s="26" t="s">
        <v>315</v>
      </c>
      <c r="H452" s="218"/>
      <c r="I452" s="26" t="s">
        <v>1998</v>
      </c>
      <c r="J452" s="26"/>
      <c r="K452" s="61">
        <v>43677</v>
      </c>
      <c r="L452" s="26"/>
      <c r="M452" s="26">
        <f t="shared" si="39"/>
        <v>34900</v>
      </c>
      <c r="N452" s="26">
        <f t="shared" ref="N452:N461" si="41">SUM(O452:V452)</f>
        <v>34900</v>
      </c>
      <c r="O452" s="26"/>
      <c r="P452" s="26"/>
      <c r="Q452" s="26"/>
      <c r="R452" s="26"/>
      <c r="S452" s="26"/>
      <c r="T452" s="26"/>
      <c r="U452" s="26">
        <v>34900</v>
      </c>
      <c r="V452" s="26"/>
      <c r="W452" s="26"/>
      <c r="X452" s="26"/>
      <c r="Y452" s="26"/>
      <c r="Z452" s="26"/>
      <c r="AA452" s="364">
        <v>0.15</v>
      </c>
      <c r="AB452" s="26"/>
      <c r="AC452" s="26"/>
      <c r="AD452" s="26"/>
      <c r="AE452" s="26"/>
      <c r="AF452" s="26"/>
      <c r="AG452" s="26"/>
      <c r="AH452" s="26">
        <v>29362</v>
      </c>
      <c r="AI452" s="26"/>
      <c r="AJ452" s="26"/>
      <c r="AK452" s="26"/>
      <c r="AL452" s="26"/>
      <c r="AM452" s="26"/>
      <c r="AN452" s="26">
        <f t="shared" si="32"/>
        <v>29362</v>
      </c>
      <c r="AO452" s="26" t="s">
        <v>114</v>
      </c>
      <c r="AP452" s="26"/>
      <c r="AQ452" s="26"/>
      <c r="AR452" s="61">
        <v>43689</v>
      </c>
      <c r="AS452" s="61">
        <v>43703</v>
      </c>
      <c r="AT452" s="308">
        <v>43674</v>
      </c>
      <c r="AU452" s="26"/>
      <c r="AV452" s="26" t="s">
        <v>66</v>
      </c>
      <c r="AW452" s="26"/>
      <c r="AX452" s="26" t="s">
        <v>86</v>
      </c>
      <c r="AY452" s="26"/>
      <c r="AZ452" s="308">
        <v>43690</v>
      </c>
      <c r="BA452" s="308">
        <v>43734</v>
      </c>
      <c r="BB452" s="26"/>
      <c r="BC452" s="61">
        <v>44055</v>
      </c>
      <c r="BD452" s="26" t="s">
        <v>88</v>
      </c>
      <c r="BE452" s="297">
        <v>34900</v>
      </c>
      <c r="BF452" s="298">
        <f t="shared" si="40"/>
        <v>1</v>
      </c>
      <c r="BG452" s="297" t="e">
        <f>VLOOKUP(B452,[1]Sheet2!$B:$X,23,0)</f>
        <v>#N/A</v>
      </c>
    </row>
    <row r="453" spans="1:59" s="28" customFormat="1" ht="33" customHeight="1">
      <c r="A453" s="26" t="s">
        <v>2273</v>
      </c>
      <c r="B453" s="26" t="s">
        <v>2274</v>
      </c>
      <c r="C453" s="26" t="s">
        <v>2275</v>
      </c>
      <c r="D453" s="26" t="s">
        <v>2276</v>
      </c>
      <c r="E453" s="26" t="s">
        <v>374</v>
      </c>
      <c r="F453" s="26" t="s">
        <v>315</v>
      </c>
      <c r="G453" s="26" t="s">
        <v>315</v>
      </c>
      <c r="H453" s="218" t="s">
        <v>1275</v>
      </c>
      <c r="I453" s="26" t="s">
        <v>1987</v>
      </c>
      <c r="J453" s="26"/>
      <c r="K453" s="61">
        <v>43683</v>
      </c>
      <c r="L453" s="26"/>
      <c r="M453" s="26">
        <f t="shared" si="39"/>
        <v>40000</v>
      </c>
      <c r="N453" s="26">
        <f t="shared" si="41"/>
        <v>40000</v>
      </c>
      <c r="O453" s="26"/>
      <c r="P453" s="26"/>
      <c r="Q453" s="26"/>
      <c r="R453" s="26"/>
      <c r="S453" s="26"/>
      <c r="T453" s="26"/>
      <c r="U453" s="26">
        <v>40000</v>
      </c>
      <c r="V453" s="26"/>
      <c r="W453" s="26"/>
      <c r="X453" s="26"/>
      <c r="Y453" s="26"/>
      <c r="Z453" s="26"/>
      <c r="AA453" s="364">
        <v>0.15</v>
      </c>
      <c r="AB453" s="26"/>
      <c r="AC453" s="26"/>
      <c r="AD453" s="26"/>
      <c r="AE453" s="26"/>
      <c r="AF453" s="26"/>
      <c r="AG453" s="26"/>
      <c r="AH453" s="26">
        <v>34000</v>
      </c>
      <c r="AI453" s="26"/>
      <c r="AJ453" s="26"/>
      <c r="AK453" s="26"/>
      <c r="AL453" s="26"/>
      <c r="AM453" s="26"/>
      <c r="AN453" s="26">
        <f t="shared" si="32"/>
        <v>34000</v>
      </c>
      <c r="AO453" s="26" t="s">
        <v>77</v>
      </c>
      <c r="AP453" s="26"/>
      <c r="AQ453" s="26"/>
      <c r="AR453" s="61">
        <v>43683</v>
      </c>
      <c r="AS453" s="61">
        <v>43700</v>
      </c>
      <c r="AT453" s="308"/>
      <c r="AU453" s="26"/>
      <c r="AV453" s="26" t="s">
        <v>66</v>
      </c>
      <c r="AW453" s="26"/>
      <c r="AX453" s="26" t="s">
        <v>86</v>
      </c>
      <c r="AY453" s="26"/>
      <c r="AZ453" s="308">
        <v>43700</v>
      </c>
      <c r="BA453" s="308">
        <v>43702</v>
      </c>
      <c r="BB453" s="26"/>
      <c r="BC453" s="61">
        <v>44065</v>
      </c>
      <c r="BD453" s="26" t="s">
        <v>88</v>
      </c>
      <c r="BE453" s="297">
        <v>40000</v>
      </c>
      <c r="BF453" s="298">
        <f t="shared" si="40"/>
        <v>1</v>
      </c>
      <c r="BG453" s="297" t="str">
        <f>VLOOKUP(B453,[1]Sheet2!$B:$X,23,0)</f>
        <v>章双佐</v>
      </c>
    </row>
    <row r="454" spans="1:59" s="28" customFormat="1" ht="33" customHeight="1">
      <c r="A454" s="26" t="s">
        <v>2277</v>
      </c>
      <c r="B454" s="26" t="s">
        <v>2278</v>
      </c>
      <c r="C454" s="26" t="s">
        <v>2279</v>
      </c>
      <c r="D454" s="26" t="s">
        <v>2280</v>
      </c>
      <c r="E454" s="26" t="s">
        <v>1093</v>
      </c>
      <c r="F454" s="26" t="s">
        <v>2104</v>
      </c>
      <c r="G454" s="26" t="s">
        <v>2104</v>
      </c>
      <c r="H454" s="218"/>
      <c r="I454" s="26" t="s">
        <v>2281</v>
      </c>
      <c r="J454" s="26"/>
      <c r="K454" s="61">
        <v>43684</v>
      </c>
      <c r="L454" s="26"/>
      <c r="M454" s="26">
        <f t="shared" si="39"/>
        <v>15480</v>
      </c>
      <c r="N454" s="26">
        <f t="shared" si="41"/>
        <v>15480</v>
      </c>
      <c r="O454" s="26"/>
      <c r="P454" s="26"/>
      <c r="Q454" s="26">
        <v>10535</v>
      </c>
      <c r="R454" s="26"/>
      <c r="S454" s="26"/>
      <c r="T454" s="26"/>
      <c r="U454" s="26">
        <v>4945</v>
      </c>
      <c r="V454" s="26"/>
      <c r="W454" s="26"/>
      <c r="X454" s="26"/>
      <c r="Y454" s="26"/>
      <c r="Z454" s="26"/>
      <c r="AA454" s="364">
        <v>0.15</v>
      </c>
      <c r="AB454" s="26"/>
      <c r="AC454" s="26"/>
      <c r="AD454" s="26">
        <v>10105</v>
      </c>
      <c r="AE454" s="26"/>
      <c r="AF454" s="26"/>
      <c r="AG454" s="26"/>
      <c r="AH454" s="26">
        <v>4203.25</v>
      </c>
      <c r="AI454" s="26"/>
      <c r="AJ454" s="26"/>
      <c r="AK454" s="26"/>
      <c r="AL454" s="26"/>
      <c r="AM454" s="26"/>
      <c r="AN454" s="26">
        <f t="shared" si="32"/>
        <v>14308.25</v>
      </c>
      <c r="AO454" s="26" t="s">
        <v>286</v>
      </c>
      <c r="AP454" s="26"/>
      <c r="AQ454" s="26"/>
      <c r="AR454" s="26" t="s">
        <v>384</v>
      </c>
      <c r="AS454" s="26"/>
      <c r="AT454" s="308"/>
      <c r="AU454" s="26"/>
      <c r="AV454" s="26" t="s">
        <v>66</v>
      </c>
      <c r="AW454" s="26"/>
      <c r="AX454" s="26" t="s">
        <v>86</v>
      </c>
      <c r="AY454" s="26"/>
      <c r="AZ454" s="308">
        <v>43783</v>
      </c>
      <c r="BA454" s="308">
        <v>43783</v>
      </c>
      <c r="BB454" s="26"/>
      <c r="BC454" s="61">
        <v>44148</v>
      </c>
      <c r="BD454" s="26" t="s">
        <v>88</v>
      </c>
      <c r="BE454" s="297"/>
      <c r="BF454" s="298">
        <f t="shared" si="40"/>
        <v>0</v>
      </c>
      <c r="BG454" s="297" t="str">
        <f>VLOOKUP(B454,[1]Sheet2!$B:$X,23,0)</f>
        <v>刘秧</v>
      </c>
    </row>
    <row r="455" spans="1:59" s="28" customFormat="1" ht="33" customHeight="1">
      <c r="A455" s="26" t="s">
        <v>2282</v>
      </c>
      <c r="B455" s="26" t="s">
        <v>2283</v>
      </c>
      <c r="C455" s="26" t="s">
        <v>2284</v>
      </c>
      <c r="D455" s="26" t="s">
        <v>2285</v>
      </c>
      <c r="E455" s="26" t="s">
        <v>75</v>
      </c>
      <c r="F455" s="26" t="s">
        <v>315</v>
      </c>
      <c r="G455" s="26" t="s">
        <v>315</v>
      </c>
      <c r="H455" s="218"/>
      <c r="I455" s="26" t="s">
        <v>76</v>
      </c>
      <c r="J455" s="26" t="s">
        <v>702</v>
      </c>
      <c r="K455" s="61">
        <v>43684</v>
      </c>
      <c r="L455" s="26"/>
      <c r="M455" s="26">
        <f t="shared" si="39"/>
        <v>1580000</v>
      </c>
      <c r="N455" s="26">
        <f t="shared" si="41"/>
        <v>1580000</v>
      </c>
      <c r="O455" s="26"/>
      <c r="P455" s="26"/>
      <c r="Q455" s="26">
        <v>890000</v>
      </c>
      <c r="R455" s="26"/>
      <c r="S455" s="26"/>
      <c r="T455" s="26"/>
      <c r="U455" s="26">
        <v>690000</v>
      </c>
      <c r="V455" s="26"/>
      <c r="W455" s="26"/>
      <c r="X455" s="26"/>
      <c r="Y455" s="26"/>
      <c r="Z455" s="26"/>
      <c r="AA455" s="364">
        <v>0.08</v>
      </c>
      <c r="AB455" s="26"/>
      <c r="AC455" s="26"/>
      <c r="AD455" s="26">
        <v>881100</v>
      </c>
      <c r="AE455" s="26"/>
      <c r="AF455" s="26"/>
      <c r="AG455" s="26"/>
      <c r="AH455" s="26">
        <v>572500</v>
      </c>
      <c r="AI455" s="26"/>
      <c r="AJ455" s="26"/>
      <c r="AK455" s="26"/>
      <c r="AL455" s="26"/>
      <c r="AM455" s="26"/>
      <c r="AN455" s="26">
        <f t="shared" si="32"/>
        <v>1453600</v>
      </c>
      <c r="AO455" s="26" t="s">
        <v>114</v>
      </c>
      <c r="AP455" s="26"/>
      <c r="AQ455" s="26"/>
      <c r="AR455" s="61">
        <v>43689</v>
      </c>
      <c r="AS455" s="61"/>
      <c r="AT455" s="308"/>
      <c r="AU455" s="26"/>
      <c r="AV455" s="26"/>
      <c r="AW455" s="26"/>
      <c r="AX455" s="26"/>
      <c r="AY455" s="26"/>
      <c r="AZ455" s="308"/>
      <c r="BA455" s="308"/>
      <c r="BB455" s="26"/>
      <c r="BC455" s="26"/>
      <c r="BD455" s="26"/>
      <c r="BE455" s="297"/>
      <c r="BF455" s="298">
        <f t="shared" si="40"/>
        <v>0</v>
      </c>
      <c r="BG455" s="297" t="e">
        <f>VLOOKUP(B455,[1]Sheet2!$B:$X,23,0)</f>
        <v>#N/A</v>
      </c>
    </row>
    <row r="456" spans="1:59" s="28" customFormat="1" ht="33" customHeight="1">
      <c r="A456" s="26" t="s">
        <v>2286</v>
      </c>
      <c r="B456" s="26" t="s">
        <v>2287</v>
      </c>
      <c r="C456" s="26" t="s">
        <v>2288</v>
      </c>
      <c r="D456" s="26" t="s">
        <v>2289</v>
      </c>
      <c r="E456" s="26" t="s">
        <v>265</v>
      </c>
      <c r="F456" s="26" t="s">
        <v>2104</v>
      </c>
      <c r="G456" s="26" t="s">
        <v>2104</v>
      </c>
      <c r="H456" s="218" t="s">
        <v>1275</v>
      </c>
      <c r="I456" s="26" t="s">
        <v>2281</v>
      </c>
      <c r="J456" s="26"/>
      <c r="K456" s="61">
        <v>43683</v>
      </c>
      <c r="L456" s="26"/>
      <c r="M456" s="26">
        <f t="shared" si="39"/>
        <v>117479</v>
      </c>
      <c r="N456" s="26">
        <f t="shared" si="41"/>
        <v>117479</v>
      </c>
      <c r="O456" s="26"/>
      <c r="P456" s="26"/>
      <c r="Q456" s="26">
        <v>54048.23</v>
      </c>
      <c r="R456" s="26"/>
      <c r="S456" s="26"/>
      <c r="T456" s="26">
        <v>63430.77</v>
      </c>
      <c r="U456" s="26"/>
      <c r="V456" s="26"/>
      <c r="W456" s="26"/>
      <c r="X456" s="26"/>
      <c r="Y456" s="26"/>
      <c r="Z456" s="26"/>
      <c r="AA456" s="364">
        <v>0.15</v>
      </c>
      <c r="AB456" s="26"/>
      <c r="AC456" s="26"/>
      <c r="AD456" s="26">
        <v>54049.142999999996</v>
      </c>
      <c r="AE456" s="26"/>
      <c r="AF456" s="26"/>
      <c r="AG456" s="26">
        <v>45808.01</v>
      </c>
      <c r="AH456" s="26"/>
      <c r="AI456" s="26"/>
      <c r="AJ456" s="26"/>
      <c r="AK456" s="26"/>
      <c r="AL456" s="26"/>
      <c r="AM456" s="26"/>
      <c r="AN456" s="26">
        <f t="shared" si="32"/>
        <v>99857.152999999991</v>
      </c>
      <c r="AO456" s="26" t="s">
        <v>286</v>
      </c>
      <c r="AP456" s="26"/>
      <c r="AQ456" s="26"/>
      <c r="AR456" s="26" t="s">
        <v>384</v>
      </c>
      <c r="AS456" s="61">
        <v>43703</v>
      </c>
      <c r="AT456" s="308">
        <v>43704</v>
      </c>
      <c r="AU456" s="26"/>
      <c r="AV456" s="26" t="s">
        <v>66</v>
      </c>
      <c r="AW456" s="26"/>
      <c r="AX456" s="26" t="s">
        <v>86</v>
      </c>
      <c r="AY456" s="26"/>
      <c r="AZ456" s="308">
        <v>43735</v>
      </c>
      <c r="BA456" s="308">
        <v>43704</v>
      </c>
      <c r="BB456" s="26"/>
      <c r="BC456" s="61">
        <v>44069</v>
      </c>
      <c r="BD456" s="26" t="s">
        <v>88</v>
      </c>
      <c r="BE456" s="297">
        <v>117479</v>
      </c>
      <c r="BF456" s="298">
        <f t="shared" si="40"/>
        <v>1</v>
      </c>
      <c r="BG456" s="297" t="str">
        <f>VLOOKUP(B456,[1]Sheet2!$B:$X,23,0)</f>
        <v>刘秧</v>
      </c>
    </row>
    <row r="457" spans="1:59" s="28" customFormat="1" ht="33" customHeight="1">
      <c r="A457" s="26" t="s">
        <v>2290</v>
      </c>
      <c r="B457" s="26" t="s">
        <v>2291</v>
      </c>
      <c r="C457" s="26" t="s">
        <v>2292</v>
      </c>
      <c r="D457" s="26" t="s">
        <v>2293</v>
      </c>
      <c r="E457" s="26" t="s">
        <v>265</v>
      </c>
      <c r="F457" s="26" t="s">
        <v>2104</v>
      </c>
      <c r="G457" s="26" t="s">
        <v>2104</v>
      </c>
      <c r="H457" s="218"/>
      <c r="I457" s="26" t="s">
        <v>2281</v>
      </c>
      <c r="J457" s="26"/>
      <c r="K457" s="61">
        <v>43683</v>
      </c>
      <c r="L457" s="26"/>
      <c r="M457" s="26">
        <f t="shared" si="39"/>
        <v>92260</v>
      </c>
      <c r="N457" s="26">
        <f t="shared" si="41"/>
        <v>92260</v>
      </c>
      <c r="O457" s="26"/>
      <c r="P457" s="26"/>
      <c r="Q457" s="26">
        <v>47809</v>
      </c>
      <c r="R457" s="26"/>
      <c r="S457" s="26"/>
      <c r="T457" s="26">
        <v>10141</v>
      </c>
      <c r="U457" s="26">
        <v>34310</v>
      </c>
      <c r="V457" s="26"/>
      <c r="W457" s="26"/>
      <c r="X457" s="26"/>
      <c r="Y457" s="26"/>
      <c r="Z457" s="26"/>
      <c r="AA457" s="364">
        <v>7.0000000000000007E-2</v>
      </c>
      <c r="AB457" s="26"/>
      <c r="AC457" s="26"/>
      <c r="AD457" s="26">
        <v>47802.39</v>
      </c>
      <c r="AE457" s="26"/>
      <c r="AF457" s="26"/>
      <c r="AG457" s="26">
        <v>8449.68</v>
      </c>
      <c r="AH457" s="26">
        <v>29319.599999999999</v>
      </c>
      <c r="AI457" s="26"/>
      <c r="AJ457" s="26"/>
      <c r="AK457" s="26"/>
      <c r="AL457" s="26"/>
      <c r="AM457" s="26"/>
      <c r="AN457" s="26">
        <f t="shared" si="32"/>
        <v>85571.67</v>
      </c>
      <c r="AO457" s="26" t="s">
        <v>286</v>
      </c>
      <c r="AP457" s="26"/>
      <c r="AQ457" s="26"/>
      <c r="AR457" s="26" t="s">
        <v>384</v>
      </c>
      <c r="AS457" s="26"/>
      <c r="AT457" s="308"/>
      <c r="AU457" s="26"/>
      <c r="AV457" s="26" t="s">
        <v>66</v>
      </c>
      <c r="AW457" s="26"/>
      <c r="AX457" s="26" t="s">
        <v>86</v>
      </c>
      <c r="AY457" s="26"/>
      <c r="AZ457" s="308">
        <v>43756</v>
      </c>
      <c r="BA457" s="308">
        <v>43756</v>
      </c>
      <c r="BB457" s="26"/>
      <c r="BC457" s="61">
        <v>44121</v>
      </c>
      <c r="BD457" s="26" t="s">
        <v>88</v>
      </c>
      <c r="BE457" s="297">
        <v>0</v>
      </c>
      <c r="BF457" s="298">
        <f t="shared" si="40"/>
        <v>0</v>
      </c>
      <c r="BG457" s="297" t="str">
        <f>VLOOKUP(B457,[1]Sheet2!$B:$X,23,0)</f>
        <v>刘秧</v>
      </c>
    </row>
    <row r="458" spans="1:59" s="28" customFormat="1" ht="33" customHeight="1">
      <c r="A458" s="26" t="s">
        <v>2294</v>
      </c>
      <c r="B458" s="26" t="s">
        <v>2295</v>
      </c>
      <c r="C458" s="26" t="s">
        <v>2296</v>
      </c>
      <c r="D458" s="26" t="s">
        <v>2297</v>
      </c>
      <c r="E458" s="26" t="s">
        <v>374</v>
      </c>
      <c r="F458" s="26" t="s">
        <v>196</v>
      </c>
      <c r="G458" s="26" t="s">
        <v>196</v>
      </c>
      <c r="H458" s="218" t="s">
        <v>1275</v>
      </c>
      <c r="I458" s="26" t="s">
        <v>1987</v>
      </c>
      <c r="J458" s="26"/>
      <c r="K458" s="61">
        <v>43699</v>
      </c>
      <c r="L458" s="26"/>
      <c r="M458" s="26">
        <f t="shared" si="39"/>
        <v>42000</v>
      </c>
      <c r="N458" s="26">
        <f t="shared" si="41"/>
        <v>42000</v>
      </c>
      <c r="O458" s="26"/>
      <c r="P458" s="26"/>
      <c r="Q458" s="26"/>
      <c r="R458" s="26"/>
      <c r="S458" s="26"/>
      <c r="T458" s="26"/>
      <c r="U458" s="26">
        <v>42000</v>
      </c>
      <c r="V458" s="26"/>
      <c r="W458" s="26"/>
      <c r="X458" s="26"/>
      <c r="Y458" s="26"/>
      <c r="Z458" s="26"/>
      <c r="AA458" s="364">
        <v>0.15</v>
      </c>
      <c r="AB458" s="26"/>
      <c r="AC458" s="26"/>
      <c r="AD458" s="26"/>
      <c r="AE458" s="26"/>
      <c r="AF458" s="26"/>
      <c r="AG458" s="26"/>
      <c r="AH458" s="26">
        <v>35699.99</v>
      </c>
      <c r="AI458" s="26"/>
      <c r="AJ458" s="26"/>
      <c r="AK458" s="26"/>
      <c r="AL458" s="26"/>
      <c r="AM458" s="26"/>
      <c r="AN458" s="26">
        <f t="shared" si="32"/>
        <v>35699.99</v>
      </c>
      <c r="AO458" s="26" t="s">
        <v>77</v>
      </c>
      <c r="AP458" s="26"/>
      <c r="AQ458" s="26"/>
      <c r="AR458" s="61">
        <v>43699</v>
      </c>
      <c r="AS458" s="61">
        <v>43703</v>
      </c>
      <c r="AT458" s="308"/>
      <c r="AU458" s="26"/>
      <c r="AV458" s="26" t="s">
        <v>66</v>
      </c>
      <c r="AW458" s="26"/>
      <c r="AX458" s="26" t="s">
        <v>86</v>
      </c>
      <c r="AY458" s="26"/>
      <c r="AZ458" s="308">
        <v>43706</v>
      </c>
      <c r="BA458" s="308">
        <v>43702</v>
      </c>
      <c r="BB458" s="26"/>
      <c r="BC458" s="61">
        <v>44065</v>
      </c>
      <c r="BD458" s="113" t="s">
        <v>931</v>
      </c>
      <c r="BE458" s="297">
        <v>42000</v>
      </c>
      <c r="BF458" s="298">
        <f t="shared" si="40"/>
        <v>1</v>
      </c>
      <c r="BG458" s="297" t="str">
        <f>VLOOKUP(B458,[1]Sheet2!$B:$X,23,0)</f>
        <v>章双佐</v>
      </c>
    </row>
    <row r="459" spans="1:59" s="28" customFormat="1" ht="33" customHeight="1">
      <c r="A459" s="26" t="s">
        <v>2298</v>
      </c>
      <c r="B459" s="26" t="s">
        <v>2299</v>
      </c>
      <c r="C459" s="26" t="s">
        <v>2300</v>
      </c>
      <c r="D459" s="26" t="s">
        <v>2301</v>
      </c>
      <c r="E459" s="26" t="s">
        <v>374</v>
      </c>
      <c r="F459" s="26" t="s">
        <v>196</v>
      </c>
      <c r="G459" s="26" t="s">
        <v>196</v>
      </c>
      <c r="H459" s="218" t="s">
        <v>1314</v>
      </c>
      <c r="I459" s="26"/>
      <c r="J459" s="26"/>
      <c r="K459" s="61">
        <v>43698</v>
      </c>
      <c r="L459" s="26"/>
      <c r="M459" s="26">
        <f t="shared" si="39"/>
        <v>1452031.55</v>
      </c>
      <c r="N459" s="26">
        <f t="shared" si="41"/>
        <v>1452031.55</v>
      </c>
      <c r="O459" s="26"/>
      <c r="P459" s="26"/>
      <c r="Q459" s="26">
        <v>108522</v>
      </c>
      <c r="R459" s="26"/>
      <c r="S459" s="26"/>
      <c r="T459" s="26"/>
      <c r="U459" s="26">
        <v>1343509.55</v>
      </c>
      <c r="V459" s="26"/>
      <c r="W459" s="26"/>
      <c r="X459" s="26"/>
      <c r="Y459" s="26"/>
      <c r="Z459" s="26"/>
      <c r="AA459" s="364">
        <v>0.15</v>
      </c>
      <c r="AB459" s="26"/>
      <c r="AC459" s="26"/>
      <c r="AD459" s="26">
        <v>108522</v>
      </c>
      <c r="AE459" s="26"/>
      <c r="AF459" s="26"/>
      <c r="AG459" s="26"/>
      <c r="AH459" s="26">
        <v>1099320</v>
      </c>
      <c r="AI459" s="26"/>
      <c r="AJ459" s="26"/>
      <c r="AK459" s="26"/>
      <c r="AL459" s="26"/>
      <c r="AM459" s="26"/>
      <c r="AN459" s="26">
        <f t="shared" si="32"/>
        <v>1207842</v>
      </c>
      <c r="AO459" s="26" t="s">
        <v>77</v>
      </c>
      <c r="AP459" s="26"/>
      <c r="AQ459" s="26"/>
      <c r="AR459" s="61">
        <v>43698</v>
      </c>
      <c r="AS459" s="61">
        <v>43725</v>
      </c>
      <c r="AT459" s="308">
        <v>43726</v>
      </c>
      <c r="AU459" s="26"/>
      <c r="AV459" s="26" t="s">
        <v>66</v>
      </c>
      <c r="AW459" s="26"/>
      <c r="AX459" s="26" t="s">
        <v>86</v>
      </c>
      <c r="AY459" s="26"/>
      <c r="AZ459" s="308">
        <v>43734</v>
      </c>
      <c r="BA459" s="308">
        <v>43734</v>
      </c>
      <c r="BB459" s="26"/>
      <c r="BC459" s="61">
        <v>44099</v>
      </c>
      <c r="BD459" s="113" t="s">
        <v>931</v>
      </c>
      <c r="BE459" s="297">
        <v>0</v>
      </c>
      <c r="BF459" s="298">
        <f t="shared" si="40"/>
        <v>0</v>
      </c>
      <c r="BG459" s="297" t="e">
        <f>VLOOKUP(B459,[1]Sheet2!$B:$X,23,0)</f>
        <v>#N/A</v>
      </c>
    </row>
    <row r="460" spans="1:59" s="28" customFormat="1" ht="33" customHeight="1">
      <c r="A460" s="26" t="s">
        <v>2302</v>
      </c>
      <c r="B460" s="26" t="s">
        <v>2303</v>
      </c>
      <c r="C460" s="26" t="s">
        <v>2304</v>
      </c>
      <c r="D460" s="26" t="s">
        <v>2305</v>
      </c>
      <c r="E460" s="26" t="s">
        <v>224</v>
      </c>
      <c r="F460" s="26" t="s">
        <v>315</v>
      </c>
      <c r="G460" s="26" t="s">
        <v>315</v>
      </c>
      <c r="H460" s="218" t="s">
        <v>1275</v>
      </c>
      <c r="I460" s="371" t="s">
        <v>1004</v>
      </c>
      <c r="J460" s="26"/>
      <c r="K460" s="61">
        <v>43696</v>
      </c>
      <c r="L460" s="26"/>
      <c r="M460" s="26">
        <f t="shared" ref="M460:M461" si="42">SUM(N460,W460)</f>
        <v>6825</v>
      </c>
      <c r="N460" s="26">
        <f t="shared" si="41"/>
        <v>6825</v>
      </c>
      <c r="O460" s="26"/>
      <c r="P460" s="26"/>
      <c r="Q460" s="26"/>
      <c r="R460" s="26"/>
      <c r="S460" s="26"/>
      <c r="T460" s="26"/>
      <c r="U460" s="26">
        <v>6825</v>
      </c>
      <c r="V460" s="26"/>
      <c r="W460" s="26"/>
      <c r="X460" s="26"/>
      <c r="Y460" s="26"/>
      <c r="Z460" s="26"/>
      <c r="AA460" s="364">
        <v>0.15</v>
      </c>
      <c r="AB460" s="26"/>
      <c r="AC460" s="26"/>
      <c r="AD460" s="26"/>
      <c r="AE460" s="26"/>
      <c r="AF460" s="26"/>
      <c r="AG460" s="26"/>
      <c r="AH460" s="26">
        <v>5800</v>
      </c>
      <c r="AI460" s="26"/>
      <c r="AJ460" s="26"/>
      <c r="AK460" s="26"/>
      <c r="AL460" s="26"/>
      <c r="AM460" s="26"/>
      <c r="AN460" s="26">
        <f t="shared" si="32"/>
        <v>5800</v>
      </c>
      <c r="AO460" s="26" t="s">
        <v>1258</v>
      </c>
      <c r="AP460" s="26"/>
      <c r="AQ460" s="26"/>
      <c r="AR460" s="61">
        <v>43696</v>
      </c>
      <c r="AS460" s="61">
        <v>43712</v>
      </c>
      <c r="AT460" s="308">
        <v>43710</v>
      </c>
      <c r="AU460" s="26"/>
      <c r="AV460" s="26" t="s">
        <v>66</v>
      </c>
      <c r="AW460" s="26"/>
      <c r="AX460" s="26" t="s">
        <v>86</v>
      </c>
      <c r="AY460" s="26"/>
      <c r="AZ460" s="308">
        <v>43720</v>
      </c>
      <c r="BA460" s="308">
        <v>43728</v>
      </c>
      <c r="BB460" s="26"/>
      <c r="BC460" s="61">
        <v>44085</v>
      </c>
      <c r="BD460" s="26" t="s">
        <v>88</v>
      </c>
      <c r="BE460" s="297">
        <v>6825</v>
      </c>
      <c r="BF460" s="298">
        <f t="shared" si="40"/>
        <v>1</v>
      </c>
      <c r="BG460" s="297" t="e">
        <f>VLOOKUP(B460,[1]Sheet2!$B:$X,23,0)</f>
        <v>#N/A</v>
      </c>
    </row>
    <row r="461" spans="1:59" s="28" customFormat="1" ht="33" customHeight="1">
      <c r="A461" s="26" t="s">
        <v>2306</v>
      </c>
      <c r="B461" s="26" t="s">
        <v>2307</v>
      </c>
      <c r="C461" s="26" t="s">
        <v>2308</v>
      </c>
      <c r="D461" s="26" t="s">
        <v>2309</v>
      </c>
      <c r="E461" s="26" t="s">
        <v>106</v>
      </c>
      <c r="F461" s="26" t="s">
        <v>315</v>
      </c>
      <c r="G461" s="26" t="s">
        <v>315</v>
      </c>
      <c r="H461" s="218"/>
      <c r="I461" s="26" t="s">
        <v>1987</v>
      </c>
      <c r="J461" s="26"/>
      <c r="K461" s="61">
        <v>43693</v>
      </c>
      <c r="L461" s="26"/>
      <c r="M461" s="26">
        <f t="shared" si="42"/>
        <v>3762</v>
      </c>
      <c r="N461" s="26">
        <f t="shared" si="41"/>
        <v>3762</v>
      </c>
      <c r="O461" s="26"/>
      <c r="P461" s="26"/>
      <c r="Q461" s="26"/>
      <c r="R461" s="26"/>
      <c r="S461" s="26"/>
      <c r="T461" s="26"/>
      <c r="U461" s="26">
        <v>3762</v>
      </c>
      <c r="V461" s="26"/>
      <c r="W461" s="26"/>
      <c r="X461" s="26"/>
      <c r="Y461" s="26"/>
      <c r="Z461" s="26"/>
      <c r="AA461" s="364">
        <v>0.15</v>
      </c>
      <c r="AB461" s="26"/>
      <c r="AC461" s="26"/>
      <c r="AD461" s="26"/>
      <c r="AE461" s="26"/>
      <c r="AF461" s="26"/>
      <c r="AG461" s="26"/>
      <c r="AH461" s="26">
        <v>3197</v>
      </c>
      <c r="AI461" s="26"/>
      <c r="AJ461" s="26"/>
      <c r="AK461" s="26"/>
      <c r="AL461" s="26"/>
      <c r="AM461" s="26"/>
      <c r="AN461" s="26">
        <f t="shared" si="32"/>
        <v>3197</v>
      </c>
      <c r="AO461" s="26" t="s">
        <v>108</v>
      </c>
      <c r="AP461" s="26"/>
      <c r="AQ461" s="26"/>
      <c r="AR461" s="61">
        <v>43693</v>
      </c>
      <c r="AS461" s="61"/>
      <c r="AT461" s="308">
        <v>43756</v>
      </c>
      <c r="AU461" s="26"/>
      <c r="AV461" s="26" t="s">
        <v>66</v>
      </c>
      <c r="AW461" s="26"/>
      <c r="AX461" s="26" t="s">
        <v>86</v>
      </c>
      <c r="AY461" s="26"/>
      <c r="AZ461" s="308">
        <v>43762</v>
      </c>
      <c r="BA461" s="308">
        <v>43762</v>
      </c>
      <c r="BB461" s="26"/>
      <c r="BC461" s="61">
        <v>44127</v>
      </c>
      <c r="BD461" s="26" t="s">
        <v>88</v>
      </c>
      <c r="BE461" s="297">
        <v>3762</v>
      </c>
      <c r="BF461" s="298">
        <f t="shared" si="40"/>
        <v>1</v>
      </c>
      <c r="BG461" s="297" t="str">
        <f>VLOOKUP(B461,[1]Sheet2!$B:$X,23,0)</f>
        <v>章双佐</v>
      </c>
    </row>
    <row r="462" spans="1:59" s="28" customFormat="1" ht="33" customHeight="1">
      <c r="A462" s="26" t="s">
        <v>2310</v>
      </c>
      <c r="B462" s="26" t="s">
        <v>2311</v>
      </c>
      <c r="C462" s="26" t="s">
        <v>2312</v>
      </c>
      <c r="D462" s="26" t="s">
        <v>2313</v>
      </c>
      <c r="E462" s="26" t="s">
        <v>92</v>
      </c>
      <c r="F462" s="26" t="s">
        <v>315</v>
      </c>
      <c r="G462" s="26" t="s">
        <v>315</v>
      </c>
      <c r="H462" s="218"/>
      <c r="I462" s="26" t="s">
        <v>1998</v>
      </c>
      <c r="J462" s="26"/>
      <c r="K462" s="61">
        <v>43693</v>
      </c>
      <c r="L462" s="26"/>
      <c r="M462" s="26">
        <f t="shared" ref="M462:M474" si="43">SUM(N462,W462)</f>
        <v>120000</v>
      </c>
      <c r="N462" s="26">
        <f t="shared" ref="N462:N474" si="44">SUM(O462:V462)</f>
        <v>120000</v>
      </c>
      <c r="O462" s="26"/>
      <c r="P462" s="26"/>
      <c r="Q462" s="26"/>
      <c r="R462" s="26"/>
      <c r="S462" s="26"/>
      <c r="T462" s="26"/>
      <c r="U462" s="26">
        <v>120000</v>
      </c>
      <c r="V462" s="26"/>
      <c r="W462" s="26"/>
      <c r="X462" s="26"/>
      <c r="Y462" s="26"/>
      <c r="Z462" s="26"/>
      <c r="AA462" s="364">
        <v>0.15</v>
      </c>
      <c r="AB462" s="26"/>
      <c r="AC462" s="26"/>
      <c r="AD462" s="26"/>
      <c r="AE462" s="26"/>
      <c r="AF462" s="26"/>
      <c r="AG462" s="26"/>
      <c r="AH462" s="26">
        <v>102000</v>
      </c>
      <c r="AI462" s="26"/>
      <c r="AJ462" s="26"/>
      <c r="AK462" s="26"/>
      <c r="AL462" s="26"/>
      <c r="AM462" s="26"/>
      <c r="AN462" s="26">
        <f t="shared" si="32"/>
        <v>102000</v>
      </c>
      <c r="AO462" s="26" t="s">
        <v>1843</v>
      </c>
      <c r="AP462" s="26"/>
      <c r="AQ462" s="26"/>
      <c r="AR462" s="61">
        <v>43693</v>
      </c>
      <c r="AS462" s="61"/>
      <c r="AT462" s="308"/>
      <c r="AU462" s="26"/>
      <c r="AV462" s="26"/>
      <c r="AW462" s="26"/>
      <c r="AX462" s="26"/>
      <c r="AY462" s="26"/>
      <c r="AZ462" s="308"/>
      <c r="BA462" s="308"/>
      <c r="BB462" s="26"/>
      <c r="BC462" s="26"/>
      <c r="BD462" s="26"/>
      <c r="BE462" s="297"/>
      <c r="BF462" s="298">
        <f t="shared" si="40"/>
        <v>0</v>
      </c>
      <c r="BG462" s="297" t="e">
        <f>VLOOKUP(B462,[1]Sheet2!$B:$X,23,0)</f>
        <v>#N/A</v>
      </c>
    </row>
    <row r="463" spans="1:59" s="28" customFormat="1" ht="33" customHeight="1">
      <c r="A463" s="26" t="s">
        <v>2314</v>
      </c>
      <c r="B463" s="26" t="s">
        <v>2315</v>
      </c>
      <c r="C463" s="26" t="s">
        <v>2316</v>
      </c>
      <c r="D463" s="26" t="s">
        <v>2317</v>
      </c>
      <c r="E463" s="26" t="s">
        <v>374</v>
      </c>
      <c r="F463" s="26" t="s">
        <v>2117</v>
      </c>
      <c r="G463" s="26" t="s">
        <v>2117</v>
      </c>
      <c r="H463" s="218" t="s">
        <v>1275</v>
      </c>
      <c r="I463" s="26" t="s">
        <v>1982</v>
      </c>
      <c r="J463" s="26"/>
      <c r="K463" s="61">
        <v>43692</v>
      </c>
      <c r="L463" s="26"/>
      <c r="M463" s="26">
        <f t="shared" si="43"/>
        <v>30000</v>
      </c>
      <c r="N463" s="26">
        <f t="shared" si="44"/>
        <v>30000</v>
      </c>
      <c r="O463" s="26"/>
      <c r="P463" s="26"/>
      <c r="Q463" s="26"/>
      <c r="R463" s="26"/>
      <c r="S463" s="26"/>
      <c r="T463" s="26"/>
      <c r="U463" s="26">
        <v>30000</v>
      </c>
      <c r="V463" s="26"/>
      <c r="W463" s="26"/>
      <c r="X463" s="26"/>
      <c r="Y463" s="26"/>
      <c r="Z463" s="26"/>
      <c r="AA463" s="364">
        <v>0.15</v>
      </c>
      <c r="AB463" s="26"/>
      <c r="AC463" s="26"/>
      <c r="AD463" s="26"/>
      <c r="AE463" s="26"/>
      <c r="AF463" s="26"/>
      <c r="AG463" s="26"/>
      <c r="AH463" s="26">
        <v>25500</v>
      </c>
      <c r="AI463" s="26"/>
      <c r="AJ463" s="26"/>
      <c r="AK463" s="26"/>
      <c r="AL463" s="26"/>
      <c r="AM463" s="26"/>
      <c r="AN463" s="26">
        <f t="shared" si="32"/>
        <v>25500</v>
      </c>
      <c r="AO463" s="26" t="s">
        <v>77</v>
      </c>
      <c r="AP463" s="26"/>
      <c r="AQ463" s="26"/>
      <c r="AR463" s="61">
        <v>43692</v>
      </c>
      <c r="AS463" s="61">
        <v>43697</v>
      </c>
      <c r="AT463" s="308">
        <v>43697</v>
      </c>
      <c r="AU463" s="26"/>
      <c r="AV463" s="26" t="s">
        <v>66</v>
      </c>
      <c r="AW463" s="26"/>
      <c r="AX463" s="26" t="s">
        <v>86</v>
      </c>
      <c r="AY463" s="26"/>
      <c r="AZ463" s="308">
        <v>43700</v>
      </c>
      <c r="BA463" s="308">
        <v>43702</v>
      </c>
      <c r="BB463" s="26"/>
      <c r="BC463" s="61">
        <v>44065</v>
      </c>
      <c r="BD463" s="26" t="s">
        <v>931</v>
      </c>
      <c r="BE463" s="297">
        <v>30000</v>
      </c>
      <c r="BF463" s="298">
        <f t="shared" si="40"/>
        <v>1</v>
      </c>
      <c r="BG463" s="297" t="e">
        <f>VLOOKUP(B463,[1]Sheet2!$B:$X,23,0)</f>
        <v>#N/A</v>
      </c>
    </row>
    <row r="464" spans="1:59" s="28" customFormat="1" ht="33" customHeight="1">
      <c r="A464" s="26" t="s">
        <v>2318</v>
      </c>
      <c r="B464" s="26" t="s">
        <v>2319</v>
      </c>
      <c r="C464" s="26" t="s">
        <v>2320</v>
      </c>
      <c r="D464" s="26" t="s">
        <v>2321</v>
      </c>
      <c r="E464" s="26" t="s">
        <v>92</v>
      </c>
      <c r="F464" s="26" t="s">
        <v>2104</v>
      </c>
      <c r="G464" s="26" t="s">
        <v>2104</v>
      </c>
      <c r="H464" s="218" t="s">
        <v>1275</v>
      </c>
      <c r="I464" s="26" t="s">
        <v>2281</v>
      </c>
      <c r="J464" s="26"/>
      <c r="K464" s="61">
        <v>43692</v>
      </c>
      <c r="L464" s="26"/>
      <c r="M464" s="26">
        <f t="shared" si="43"/>
        <v>5430</v>
      </c>
      <c r="N464" s="26">
        <f t="shared" si="44"/>
        <v>5430</v>
      </c>
      <c r="O464" s="26"/>
      <c r="P464" s="26"/>
      <c r="Q464" s="26">
        <v>3790</v>
      </c>
      <c r="R464" s="26"/>
      <c r="S464" s="26"/>
      <c r="T464" s="26">
        <v>1640</v>
      </c>
      <c r="U464" s="26"/>
      <c r="V464" s="26"/>
      <c r="W464" s="26"/>
      <c r="X464" s="26"/>
      <c r="Y464" s="26"/>
      <c r="Z464" s="26"/>
      <c r="AA464" s="364">
        <v>0.15</v>
      </c>
      <c r="AB464" s="26"/>
      <c r="AC464" s="26"/>
      <c r="AD464" s="26">
        <v>3731.5</v>
      </c>
      <c r="AE464" s="26"/>
      <c r="AF464" s="26"/>
      <c r="AG464" s="26">
        <v>900</v>
      </c>
      <c r="AH464" s="26"/>
      <c r="AI464" s="26"/>
      <c r="AJ464" s="26"/>
      <c r="AK464" s="26"/>
      <c r="AL464" s="26"/>
      <c r="AM464" s="26"/>
      <c r="AN464" s="26">
        <f t="shared" si="32"/>
        <v>4631.5</v>
      </c>
      <c r="AO464" s="26" t="s">
        <v>1843</v>
      </c>
      <c r="AP464" s="26"/>
      <c r="AQ464" s="26"/>
      <c r="AR464" s="61">
        <v>43692</v>
      </c>
      <c r="AS464" s="61"/>
      <c r="AT464" s="308">
        <v>43676</v>
      </c>
      <c r="AU464" s="26"/>
      <c r="AV464" s="26" t="s">
        <v>66</v>
      </c>
      <c r="AW464" s="26"/>
      <c r="AX464" s="26" t="s">
        <v>86</v>
      </c>
      <c r="AY464" s="26"/>
      <c r="AZ464" s="308">
        <v>43682</v>
      </c>
      <c r="BA464" s="308">
        <v>43728</v>
      </c>
      <c r="BB464" s="26"/>
      <c r="BC464" s="61">
        <v>44047</v>
      </c>
      <c r="BD464" s="26" t="s">
        <v>88</v>
      </c>
      <c r="BE464" s="297">
        <v>5430</v>
      </c>
      <c r="BF464" s="298">
        <f t="shared" si="40"/>
        <v>1</v>
      </c>
      <c r="BG464" s="297" t="str">
        <f>VLOOKUP(B464,[1]Sheet2!$B:$X,23,0)</f>
        <v>刘秧</v>
      </c>
    </row>
    <row r="465" spans="1:59" s="28" customFormat="1" ht="33" customHeight="1">
      <c r="A465" s="26" t="s">
        <v>2322</v>
      </c>
      <c r="B465" s="26" t="s">
        <v>2323</v>
      </c>
      <c r="C465" s="26" t="s">
        <v>2324</v>
      </c>
      <c r="D465" s="26" t="s">
        <v>2325</v>
      </c>
      <c r="E465" s="26" t="s">
        <v>374</v>
      </c>
      <c r="F465" s="26" t="s">
        <v>2104</v>
      </c>
      <c r="G465" s="26" t="s">
        <v>2104</v>
      </c>
      <c r="H465" s="218" t="s">
        <v>1275</v>
      </c>
      <c r="I465" s="26" t="s">
        <v>2281</v>
      </c>
      <c r="J465" s="26"/>
      <c r="K465" s="61">
        <v>43690</v>
      </c>
      <c r="L465" s="26"/>
      <c r="M465" s="26">
        <f t="shared" si="43"/>
        <v>10000</v>
      </c>
      <c r="N465" s="26">
        <f t="shared" si="44"/>
        <v>10000</v>
      </c>
      <c r="O465" s="26"/>
      <c r="P465" s="26"/>
      <c r="Q465" s="26"/>
      <c r="R465" s="26"/>
      <c r="S465" s="26"/>
      <c r="T465" s="26"/>
      <c r="U465" s="26">
        <v>10000</v>
      </c>
      <c r="V465" s="26"/>
      <c r="W465" s="26"/>
      <c r="X465" s="26"/>
      <c r="Y465" s="26"/>
      <c r="Z465" s="26"/>
      <c r="AA465" s="364">
        <v>0.15</v>
      </c>
      <c r="AB465" s="26"/>
      <c r="AC465" s="26"/>
      <c r="AD465" s="26"/>
      <c r="AE465" s="26"/>
      <c r="AF465" s="26"/>
      <c r="AG465" s="26"/>
      <c r="AH465" s="26">
        <v>8200</v>
      </c>
      <c r="AI465" s="26"/>
      <c r="AJ465" s="26"/>
      <c r="AK465" s="26"/>
      <c r="AL465" s="26"/>
      <c r="AM465" s="26"/>
      <c r="AN465" s="26">
        <f t="shared" si="32"/>
        <v>8200</v>
      </c>
      <c r="AO465" s="26" t="s">
        <v>77</v>
      </c>
      <c r="AP465" s="26"/>
      <c r="AQ465" s="26"/>
      <c r="AR465" s="61">
        <v>43690</v>
      </c>
      <c r="AS465" s="61"/>
      <c r="AT465" s="308">
        <v>43687</v>
      </c>
      <c r="AU465" s="26"/>
      <c r="AV465" s="26" t="s">
        <v>66</v>
      </c>
      <c r="AW465" s="26"/>
      <c r="AX465" s="26" t="s">
        <v>86</v>
      </c>
      <c r="AY465" s="26"/>
      <c r="AZ465" s="308">
        <v>43707</v>
      </c>
      <c r="BA465" s="308">
        <v>43702</v>
      </c>
      <c r="BB465" s="26"/>
      <c r="BC465" s="61">
        <v>44072</v>
      </c>
      <c r="BD465" s="26" t="s">
        <v>88</v>
      </c>
      <c r="BE465" s="297">
        <v>10000</v>
      </c>
      <c r="BF465" s="298">
        <f t="shared" si="40"/>
        <v>1</v>
      </c>
      <c r="BG465" s="297" t="str">
        <f>VLOOKUP(B465,[1]Sheet2!$B:$X,23,0)</f>
        <v>刘秧</v>
      </c>
    </row>
    <row r="466" spans="1:59" s="28" customFormat="1" ht="33" customHeight="1">
      <c r="A466" s="26" t="s">
        <v>2326</v>
      </c>
      <c r="B466" s="26" t="s">
        <v>2327</v>
      </c>
      <c r="C466" s="26" t="s">
        <v>2328</v>
      </c>
      <c r="D466" s="26" t="s">
        <v>2329</v>
      </c>
      <c r="E466" s="26" t="s">
        <v>249</v>
      </c>
      <c r="F466" s="26" t="s">
        <v>2117</v>
      </c>
      <c r="G466" s="26" t="s">
        <v>2117</v>
      </c>
      <c r="H466" s="218"/>
      <c r="I466" s="26" t="s">
        <v>2060</v>
      </c>
      <c r="J466" s="26"/>
      <c r="K466" s="61">
        <v>43692</v>
      </c>
      <c r="L466" s="26"/>
      <c r="M466" s="26">
        <f t="shared" si="43"/>
        <v>90000</v>
      </c>
      <c r="N466" s="26">
        <f t="shared" si="44"/>
        <v>90000</v>
      </c>
      <c r="O466" s="26"/>
      <c r="P466" s="26"/>
      <c r="Q466" s="26"/>
      <c r="R466" s="26"/>
      <c r="S466" s="26"/>
      <c r="T466" s="26"/>
      <c r="U466" s="26">
        <v>90000</v>
      </c>
      <c r="V466" s="26"/>
      <c r="W466" s="26"/>
      <c r="X466" s="26"/>
      <c r="Y466" s="26"/>
      <c r="Z466" s="26"/>
      <c r="AA466" s="364">
        <v>0.15</v>
      </c>
      <c r="AB466" s="26"/>
      <c r="AC466" s="26"/>
      <c r="AD466" s="26"/>
      <c r="AE466" s="26"/>
      <c r="AF466" s="26"/>
      <c r="AG466" s="26"/>
      <c r="AH466" s="26">
        <v>76500</v>
      </c>
      <c r="AI466" s="26"/>
      <c r="AJ466" s="26"/>
      <c r="AK466" s="26"/>
      <c r="AL466" s="26"/>
      <c r="AM466" s="26"/>
      <c r="AN466" s="26">
        <f t="shared" si="32"/>
        <v>76500</v>
      </c>
      <c r="AO466" s="26" t="s">
        <v>62</v>
      </c>
      <c r="AP466" s="26"/>
      <c r="AQ466" s="26"/>
      <c r="AR466" s="26"/>
      <c r="AS466" s="26"/>
      <c r="AT466" s="308"/>
      <c r="AU466" s="26"/>
      <c r="AV466" s="26"/>
      <c r="AW466" s="26"/>
      <c r="AX466" s="26"/>
      <c r="AY466" s="26"/>
      <c r="AZ466" s="308"/>
      <c r="BA466" s="308"/>
      <c r="BB466" s="26"/>
      <c r="BC466" s="26"/>
      <c r="BD466" s="26"/>
      <c r="BE466" s="297"/>
      <c r="BF466" s="298">
        <f t="shared" si="40"/>
        <v>0</v>
      </c>
      <c r="BG466" s="297" t="str">
        <f>VLOOKUP(B466,[1]Sheet2!$B:$X,23,0)</f>
        <v>李天慈</v>
      </c>
    </row>
    <row r="467" spans="1:59" s="28" customFormat="1" ht="33" customHeight="1">
      <c r="A467" s="26" t="s">
        <v>2330</v>
      </c>
      <c r="B467" s="26" t="s">
        <v>2331</v>
      </c>
      <c r="C467" s="26" t="s">
        <v>2332</v>
      </c>
      <c r="D467" s="26" t="s">
        <v>2333</v>
      </c>
      <c r="E467" s="26" t="s">
        <v>249</v>
      </c>
      <c r="F467" s="26" t="s">
        <v>2104</v>
      </c>
      <c r="G467" s="26" t="s">
        <v>2104</v>
      </c>
      <c r="H467" s="218"/>
      <c r="I467" s="26" t="s">
        <v>2060</v>
      </c>
      <c r="J467" s="26"/>
      <c r="K467" s="61">
        <v>43692</v>
      </c>
      <c r="L467" s="26"/>
      <c r="M467" s="26">
        <f t="shared" si="43"/>
        <v>99430</v>
      </c>
      <c r="N467" s="26">
        <f t="shared" si="44"/>
        <v>99430</v>
      </c>
      <c r="O467" s="26"/>
      <c r="P467" s="26"/>
      <c r="Q467" s="26">
        <v>43230</v>
      </c>
      <c r="R467" s="26"/>
      <c r="S467" s="26"/>
      <c r="T467" s="26">
        <v>3000</v>
      </c>
      <c r="U467" s="26">
        <v>53200</v>
      </c>
      <c r="V467" s="26"/>
      <c r="W467" s="26"/>
      <c r="X467" s="26"/>
      <c r="Y467" s="26"/>
      <c r="Z467" s="26"/>
      <c r="AA467" s="364">
        <v>0.15</v>
      </c>
      <c r="AB467" s="26"/>
      <c r="AC467" s="26"/>
      <c r="AD467" s="26">
        <v>38330</v>
      </c>
      <c r="AE467" s="26"/>
      <c r="AF467" s="26"/>
      <c r="AG467" s="26">
        <v>1000</v>
      </c>
      <c r="AH467" s="26">
        <v>45220</v>
      </c>
      <c r="AI467" s="26"/>
      <c r="AJ467" s="26"/>
      <c r="AK467" s="26"/>
      <c r="AL467" s="26"/>
      <c r="AM467" s="26"/>
      <c r="AN467" s="26">
        <f t="shared" si="32"/>
        <v>84550</v>
      </c>
      <c r="AO467" s="26" t="s">
        <v>62</v>
      </c>
      <c r="AP467" s="26"/>
      <c r="AQ467" s="26"/>
      <c r="AR467" s="26"/>
      <c r="AS467" s="26"/>
      <c r="AT467" s="308"/>
      <c r="AU467" s="26"/>
      <c r="AV467" s="26"/>
      <c r="AW467" s="26"/>
      <c r="AX467" s="26"/>
      <c r="AY467" s="26"/>
      <c r="AZ467" s="308"/>
      <c r="BA467" s="308"/>
      <c r="BB467" s="26"/>
      <c r="BC467" s="26"/>
      <c r="BD467" s="26"/>
      <c r="BE467" s="297"/>
      <c r="BF467" s="298">
        <f t="shared" si="40"/>
        <v>0</v>
      </c>
      <c r="BG467" s="297" t="str">
        <f>VLOOKUP(B467,[1]Sheet2!$B:$X,23,0)</f>
        <v>李天慈</v>
      </c>
    </row>
    <row r="468" spans="1:59" s="28" customFormat="1" ht="33" customHeight="1">
      <c r="A468" s="26" t="s">
        <v>2334</v>
      </c>
      <c r="B468" s="26" t="s">
        <v>2335</v>
      </c>
      <c r="C468" s="26" t="s">
        <v>2336</v>
      </c>
      <c r="D468" s="26" t="s">
        <v>2337</v>
      </c>
      <c r="E468" s="26" t="s">
        <v>1093</v>
      </c>
      <c r="F468" s="26" t="s">
        <v>1277</v>
      </c>
      <c r="G468" s="26" t="s">
        <v>1277</v>
      </c>
      <c r="H468" s="218" t="s">
        <v>1277</v>
      </c>
      <c r="I468" s="26" t="s">
        <v>1928</v>
      </c>
      <c r="J468" s="26"/>
      <c r="K468" s="61">
        <v>43698</v>
      </c>
      <c r="L468" s="26"/>
      <c r="M468" s="26">
        <f t="shared" si="43"/>
        <v>459123</v>
      </c>
      <c r="N468" s="26">
        <f t="shared" si="44"/>
        <v>459123</v>
      </c>
      <c r="O468" s="26"/>
      <c r="P468" s="26"/>
      <c r="Q468" s="26"/>
      <c r="R468" s="26"/>
      <c r="S468" s="26"/>
      <c r="T468" s="26"/>
      <c r="U468" s="26">
        <v>459123</v>
      </c>
      <c r="V468" s="26"/>
      <c r="W468" s="26"/>
      <c r="X468" s="26"/>
      <c r="Y468" s="26"/>
      <c r="Z468" s="26"/>
      <c r="AA468" s="364">
        <v>0.15</v>
      </c>
      <c r="AB468" s="26"/>
      <c r="AC468" s="26"/>
      <c r="AD468" s="26"/>
      <c r="AE468" s="26"/>
      <c r="AF468" s="26"/>
      <c r="AG468" s="26"/>
      <c r="AH468" s="26">
        <v>390254.55</v>
      </c>
      <c r="AI468" s="26"/>
      <c r="AJ468" s="26"/>
      <c r="AK468" s="26"/>
      <c r="AL468" s="26"/>
      <c r="AM468" s="26"/>
      <c r="AN468" s="26">
        <f t="shared" si="32"/>
        <v>390254.55</v>
      </c>
      <c r="AO468" s="26" t="s">
        <v>286</v>
      </c>
      <c r="AP468" s="26"/>
      <c r="AQ468" s="26"/>
      <c r="AR468" s="61">
        <v>43703</v>
      </c>
      <c r="AS468" s="61"/>
      <c r="AT468" s="308"/>
      <c r="AU468" s="26"/>
      <c r="AV468" s="26"/>
      <c r="AW468" s="26"/>
      <c r="AX468" s="26"/>
      <c r="AY468" s="26"/>
      <c r="AZ468" s="308"/>
      <c r="BA468" s="308"/>
      <c r="BB468" s="26"/>
      <c r="BC468" s="26"/>
      <c r="BD468" s="26"/>
      <c r="BE468" s="297">
        <v>459123</v>
      </c>
      <c r="BF468" s="298">
        <f t="shared" si="40"/>
        <v>1</v>
      </c>
      <c r="BG468" s="297" t="e">
        <f>VLOOKUP(B468,[1]Sheet2!$B:$X,23,0)</f>
        <v>#N/A</v>
      </c>
    </row>
    <row r="469" spans="1:59" s="28" customFormat="1" ht="33" customHeight="1">
      <c r="A469" s="26" t="s">
        <v>2338</v>
      </c>
      <c r="B469" s="26" t="s">
        <v>2339</v>
      </c>
      <c r="C469" s="26" t="s">
        <v>2340</v>
      </c>
      <c r="D469" s="26" t="s">
        <v>2341</v>
      </c>
      <c r="E469" s="26" t="s">
        <v>261</v>
      </c>
      <c r="F469" s="26" t="s">
        <v>2104</v>
      </c>
      <c r="G469" s="26" t="s">
        <v>2104</v>
      </c>
      <c r="H469" s="218"/>
      <c r="I469" s="26" t="s">
        <v>2035</v>
      </c>
      <c r="J469" s="26"/>
      <c r="K469" s="61">
        <v>43703</v>
      </c>
      <c r="L469" s="26"/>
      <c r="M469" s="26">
        <f t="shared" si="43"/>
        <v>2857100</v>
      </c>
      <c r="N469" s="26">
        <f t="shared" si="44"/>
        <v>2857100</v>
      </c>
      <c r="O469" s="26"/>
      <c r="P469" s="26"/>
      <c r="Q469" s="26">
        <v>322526</v>
      </c>
      <c r="R469" s="26"/>
      <c r="S469" s="26"/>
      <c r="T469" s="26">
        <v>566444</v>
      </c>
      <c r="U469" s="26">
        <v>1968130</v>
      </c>
      <c r="V469" s="26"/>
      <c r="W469" s="26"/>
      <c r="X469" s="26"/>
      <c r="Y469" s="26"/>
      <c r="Z469" s="26"/>
      <c r="AA469" s="364">
        <v>0.11</v>
      </c>
      <c r="AB469" s="26"/>
      <c r="AC469" s="26"/>
      <c r="AD469" s="26">
        <v>308400</v>
      </c>
      <c r="AE469" s="26"/>
      <c r="AF469" s="26"/>
      <c r="AG469" s="26">
        <v>493695</v>
      </c>
      <c r="AH469" s="26">
        <v>1755005</v>
      </c>
      <c r="AI469" s="26"/>
      <c r="AJ469" s="26"/>
      <c r="AK469" s="26"/>
      <c r="AL469" s="26"/>
      <c r="AM469" s="26"/>
      <c r="AN469" s="26">
        <f t="shared" si="32"/>
        <v>2557100</v>
      </c>
      <c r="AO469" s="26" t="s">
        <v>77</v>
      </c>
      <c r="AP469" s="26"/>
      <c r="AQ469" s="26"/>
      <c r="AR469" s="61">
        <v>43703</v>
      </c>
      <c r="AS469" s="61"/>
      <c r="AT469" s="308"/>
      <c r="AU469" s="26"/>
      <c r="AV469" s="26"/>
      <c r="AW469" s="26"/>
      <c r="AX469" s="26"/>
      <c r="AY469" s="26"/>
      <c r="AZ469" s="308"/>
      <c r="BA469" s="308"/>
      <c r="BB469" s="26"/>
      <c r="BC469" s="26"/>
      <c r="BD469" s="26"/>
      <c r="BE469" s="297"/>
      <c r="BF469" s="298">
        <f t="shared" si="40"/>
        <v>0</v>
      </c>
      <c r="BG469" s="297" t="str">
        <f>VLOOKUP(B469,[1]Sheet2!$B:$X,23,0)</f>
        <v>付欣</v>
      </c>
    </row>
    <row r="470" spans="1:59" s="28" customFormat="1" ht="33" customHeight="1">
      <c r="A470" s="26" t="s">
        <v>2277</v>
      </c>
      <c r="B470" s="26" t="s">
        <v>2278</v>
      </c>
      <c r="C470" s="26" t="s">
        <v>2342</v>
      </c>
      <c r="D470" s="26" t="s">
        <v>2280</v>
      </c>
      <c r="E470" s="26" t="s">
        <v>1093</v>
      </c>
      <c r="F470" s="26" t="s">
        <v>2104</v>
      </c>
      <c r="G470" s="26" t="s">
        <v>2104</v>
      </c>
      <c r="H470" s="218"/>
      <c r="I470" s="26" t="s">
        <v>2281</v>
      </c>
      <c r="J470" s="26"/>
      <c r="K470" s="61">
        <v>43704</v>
      </c>
      <c r="L470" s="26"/>
      <c r="M470" s="26">
        <f t="shared" si="43"/>
        <v>15480</v>
      </c>
      <c r="N470" s="26">
        <f t="shared" si="44"/>
        <v>15480</v>
      </c>
      <c r="O470" s="26"/>
      <c r="P470" s="26"/>
      <c r="Q470" s="26">
        <v>10535</v>
      </c>
      <c r="R470" s="26"/>
      <c r="S470" s="26"/>
      <c r="T470" s="26"/>
      <c r="U470" s="26">
        <v>4945</v>
      </c>
      <c r="V470" s="26"/>
      <c r="W470" s="26"/>
      <c r="X470" s="26"/>
      <c r="Y470" s="26"/>
      <c r="Z470" s="26"/>
      <c r="AA470" s="364">
        <v>0.15</v>
      </c>
      <c r="AB470" s="26"/>
      <c r="AC470" s="26"/>
      <c r="AD470" s="26">
        <v>10105</v>
      </c>
      <c r="AE470" s="26"/>
      <c r="AF470" s="26"/>
      <c r="AG470" s="26"/>
      <c r="AH470" s="26">
        <v>4203.25</v>
      </c>
      <c r="AI470" s="26"/>
      <c r="AJ470" s="26"/>
      <c r="AK470" s="26"/>
      <c r="AL470" s="26"/>
      <c r="AM470" s="26"/>
      <c r="AN470" s="26">
        <f t="shared" si="32"/>
        <v>14308.25</v>
      </c>
      <c r="AO470" s="26" t="s">
        <v>286</v>
      </c>
      <c r="AP470" s="26"/>
      <c r="AQ470" s="26"/>
      <c r="AR470" s="61">
        <v>43703</v>
      </c>
      <c r="AS470" s="61"/>
      <c r="AT470" s="308"/>
      <c r="AU470" s="26"/>
      <c r="AV470" s="26"/>
      <c r="AW470" s="26"/>
      <c r="AX470" s="26"/>
      <c r="AY470" s="26"/>
      <c r="AZ470" s="308"/>
      <c r="BA470" s="308"/>
      <c r="BB470" s="26"/>
      <c r="BC470" s="26"/>
      <c r="BD470" s="26"/>
      <c r="BE470" s="297"/>
      <c r="BF470" s="298">
        <f t="shared" si="40"/>
        <v>0</v>
      </c>
      <c r="BG470" s="297" t="str">
        <f>VLOOKUP(B470,[1]Sheet2!$B:$X,23,0)</f>
        <v>刘秧</v>
      </c>
    </row>
    <row r="471" spans="1:59" s="28" customFormat="1" ht="33" customHeight="1">
      <c r="A471" s="26" t="s">
        <v>2343</v>
      </c>
      <c r="B471" s="26" t="s">
        <v>2344</v>
      </c>
      <c r="C471" s="26" t="s">
        <v>2345</v>
      </c>
      <c r="D471" s="26" t="s">
        <v>2346</v>
      </c>
      <c r="E471" s="26" t="s">
        <v>60</v>
      </c>
      <c r="F471" s="26" t="s">
        <v>315</v>
      </c>
      <c r="G471" s="26" t="s">
        <v>315</v>
      </c>
      <c r="H471" s="218" t="s">
        <v>1961</v>
      </c>
      <c r="I471" s="26" t="s">
        <v>795</v>
      </c>
      <c r="J471" s="26"/>
      <c r="K471" s="61">
        <v>43706</v>
      </c>
      <c r="L471" s="26"/>
      <c r="M471" s="26">
        <f t="shared" si="43"/>
        <v>3676510</v>
      </c>
      <c r="N471" s="26">
        <f t="shared" si="44"/>
        <v>2982910</v>
      </c>
      <c r="O471" s="26"/>
      <c r="P471" s="26"/>
      <c r="Q471" s="26">
        <v>443910</v>
      </c>
      <c r="R471" s="26"/>
      <c r="S471" s="26"/>
      <c r="T471" s="26">
        <v>1189000</v>
      </c>
      <c r="U471" s="26">
        <v>1350000</v>
      </c>
      <c r="V471" s="26"/>
      <c r="W471" s="26">
        <v>693600</v>
      </c>
      <c r="X471" s="26">
        <v>693600</v>
      </c>
      <c r="Y471" s="364">
        <v>0.06</v>
      </c>
      <c r="Z471" s="26"/>
      <c r="AA471" s="364">
        <v>0.1</v>
      </c>
      <c r="AB471" s="26"/>
      <c r="AC471" s="26"/>
      <c r="AD471" s="26">
        <v>432831</v>
      </c>
      <c r="AE471" s="26"/>
      <c r="AF471" s="26"/>
      <c r="AG471" s="26">
        <v>654000</v>
      </c>
      <c r="AH471" s="26">
        <v>1326000</v>
      </c>
      <c r="AI471" s="26"/>
      <c r="AJ471" s="26"/>
      <c r="AK471" s="26"/>
      <c r="AL471" s="26"/>
      <c r="AM471" s="26"/>
      <c r="AN471" s="26">
        <f t="shared" si="32"/>
        <v>2412831</v>
      </c>
      <c r="AO471" s="26" t="s">
        <v>62</v>
      </c>
      <c r="AP471" s="26"/>
      <c r="AQ471" s="26"/>
      <c r="AR471" s="61">
        <v>43706</v>
      </c>
      <c r="AS471" s="26"/>
      <c r="AT471" s="308"/>
      <c r="AU471" s="26"/>
      <c r="AV471" s="26"/>
      <c r="AW471" s="26"/>
      <c r="AX471" s="26"/>
      <c r="AY471" s="26"/>
      <c r="AZ471" s="308"/>
      <c r="BA471" s="308"/>
      <c r="BB471" s="26"/>
      <c r="BC471" s="26"/>
      <c r="BD471" s="26"/>
      <c r="BE471" s="297"/>
      <c r="BF471" s="298">
        <f t="shared" si="40"/>
        <v>0</v>
      </c>
      <c r="BG471" s="297" t="e">
        <f>VLOOKUP(B471,[1]Sheet2!$B:$X,23,0)</f>
        <v>#N/A</v>
      </c>
    </row>
    <row r="472" spans="1:59" s="28" customFormat="1" ht="33" customHeight="1">
      <c r="A472" s="26" t="s">
        <v>2347</v>
      </c>
      <c r="B472" s="26" t="s">
        <v>2348</v>
      </c>
      <c r="C472" s="26" t="s">
        <v>2349</v>
      </c>
      <c r="D472" s="26" t="s">
        <v>2350</v>
      </c>
      <c r="E472" s="26" t="s">
        <v>139</v>
      </c>
      <c r="F472" s="26" t="s">
        <v>2117</v>
      </c>
      <c r="G472" s="26" t="s">
        <v>2117</v>
      </c>
      <c r="H472" s="218" t="s">
        <v>1850</v>
      </c>
      <c r="I472" s="26" t="s">
        <v>2035</v>
      </c>
      <c r="J472" s="26"/>
      <c r="K472" s="61">
        <v>43708</v>
      </c>
      <c r="L472" s="26"/>
      <c r="M472" s="26">
        <f t="shared" si="43"/>
        <v>1827840</v>
      </c>
      <c r="N472" s="26">
        <f t="shared" si="44"/>
        <v>1617600</v>
      </c>
      <c r="O472" s="26"/>
      <c r="P472" s="26"/>
      <c r="Q472" s="26"/>
      <c r="R472" s="26"/>
      <c r="S472" s="26"/>
      <c r="T472" s="26"/>
      <c r="U472" s="26">
        <v>1617600</v>
      </c>
      <c r="V472" s="26"/>
      <c r="W472" s="26">
        <f>156240+54000</f>
        <v>210240</v>
      </c>
      <c r="X472" s="26"/>
      <c r="Y472" s="26" t="s">
        <v>2351</v>
      </c>
      <c r="Z472" s="26"/>
      <c r="AA472" s="364">
        <v>0.3</v>
      </c>
      <c r="AB472" s="26"/>
      <c r="AC472" s="26"/>
      <c r="AD472" s="26"/>
      <c r="AE472" s="26"/>
      <c r="AF472" s="26"/>
      <c r="AG472" s="26"/>
      <c r="AH472" s="26">
        <v>1101440</v>
      </c>
      <c r="AI472" s="26"/>
      <c r="AJ472" s="26">
        <v>156240</v>
      </c>
      <c r="AK472" s="26">
        <v>54000</v>
      </c>
      <c r="AL472" s="26"/>
      <c r="AM472" s="26"/>
      <c r="AN472" s="26">
        <f t="shared" si="32"/>
        <v>1311680</v>
      </c>
      <c r="AO472" s="26" t="s">
        <v>1843</v>
      </c>
      <c r="AP472" s="26"/>
      <c r="AQ472" s="26"/>
      <c r="AR472" s="61">
        <v>43710</v>
      </c>
      <c r="AS472" s="26"/>
      <c r="AT472" s="308"/>
      <c r="AU472" s="26"/>
      <c r="AV472" s="26"/>
      <c r="AW472" s="26"/>
      <c r="AX472" s="26"/>
      <c r="AY472" s="26"/>
      <c r="AZ472" s="308"/>
      <c r="BA472" s="308"/>
      <c r="BB472" s="26"/>
      <c r="BC472" s="26"/>
      <c r="BD472" s="26"/>
      <c r="BE472" s="297">
        <v>0</v>
      </c>
      <c r="BF472" s="298">
        <f t="shared" si="40"/>
        <v>0</v>
      </c>
      <c r="BG472" s="297" t="str">
        <f>VLOOKUP(B472,[1]Sheet2!$B:$X,23,0)</f>
        <v>付欣</v>
      </c>
    </row>
    <row r="473" spans="1:59" s="28" customFormat="1" ht="33" customHeight="1">
      <c r="A473" s="26" t="s">
        <v>2352</v>
      </c>
      <c r="B473" s="26" t="s">
        <v>2353</v>
      </c>
      <c r="C473" s="26" t="s">
        <v>2354</v>
      </c>
      <c r="D473" s="26" t="s">
        <v>2355</v>
      </c>
      <c r="E473" s="26" t="s">
        <v>265</v>
      </c>
      <c r="F473" s="26" t="s">
        <v>1277</v>
      </c>
      <c r="G473" s="26" t="s">
        <v>1277</v>
      </c>
      <c r="H473" s="218"/>
      <c r="I473" s="26" t="s">
        <v>1928</v>
      </c>
      <c r="J473" s="26"/>
      <c r="K473" s="61">
        <v>43707</v>
      </c>
      <c r="L473" s="26"/>
      <c r="M473" s="26">
        <f t="shared" si="43"/>
        <v>164800</v>
      </c>
      <c r="N473" s="26">
        <f t="shared" si="44"/>
        <v>164800</v>
      </c>
      <c r="O473" s="26"/>
      <c r="P473" s="26"/>
      <c r="Q473" s="26"/>
      <c r="R473" s="26"/>
      <c r="S473" s="26"/>
      <c r="T473" s="26"/>
      <c r="U473" s="26">
        <v>164800</v>
      </c>
      <c r="V473" s="26"/>
      <c r="W473" s="26"/>
      <c r="X473" s="26"/>
      <c r="Y473" s="26"/>
      <c r="Z473" s="26"/>
      <c r="AA473" s="364">
        <v>0.08</v>
      </c>
      <c r="AB473" s="26"/>
      <c r="AC473" s="26"/>
      <c r="AD473" s="26"/>
      <c r="AE473" s="26"/>
      <c r="AF473" s="26"/>
      <c r="AG473" s="26"/>
      <c r="AH473" s="26">
        <v>151451.20000000001</v>
      </c>
      <c r="AI473" s="26"/>
      <c r="AJ473" s="26"/>
      <c r="AK473" s="26"/>
      <c r="AL473" s="26"/>
      <c r="AM473" s="26"/>
      <c r="AN473" s="26">
        <f t="shared" si="32"/>
        <v>151451.20000000001</v>
      </c>
      <c r="AO473" s="26" t="s">
        <v>286</v>
      </c>
      <c r="AP473" s="26"/>
      <c r="AQ473" s="26"/>
      <c r="AR473" s="61">
        <v>43711</v>
      </c>
      <c r="AS473" s="26"/>
      <c r="AT473" s="308"/>
      <c r="AU473" s="26"/>
      <c r="AV473" s="26" t="s">
        <v>66</v>
      </c>
      <c r="AW473" s="26"/>
      <c r="AX473" s="26" t="s">
        <v>86</v>
      </c>
      <c r="AY473" s="26"/>
      <c r="AZ473" s="308">
        <v>43739</v>
      </c>
      <c r="BA473" s="308">
        <v>43748</v>
      </c>
      <c r="BB473" s="26"/>
      <c r="BC473" s="374">
        <v>44105</v>
      </c>
      <c r="BD473" s="113" t="s">
        <v>931</v>
      </c>
      <c r="BE473" s="297"/>
      <c r="BF473" s="298">
        <f t="shared" si="40"/>
        <v>0</v>
      </c>
      <c r="BG473" s="297" t="e">
        <f>VLOOKUP(B473,[1]Sheet2!$B:$X,23,0)</f>
        <v>#N/A</v>
      </c>
    </row>
    <row r="474" spans="1:59" s="28" customFormat="1" ht="33" customHeight="1">
      <c r="A474" s="26" t="s">
        <v>2356</v>
      </c>
      <c r="B474" s="26" t="s">
        <v>2357</v>
      </c>
      <c r="C474" s="26" t="s">
        <v>2358</v>
      </c>
      <c r="D474" s="26" t="s">
        <v>2359</v>
      </c>
      <c r="E474" s="26" t="s">
        <v>261</v>
      </c>
      <c r="F474" s="26" t="s">
        <v>2104</v>
      </c>
      <c r="G474" s="26" t="s">
        <v>2104</v>
      </c>
      <c r="H474" s="218"/>
      <c r="I474" s="26"/>
      <c r="J474" s="26"/>
      <c r="K474" s="61">
        <v>43710</v>
      </c>
      <c r="L474" s="26"/>
      <c r="M474" s="26">
        <f t="shared" si="43"/>
        <v>110000</v>
      </c>
      <c r="N474" s="26">
        <f t="shared" si="44"/>
        <v>110000</v>
      </c>
      <c r="O474" s="26"/>
      <c r="P474" s="26"/>
      <c r="Q474" s="26">
        <v>56900</v>
      </c>
      <c r="R474" s="26"/>
      <c r="S474" s="26"/>
      <c r="T474" s="26">
        <v>53100</v>
      </c>
      <c r="U474" s="26"/>
      <c r="V474" s="26"/>
      <c r="W474" s="26"/>
      <c r="X474" s="26"/>
      <c r="Y474" s="26"/>
      <c r="Z474" s="26"/>
      <c r="AA474" s="364">
        <v>0.15</v>
      </c>
      <c r="AB474" s="26"/>
      <c r="AC474" s="26"/>
      <c r="AD474" s="26">
        <v>56331</v>
      </c>
      <c r="AE474" s="26"/>
      <c r="AF474" s="26"/>
      <c r="AG474" s="26">
        <v>37450.980000000003</v>
      </c>
      <c r="AH474" s="26"/>
      <c r="AI474" s="26"/>
      <c r="AJ474" s="26"/>
      <c r="AK474" s="26"/>
      <c r="AL474" s="26"/>
      <c r="AM474" s="26"/>
      <c r="AN474" s="26">
        <f t="shared" si="32"/>
        <v>93781.98000000001</v>
      </c>
      <c r="AO474" s="26" t="s">
        <v>77</v>
      </c>
      <c r="AP474" s="26"/>
      <c r="AQ474" s="26"/>
      <c r="AR474" s="61">
        <v>43711</v>
      </c>
      <c r="AS474" s="26"/>
      <c r="AT474" s="308"/>
      <c r="AU474" s="26"/>
      <c r="AV474" s="26"/>
      <c r="AW474" s="26"/>
      <c r="AX474" s="26"/>
      <c r="AY474" s="26"/>
      <c r="AZ474" s="308"/>
      <c r="BA474" s="308"/>
      <c r="BB474" s="26"/>
      <c r="BC474" s="26"/>
      <c r="BD474" s="26"/>
      <c r="BE474" s="297">
        <v>0</v>
      </c>
      <c r="BF474" s="298">
        <f t="shared" si="40"/>
        <v>0</v>
      </c>
      <c r="BG474" s="297" t="e">
        <f>VLOOKUP(B474,[1]Sheet2!$B:$X,23,0)</f>
        <v>#N/A</v>
      </c>
    </row>
    <row r="475" spans="1:59" s="28" customFormat="1" ht="33" customHeight="1">
      <c r="A475" s="26" t="s">
        <v>2360</v>
      </c>
      <c r="B475" s="26" t="s">
        <v>2361</v>
      </c>
      <c r="C475" s="26" t="s">
        <v>2362</v>
      </c>
      <c r="D475" s="26" t="s">
        <v>2317</v>
      </c>
      <c r="E475" s="26" t="s">
        <v>374</v>
      </c>
      <c r="F475" s="26" t="s">
        <v>2117</v>
      </c>
      <c r="G475" s="26" t="s">
        <v>2117</v>
      </c>
      <c r="H475" s="218"/>
      <c r="I475" s="26" t="s">
        <v>1982</v>
      </c>
      <c r="J475" s="26"/>
      <c r="K475" s="61">
        <v>43711</v>
      </c>
      <c r="L475" s="26"/>
      <c r="M475" s="26">
        <f t="shared" ref="M475:M477" si="45">SUM(N475,W475)</f>
        <v>21000</v>
      </c>
      <c r="N475" s="26">
        <f t="shared" ref="N475:N477" si="46">SUM(O475:V475)</f>
        <v>21000</v>
      </c>
      <c r="O475" s="26"/>
      <c r="P475" s="26"/>
      <c r="Q475" s="26"/>
      <c r="R475" s="26"/>
      <c r="S475" s="26"/>
      <c r="T475" s="26"/>
      <c r="U475" s="26">
        <v>21000</v>
      </c>
      <c r="V475" s="26"/>
      <c r="W475" s="26"/>
      <c r="X475" s="26"/>
      <c r="Y475" s="26"/>
      <c r="Z475" s="26"/>
      <c r="AA475" s="364">
        <v>0.15</v>
      </c>
      <c r="AB475" s="26"/>
      <c r="AC475" s="26"/>
      <c r="AD475" s="26"/>
      <c r="AE475" s="26"/>
      <c r="AF475" s="26"/>
      <c r="AG475" s="26"/>
      <c r="AH475" s="26">
        <v>17850</v>
      </c>
      <c r="AI475" s="26"/>
      <c r="AJ475" s="26"/>
      <c r="AK475" s="26"/>
      <c r="AL475" s="26"/>
      <c r="AM475" s="26"/>
      <c r="AN475" s="26">
        <f t="shared" si="32"/>
        <v>17850</v>
      </c>
      <c r="AO475" s="26" t="s">
        <v>77</v>
      </c>
      <c r="AP475" s="26"/>
      <c r="AQ475" s="26"/>
      <c r="AR475" s="61">
        <v>43711</v>
      </c>
      <c r="AS475" s="26"/>
      <c r="AT475" s="308"/>
      <c r="AU475" s="26"/>
      <c r="AV475" s="26" t="s">
        <v>66</v>
      </c>
      <c r="AW475" s="26"/>
      <c r="AX475" s="26" t="s">
        <v>86</v>
      </c>
      <c r="AY475" s="26"/>
      <c r="AZ475" s="308">
        <v>43713</v>
      </c>
      <c r="BA475" s="308">
        <v>43713</v>
      </c>
      <c r="BB475" s="26"/>
      <c r="BC475" s="61">
        <v>44047</v>
      </c>
      <c r="BD475" s="26" t="s">
        <v>931</v>
      </c>
      <c r="BE475" s="297">
        <v>0</v>
      </c>
      <c r="BF475" s="298">
        <f t="shared" si="40"/>
        <v>0</v>
      </c>
      <c r="BG475" s="297" t="e">
        <f>VLOOKUP(B475,[1]Sheet2!$B:$X,23,0)</f>
        <v>#N/A</v>
      </c>
    </row>
    <row r="476" spans="1:59" s="28" customFormat="1" ht="33" customHeight="1">
      <c r="A476" s="26" t="s">
        <v>2136</v>
      </c>
      <c r="B476" s="26" t="s">
        <v>2137</v>
      </c>
      <c r="C476" s="26" t="s">
        <v>2363</v>
      </c>
      <c r="D476" s="26" t="s">
        <v>2364</v>
      </c>
      <c r="E476" s="26" t="s">
        <v>168</v>
      </c>
      <c r="F476" s="26" t="s">
        <v>1277</v>
      </c>
      <c r="G476" s="26" t="s">
        <v>1277</v>
      </c>
      <c r="H476" s="218"/>
      <c r="I476" s="26" t="s">
        <v>1951</v>
      </c>
      <c r="J476" s="26"/>
      <c r="K476" s="61">
        <v>43712</v>
      </c>
      <c r="L476" s="26"/>
      <c r="M476" s="26">
        <f t="shared" si="45"/>
        <v>1603000</v>
      </c>
      <c r="N476" s="26">
        <f t="shared" si="46"/>
        <v>1603000</v>
      </c>
      <c r="O476" s="26"/>
      <c r="P476" s="26"/>
      <c r="Q476" s="26"/>
      <c r="R476" s="26"/>
      <c r="S476" s="26"/>
      <c r="T476" s="26"/>
      <c r="U476" s="26">
        <v>1603000</v>
      </c>
      <c r="V476" s="26"/>
      <c r="W476" s="26"/>
      <c r="X476" s="26"/>
      <c r="Y476" s="26"/>
      <c r="Z476" s="26"/>
      <c r="AA476" s="364">
        <v>0.09</v>
      </c>
      <c r="AB476" s="26"/>
      <c r="AC476" s="26"/>
      <c r="AD476" s="26"/>
      <c r="AE476" s="26"/>
      <c r="AF476" s="26"/>
      <c r="AG476" s="26"/>
      <c r="AH476" s="26">
        <v>1057158</v>
      </c>
      <c r="AI476" s="26"/>
      <c r="AJ476" s="26"/>
      <c r="AK476" s="26"/>
      <c r="AL476" s="26"/>
      <c r="AM476" s="26"/>
      <c r="AN476" s="26">
        <f t="shared" si="32"/>
        <v>1057158</v>
      </c>
      <c r="AO476" s="26" t="s">
        <v>1258</v>
      </c>
      <c r="AP476" s="26"/>
      <c r="AQ476" s="26"/>
      <c r="AR476" s="61">
        <v>43713</v>
      </c>
      <c r="AS476" s="26"/>
      <c r="AT476" s="308"/>
      <c r="AU476" s="26"/>
      <c r="AV476" s="26"/>
      <c r="AW476" s="26"/>
      <c r="AX476" s="26"/>
      <c r="AY476" s="26"/>
      <c r="AZ476" s="308"/>
      <c r="BA476" s="308"/>
      <c r="BB476" s="26"/>
      <c r="BC476" s="26"/>
      <c r="BD476" s="26"/>
      <c r="BE476" s="297"/>
      <c r="BF476" s="298">
        <f t="shared" si="40"/>
        <v>0</v>
      </c>
      <c r="BG476" s="297" t="e">
        <f>VLOOKUP(B476,[1]Sheet2!$B:$X,23,0)</f>
        <v>#N/A</v>
      </c>
    </row>
    <row r="477" spans="1:59" s="28" customFormat="1" ht="33" customHeight="1">
      <c r="A477" s="26" t="s">
        <v>2365</v>
      </c>
      <c r="B477" s="26" t="s">
        <v>2366</v>
      </c>
      <c r="C477" s="26" t="s">
        <v>2367</v>
      </c>
      <c r="D477" s="26" t="s">
        <v>2368</v>
      </c>
      <c r="E477" s="26" t="s">
        <v>374</v>
      </c>
      <c r="F477" s="26" t="s">
        <v>315</v>
      </c>
      <c r="G477" s="26" t="s">
        <v>315</v>
      </c>
      <c r="H477" s="218"/>
      <c r="I477" s="26" t="s">
        <v>1004</v>
      </c>
      <c r="J477" s="26"/>
      <c r="K477" s="61">
        <v>43719</v>
      </c>
      <c r="L477" s="26"/>
      <c r="M477" s="26">
        <f t="shared" si="45"/>
        <v>749000</v>
      </c>
      <c r="N477" s="26">
        <f t="shared" si="46"/>
        <v>749000</v>
      </c>
      <c r="O477" s="26"/>
      <c r="P477" s="26"/>
      <c r="Q477" s="26"/>
      <c r="R477" s="26"/>
      <c r="S477" s="26"/>
      <c r="T477" s="26">
        <v>749000</v>
      </c>
      <c r="U477" s="26"/>
      <c r="V477" s="26"/>
      <c r="W477" s="26"/>
      <c r="X477" s="26"/>
      <c r="Y477" s="26"/>
      <c r="Z477" s="26"/>
      <c r="AA477" s="364">
        <v>0.1</v>
      </c>
      <c r="AB477" s="26"/>
      <c r="AC477" s="26"/>
      <c r="AD477" s="26"/>
      <c r="AE477" s="26"/>
      <c r="AF477" s="26"/>
      <c r="AG477" s="26">
        <v>666610</v>
      </c>
      <c r="AH477" s="26"/>
      <c r="AI477" s="26"/>
      <c r="AJ477" s="26"/>
      <c r="AK477" s="26"/>
      <c r="AL477" s="26"/>
      <c r="AM477" s="26"/>
      <c r="AN477" s="26">
        <f t="shared" si="32"/>
        <v>666610</v>
      </c>
      <c r="AO477" s="26" t="s">
        <v>77</v>
      </c>
      <c r="AP477" s="26"/>
      <c r="AQ477" s="26"/>
      <c r="AR477" s="61">
        <v>43719</v>
      </c>
      <c r="AS477" s="26"/>
      <c r="AT477" s="308"/>
      <c r="AU477" s="26"/>
      <c r="AV477" s="26" t="s">
        <v>66</v>
      </c>
      <c r="AW477" s="26"/>
      <c r="AX477" s="26" t="s">
        <v>86</v>
      </c>
      <c r="AY477" s="26" t="s">
        <v>2369</v>
      </c>
      <c r="AZ477" s="308"/>
      <c r="BA477" s="308"/>
      <c r="BB477" s="26"/>
      <c r="BC477" s="26"/>
      <c r="BD477" s="26"/>
      <c r="BE477" s="297"/>
      <c r="BF477" s="298">
        <f t="shared" si="40"/>
        <v>0</v>
      </c>
      <c r="BG477" s="297" t="e">
        <f>VLOOKUP(B477,[1]Sheet2!$B:$X,23,0)</f>
        <v>#N/A</v>
      </c>
    </row>
    <row r="478" spans="1:59" s="28" customFormat="1" ht="33" customHeight="1">
      <c r="A478" s="26" t="s">
        <v>2370</v>
      </c>
      <c r="B478" s="26" t="s">
        <v>2371</v>
      </c>
      <c r="C478" s="26" t="s">
        <v>2372</v>
      </c>
      <c r="D478" s="26" t="s">
        <v>2373</v>
      </c>
      <c r="E478" s="26" t="s">
        <v>106</v>
      </c>
      <c r="F478" s="25" t="s">
        <v>315</v>
      </c>
      <c r="G478" s="25" t="s">
        <v>315</v>
      </c>
      <c r="H478" s="218"/>
      <c r="I478" s="26" t="s">
        <v>107</v>
      </c>
      <c r="J478" s="26"/>
      <c r="K478" s="61">
        <v>43714</v>
      </c>
      <c r="L478" s="26"/>
      <c r="M478" s="26">
        <f t="shared" ref="M478:M484" si="47">SUM(N478,W478)</f>
        <v>138000</v>
      </c>
      <c r="N478" s="26">
        <f t="shared" ref="N478:N484" si="48">SUM(O478:V478)</f>
        <v>138000</v>
      </c>
      <c r="O478" s="26"/>
      <c r="P478" s="26"/>
      <c r="Q478" s="26">
        <v>86555.56</v>
      </c>
      <c r="R478" s="26"/>
      <c r="S478" s="26"/>
      <c r="T478" s="26">
        <v>51444.44</v>
      </c>
      <c r="U478" s="26"/>
      <c r="V478" s="26"/>
      <c r="W478" s="26"/>
      <c r="X478" s="26"/>
      <c r="Y478" s="26"/>
      <c r="Z478" s="26"/>
      <c r="AA478" s="364">
        <v>0.1</v>
      </c>
      <c r="AB478" s="26"/>
      <c r="AC478" s="26"/>
      <c r="AD478" s="26">
        <v>77900</v>
      </c>
      <c r="AE478" s="26"/>
      <c r="AF478" s="26"/>
      <c r="AG478" s="26">
        <v>46300</v>
      </c>
      <c r="AH478" s="26"/>
      <c r="AI478" s="26"/>
      <c r="AJ478" s="26"/>
      <c r="AK478" s="26"/>
      <c r="AL478" s="26"/>
      <c r="AM478" s="26"/>
      <c r="AN478" s="26">
        <f t="shared" si="32"/>
        <v>124200</v>
      </c>
      <c r="AO478" s="26" t="s">
        <v>108</v>
      </c>
      <c r="AP478" s="26"/>
      <c r="AQ478" s="26"/>
      <c r="AR478" s="61">
        <v>43718</v>
      </c>
      <c r="AS478" s="26"/>
      <c r="AT478" s="308" t="s">
        <v>2374</v>
      </c>
      <c r="AU478" s="26"/>
      <c r="AV478" s="26" t="s">
        <v>66</v>
      </c>
      <c r="AW478" s="26"/>
      <c r="AX478" s="26" t="s">
        <v>86</v>
      </c>
      <c r="AY478" s="26"/>
      <c r="AZ478" s="308">
        <v>43724</v>
      </c>
      <c r="BA478" s="308">
        <v>43728</v>
      </c>
      <c r="BB478" s="26"/>
      <c r="BC478" s="61">
        <v>44089</v>
      </c>
      <c r="BD478" s="26" t="s">
        <v>88</v>
      </c>
      <c r="BE478" s="297">
        <v>133860</v>
      </c>
      <c r="BF478" s="298">
        <f t="shared" si="40"/>
        <v>0.97</v>
      </c>
      <c r="BG478" s="297" t="e">
        <f>VLOOKUP(B478,[1]Sheet2!$B:$X,23,0)</f>
        <v>#N/A</v>
      </c>
    </row>
    <row r="479" spans="1:59" s="28" customFormat="1" ht="33" customHeight="1">
      <c r="A479" s="26" t="s">
        <v>2375</v>
      </c>
      <c r="B479" s="26" t="s">
        <v>2376</v>
      </c>
      <c r="C479" s="26" t="s">
        <v>2377</v>
      </c>
      <c r="D479" s="26" t="s">
        <v>2378</v>
      </c>
      <c r="E479" s="26" t="s">
        <v>265</v>
      </c>
      <c r="F479" s="372" t="s">
        <v>1277</v>
      </c>
      <c r="G479" s="372" t="s">
        <v>1277</v>
      </c>
      <c r="H479" s="218"/>
      <c r="I479" s="26" t="s">
        <v>1928</v>
      </c>
      <c r="J479" s="26"/>
      <c r="K479" s="61">
        <v>43707</v>
      </c>
      <c r="L479" s="26"/>
      <c r="M479" s="26">
        <f t="shared" si="47"/>
        <v>172800</v>
      </c>
      <c r="N479" s="26">
        <f t="shared" si="48"/>
        <v>172800</v>
      </c>
      <c r="O479" s="26"/>
      <c r="P479" s="26"/>
      <c r="Q479" s="26"/>
      <c r="R479" s="26"/>
      <c r="S479" s="26"/>
      <c r="T479" s="26"/>
      <c r="U479" s="26">
        <v>172800</v>
      </c>
      <c r="V479" s="26"/>
      <c r="W479" s="26"/>
      <c r="X479" s="26"/>
      <c r="Y479" s="26"/>
      <c r="Z479" s="26"/>
      <c r="AA479" s="364">
        <v>0.08</v>
      </c>
      <c r="AB479" s="26"/>
      <c r="AC479" s="26"/>
      <c r="AD479" s="26"/>
      <c r="AE479" s="26"/>
      <c r="AF479" s="26"/>
      <c r="AG479" s="26"/>
      <c r="AH479" s="26">
        <v>158803.04</v>
      </c>
      <c r="AI479" s="26"/>
      <c r="AJ479" s="26"/>
      <c r="AK479" s="26"/>
      <c r="AL479" s="26"/>
      <c r="AM479" s="26"/>
      <c r="AN479" s="26">
        <f t="shared" ref="AN479:AN520" si="49">SUM(AB479:AL479)</f>
        <v>158803.04</v>
      </c>
      <c r="AO479" s="26" t="s">
        <v>286</v>
      </c>
      <c r="AP479" s="26"/>
      <c r="AQ479" s="26"/>
      <c r="AR479" s="61">
        <v>43718</v>
      </c>
      <c r="AS479" s="26"/>
      <c r="AT479" s="308">
        <v>43736</v>
      </c>
      <c r="AU479" s="26"/>
      <c r="AV479" s="26" t="s">
        <v>66</v>
      </c>
      <c r="AW479" s="26"/>
      <c r="AX479" s="26" t="s">
        <v>86</v>
      </c>
      <c r="AY479" s="26"/>
      <c r="AZ479" s="308">
        <v>43758</v>
      </c>
      <c r="BA479" s="308">
        <v>43748</v>
      </c>
      <c r="BB479" s="26"/>
      <c r="BC479" s="61">
        <v>44124</v>
      </c>
      <c r="BD479" s="113" t="s">
        <v>931</v>
      </c>
      <c r="BE479" s="297">
        <v>172800</v>
      </c>
      <c r="BF479" s="298">
        <f t="shared" si="40"/>
        <v>1</v>
      </c>
      <c r="BG479" s="297" t="e">
        <f>VLOOKUP(B479,[1]Sheet2!$B:$X,23,0)</f>
        <v>#N/A</v>
      </c>
    </row>
    <row r="480" spans="1:59" s="28" customFormat="1" ht="33" customHeight="1">
      <c r="A480" s="26" t="s">
        <v>2379</v>
      </c>
      <c r="B480" s="26" t="s">
        <v>2380</v>
      </c>
      <c r="C480" s="26" t="s">
        <v>2381</v>
      </c>
      <c r="D480" s="26" t="s">
        <v>2382</v>
      </c>
      <c r="E480" s="26" t="s">
        <v>83</v>
      </c>
      <c r="F480" s="26" t="s">
        <v>2104</v>
      </c>
      <c r="G480" s="26" t="s">
        <v>2104</v>
      </c>
      <c r="H480" s="218"/>
      <c r="I480" s="26" t="s">
        <v>402</v>
      </c>
      <c r="J480" s="26"/>
      <c r="K480" s="61">
        <v>43713</v>
      </c>
      <c r="L480" s="26"/>
      <c r="M480" s="26">
        <f t="shared" si="47"/>
        <v>21000</v>
      </c>
      <c r="N480" s="26">
        <f t="shared" si="48"/>
        <v>21000</v>
      </c>
      <c r="O480" s="26"/>
      <c r="P480" s="26"/>
      <c r="Q480" s="26"/>
      <c r="R480" s="26"/>
      <c r="S480" s="26"/>
      <c r="T480" s="26"/>
      <c r="U480" s="26">
        <v>21000</v>
      </c>
      <c r="V480" s="26"/>
      <c r="W480" s="26"/>
      <c r="X480" s="26"/>
      <c r="Y480" s="26"/>
      <c r="Z480" s="26"/>
      <c r="AA480" s="364">
        <v>0.19</v>
      </c>
      <c r="AB480" s="26"/>
      <c r="AC480" s="26"/>
      <c r="AD480" s="26"/>
      <c r="AE480" s="26"/>
      <c r="AF480" s="26"/>
      <c r="AG480" s="26"/>
      <c r="AH480" s="26">
        <v>17000</v>
      </c>
      <c r="AI480" s="26"/>
      <c r="AJ480" s="26"/>
      <c r="AK480" s="26"/>
      <c r="AL480" s="26"/>
      <c r="AM480" s="26"/>
      <c r="AN480" s="26">
        <f t="shared" si="49"/>
        <v>17000</v>
      </c>
      <c r="AO480" s="26" t="s">
        <v>1258</v>
      </c>
      <c r="AP480" s="26"/>
      <c r="AQ480" s="26"/>
      <c r="AR480" s="61">
        <v>43714</v>
      </c>
      <c r="AS480" s="26"/>
      <c r="AT480" s="308">
        <v>43732</v>
      </c>
      <c r="AU480" s="26"/>
      <c r="AV480" s="26" t="s">
        <v>66</v>
      </c>
      <c r="AW480" s="26"/>
      <c r="AX480" s="26" t="s">
        <v>86</v>
      </c>
      <c r="AY480" s="26"/>
      <c r="AZ480" s="308">
        <v>43737</v>
      </c>
      <c r="BA480" s="308">
        <v>43737</v>
      </c>
      <c r="BB480" s="26"/>
      <c r="BC480" s="61">
        <v>44102</v>
      </c>
      <c r="BD480" s="26" t="s">
        <v>88</v>
      </c>
      <c r="BE480" s="297"/>
      <c r="BF480" s="298">
        <f t="shared" si="40"/>
        <v>0</v>
      </c>
      <c r="BG480" s="297" t="e">
        <f>VLOOKUP(B480,[1]Sheet2!$B:$X,23,0)</f>
        <v>#N/A</v>
      </c>
    </row>
    <row r="481" spans="1:59" s="28" customFormat="1" ht="33" customHeight="1">
      <c r="A481" s="26" t="s">
        <v>2383</v>
      </c>
      <c r="B481" s="26" t="s">
        <v>2384</v>
      </c>
      <c r="C481" s="26" t="s">
        <v>2385</v>
      </c>
      <c r="D481" s="26" t="s">
        <v>2386</v>
      </c>
      <c r="E481" s="26" t="s">
        <v>271</v>
      </c>
      <c r="F481" s="26" t="s">
        <v>2104</v>
      </c>
      <c r="G481" s="26" t="s">
        <v>2104</v>
      </c>
      <c r="H481" s="218"/>
      <c r="I481" s="26" t="s">
        <v>2060</v>
      </c>
      <c r="J481" s="26"/>
      <c r="K481" s="61">
        <v>43713</v>
      </c>
      <c r="L481" s="26"/>
      <c r="M481" s="26">
        <f t="shared" si="47"/>
        <v>1537940</v>
      </c>
      <c r="N481" s="26">
        <f t="shared" si="48"/>
        <v>1537940</v>
      </c>
      <c r="O481" s="26"/>
      <c r="P481" s="26"/>
      <c r="Q481" s="26">
        <v>1096340</v>
      </c>
      <c r="R481" s="26"/>
      <c r="S481" s="26"/>
      <c r="T481" s="26">
        <v>126000</v>
      </c>
      <c r="U481" s="26">
        <v>315600</v>
      </c>
      <c r="V481" s="26"/>
      <c r="W481" s="26"/>
      <c r="X481" s="26"/>
      <c r="Y481" s="26"/>
      <c r="Z481" s="26"/>
      <c r="AA481" s="364">
        <v>0.15</v>
      </c>
      <c r="AB481" s="26"/>
      <c r="AC481" s="26"/>
      <c r="AD481" s="26">
        <v>1096000</v>
      </c>
      <c r="AE481" s="26"/>
      <c r="AF481" s="26"/>
      <c r="AG481" s="26">
        <v>109400</v>
      </c>
      <c r="AH481" s="26">
        <v>246500</v>
      </c>
      <c r="AI481" s="26"/>
      <c r="AJ481" s="26"/>
      <c r="AK481" s="26"/>
      <c r="AL481" s="26"/>
      <c r="AM481" s="26"/>
      <c r="AN481" s="26">
        <f t="shared" si="49"/>
        <v>1451900</v>
      </c>
      <c r="AO481" s="26" t="s">
        <v>1021</v>
      </c>
      <c r="AP481" s="26"/>
      <c r="AQ481" s="26"/>
      <c r="AR481" s="61">
        <v>43714</v>
      </c>
      <c r="AS481" s="26"/>
      <c r="AT481" s="308"/>
      <c r="AU481" s="26"/>
      <c r="AV481" s="26" t="s">
        <v>66</v>
      </c>
      <c r="AW481" s="26"/>
      <c r="AX481" s="26" t="s">
        <v>86</v>
      </c>
      <c r="AY481" s="26"/>
      <c r="AZ481" s="308">
        <v>43776</v>
      </c>
      <c r="BA481" s="308">
        <v>43776</v>
      </c>
      <c r="BB481" s="26"/>
      <c r="BC481" s="61">
        <v>44141</v>
      </c>
      <c r="BD481" s="26" t="s">
        <v>88</v>
      </c>
      <c r="BE481" s="297"/>
      <c r="BF481" s="298">
        <f t="shared" si="40"/>
        <v>0</v>
      </c>
      <c r="BG481" s="297" t="str">
        <f>VLOOKUP(B481,[1]Sheet2!$B:$X,23,0)</f>
        <v>李天慈</v>
      </c>
    </row>
    <row r="482" spans="1:59" s="28" customFormat="1" ht="33" customHeight="1">
      <c r="A482" s="26" t="s">
        <v>2387</v>
      </c>
      <c r="B482" s="26" t="s">
        <v>2388</v>
      </c>
      <c r="C482" s="26" t="s">
        <v>2389</v>
      </c>
      <c r="D482" s="26" t="s">
        <v>2390</v>
      </c>
      <c r="E482" s="26" t="s">
        <v>92</v>
      </c>
      <c r="F482" s="26" t="s">
        <v>315</v>
      </c>
      <c r="G482" s="26" t="s">
        <v>315</v>
      </c>
      <c r="H482" s="218"/>
      <c r="I482" s="26" t="s">
        <v>2391</v>
      </c>
      <c r="J482" s="26"/>
      <c r="K482" s="61">
        <v>43713</v>
      </c>
      <c r="L482" s="26"/>
      <c r="M482" s="26">
        <f t="shared" si="47"/>
        <v>5725</v>
      </c>
      <c r="N482" s="26">
        <f t="shared" si="48"/>
        <v>5725</v>
      </c>
      <c r="O482" s="26"/>
      <c r="P482" s="26"/>
      <c r="Q482" s="26"/>
      <c r="R482" s="26"/>
      <c r="S482" s="26"/>
      <c r="T482" s="26">
        <v>5725</v>
      </c>
      <c r="U482" s="26"/>
      <c r="V482" s="26"/>
      <c r="W482" s="26"/>
      <c r="X482" s="26"/>
      <c r="Y482" s="26"/>
      <c r="Z482" s="26"/>
      <c r="AA482" s="364">
        <v>0.15</v>
      </c>
      <c r="AB482" s="26"/>
      <c r="AC482" s="26"/>
      <c r="AD482" s="26"/>
      <c r="AE482" s="26"/>
      <c r="AF482" s="26"/>
      <c r="AG482" s="26">
        <v>4866</v>
      </c>
      <c r="AH482" s="26"/>
      <c r="AI482" s="26"/>
      <c r="AJ482" s="26"/>
      <c r="AK482" s="26"/>
      <c r="AL482" s="26"/>
      <c r="AM482" s="26"/>
      <c r="AN482" s="26">
        <f t="shared" si="49"/>
        <v>4866</v>
      </c>
      <c r="AO482" s="26" t="s">
        <v>1843</v>
      </c>
      <c r="AP482" s="26"/>
      <c r="AQ482" s="26"/>
      <c r="AR482" s="61">
        <v>43714</v>
      </c>
      <c r="AS482" s="26"/>
      <c r="AT482" s="308">
        <v>43702</v>
      </c>
      <c r="AU482" s="26"/>
      <c r="AV482" s="26" t="s">
        <v>66</v>
      </c>
      <c r="AW482" s="26"/>
      <c r="AX482" s="26" t="s">
        <v>86</v>
      </c>
      <c r="AY482" s="26"/>
      <c r="AZ482" s="308">
        <v>43716</v>
      </c>
      <c r="BA482" s="308">
        <v>43756</v>
      </c>
      <c r="BB482" s="26"/>
      <c r="BC482" s="61">
        <v>44121</v>
      </c>
      <c r="BD482" s="26" t="s">
        <v>88</v>
      </c>
      <c r="BE482" s="297">
        <v>5725</v>
      </c>
      <c r="BF482" s="298">
        <f t="shared" si="40"/>
        <v>1</v>
      </c>
      <c r="BG482" s="297" t="e">
        <f>VLOOKUP(B482,[1]Sheet2!$B:$X,23,0)</f>
        <v>#N/A</v>
      </c>
    </row>
    <row r="483" spans="1:59" s="28" customFormat="1" ht="33" customHeight="1">
      <c r="A483" s="26" t="s">
        <v>2392</v>
      </c>
      <c r="B483" s="26" t="s">
        <v>2393</v>
      </c>
      <c r="C483" s="26" t="s">
        <v>2394</v>
      </c>
      <c r="D483" s="26" t="s">
        <v>2395</v>
      </c>
      <c r="E483" s="26" t="s">
        <v>92</v>
      </c>
      <c r="F483" s="25" t="s">
        <v>315</v>
      </c>
      <c r="G483" s="25" t="s">
        <v>315</v>
      </c>
      <c r="H483" s="218"/>
      <c r="I483" s="26" t="s">
        <v>107</v>
      </c>
      <c r="J483" s="26"/>
      <c r="K483" s="61">
        <v>43717</v>
      </c>
      <c r="L483" s="26"/>
      <c r="M483" s="26">
        <f t="shared" si="47"/>
        <v>88697</v>
      </c>
      <c r="N483" s="26">
        <f t="shared" si="48"/>
        <v>88697</v>
      </c>
      <c r="O483" s="26"/>
      <c r="P483" s="26"/>
      <c r="Q483" s="26">
        <v>7500</v>
      </c>
      <c r="R483" s="26"/>
      <c r="S483" s="26"/>
      <c r="T483" s="26">
        <v>81197</v>
      </c>
      <c r="U483" s="26"/>
      <c r="V483" s="26"/>
      <c r="W483" s="26"/>
      <c r="X483" s="26"/>
      <c r="Y483" s="26"/>
      <c r="Z483" s="26"/>
      <c r="AA483" s="26"/>
      <c r="AB483" s="26"/>
      <c r="AC483" s="26"/>
      <c r="AD483" s="26">
        <v>7000</v>
      </c>
      <c r="AE483" s="26"/>
      <c r="AF483" s="26"/>
      <c r="AG483" s="26">
        <v>68390</v>
      </c>
      <c r="AH483" s="26"/>
      <c r="AI483" s="26"/>
      <c r="AJ483" s="26"/>
      <c r="AK483" s="26"/>
      <c r="AL483" s="26"/>
      <c r="AM483" s="26"/>
      <c r="AN483" s="26">
        <f t="shared" si="49"/>
        <v>75390</v>
      </c>
      <c r="AO483" s="26" t="s">
        <v>1843</v>
      </c>
      <c r="AP483" s="26"/>
      <c r="AQ483" s="26"/>
      <c r="AR483" s="61">
        <v>43717</v>
      </c>
      <c r="AS483" s="26"/>
      <c r="AT483" s="308"/>
      <c r="AU483" s="26"/>
      <c r="AV483" s="26" t="s">
        <v>66</v>
      </c>
      <c r="AW483" s="26"/>
      <c r="AX483" s="26" t="s">
        <v>86</v>
      </c>
      <c r="AY483" s="26"/>
      <c r="AZ483" s="308">
        <v>43756</v>
      </c>
      <c r="BA483" s="308">
        <v>43756</v>
      </c>
      <c r="BB483" s="26"/>
      <c r="BC483" s="61">
        <v>44121</v>
      </c>
      <c r="BD483" s="26" t="s">
        <v>88</v>
      </c>
      <c r="BE483" s="297"/>
      <c r="BF483" s="298">
        <f t="shared" si="40"/>
        <v>0</v>
      </c>
      <c r="BG483" s="297" t="e">
        <f>VLOOKUP(B483,[1]Sheet2!$B:$X,23,0)</f>
        <v>#N/A</v>
      </c>
    </row>
    <row r="484" spans="1:59" s="28" customFormat="1" ht="33" customHeight="1">
      <c r="A484" s="26" t="s">
        <v>2396</v>
      </c>
      <c r="B484" s="26" t="s">
        <v>2397</v>
      </c>
      <c r="C484" s="26" t="s">
        <v>2398</v>
      </c>
      <c r="D484" s="26" t="s">
        <v>2399</v>
      </c>
      <c r="E484" s="26" t="s">
        <v>92</v>
      </c>
      <c r="F484" s="25" t="s">
        <v>315</v>
      </c>
      <c r="G484" s="25" t="s">
        <v>315</v>
      </c>
      <c r="H484" s="218"/>
      <c r="I484" s="26" t="s">
        <v>107</v>
      </c>
      <c r="J484" s="26"/>
      <c r="K484" s="61">
        <v>43717</v>
      </c>
      <c r="L484" s="26"/>
      <c r="M484" s="26">
        <f t="shared" si="47"/>
        <v>168449</v>
      </c>
      <c r="N484" s="26">
        <f t="shared" si="48"/>
        <v>168449</v>
      </c>
      <c r="O484" s="26"/>
      <c r="P484" s="26"/>
      <c r="Q484" s="26">
        <v>68793</v>
      </c>
      <c r="R484" s="26"/>
      <c r="S484" s="26"/>
      <c r="T484" s="26">
        <v>92656</v>
      </c>
      <c r="U484" s="26">
        <v>7000</v>
      </c>
      <c r="V484" s="26"/>
      <c r="W484" s="26"/>
      <c r="X484" s="26"/>
      <c r="Y484" s="26"/>
      <c r="Z484" s="26"/>
      <c r="AA484" s="26"/>
      <c r="AB484" s="26"/>
      <c r="AC484" s="26"/>
      <c r="AD484" s="26">
        <v>68000</v>
      </c>
      <c r="AE484" s="26"/>
      <c r="AF484" s="26"/>
      <c r="AG484" s="26">
        <v>69050</v>
      </c>
      <c r="AH484" s="26">
        <v>5950</v>
      </c>
      <c r="AI484" s="26"/>
      <c r="AJ484" s="26"/>
      <c r="AK484" s="26"/>
      <c r="AL484" s="26"/>
      <c r="AM484" s="26"/>
      <c r="AN484" s="26">
        <f t="shared" si="49"/>
        <v>143000</v>
      </c>
      <c r="AO484" s="26" t="s">
        <v>1843</v>
      </c>
      <c r="AP484" s="26"/>
      <c r="AQ484" s="26"/>
      <c r="AR484" s="61">
        <v>43719</v>
      </c>
      <c r="AS484" s="26"/>
      <c r="AT484" s="308"/>
      <c r="AU484" s="26"/>
      <c r="AV484" s="26" t="s">
        <v>66</v>
      </c>
      <c r="AW484" s="26"/>
      <c r="AX484" s="26" t="s">
        <v>86</v>
      </c>
      <c r="AY484" s="26"/>
      <c r="AZ484" s="308">
        <v>43756</v>
      </c>
      <c r="BA484" s="308">
        <v>43756</v>
      </c>
      <c r="BB484" s="26"/>
      <c r="BC484" s="61">
        <v>44121</v>
      </c>
      <c r="BD484" s="26" t="s">
        <v>88</v>
      </c>
      <c r="BE484" s="297"/>
      <c r="BF484" s="298">
        <f t="shared" si="40"/>
        <v>0</v>
      </c>
      <c r="BG484" s="297" t="e">
        <f>VLOOKUP(B484,[1]Sheet2!$B:$X,23,0)</f>
        <v>#N/A</v>
      </c>
    </row>
    <row r="485" spans="1:59" s="28" customFormat="1" ht="33" customHeight="1">
      <c r="A485" s="26" t="s">
        <v>2400</v>
      </c>
      <c r="B485" s="26" t="s">
        <v>2401</v>
      </c>
      <c r="C485" s="26" t="s">
        <v>2402</v>
      </c>
      <c r="D485" s="26" t="s">
        <v>2403</v>
      </c>
      <c r="E485" s="26" t="s">
        <v>92</v>
      </c>
      <c r="F485" s="26" t="s">
        <v>315</v>
      </c>
      <c r="G485" s="26" t="s">
        <v>315</v>
      </c>
      <c r="H485" s="218"/>
      <c r="I485" s="26" t="s">
        <v>1004</v>
      </c>
      <c r="J485" s="26"/>
      <c r="K485" s="61">
        <v>43718</v>
      </c>
      <c r="L485" s="26"/>
      <c r="M485" s="26">
        <f t="shared" ref="M485:M493" si="50">SUM(N485,W485)</f>
        <v>307800</v>
      </c>
      <c r="N485" s="26">
        <f t="shared" ref="N485:N493" si="51">SUM(O485:V485)</f>
        <v>307800</v>
      </c>
      <c r="O485" s="26"/>
      <c r="P485" s="26"/>
      <c r="Q485" s="26"/>
      <c r="R485" s="26"/>
      <c r="S485" s="26"/>
      <c r="T485" s="26"/>
      <c r="U485" s="26">
        <v>307800</v>
      </c>
      <c r="V485" s="26"/>
      <c r="W485" s="26"/>
      <c r="X485" s="26"/>
      <c r="Y485" s="26"/>
      <c r="Z485" s="26"/>
      <c r="AA485" s="364">
        <v>0.1</v>
      </c>
      <c r="AB485" s="26"/>
      <c r="AC485" s="26"/>
      <c r="AD485" s="26"/>
      <c r="AE485" s="26"/>
      <c r="AF485" s="26"/>
      <c r="AG485" s="26"/>
      <c r="AH485" s="26">
        <v>277020</v>
      </c>
      <c r="AI485" s="26"/>
      <c r="AJ485" s="26"/>
      <c r="AK485" s="26"/>
      <c r="AL485" s="26"/>
      <c r="AM485" s="26"/>
      <c r="AN485" s="26">
        <f t="shared" si="49"/>
        <v>277020</v>
      </c>
      <c r="AO485" s="26" t="s">
        <v>77</v>
      </c>
      <c r="AP485" s="26"/>
      <c r="AQ485" s="26"/>
      <c r="AR485" s="61">
        <v>43719</v>
      </c>
      <c r="AS485" s="26"/>
      <c r="AT485" s="308"/>
      <c r="AU485" s="26"/>
      <c r="AV485" s="26"/>
      <c r="AW485" s="26"/>
      <c r="AX485" s="26"/>
      <c r="AY485" s="26"/>
      <c r="AZ485" s="308"/>
      <c r="BA485" s="308"/>
      <c r="BB485" s="26"/>
      <c r="BC485" s="26"/>
      <c r="BD485" s="26"/>
      <c r="BE485" s="297"/>
      <c r="BF485" s="298">
        <f t="shared" si="40"/>
        <v>0</v>
      </c>
      <c r="BG485" s="297" t="e">
        <f>VLOOKUP(B485,[1]Sheet2!$B:$X,23,0)</f>
        <v>#N/A</v>
      </c>
    </row>
    <row r="486" spans="1:59" s="28" customFormat="1" ht="33" customHeight="1">
      <c r="A486" s="26" t="s">
        <v>2404</v>
      </c>
      <c r="B486" s="26" t="s">
        <v>2405</v>
      </c>
      <c r="C486" s="26" t="s">
        <v>2406</v>
      </c>
      <c r="D486" s="26" t="s">
        <v>2407</v>
      </c>
      <c r="E486" s="26" t="s">
        <v>265</v>
      </c>
      <c r="F486" s="26" t="s">
        <v>1277</v>
      </c>
      <c r="G486" s="26" t="s">
        <v>1277</v>
      </c>
      <c r="H486" s="218"/>
      <c r="I486" s="26" t="s">
        <v>1928</v>
      </c>
      <c r="J486" s="26"/>
      <c r="K486" s="61">
        <v>43718</v>
      </c>
      <c r="L486" s="26"/>
      <c r="M486" s="26">
        <f t="shared" si="50"/>
        <v>175600</v>
      </c>
      <c r="N486" s="26">
        <f t="shared" si="51"/>
        <v>175600</v>
      </c>
      <c r="O486" s="26"/>
      <c r="P486" s="26"/>
      <c r="Q486" s="26"/>
      <c r="R486" s="26"/>
      <c r="S486" s="26"/>
      <c r="T486" s="26"/>
      <c r="U486" s="26">
        <v>175600</v>
      </c>
      <c r="V486" s="26"/>
      <c r="W486" s="26"/>
      <c r="X486" s="26"/>
      <c r="Y486" s="26"/>
      <c r="Z486" s="26"/>
      <c r="AA486" s="364">
        <v>0.08</v>
      </c>
      <c r="AB486" s="26"/>
      <c r="AC486" s="26"/>
      <c r="AD486" s="26"/>
      <c r="AE486" s="26"/>
      <c r="AF486" s="26"/>
      <c r="AG486" s="26"/>
      <c r="AH486" s="26">
        <v>161376.4</v>
      </c>
      <c r="AI486" s="26"/>
      <c r="AJ486" s="26"/>
      <c r="AK486" s="26"/>
      <c r="AL486" s="26"/>
      <c r="AM486" s="26"/>
      <c r="AN486" s="26">
        <f t="shared" si="49"/>
        <v>161376.4</v>
      </c>
      <c r="AO486" s="26" t="s">
        <v>286</v>
      </c>
      <c r="AP486" s="26"/>
      <c r="AQ486" s="26"/>
      <c r="AR486" s="61">
        <v>43719</v>
      </c>
      <c r="AS486" s="26"/>
      <c r="AT486" s="308"/>
      <c r="AU486" s="26"/>
      <c r="AV486" s="26" t="s">
        <v>66</v>
      </c>
      <c r="AW486" s="26"/>
      <c r="AX486" s="26" t="s">
        <v>86</v>
      </c>
      <c r="AY486" s="26"/>
      <c r="AZ486" s="308">
        <v>43739</v>
      </c>
      <c r="BA486" s="308">
        <v>43748</v>
      </c>
      <c r="BB486" s="374"/>
      <c r="BC486" s="374">
        <v>44105</v>
      </c>
      <c r="BD486" s="113" t="s">
        <v>931</v>
      </c>
      <c r="BE486" s="297">
        <v>175600</v>
      </c>
      <c r="BF486" s="298">
        <f t="shared" si="40"/>
        <v>1</v>
      </c>
      <c r="BG486" s="297" t="e">
        <f>VLOOKUP(B486,[1]Sheet2!$B:$X,23,0)</f>
        <v>#N/A</v>
      </c>
    </row>
    <row r="487" spans="1:59" s="28" customFormat="1" ht="33" customHeight="1">
      <c r="A487" s="26" t="s">
        <v>2408</v>
      </c>
      <c r="B487" s="26" t="s">
        <v>2409</v>
      </c>
      <c r="C487" s="26" t="s">
        <v>2410</v>
      </c>
      <c r="D487" s="26" t="s">
        <v>2411</v>
      </c>
      <c r="E487" s="26" t="s">
        <v>261</v>
      </c>
      <c r="F487" s="26" t="s">
        <v>1277</v>
      </c>
      <c r="G487" s="26" t="s">
        <v>1277</v>
      </c>
      <c r="H487" s="218"/>
      <c r="I487" s="26" t="s">
        <v>1951</v>
      </c>
      <c r="J487" s="26"/>
      <c r="K487" s="61">
        <v>43718</v>
      </c>
      <c r="L487" s="26"/>
      <c r="M487" s="26">
        <f t="shared" si="50"/>
        <v>6558412.5</v>
      </c>
      <c r="N487" s="26">
        <f t="shared" si="51"/>
        <v>6558412.5</v>
      </c>
      <c r="O487" s="26"/>
      <c r="P487" s="26"/>
      <c r="Q487" s="26">
        <v>2330862.5</v>
      </c>
      <c r="R487" s="26"/>
      <c r="S487" s="26"/>
      <c r="T487" s="26">
        <v>730279</v>
      </c>
      <c r="U487" s="26">
        <v>3497271</v>
      </c>
      <c r="V487" s="26"/>
      <c r="W487" s="26"/>
      <c r="X487" s="26"/>
      <c r="Y487" s="26"/>
      <c r="Z487" s="26"/>
      <c r="AA487" s="364">
        <v>0.15</v>
      </c>
      <c r="AB487" s="26"/>
      <c r="AC487" s="26"/>
      <c r="AD487" s="26">
        <v>2298175.15</v>
      </c>
      <c r="AE487" s="26"/>
      <c r="AF487" s="26"/>
      <c r="AG487" s="26">
        <v>622508.16</v>
      </c>
      <c r="AH487" s="26">
        <v>2971117.19</v>
      </c>
      <c r="AI487" s="26"/>
      <c r="AJ487" s="26"/>
      <c r="AK487" s="26"/>
      <c r="AL487" s="26"/>
      <c r="AM487" s="26"/>
      <c r="AN487" s="26">
        <f t="shared" si="49"/>
        <v>5891800.5</v>
      </c>
      <c r="AO487" s="26" t="s">
        <v>77</v>
      </c>
      <c r="AP487" s="26"/>
      <c r="AQ487" s="26"/>
      <c r="AR487" s="61">
        <v>43719</v>
      </c>
      <c r="AS487" s="26"/>
      <c r="AT487" s="308"/>
      <c r="AU487" s="26"/>
      <c r="AV487" s="26"/>
      <c r="AW487" s="26"/>
      <c r="AX487" s="26"/>
      <c r="AY487" s="26"/>
      <c r="AZ487" s="308"/>
      <c r="BA487" s="308"/>
      <c r="BB487" s="26"/>
      <c r="BC487" s="26"/>
      <c r="BD487" s="26"/>
      <c r="BE487" s="297"/>
      <c r="BF487" s="298">
        <f t="shared" si="40"/>
        <v>0</v>
      </c>
      <c r="BG487" s="297" t="e">
        <f>VLOOKUP(B487,[1]Sheet2!$B:$X,23,0)</f>
        <v>#N/A</v>
      </c>
    </row>
    <row r="488" spans="1:59" s="28" customFormat="1" ht="33" customHeight="1">
      <c r="A488" s="26" t="s">
        <v>2412</v>
      </c>
      <c r="B488" s="26" t="s">
        <v>2413</v>
      </c>
      <c r="C488" s="26" t="s">
        <v>2414</v>
      </c>
      <c r="D488" s="26" t="s">
        <v>2415</v>
      </c>
      <c r="E488" s="26" t="s">
        <v>261</v>
      </c>
      <c r="F488" s="26" t="s">
        <v>1277</v>
      </c>
      <c r="G488" s="26" t="s">
        <v>1277</v>
      </c>
      <c r="H488" s="218" t="s">
        <v>1956</v>
      </c>
      <c r="I488" s="26" t="s">
        <v>107</v>
      </c>
      <c r="J488" s="26"/>
      <c r="K488" s="61">
        <v>43719</v>
      </c>
      <c r="L488" s="26"/>
      <c r="M488" s="26">
        <f t="shared" si="50"/>
        <v>2450008</v>
      </c>
      <c r="N488" s="26">
        <f t="shared" si="51"/>
        <v>2450008</v>
      </c>
      <c r="O488" s="26"/>
      <c r="P488" s="26"/>
      <c r="Q488" s="26"/>
      <c r="R488" s="26"/>
      <c r="S488" s="26"/>
      <c r="T488" s="26"/>
      <c r="U488" s="26">
        <v>2450008</v>
      </c>
      <c r="V488" s="26"/>
      <c r="W488" s="26"/>
      <c r="X488" s="26"/>
      <c r="Y488" s="26"/>
      <c r="Z488" s="26"/>
      <c r="AA488" s="364">
        <v>0.12</v>
      </c>
      <c r="AB488" s="26"/>
      <c r="AC488" s="26"/>
      <c r="AD488" s="26"/>
      <c r="AE488" s="26"/>
      <c r="AF488" s="26"/>
      <c r="AG488" s="26"/>
      <c r="AH488" s="26">
        <v>2156000</v>
      </c>
      <c r="AI488" s="26"/>
      <c r="AJ488" s="26"/>
      <c r="AK488" s="26"/>
      <c r="AL488" s="26"/>
      <c r="AM488" s="26"/>
      <c r="AN488" s="26">
        <f t="shared" si="49"/>
        <v>2156000</v>
      </c>
      <c r="AO488" s="26" t="s">
        <v>1843</v>
      </c>
      <c r="AP488" s="26"/>
      <c r="AQ488" s="26"/>
      <c r="AR488" s="61">
        <v>43719</v>
      </c>
      <c r="AS488" s="26"/>
      <c r="AT488" s="308"/>
      <c r="AU488" s="26"/>
      <c r="AV488" s="26"/>
      <c r="AW488" s="26"/>
      <c r="AX488" s="26"/>
      <c r="AY488" s="26"/>
      <c r="AZ488" s="308"/>
      <c r="BA488" s="308"/>
      <c r="BB488" s="26"/>
      <c r="BC488" s="26"/>
      <c r="BD488" s="26"/>
      <c r="BE488" s="297"/>
      <c r="BF488" s="298">
        <f t="shared" si="40"/>
        <v>0</v>
      </c>
      <c r="BG488" s="297" t="e">
        <f>VLOOKUP(B488,[1]Sheet2!$B:$X,23,0)</f>
        <v>#N/A</v>
      </c>
    </row>
    <row r="489" spans="1:59" s="28" customFormat="1" ht="33" customHeight="1">
      <c r="A489" s="26" t="s">
        <v>2416</v>
      </c>
      <c r="B489" s="26" t="s">
        <v>2417</v>
      </c>
      <c r="C489" s="26" t="s">
        <v>2418</v>
      </c>
      <c r="D489" s="26" t="s">
        <v>2419</v>
      </c>
      <c r="E489" s="26" t="s">
        <v>261</v>
      </c>
      <c r="F489" s="26" t="s">
        <v>1277</v>
      </c>
      <c r="G489" s="26" t="s">
        <v>1277</v>
      </c>
      <c r="H489" s="218"/>
      <c r="I489" s="26" t="s">
        <v>1951</v>
      </c>
      <c r="J489" s="26"/>
      <c r="K489" s="61">
        <v>43720</v>
      </c>
      <c r="L489" s="26"/>
      <c r="M489" s="26">
        <f t="shared" si="50"/>
        <v>2010616</v>
      </c>
      <c r="N489" s="26">
        <f t="shared" si="51"/>
        <v>2010616</v>
      </c>
      <c r="O489" s="26"/>
      <c r="P489" s="26"/>
      <c r="Q489" s="26">
        <v>888712</v>
      </c>
      <c r="R489" s="26"/>
      <c r="S489" s="26"/>
      <c r="T489" s="26">
        <v>315972.8</v>
      </c>
      <c r="U489" s="26">
        <v>805931.2</v>
      </c>
      <c r="V489" s="26"/>
      <c r="W489" s="26"/>
      <c r="X489" s="26"/>
      <c r="Y489" s="26"/>
      <c r="Z489" s="26"/>
      <c r="AA489" s="364">
        <v>0.15</v>
      </c>
      <c r="AB489" s="26"/>
      <c r="AC489" s="26"/>
      <c r="AD489" s="26">
        <v>842784</v>
      </c>
      <c r="AE489" s="26"/>
      <c r="AF489" s="26"/>
      <c r="AG489" s="26">
        <v>269054.46000000002</v>
      </c>
      <c r="AH489" s="26">
        <v>684443.72</v>
      </c>
      <c r="AI489" s="26"/>
      <c r="AJ489" s="26"/>
      <c r="AK489" s="26"/>
      <c r="AL489" s="26"/>
      <c r="AM489" s="26"/>
      <c r="AN489" s="26">
        <f t="shared" si="49"/>
        <v>1796282.18</v>
      </c>
      <c r="AO489" s="26" t="s">
        <v>77</v>
      </c>
      <c r="AP489" s="26"/>
      <c r="AQ489" s="26"/>
      <c r="AR489" s="61">
        <v>43724</v>
      </c>
      <c r="AS489" s="26"/>
      <c r="AT489" s="308"/>
      <c r="AU489" s="26"/>
      <c r="AV489" s="26"/>
      <c r="AW489" s="26"/>
      <c r="AX489" s="26"/>
      <c r="AY489" s="26"/>
      <c r="AZ489" s="308"/>
      <c r="BA489" s="308"/>
      <c r="BB489" s="26"/>
      <c r="BC489" s="26"/>
      <c r="BD489" s="26"/>
      <c r="BE489" s="297"/>
      <c r="BF489" s="298">
        <f t="shared" si="40"/>
        <v>0</v>
      </c>
      <c r="BG489" s="297" t="e">
        <f>VLOOKUP(B489,[1]Sheet2!$B:$X,23,0)</f>
        <v>#N/A</v>
      </c>
    </row>
    <row r="490" spans="1:59" s="28" customFormat="1" ht="33" customHeight="1">
      <c r="A490" s="26" t="s">
        <v>2420</v>
      </c>
      <c r="B490" s="26" t="s">
        <v>2421</v>
      </c>
      <c r="C490" s="26" t="s">
        <v>2422</v>
      </c>
      <c r="D490" s="26" t="s">
        <v>2423</v>
      </c>
      <c r="E490" s="26" t="s">
        <v>261</v>
      </c>
      <c r="F490" s="26" t="s">
        <v>1277</v>
      </c>
      <c r="G490" s="26" t="s">
        <v>1277</v>
      </c>
      <c r="H490" s="218"/>
      <c r="I490" s="26" t="s">
        <v>1951</v>
      </c>
      <c r="J490" s="26"/>
      <c r="K490" s="61">
        <v>43720</v>
      </c>
      <c r="L490" s="26"/>
      <c r="M490" s="26">
        <f t="shared" si="50"/>
        <v>342895</v>
      </c>
      <c r="N490" s="26">
        <f t="shared" si="51"/>
        <v>342895</v>
      </c>
      <c r="O490" s="26"/>
      <c r="P490" s="26"/>
      <c r="Q490" s="26">
        <v>140672</v>
      </c>
      <c r="R490" s="26"/>
      <c r="S490" s="26"/>
      <c r="T490" s="26">
        <v>134123.79999999999</v>
      </c>
      <c r="U490" s="26">
        <v>68099.199999999997</v>
      </c>
      <c r="V490" s="26"/>
      <c r="W490" s="26"/>
      <c r="X490" s="26"/>
      <c r="Y490" s="26"/>
      <c r="Z490" s="26"/>
      <c r="AA490" s="364">
        <v>0.15</v>
      </c>
      <c r="AB490" s="26"/>
      <c r="AC490" s="26"/>
      <c r="AD490" s="26">
        <v>138430.56</v>
      </c>
      <c r="AE490" s="26"/>
      <c r="AF490" s="26"/>
      <c r="AG490" s="26">
        <v>116798.33</v>
      </c>
      <c r="AH490" s="26">
        <v>54940.42</v>
      </c>
      <c r="AI490" s="26"/>
      <c r="AJ490" s="26"/>
      <c r="AK490" s="26"/>
      <c r="AL490" s="26"/>
      <c r="AM490" s="26"/>
      <c r="AN490" s="26">
        <f t="shared" si="49"/>
        <v>310169.31</v>
      </c>
      <c r="AO490" s="26" t="s">
        <v>77</v>
      </c>
      <c r="AP490" s="26"/>
      <c r="AQ490" s="26"/>
      <c r="AR490" s="61">
        <v>43724</v>
      </c>
      <c r="AS490" s="26"/>
      <c r="AT490" s="308"/>
      <c r="AU490" s="26"/>
      <c r="AV490" s="26"/>
      <c r="AW490" s="26"/>
      <c r="AX490" s="26"/>
      <c r="AY490" s="26"/>
      <c r="AZ490" s="308"/>
      <c r="BA490" s="308"/>
      <c r="BB490" s="26"/>
      <c r="BC490" s="26"/>
      <c r="BD490" s="26"/>
      <c r="BE490" s="297"/>
      <c r="BF490" s="298">
        <f t="shared" si="40"/>
        <v>0</v>
      </c>
      <c r="BG490" s="297" t="e">
        <f>VLOOKUP(B490,[1]Sheet2!$B:$X,23,0)</f>
        <v>#N/A</v>
      </c>
    </row>
    <row r="491" spans="1:59" s="28" customFormat="1" ht="33" customHeight="1">
      <c r="A491" s="26" t="s">
        <v>2424</v>
      </c>
      <c r="B491" s="26" t="s">
        <v>2425</v>
      </c>
      <c r="C491" s="26" t="s">
        <v>2426</v>
      </c>
      <c r="D491" s="26" t="s">
        <v>2427</v>
      </c>
      <c r="E491" s="26" t="s">
        <v>261</v>
      </c>
      <c r="F491" s="26" t="s">
        <v>1277</v>
      </c>
      <c r="G491" s="26" t="s">
        <v>1277</v>
      </c>
      <c r="H491" s="218"/>
      <c r="I491" s="26" t="s">
        <v>1951</v>
      </c>
      <c r="J491" s="26"/>
      <c r="K491" s="61">
        <v>43720</v>
      </c>
      <c r="L491" s="26"/>
      <c r="M491" s="26">
        <f t="shared" si="50"/>
        <v>1044108</v>
      </c>
      <c r="N491" s="26">
        <f t="shared" si="51"/>
        <v>1044108</v>
      </c>
      <c r="O491" s="26"/>
      <c r="P491" s="26"/>
      <c r="Q491" s="26">
        <v>470640</v>
      </c>
      <c r="R491" s="26"/>
      <c r="S491" s="26"/>
      <c r="T491" s="26">
        <v>300066</v>
      </c>
      <c r="U491" s="26">
        <v>273402</v>
      </c>
      <c r="V491" s="26"/>
      <c r="W491" s="26"/>
      <c r="X491" s="26"/>
      <c r="Y491" s="26"/>
      <c r="Z491" s="26"/>
      <c r="AA491" s="364">
        <v>0.15</v>
      </c>
      <c r="AB491" s="26"/>
      <c r="AC491" s="26"/>
      <c r="AD491" s="26">
        <v>457764</v>
      </c>
      <c r="AE491" s="26"/>
      <c r="AF491" s="26"/>
      <c r="AG491" s="26">
        <v>256890.6</v>
      </c>
      <c r="AH491" s="26">
        <v>227940.47</v>
      </c>
      <c r="AI491" s="26"/>
      <c r="AJ491" s="26"/>
      <c r="AK491" s="26"/>
      <c r="AL491" s="26"/>
      <c r="AM491" s="26"/>
      <c r="AN491" s="26">
        <f t="shared" si="49"/>
        <v>942595.07</v>
      </c>
      <c r="AO491" s="26" t="s">
        <v>77</v>
      </c>
      <c r="AP491" s="26"/>
      <c r="AQ491" s="26"/>
      <c r="AR491" s="61">
        <v>43724</v>
      </c>
      <c r="AS491" s="26"/>
      <c r="AT491" s="308"/>
      <c r="AU491" s="26"/>
      <c r="AV491" s="26"/>
      <c r="AW491" s="26"/>
      <c r="AX491" s="26"/>
      <c r="AY491" s="26"/>
      <c r="AZ491" s="308"/>
      <c r="BA491" s="308"/>
      <c r="BB491" s="26"/>
      <c r="BC491" s="26"/>
      <c r="BD491" s="26"/>
      <c r="BE491" s="297"/>
      <c r="BF491" s="298">
        <f t="shared" si="40"/>
        <v>0</v>
      </c>
      <c r="BG491" s="297" t="e">
        <f>VLOOKUP(B491,[1]Sheet2!$B:$X,23,0)</f>
        <v>#N/A</v>
      </c>
    </row>
    <row r="492" spans="1:59" s="28" customFormat="1" ht="33" customHeight="1">
      <c r="A492" s="26" t="s">
        <v>2428</v>
      </c>
      <c r="B492" s="26" t="s">
        <v>2429</v>
      </c>
      <c r="C492" s="26" t="s">
        <v>2430</v>
      </c>
      <c r="D492" s="26" t="s">
        <v>2431</v>
      </c>
      <c r="E492" s="26" t="s">
        <v>106</v>
      </c>
      <c r="F492" s="25" t="s">
        <v>315</v>
      </c>
      <c r="G492" s="25" t="s">
        <v>315</v>
      </c>
      <c r="H492" s="218"/>
      <c r="I492" s="26" t="s">
        <v>107</v>
      </c>
      <c r="J492" s="26"/>
      <c r="K492" s="61">
        <v>43725</v>
      </c>
      <c r="L492" s="26"/>
      <c r="M492" s="26">
        <f t="shared" si="50"/>
        <v>14430</v>
      </c>
      <c r="N492" s="26">
        <f t="shared" si="51"/>
        <v>14430</v>
      </c>
      <c r="O492" s="26"/>
      <c r="P492" s="26"/>
      <c r="Q492" s="26">
        <v>9550</v>
      </c>
      <c r="R492" s="26"/>
      <c r="S492" s="26"/>
      <c r="T492" s="26">
        <v>4880</v>
      </c>
      <c r="U492" s="26"/>
      <c r="V492" s="26"/>
      <c r="W492" s="26"/>
      <c r="X492" s="26"/>
      <c r="Y492" s="26"/>
      <c r="Z492" s="26"/>
      <c r="AA492" s="364">
        <v>0.15</v>
      </c>
      <c r="AB492" s="26"/>
      <c r="AC492" s="26"/>
      <c r="AD492" s="26">
        <v>8110</v>
      </c>
      <c r="AE492" s="26"/>
      <c r="AF492" s="26"/>
      <c r="AG492" s="26">
        <v>4100</v>
      </c>
      <c r="AH492" s="26"/>
      <c r="AI492" s="26"/>
      <c r="AJ492" s="26"/>
      <c r="AK492" s="26"/>
      <c r="AL492" s="26"/>
      <c r="AM492" s="26"/>
      <c r="AN492" s="26">
        <f t="shared" si="49"/>
        <v>12210</v>
      </c>
      <c r="AO492" s="26" t="s">
        <v>108</v>
      </c>
      <c r="AP492" s="26"/>
      <c r="AQ492" s="26"/>
      <c r="AR492" s="61">
        <v>43726</v>
      </c>
      <c r="AS492" s="26"/>
      <c r="AT492" s="308">
        <v>2019.9</v>
      </c>
      <c r="AU492" s="26"/>
      <c r="AV492" s="26" t="s">
        <v>66</v>
      </c>
      <c r="AW492" s="26"/>
      <c r="AX492" s="26" t="s">
        <v>86</v>
      </c>
      <c r="AY492" s="26"/>
      <c r="AZ492" s="308">
        <v>43733</v>
      </c>
      <c r="BA492" s="308">
        <v>43734</v>
      </c>
      <c r="BB492" s="26"/>
      <c r="BC492" s="61">
        <v>44098</v>
      </c>
      <c r="BD492" s="26" t="s">
        <v>88</v>
      </c>
      <c r="BE492" s="297">
        <v>14430</v>
      </c>
      <c r="BF492" s="298">
        <f t="shared" si="40"/>
        <v>1</v>
      </c>
      <c r="BG492" s="297" t="e">
        <f>VLOOKUP(B492,[1]Sheet2!$B:$X,23,0)</f>
        <v>#N/A</v>
      </c>
    </row>
    <row r="493" spans="1:59" s="28" customFormat="1" ht="33" customHeight="1">
      <c r="A493" s="26" t="s">
        <v>2432</v>
      </c>
      <c r="B493" s="26" t="s">
        <v>2433</v>
      </c>
      <c r="C493" s="26" t="s">
        <v>2434</v>
      </c>
      <c r="D493" s="26" t="s">
        <v>2435</v>
      </c>
      <c r="E493" s="26" t="s">
        <v>261</v>
      </c>
      <c r="F493" s="25" t="s">
        <v>315</v>
      </c>
      <c r="G493" s="25" t="s">
        <v>315</v>
      </c>
      <c r="H493" s="218"/>
      <c r="I493" s="26" t="s">
        <v>2217</v>
      </c>
      <c r="J493" s="26"/>
      <c r="K493" s="61">
        <v>43725</v>
      </c>
      <c r="L493" s="26"/>
      <c r="M493" s="26">
        <f t="shared" si="50"/>
        <v>619200</v>
      </c>
      <c r="N493" s="26">
        <f t="shared" si="51"/>
        <v>619200</v>
      </c>
      <c r="O493" s="26"/>
      <c r="P493" s="26"/>
      <c r="Q493" s="26"/>
      <c r="R493" s="26"/>
      <c r="S493" s="26"/>
      <c r="T493" s="26"/>
      <c r="U493" s="26">
        <v>619200</v>
      </c>
      <c r="V493" s="26"/>
      <c r="W493" s="26"/>
      <c r="X493" s="26"/>
      <c r="Y493" s="26"/>
      <c r="Z493" s="26"/>
      <c r="AA493" s="364">
        <v>0.23</v>
      </c>
      <c r="AB493" s="26"/>
      <c r="AC493" s="26"/>
      <c r="AD493" s="26"/>
      <c r="AE493" s="26"/>
      <c r="AF493" s="26"/>
      <c r="AG493" s="26"/>
      <c r="AH493" s="26">
        <v>475200</v>
      </c>
      <c r="AI493" s="26"/>
      <c r="AJ493" s="26"/>
      <c r="AK493" s="26"/>
      <c r="AL493" s="26"/>
      <c r="AM493" s="26"/>
      <c r="AN493" s="26">
        <f t="shared" si="49"/>
        <v>475200</v>
      </c>
      <c r="AO493" s="26" t="s">
        <v>1843</v>
      </c>
      <c r="AP493" s="26"/>
      <c r="AQ493" s="26"/>
      <c r="AR493" s="61">
        <v>43726</v>
      </c>
      <c r="AS493" s="26"/>
      <c r="AT493" s="308"/>
      <c r="AU493" s="26"/>
      <c r="AV493" s="26"/>
      <c r="AW493" s="26"/>
      <c r="AX493" s="26"/>
      <c r="AY493" s="26"/>
      <c r="AZ493" s="308"/>
      <c r="BA493" s="308"/>
      <c r="BB493" s="26"/>
      <c r="BC493" s="26"/>
      <c r="BD493" s="26"/>
      <c r="BE493" s="297">
        <v>420000</v>
      </c>
      <c r="BF493" s="298">
        <f t="shared" si="40"/>
        <v>0.67829457364341084</v>
      </c>
      <c r="BG493" s="297" t="e">
        <f>VLOOKUP(B493,[1]Sheet2!$B:$X,23,0)</f>
        <v>#N/A</v>
      </c>
    </row>
    <row r="494" spans="1:59" s="28" customFormat="1" ht="33" customHeight="1">
      <c r="A494" s="26" t="s">
        <v>2436</v>
      </c>
      <c r="B494" s="26" t="s">
        <v>2437</v>
      </c>
      <c r="C494" s="26" t="s">
        <v>2438</v>
      </c>
      <c r="D494" s="26" t="s">
        <v>2439</v>
      </c>
      <c r="E494" s="26" t="s">
        <v>1093</v>
      </c>
      <c r="F494" s="26" t="s">
        <v>2104</v>
      </c>
      <c r="G494" s="26" t="s">
        <v>2104</v>
      </c>
      <c r="H494" s="218"/>
      <c r="I494" s="26" t="s">
        <v>2281</v>
      </c>
      <c r="J494" s="26"/>
      <c r="K494" s="61">
        <v>43726</v>
      </c>
      <c r="L494" s="26"/>
      <c r="M494" s="26">
        <f t="shared" ref="M494:M501" si="52">SUM(N494,W494)</f>
        <v>29822.54</v>
      </c>
      <c r="N494" s="26">
        <f t="shared" ref="N494:N501" si="53">SUM(O494:V494)</f>
        <v>29822.54</v>
      </c>
      <c r="O494" s="26"/>
      <c r="P494" s="26"/>
      <c r="Q494" s="26">
        <v>23467.84</v>
      </c>
      <c r="R494" s="26"/>
      <c r="S494" s="26"/>
      <c r="T494" s="26">
        <v>6354.7</v>
      </c>
      <c r="U494" s="26"/>
      <c r="V494" s="26"/>
      <c r="W494" s="26"/>
      <c r="X494" s="26"/>
      <c r="Y494" s="26"/>
      <c r="Z494" s="26"/>
      <c r="AA494" s="364">
        <v>0.1</v>
      </c>
      <c r="AB494" s="26"/>
      <c r="AC494" s="26"/>
      <c r="AD494" s="26">
        <v>23300.6</v>
      </c>
      <c r="AE494" s="26"/>
      <c r="AF494" s="26"/>
      <c r="AG494" s="26">
        <v>3346.3</v>
      </c>
      <c r="AH494" s="26"/>
      <c r="AI494" s="26"/>
      <c r="AJ494" s="26"/>
      <c r="AK494" s="26"/>
      <c r="AL494" s="26"/>
      <c r="AM494" s="26"/>
      <c r="AN494" s="26">
        <f t="shared" si="49"/>
        <v>26646.899999999998</v>
      </c>
      <c r="AO494" s="26" t="s">
        <v>286</v>
      </c>
      <c r="AP494" s="26"/>
      <c r="AQ494" s="26"/>
      <c r="AR494" s="61">
        <v>43726</v>
      </c>
      <c r="AS494" s="26"/>
      <c r="AT494" s="308"/>
      <c r="AU494" s="26"/>
      <c r="AV494" s="26"/>
      <c r="AW494" s="26"/>
      <c r="AX494" s="26"/>
      <c r="AY494" s="26"/>
      <c r="AZ494" s="308"/>
      <c r="BA494" s="308"/>
      <c r="BB494" s="26"/>
      <c r="BC494" s="26"/>
      <c r="BD494" s="26"/>
      <c r="BE494" s="297"/>
      <c r="BF494" s="298">
        <f t="shared" si="40"/>
        <v>0</v>
      </c>
      <c r="BG494" s="297" t="e">
        <f>VLOOKUP(B494,[1]Sheet2!$B:$X,23,0)</f>
        <v>#N/A</v>
      </c>
    </row>
    <row r="495" spans="1:59" s="28" customFormat="1" ht="33" customHeight="1">
      <c r="A495" s="26" t="s">
        <v>2440</v>
      </c>
      <c r="B495" s="26" t="s">
        <v>2441</v>
      </c>
      <c r="C495" s="26" t="s">
        <v>2442</v>
      </c>
      <c r="D495" s="26" t="s">
        <v>2443</v>
      </c>
      <c r="E495" s="26" t="s">
        <v>249</v>
      </c>
      <c r="F495" s="25" t="s">
        <v>315</v>
      </c>
      <c r="G495" s="25" t="s">
        <v>315</v>
      </c>
      <c r="H495" s="218"/>
      <c r="I495" s="26" t="s">
        <v>1998</v>
      </c>
      <c r="J495" s="26"/>
      <c r="K495" s="61">
        <v>43718</v>
      </c>
      <c r="L495" s="26"/>
      <c r="M495" s="26">
        <f t="shared" si="52"/>
        <v>19600</v>
      </c>
      <c r="N495" s="26">
        <f t="shared" si="53"/>
        <v>19600</v>
      </c>
      <c r="O495" s="26"/>
      <c r="P495" s="26"/>
      <c r="Q495" s="26">
        <v>15950</v>
      </c>
      <c r="R495" s="26"/>
      <c r="S495" s="26"/>
      <c r="T495" s="26">
        <v>2350</v>
      </c>
      <c r="U495" s="26">
        <v>1300</v>
      </c>
      <c r="V495" s="26"/>
      <c r="W495" s="26"/>
      <c r="X495" s="26"/>
      <c r="Y495" s="26"/>
      <c r="Z495" s="26"/>
      <c r="AA495" s="364">
        <v>0.15</v>
      </c>
      <c r="AB495" s="26"/>
      <c r="AC495" s="26"/>
      <c r="AD495" s="26">
        <v>1105</v>
      </c>
      <c r="AE495" s="26"/>
      <c r="AF495" s="26"/>
      <c r="AG495" s="26">
        <v>1997.5</v>
      </c>
      <c r="AH495" s="26">
        <v>13557.5</v>
      </c>
      <c r="AI495" s="26"/>
      <c r="AJ495" s="26"/>
      <c r="AK495" s="26"/>
      <c r="AL495" s="26"/>
      <c r="AM495" s="26"/>
      <c r="AN495" s="26">
        <f t="shared" si="49"/>
        <v>16660</v>
      </c>
      <c r="AO495" s="26" t="s">
        <v>62</v>
      </c>
      <c r="AP495" s="26"/>
      <c r="AQ495" s="26"/>
      <c r="AR495" s="26"/>
      <c r="AS495" s="26"/>
      <c r="AT495" s="308"/>
      <c r="AU495" s="26"/>
      <c r="AV495" s="26" t="s">
        <v>66</v>
      </c>
      <c r="AW495" s="26"/>
      <c r="AX495" s="26" t="s">
        <v>86</v>
      </c>
      <c r="AY495" s="26"/>
      <c r="AZ495" s="308">
        <v>43758</v>
      </c>
      <c r="BA495" s="308">
        <v>43759</v>
      </c>
      <c r="BB495" s="26"/>
      <c r="BC495" s="26"/>
      <c r="BD495" s="26" t="s">
        <v>88</v>
      </c>
      <c r="BE495" s="297"/>
      <c r="BF495" s="298">
        <f t="shared" si="40"/>
        <v>0</v>
      </c>
      <c r="BG495" s="297" t="e">
        <f>VLOOKUP(B495,[1]Sheet2!$B:$X,23,0)</f>
        <v>#N/A</v>
      </c>
    </row>
    <row r="496" spans="1:59" s="28" customFormat="1" ht="33" customHeight="1">
      <c r="A496" s="26" t="s">
        <v>2444</v>
      </c>
      <c r="B496" s="26" t="s">
        <v>2445</v>
      </c>
      <c r="C496" s="26" t="s">
        <v>2446</v>
      </c>
      <c r="D496" s="26" t="s">
        <v>2447</v>
      </c>
      <c r="E496" s="26" t="s">
        <v>83</v>
      </c>
      <c r="F496" s="25" t="s">
        <v>315</v>
      </c>
      <c r="G496" s="25" t="s">
        <v>315</v>
      </c>
      <c r="H496" s="218"/>
      <c r="I496" s="26" t="s">
        <v>1004</v>
      </c>
      <c r="J496" s="26"/>
      <c r="K496" s="61">
        <v>43727</v>
      </c>
      <c r="L496" s="26"/>
      <c r="M496" s="26">
        <f t="shared" si="52"/>
        <v>33771</v>
      </c>
      <c r="N496" s="26">
        <f t="shared" si="53"/>
        <v>33771</v>
      </c>
      <c r="O496" s="26"/>
      <c r="P496" s="26"/>
      <c r="Q496" s="26"/>
      <c r="R496" s="26"/>
      <c r="S496" s="26"/>
      <c r="T496" s="26"/>
      <c r="U496" s="26">
        <v>33771</v>
      </c>
      <c r="V496" s="26"/>
      <c r="W496" s="26"/>
      <c r="X496" s="26"/>
      <c r="Y496" s="26"/>
      <c r="Z496" s="26"/>
      <c r="AA496" s="364">
        <v>0.15</v>
      </c>
      <c r="AB496" s="26"/>
      <c r="AC496" s="26"/>
      <c r="AD496" s="26"/>
      <c r="AE496" s="26"/>
      <c r="AF496" s="26"/>
      <c r="AG496" s="26"/>
      <c r="AH496" s="26">
        <v>28705</v>
      </c>
      <c r="AI496" s="26"/>
      <c r="AJ496" s="26"/>
      <c r="AK496" s="26"/>
      <c r="AL496" s="26"/>
      <c r="AM496" s="26"/>
      <c r="AN496" s="26">
        <f t="shared" si="49"/>
        <v>28705</v>
      </c>
      <c r="AO496" s="26" t="s">
        <v>1258</v>
      </c>
      <c r="AP496" s="26"/>
      <c r="AQ496" s="26"/>
      <c r="AR496" s="61">
        <v>43728</v>
      </c>
      <c r="AS496" s="26"/>
      <c r="AT496" s="308">
        <v>43768</v>
      </c>
      <c r="AU496" s="26"/>
      <c r="AV496" s="26" t="s">
        <v>66</v>
      </c>
      <c r="AW496" s="26"/>
      <c r="AX496" s="26" t="s">
        <v>86</v>
      </c>
      <c r="AY496" s="26"/>
      <c r="AZ496" s="308">
        <v>43775</v>
      </c>
      <c r="BA496" s="308">
        <v>43776</v>
      </c>
      <c r="BB496" s="26"/>
      <c r="BC496" s="61">
        <v>44141</v>
      </c>
      <c r="BD496" s="26" t="s">
        <v>88</v>
      </c>
      <c r="BE496" s="297"/>
      <c r="BF496" s="298">
        <f t="shared" si="40"/>
        <v>0</v>
      </c>
      <c r="BG496" s="297" t="e">
        <f>VLOOKUP(B496,[1]Sheet2!$B:$X,23,0)</f>
        <v>#N/A</v>
      </c>
    </row>
    <row r="497" spans="1:59" s="28" customFormat="1" ht="33" customHeight="1">
      <c r="A497" s="26" t="s">
        <v>2448</v>
      </c>
      <c r="B497" s="26" t="s">
        <v>2449</v>
      </c>
      <c r="C497" s="26" t="s">
        <v>2450</v>
      </c>
      <c r="D497" s="26" t="s">
        <v>2451</v>
      </c>
      <c r="E497" s="26" t="s">
        <v>374</v>
      </c>
      <c r="F497" s="26" t="s">
        <v>2104</v>
      </c>
      <c r="G497" s="26" t="s">
        <v>2104</v>
      </c>
      <c r="H497" s="218"/>
      <c r="I497" s="26" t="s">
        <v>2281</v>
      </c>
      <c r="J497" s="26"/>
      <c r="K497" s="61">
        <v>43728</v>
      </c>
      <c r="L497" s="26"/>
      <c r="M497" s="26">
        <f t="shared" si="52"/>
        <v>20000</v>
      </c>
      <c r="N497" s="26">
        <f t="shared" si="53"/>
        <v>20000</v>
      </c>
      <c r="O497" s="26"/>
      <c r="P497" s="26"/>
      <c r="Q497" s="26"/>
      <c r="R497" s="26"/>
      <c r="S497" s="26"/>
      <c r="T497" s="26"/>
      <c r="U497" s="26">
        <v>20000</v>
      </c>
      <c r="V497" s="26"/>
      <c r="W497" s="26"/>
      <c r="X497" s="26"/>
      <c r="Y497" s="26"/>
      <c r="Z497" s="26"/>
      <c r="AA497" s="364">
        <v>0.15</v>
      </c>
      <c r="AB497" s="26"/>
      <c r="AC497" s="26"/>
      <c r="AD497" s="26"/>
      <c r="AE497" s="26"/>
      <c r="AF497" s="26"/>
      <c r="AG497" s="26"/>
      <c r="AH497" s="26">
        <v>17000</v>
      </c>
      <c r="AI497" s="26"/>
      <c r="AJ497" s="26"/>
      <c r="AK497" s="26"/>
      <c r="AL497" s="26"/>
      <c r="AM497" s="26"/>
      <c r="AN497" s="26">
        <f t="shared" si="49"/>
        <v>17000</v>
      </c>
      <c r="AO497" s="26" t="s">
        <v>77</v>
      </c>
      <c r="AP497" s="26"/>
      <c r="AQ497" s="26"/>
      <c r="AR497" s="61">
        <v>43728</v>
      </c>
      <c r="AS497" s="26"/>
      <c r="AT497" s="308"/>
      <c r="AU497" s="26"/>
      <c r="AV497" s="26" t="s">
        <v>66</v>
      </c>
      <c r="AW497" s="26"/>
      <c r="AX497" s="26" t="s">
        <v>86</v>
      </c>
      <c r="AY497" s="26"/>
      <c r="AZ497" s="308">
        <v>43734</v>
      </c>
      <c r="BA497" s="308">
        <v>43734</v>
      </c>
      <c r="BB497" s="26"/>
      <c r="BC497" s="61">
        <v>44099</v>
      </c>
      <c r="BD497" s="26" t="s">
        <v>88</v>
      </c>
      <c r="BE497" s="297"/>
      <c r="BF497" s="298">
        <f t="shared" si="40"/>
        <v>0</v>
      </c>
      <c r="BG497" s="297" t="str">
        <f>VLOOKUP(B497,[1]Sheet2!$B:$X,23,0)</f>
        <v>刘秧</v>
      </c>
    </row>
    <row r="498" spans="1:59" s="28" customFormat="1" ht="33" customHeight="1">
      <c r="A498" s="26" t="s">
        <v>2452</v>
      </c>
      <c r="B498" s="26" t="s">
        <v>2453</v>
      </c>
      <c r="C498" s="26" t="s">
        <v>2454</v>
      </c>
      <c r="D498" s="26" t="s">
        <v>2455</v>
      </c>
      <c r="E498" s="26" t="s">
        <v>106</v>
      </c>
      <c r="F498" s="26" t="s">
        <v>2104</v>
      </c>
      <c r="G498" s="26" t="s">
        <v>2104</v>
      </c>
      <c r="H498" s="218"/>
      <c r="I498" s="26" t="s">
        <v>2281</v>
      </c>
      <c r="J498" s="26"/>
      <c r="K498" s="61">
        <v>43728</v>
      </c>
      <c r="L498" s="26"/>
      <c r="M498" s="26">
        <f t="shared" si="52"/>
        <v>1360</v>
      </c>
      <c r="N498" s="26">
        <f t="shared" si="53"/>
        <v>1360</v>
      </c>
      <c r="O498" s="26"/>
      <c r="P498" s="26"/>
      <c r="Q498" s="26"/>
      <c r="R498" s="26"/>
      <c r="S498" s="26"/>
      <c r="T498" s="26"/>
      <c r="U498" s="26">
        <v>1360</v>
      </c>
      <c r="V498" s="26"/>
      <c r="W498" s="26"/>
      <c r="X498" s="26"/>
      <c r="Y498" s="26"/>
      <c r="Z498" s="26"/>
      <c r="AA498" s="364">
        <v>0.15</v>
      </c>
      <c r="AB498" s="26"/>
      <c r="AC498" s="26"/>
      <c r="AD498" s="26"/>
      <c r="AE498" s="26"/>
      <c r="AF498" s="26"/>
      <c r="AG498" s="26"/>
      <c r="AH498" s="26">
        <v>1156</v>
      </c>
      <c r="AI498" s="26"/>
      <c r="AJ498" s="26"/>
      <c r="AK498" s="26"/>
      <c r="AL498" s="26"/>
      <c r="AM498" s="26"/>
      <c r="AN498" s="26">
        <f t="shared" si="49"/>
        <v>1156</v>
      </c>
      <c r="AO498" s="26" t="s">
        <v>108</v>
      </c>
      <c r="AP498" s="26"/>
      <c r="AQ498" s="26"/>
      <c r="AR498" s="61">
        <v>43732</v>
      </c>
      <c r="AS498" s="26"/>
      <c r="AT498" s="308"/>
      <c r="AU498" s="26"/>
      <c r="AV498" s="26"/>
      <c r="AW498" s="26"/>
      <c r="AX498" s="26"/>
      <c r="AY498" s="26"/>
      <c r="AZ498" s="308"/>
      <c r="BA498" s="308"/>
      <c r="BB498" s="26"/>
      <c r="BC498" s="26"/>
      <c r="BD498" s="26"/>
      <c r="BE498" s="297"/>
      <c r="BF498" s="298">
        <f t="shared" si="40"/>
        <v>0</v>
      </c>
      <c r="BG498" s="297" t="str">
        <f>VLOOKUP(B498,[1]Sheet2!$B:$X,23,0)</f>
        <v>刘秧</v>
      </c>
    </row>
    <row r="499" spans="1:59" s="28" customFormat="1" ht="33" customHeight="1">
      <c r="A499" s="26" t="s">
        <v>2456</v>
      </c>
      <c r="B499" s="26" t="s">
        <v>2457</v>
      </c>
      <c r="C499" s="26" t="s">
        <v>2458</v>
      </c>
      <c r="D499" s="26" t="s">
        <v>2459</v>
      </c>
      <c r="E499" s="26" t="s">
        <v>106</v>
      </c>
      <c r="F499" s="26" t="s">
        <v>1277</v>
      </c>
      <c r="G499" s="26" t="s">
        <v>1277</v>
      </c>
      <c r="H499" s="218"/>
      <c r="I499" s="26" t="s">
        <v>1992</v>
      </c>
      <c r="J499" s="26"/>
      <c r="K499" s="61">
        <v>43712</v>
      </c>
      <c r="L499" s="26"/>
      <c r="M499" s="26">
        <f t="shared" si="52"/>
        <v>4088</v>
      </c>
      <c r="N499" s="26">
        <f t="shared" si="53"/>
        <v>4088</v>
      </c>
      <c r="O499" s="26"/>
      <c r="P499" s="26"/>
      <c r="Q499" s="26">
        <v>1108</v>
      </c>
      <c r="R499" s="26"/>
      <c r="S499" s="26"/>
      <c r="T499" s="26"/>
      <c r="U499" s="26">
        <v>2980</v>
      </c>
      <c r="V499" s="26"/>
      <c r="W499" s="26"/>
      <c r="X499" s="26"/>
      <c r="Y499" s="26"/>
      <c r="Z499" s="26"/>
      <c r="AA499" s="364">
        <v>0.15</v>
      </c>
      <c r="AB499" s="26"/>
      <c r="AC499" s="26"/>
      <c r="AD499" s="26">
        <v>941.8</v>
      </c>
      <c r="AE499" s="26"/>
      <c r="AF499" s="26"/>
      <c r="AG499" s="26"/>
      <c r="AH499" s="26">
        <v>2533</v>
      </c>
      <c r="AI499" s="26"/>
      <c r="AJ499" s="26"/>
      <c r="AK499" s="26"/>
      <c r="AL499" s="26"/>
      <c r="AM499" s="26"/>
      <c r="AN499" s="26">
        <f t="shared" si="49"/>
        <v>3474.8</v>
      </c>
      <c r="AO499" s="26" t="s">
        <v>286</v>
      </c>
      <c r="AP499" s="26"/>
      <c r="AQ499" s="26"/>
      <c r="AR499" s="26"/>
      <c r="AS499" s="26"/>
      <c r="AT499" s="308"/>
      <c r="AU499" s="26"/>
      <c r="AV499" s="26"/>
      <c r="AW499" s="26"/>
      <c r="AX499" s="26"/>
      <c r="AY499" s="26"/>
      <c r="AZ499" s="308"/>
      <c r="BA499" s="308"/>
      <c r="BB499" s="26"/>
      <c r="BC499" s="26"/>
      <c r="BD499" s="26"/>
      <c r="BE499" s="297"/>
      <c r="BF499" s="298">
        <f t="shared" si="40"/>
        <v>0</v>
      </c>
      <c r="BG499" s="297" t="e">
        <f>VLOOKUP(B499,[1]Sheet2!$B:$X,23,0)</f>
        <v>#N/A</v>
      </c>
    </row>
    <row r="500" spans="1:59" s="28" customFormat="1" ht="33" customHeight="1">
      <c r="A500" s="26" t="s">
        <v>2460</v>
      </c>
      <c r="B500" s="26" t="s">
        <v>2461</v>
      </c>
      <c r="C500" s="26" t="s">
        <v>2462</v>
      </c>
      <c r="D500" s="26" t="s">
        <v>2463</v>
      </c>
      <c r="E500" s="26" t="s">
        <v>156</v>
      </c>
      <c r="F500" s="25" t="s">
        <v>315</v>
      </c>
      <c r="G500" s="25" t="s">
        <v>315</v>
      </c>
      <c r="H500" s="218"/>
      <c r="I500" s="26" t="s">
        <v>1998</v>
      </c>
      <c r="J500" s="26"/>
      <c r="K500" s="61">
        <v>43707</v>
      </c>
      <c r="L500" s="26"/>
      <c r="M500" s="26">
        <f t="shared" si="52"/>
        <v>137698.07999999999</v>
      </c>
      <c r="N500" s="26">
        <f t="shared" si="53"/>
        <v>137698.07999999999</v>
      </c>
      <c r="O500" s="26"/>
      <c r="P500" s="26"/>
      <c r="Q500" s="26"/>
      <c r="R500" s="26"/>
      <c r="S500" s="26"/>
      <c r="T500" s="26"/>
      <c r="U500" s="26">
        <v>137698.07999999999</v>
      </c>
      <c r="V500" s="26"/>
      <c r="W500" s="26"/>
      <c r="X500" s="26"/>
      <c r="Y500" s="26"/>
      <c r="Z500" s="26"/>
      <c r="AA500" s="364">
        <v>0.08</v>
      </c>
      <c r="AB500" s="26"/>
      <c r="AC500" s="26"/>
      <c r="AD500" s="26"/>
      <c r="AE500" s="26"/>
      <c r="AF500" s="26"/>
      <c r="AG500" s="26"/>
      <c r="AH500" s="26">
        <v>126682.23</v>
      </c>
      <c r="AI500" s="26"/>
      <c r="AJ500" s="26"/>
      <c r="AK500" s="26"/>
      <c r="AL500" s="26"/>
      <c r="AM500" s="26"/>
      <c r="AN500" s="26">
        <f t="shared" si="49"/>
        <v>126682.23</v>
      </c>
      <c r="AO500" s="26" t="s">
        <v>114</v>
      </c>
      <c r="AP500" s="26"/>
      <c r="AQ500" s="26"/>
      <c r="AR500" s="26"/>
      <c r="AS500" s="26"/>
      <c r="AT500" s="308"/>
      <c r="AU500" s="26"/>
      <c r="AV500" s="26"/>
      <c r="AW500" s="26"/>
      <c r="AX500" s="26"/>
      <c r="AY500" s="26"/>
      <c r="AZ500" s="308"/>
      <c r="BA500" s="308"/>
      <c r="BB500" s="26"/>
      <c r="BC500" s="26"/>
      <c r="BD500" s="26"/>
      <c r="BE500" s="297">
        <v>68849.039999999994</v>
      </c>
      <c r="BF500" s="298">
        <f t="shared" si="40"/>
        <v>0.5</v>
      </c>
      <c r="BG500" s="297" t="e">
        <f>VLOOKUP(B500,[1]Sheet2!$B:$X,23,0)</f>
        <v>#N/A</v>
      </c>
    </row>
    <row r="501" spans="1:59" s="28" customFormat="1" ht="33" customHeight="1">
      <c r="A501" s="26" t="s">
        <v>2464</v>
      </c>
      <c r="B501" s="26" t="s">
        <v>2465</v>
      </c>
      <c r="C501" s="26" t="s">
        <v>2466</v>
      </c>
      <c r="D501" s="26" t="s">
        <v>2467</v>
      </c>
      <c r="E501" s="26" t="s">
        <v>1093</v>
      </c>
      <c r="F501" s="26" t="s">
        <v>2104</v>
      </c>
      <c r="G501" s="26" t="s">
        <v>2104</v>
      </c>
      <c r="H501" s="218"/>
      <c r="I501" s="26" t="s">
        <v>1928</v>
      </c>
      <c r="J501" s="26"/>
      <c r="K501" s="61">
        <v>43733</v>
      </c>
      <c r="L501" s="26"/>
      <c r="M501" s="26">
        <f t="shared" si="52"/>
        <v>99900</v>
      </c>
      <c r="N501" s="26">
        <f t="shared" si="53"/>
        <v>99900</v>
      </c>
      <c r="O501" s="26"/>
      <c r="P501" s="26"/>
      <c r="Q501" s="26"/>
      <c r="R501" s="26"/>
      <c r="S501" s="26"/>
      <c r="T501" s="26"/>
      <c r="U501" s="26">
        <v>99900</v>
      </c>
      <c r="V501" s="26"/>
      <c r="W501" s="26"/>
      <c r="X501" s="26"/>
      <c r="Y501" s="26"/>
      <c r="Z501" s="26"/>
      <c r="AA501" s="364">
        <v>0.15</v>
      </c>
      <c r="AB501" s="26"/>
      <c r="AC501" s="26"/>
      <c r="AD501" s="26"/>
      <c r="AE501" s="26"/>
      <c r="AF501" s="26"/>
      <c r="AG501" s="26"/>
      <c r="AH501" s="26">
        <v>84915</v>
      </c>
      <c r="AI501" s="26"/>
      <c r="AJ501" s="26"/>
      <c r="AK501" s="26"/>
      <c r="AL501" s="26"/>
      <c r="AM501" s="26"/>
      <c r="AN501" s="26">
        <f t="shared" si="49"/>
        <v>84915</v>
      </c>
      <c r="AO501" s="26" t="s">
        <v>286</v>
      </c>
      <c r="AP501" s="26"/>
      <c r="AQ501" s="26"/>
      <c r="AR501" s="61">
        <v>43738</v>
      </c>
      <c r="AS501" s="26"/>
      <c r="AT501" s="308"/>
      <c r="AU501" s="26"/>
      <c r="AV501" s="26" t="s">
        <v>66</v>
      </c>
      <c r="AW501" s="26"/>
      <c r="AX501" s="26" t="s">
        <v>86</v>
      </c>
      <c r="AY501" s="26"/>
      <c r="AZ501" s="308">
        <v>43756</v>
      </c>
      <c r="BA501" s="308">
        <v>43756</v>
      </c>
      <c r="BB501" s="26"/>
      <c r="BC501" s="61">
        <v>44121</v>
      </c>
      <c r="BD501" s="26" t="s">
        <v>88</v>
      </c>
      <c r="BE501" s="297"/>
      <c r="BF501" s="298">
        <f t="shared" si="40"/>
        <v>0</v>
      </c>
      <c r="BG501" s="297" t="e">
        <f>VLOOKUP(B501,[1]Sheet2!$B:$X,23,0)</f>
        <v>#N/A</v>
      </c>
    </row>
    <row r="502" spans="1:59" s="28" customFormat="1" ht="33" customHeight="1">
      <c r="A502" s="26" t="s">
        <v>2468</v>
      </c>
      <c r="B502" s="26" t="s">
        <v>2469</v>
      </c>
      <c r="C502" s="26" t="s">
        <v>2470</v>
      </c>
      <c r="D502" s="26" t="s">
        <v>2471</v>
      </c>
      <c r="E502" s="26" t="s">
        <v>265</v>
      </c>
      <c r="F502" s="26" t="s">
        <v>1277</v>
      </c>
      <c r="G502" s="26" t="s">
        <v>1277</v>
      </c>
      <c r="H502" s="218"/>
      <c r="I502" s="26" t="s">
        <v>1928</v>
      </c>
      <c r="J502" s="26"/>
      <c r="K502" s="61">
        <v>43733</v>
      </c>
      <c r="L502" s="26"/>
      <c r="M502" s="26">
        <f t="shared" ref="M502:M511" si="54">SUM(N502,W502)</f>
        <v>36199</v>
      </c>
      <c r="N502" s="26">
        <f t="shared" ref="N502:N511" si="55">SUM(O502:V502)</f>
        <v>36199</v>
      </c>
      <c r="O502" s="26"/>
      <c r="P502" s="26"/>
      <c r="Q502" s="26"/>
      <c r="R502" s="26"/>
      <c r="S502" s="26"/>
      <c r="T502" s="26"/>
      <c r="U502" s="26">
        <v>36199</v>
      </c>
      <c r="V502" s="26"/>
      <c r="W502" s="26"/>
      <c r="X502" s="26"/>
      <c r="Y502" s="26"/>
      <c r="Z502" s="26"/>
      <c r="AA502" s="364">
        <v>0.15</v>
      </c>
      <c r="AB502" s="26"/>
      <c r="AC502" s="26"/>
      <c r="AD502" s="26"/>
      <c r="AE502" s="26"/>
      <c r="AF502" s="26"/>
      <c r="AG502" s="26"/>
      <c r="AH502" s="26">
        <v>30769.15</v>
      </c>
      <c r="AI502" s="26"/>
      <c r="AJ502" s="26"/>
      <c r="AK502" s="26"/>
      <c r="AL502" s="26"/>
      <c r="AM502" s="26"/>
      <c r="AN502" s="26">
        <f t="shared" si="49"/>
        <v>30769.15</v>
      </c>
      <c r="AO502" s="26" t="s">
        <v>286</v>
      </c>
      <c r="AP502" s="26"/>
      <c r="AQ502" s="26"/>
      <c r="AR502" s="61">
        <v>43738</v>
      </c>
      <c r="AS502" s="26"/>
      <c r="AT502" s="308"/>
      <c r="AU502" s="26"/>
      <c r="AV502" s="26"/>
      <c r="AW502" s="26"/>
      <c r="AX502" s="26"/>
      <c r="AY502" s="26"/>
      <c r="AZ502" s="308"/>
      <c r="BA502" s="308"/>
      <c r="BB502" s="26" t="s">
        <v>2472</v>
      </c>
      <c r="BC502" s="61">
        <v>43830</v>
      </c>
      <c r="BD502" s="113" t="s">
        <v>1758</v>
      </c>
      <c r="BE502" s="297"/>
      <c r="BF502" s="298">
        <f t="shared" si="40"/>
        <v>0</v>
      </c>
      <c r="BG502" s="297" t="e">
        <f>VLOOKUP(B502,[1]Sheet2!$B:$X,23,0)</f>
        <v>#N/A</v>
      </c>
    </row>
    <row r="503" spans="1:59" s="28" customFormat="1" ht="33" customHeight="1">
      <c r="A503" s="26" t="s">
        <v>2473</v>
      </c>
      <c r="B503" s="26" t="s">
        <v>2474</v>
      </c>
      <c r="C503" s="26" t="s">
        <v>2475</v>
      </c>
      <c r="D503" s="26" t="s">
        <v>2476</v>
      </c>
      <c r="E503" s="26" t="s">
        <v>374</v>
      </c>
      <c r="F503" s="26" t="s">
        <v>315</v>
      </c>
      <c r="G503" s="26" t="s">
        <v>315</v>
      </c>
      <c r="H503" s="218"/>
      <c r="I503" s="26" t="s">
        <v>1992</v>
      </c>
      <c r="J503" s="26"/>
      <c r="K503" s="61">
        <v>43734</v>
      </c>
      <c r="L503" s="26"/>
      <c r="M503" s="26">
        <f t="shared" si="54"/>
        <v>1850838</v>
      </c>
      <c r="N503" s="26">
        <f t="shared" si="55"/>
        <v>1692438</v>
      </c>
      <c r="O503" s="26"/>
      <c r="P503" s="26"/>
      <c r="Q503" s="26">
        <v>877017</v>
      </c>
      <c r="R503" s="26"/>
      <c r="S503" s="26"/>
      <c r="T503" s="26">
        <v>266494</v>
      </c>
      <c r="U503" s="26">
        <v>548927</v>
      </c>
      <c r="V503" s="26"/>
      <c r="W503" s="26">
        <v>158400</v>
      </c>
      <c r="X503" s="26">
        <v>158400</v>
      </c>
      <c r="Y503" s="364">
        <v>0.09</v>
      </c>
      <c r="Z503" s="26"/>
      <c r="AA503" s="364">
        <v>0.1</v>
      </c>
      <c r="AB503" s="26"/>
      <c r="AC503" s="26"/>
      <c r="AD503" s="26">
        <v>876315</v>
      </c>
      <c r="AE503" s="26"/>
      <c r="AF503" s="26"/>
      <c r="AG503" s="26">
        <v>266051</v>
      </c>
      <c r="AH503" s="26">
        <v>443433</v>
      </c>
      <c r="AI503" s="26"/>
      <c r="AJ503" s="26">
        <v>158400</v>
      </c>
      <c r="AK503" s="26"/>
      <c r="AL503" s="26"/>
      <c r="AM503" s="26"/>
      <c r="AN503" s="26">
        <f t="shared" si="49"/>
        <v>1744199</v>
      </c>
      <c r="AO503" s="26" t="s">
        <v>77</v>
      </c>
      <c r="AP503" s="26"/>
      <c r="AQ503" s="26"/>
      <c r="AR503" s="61">
        <v>43735</v>
      </c>
      <c r="AS503" s="26"/>
      <c r="AT503" s="308"/>
      <c r="AU503" s="26"/>
      <c r="AV503" s="26"/>
      <c r="AW503" s="26"/>
      <c r="AX503" s="26"/>
      <c r="AY503" s="26"/>
      <c r="AZ503" s="308"/>
      <c r="BA503" s="308"/>
      <c r="BB503" s="26"/>
      <c r="BC503" s="26"/>
      <c r="BD503" s="26"/>
      <c r="BE503" s="297"/>
      <c r="BF503" s="298">
        <f t="shared" si="40"/>
        <v>0</v>
      </c>
      <c r="BG503" s="297" t="e">
        <f>VLOOKUP(B503,[1]Sheet2!$B:$X,23,0)</f>
        <v>#N/A</v>
      </c>
    </row>
    <row r="504" spans="1:59" s="28" customFormat="1" ht="33" customHeight="1">
      <c r="A504" s="26" t="s">
        <v>2477</v>
      </c>
      <c r="B504" s="26" t="s">
        <v>2478</v>
      </c>
      <c r="C504" s="26" t="s">
        <v>2479</v>
      </c>
      <c r="D504" s="26" t="s">
        <v>2480</v>
      </c>
      <c r="E504" s="26" t="s">
        <v>83</v>
      </c>
      <c r="F504" s="26" t="s">
        <v>2104</v>
      </c>
      <c r="G504" s="26" t="s">
        <v>2104</v>
      </c>
      <c r="H504" s="218"/>
      <c r="I504" s="26" t="s">
        <v>2060</v>
      </c>
      <c r="J504" s="26"/>
      <c r="K504" s="61">
        <v>43735</v>
      </c>
      <c r="L504" s="26"/>
      <c r="M504" s="26">
        <f t="shared" si="54"/>
        <v>148800</v>
      </c>
      <c r="N504" s="26">
        <f t="shared" si="55"/>
        <v>148800</v>
      </c>
      <c r="O504" s="26"/>
      <c r="P504" s="26"/>
      <c r="Q504" s="26">
        <v>138800</v>
      </c>
      <c r="R504" s="26"/>
      <c r="S504" s="26"/>
      <c r="T504" s="26"/>
      <c r="U504" s="26">
        <v>10000</v>
      </c>
      <c r="V504" s="26"/>
      <c r="W504" s="26"/>
      <c r="X504" s="26"/>
      <c r="Y504" s="26"/>
      <c r="Z504" s="26"/>
      <c r="AA504" s="364">
        <v>0.15</v>
      </c>
      <c r="AB504" s="26"/>
      <c r="AC504" s="26"/>
      <c r="AD504" s="26">
        <v>138660</v>
      </c>
      <c r="AE504" s="26"/>
      <c r="AF504" s="26"/>
      <c r="AG504" s="26"/>
      <c r="AH504" s="26">
        <v>8500</v>
      </c>
      <c r="AI504" s="26"/>
      <c r="AJ504" s="26"/>
      <c r="AK504" s="26"/>
      <c r="AL504" s="26"/>
      <c r="AM504" s="26"/>
      <c r="AN504" s="26">
        <f t="shared" si="49"/>
        <v>147160</v>
      </c>
      <c r="AO504" s="26" t="s">
        <v>1258</v>
      </c>
      <c r="AP504" s="26"/>
      <c r="AQ504" s="26"/>
      <c r="AR504" s="61">
        <v>43738</v>
      </c>
      <c r="AS504" s="26"/>
      <c r="AT504" s="308"/>
      <c r="AU504" s="26"/>
      <c r="AV504" s="26"/>
      <c r="AW504" s="26"/>
      <c r="AX504" s="26"/>
      <c r="AY504" s="26"/>
      <c r="AZ504" s="308"/>
      <c r="BA504" s="308"/>
      <c r="BB504" s="26"/>
      <c r="BC504" s="26"/>
      <c r="BD504" s="26"/>
      <c r="BE504" s="297"/>
      <c r="BF504" s="298">
        <f t="shared" si="40"/>
        <v>0</v>
      </c>
      <c r="BG504" s="297" t="str">
        <f>VLOOKUP(B504,[1]Sheet2!$B:$X,23,0)</f>
        <v>李天慈</v>
      </c>
    </row>
    <row r="505" spans="1:59" s="28" customFormat="1" ht="33" customHeight="1">
      <c r="A505" s="26" t="s">
        <v>2481</v>
      </c>
      <c r="B505" s="26" t="s">
        <v>2482</v>
      </c>
      <c r="C505" s="26" t="s">
        <v>2483</v>
      </c>
      <c r="D505" s="26" t="s">
        <v>2484</v>
      </c>
      <c r="E505" s="26" t="s">
        <v>92</v>
      </c>
      <c r="F505" s="26" t="s">
        <v>2104</v>
      </c>
      <c r="G505" s="26" t="s">
        <v>2104</v>
      </c>
      <c r="H505" s="218"/>
      <c r="I505" s="26" t="s">
        <v>2281</v>
      </c>
      <c r="J505" s="26"/>
      <c r="K505" s="61">
        <v>43736</v>
      </c>
      <c r="L505" s="26"/>
      <c r="M505" s="26">
        <f t="shared" si="54"/>
        <v>149910</v>
      </c>
      <c r="N505" s="26">
        <f t="shared" si="55"/>
        <v>149910</v>
      </c>
      <c r="O505" s="26"/>
      <c r="P505" s="26"/>
      <c r="Q505" s="26">
        <v>99910</v>
      </c>
      <c r="R505" s="26"/>
      <c r="S505" s="26"/>
      <c r="T505" s="26"/>
      <c r="U505" s="26">
        <v>50000</v>
      </c>
      <c r="V505" s="26"/>
      <c r="W505" s="26"/>
      <c r="X505" s="26"/>
      <c r="Y505" s="26"/>
      <c r="Z505" s="26"/>
      <c r="AA505" s="364">
        <v>0.1</v>
      </c>
      <c r="AB505" s="26"/>
      <c r="AC505" s="26"/>
      <c r="AD505" s="26">
        <v>98910</v>
      </c>
      <c r="AE505" s="26"/>
      <c r="AF505" s="26"/>
      <c r="AG505" s="26"/>
      <c r="AH505" s="26">
        <v>45000</v>
      </c>
      <c r="AI505" s="26"/>
      <c r="AJ505" s="26"/>
      <c r="AK505" s="26"/>
      <c r="AL505" s="26"/>
      <c r="AM505" s="26"/>
      <c r="AN505" s="26">
        <f t="shared" si="49"/>
        <v>143910</v>
      </c>
      <c r="AO505" s="26" t="s">
        <v>1843</v>
      </c>
      <c r="AP505" s="26"/>
      <c r="AQ505" s="26"/>
      <c r="AR505" s="61">
        <v>43746</v>
      </c>
      <c r="AS505" s="26"/>
      <c r="AT505" s="308"/>
      <c r="AU505" s="26"/>
      <c r="AV505" s="26"/>
      <c r="AW505" s="26"/>
      <c r="AX505" s="26"/>
      <c r="AY505" s="26"/>
      <c r="AZ505" s="308"/>
      <c r="BA505" s="308"/>
      <c r="BB505" s="26"/>
      <c r="BC505" s="26"/>
      <c r="BD505" s="26"/>
      <c r="BE505" s="297"/>
      <c r="BF505" s="298">
        <f t="shared" si="40"/>
        <v>0</v>
      </c>
      <c r="BG505" s="297" t="str">
        <f>VLOOKUP(B505,[1]Sheet2!$B:$X,23,0)</f>
        <v>刘秧</v>
      </c>
    </row>
    <row r="506" spans="1:59" s="28" customFormat="1" ht="33" customHeight="1">
      <c r="A506" s="26" t="s">
        <v>2485</v>
      </c>
      <c r="B506" s="26" t="s">
        <v>969</v>
      </c>
      <c r="C506" s="26" t="s">
        <v>2486</v>
      </c>
      <c r="D506" s="26" t="s">
        <v>2487</v>
      </c>
      <c r="E506" s="26" t="s">
        <v>1093</v>
      </c>
      <c r="F506" s="26" t="s">
        <v>2488</v>
      </c>
      <c r="G506" s="26" t="s">
        <v>2488</v>
      </c>
      <c r="H506" s="218" t="s">
        <v>1277</v>
      </c>
      <c r="I506" s="26" t="s">
        <v>2281</v>
      </c>
      <c r="J506" s="26"/>
      <c r="K506" s="61">
        <v>43738</v>
      </c>
      <c r="L506" s="26"/>
      <c r="M506" s="26">
        <f t="shared" si="54"/>
        <v>147323</v>
      </c>
      <c r="N506" s="26">
        <f t="shared" si="55"/>
        <v>147323</v>
      </c>
      <c r="O506" s="26"/>
      <c r="P506" s="26"/>
      <c r="Q506" s="26"/>
      <c r="R506" s="26"/>
      <c r="S506" s="26"/>
      <c r="T506" s="26"/>
      <c r="U506" s="26">
        <v>147323</v>
      </c>
      <c r="V506" s="26"/>
      <c r="W506" s="26"/>
      <c r="X506" s="26"/>
      <c r="Y506" s="26"/>
      <c r="Z506" s="26"/>
      <c r="AA506" s="364">
        <v>0.15</v>
      </c>
      <c r="AB506" s="26"/>
      <c r="AC506" s="26"/>
      <c r="AD506" s="26"/>
      <c r="AE506" s="26"/>
      <c r="AF506" s="26"/>
      <c r="AG506" s="26"/>
      <c r="AH506" s="26">
        <v>125224.55</v>
      </c>
      <c r="AI506" s="26"/>
      <c r="AJ506" s="26"/>
      <c r="AK506" s="26"/>
      <c r="AL506" s="26"/>
      <c r="AM506" s="26"/>
      <c r="AN506" s="26">
        <f t="shared" si="49"/>
        <v>125224.55</v>
      </c>
      <c r="AO506" s="26" t="s">
        <v>93</v>
      </c>
      <c r="AP506" s="26"/>
      <c r="AQ506" s="26"/>
      <c r="AR506" s="61">
        <v>43747</v>
      </c>
      <c r="AS506" s="26"/>
      <c r="AT506" s="308"/>
      <c r="AU506" s="26"/>
      <c r="AV506" s="26"/>
      <c r="AW506" s="26"/>
      <c r="AX506" s="26"/>
      <c r="AY506" s="26"/>
      <c r="AZ506" s="308"/>
      <c r="BA506" s="308"/>
      <c r="BB506" s="26"/>
      <c r="BC506" s="26"/>
      <c r="BD506" s="26"/>
      <c r="BE506" s="297">
        <v>147323</v>
      </c>
      <c r="BF506" s="298">
        <f t="shared" si="40"/>
        <v>1</v>
      </c>
      <c r="BG506" s="297" t="str">
        <f>VLOOKUP(B506,[1]Sheet2!$B:$X,23,0)</f>
        <v>刘秧</v>
      </c>
    </row>
    <row r="507" spans="1:59" s="28" customFormat="1" ht="33" customHeight="1">
      <c r="A507" s="26" t="s">
        <v>2489</v>
      </c>
      <c r="B507" s="26" t="s">
        <v>2490</v>
      </c>
      <c r="C507" s="26" t="s">
        <v>2491</v>
      </c>
      <c r="D507" s="26" t="s">
        <v>2492</v>
      </c>
      <c r="E507" s="26" t="s">
        <v>106</v>
      </c>
      <c r="F507" s="26" t="s">
        <v>2104</v>
      </c>
      <c r="G507" s="26" t="s">
        <v>2104</v>
      </c>
      <c r="H507" s="218"/>
      <c r="I507" s="26" t="s">
        <v>2281</v>
      </c>
      <c r="J507" s="26"/>
      <c r="K507" s="61">
        <v>43738</v>
      </c>
      <c r="L507" s="26"/>
      <c r="M507" s="26">
        <f t="shared" si="54"/>
        <v>39930</v>
      </c>
      <c r="N507" s="26">
        <f t="shared" si="55"/>
        <v>39930</v>
      </c>
      <c r="O507" s="26"/>
      <c r="P507" s="26"/>
      <c r="Q507" s="26"/>
      <c r="R507" s="26"/>
      <c r="S507" s="26"/>
      <c r="T507" s="26">
        <v>39930</v>
      </c>
      <c r="U507" s="26"/>
      <c r="V507" s="26"/>
      <c r="W507" s="26"/>
      <c r="X507" s="26"/>
      <c r="Y507" s="26"/>
      <c r="Z507" s="26"/>
      <c r="AA507" s="364">
        <v>0.15</v>
      </c>
      <c r="AB507" s="26"/>
      <c r="AC507" s="26"/>
      <c r="AD507" s="26"/>
      <c r="AE507" s="26"/>
      <c r="AF507" s="26"/>
      <c r="AG507" s="26">
        <v>33940.5</v>
      </c>
      <c r="AH507" s="26"/>
      <c r="AI507" s="26"/>
      <c r="AJ507" s="26"/>
      <c r="AK507" s="26"/>
      <c r="AL507" s="26"/>
      <c r="AM507" s="26"/>
      <c r="AN507" s="26">
        <f t="shared" si="49"/>
        <v>33940.5</v>
      </c>
      <c r="AO507" s="216" t="s">
        <v>108</v>
      </c>
      <c r="AP507" s="26"/>
      <c r="AQ507" s="26"/>
      <c r="AR507" s="61">
        <v>43748</v>
      </c>
      <c r="AS507" s="26"/>
      <c r="AT507" s="308"/>
      <c r="AU507" s="26"/>
      <c r="AV507" s="26"/>
      <c r="AW507" s="26"/>
      <c r="AX507" s="26"/>
      <c r="AY507" s="26"/>
      <c r="AZ507" s="308"/>
      <c r="BA507" s="308"/>
      <c r="BB507" s="26"/>
      <c r="BC507" s="26"/>
      <c r="BD507" s="26"/>
      <c r="BE507" s="297"/>
      <c r="BF507" s="298">
        <f t="shared" si="40"/>
        <v>0</v>
      </c>
      <c r="BG507" s="297" t="str">
        <f>VLOOKUP(B507,[1]Sheet2!$B:$X,23,0)</f>
        <v>刘秧</v>
      </c>
    </row>
    <row r="508" spans="1:59" s="28" customFormat="1" ht="33" customHeight="1">
      <c r="A508" s="26" t="s">
        <v>2493</v>
      </c>
      <c r="B508" s="26" t="s">
        <v>2494</v>
      </c>
      <c r="C508" s="26" t="s">
        <v>2495</v>
      </c>
      <c r="D508" s="26" t="s">
        <v>2496</v>
      </c>
      <c r="E508" s="26" t="s">
        <v>224</v>
      </c>
      <c r="F508" s="26" t="s">
        <v>2117</v>
      </c>
      <c r="G508" s="26" t="s">
        <v>2117</v>
      </c>
      <c r="H508" s="218"/>
      <c r="I508" s="26" t="s">
        <v>1982</v>
      </c>
      <c r="J508" s="26"/>
      <c r="K508" s="61">
        <v>43747</v>
      </c>
      <c r="L508" s="26"/>
      <c r="M508" s="26">
        <f t="shared" si="54"/>
        <v>424767</v>
      </c>
      <c r="N508" s="26">
        <f t="shared" si="55"/>
        <v>424767</v>
      </c>
      <c r="O508" s="26"/>
      <c r="P508" s="26"/>
      <c r="Q508" s="26"/>
      <c r="R508" s="26"/>
      <c r="S508" s="26"/>
      <c r="T508" s="26"/>
      <c r="U508" s="26">
        <v>424767</v>
      </c>
      <c r="V508" s="26"/>
      <c r="W508" s="26"/>
      <c r="X508" s="26"/>
      <c r="Y508" s="26"/>
      <c r="Z508" s="26"/>
      <c r="AA508" s="364">
        <v>0.15</v>
      </c>
      <c r="AB508" s="26"/>
      <c r="AC508" s="26"/>
      <c r="AD508" s="26"/>
      <c r="AE508" s="26"/>
      <c r="AF508" s="26"/>
      <c r="AG508" s="26"/>
      <c r="AH508" s="26">
        <v>361051.95</v>
      </c>
      <c r="AI508" s="26"/>
      <c r="AJ508" s="26"/>
      <c r="AK508" s="26"/>
      <c r="AL508" s="26"/>
      <c r="AM508" s="26"/>
      <c r="AN508" s="26">
        <f t="shared" si="49"/>
        <v>361051.95</v>
      </c>
      <c r="AO508" s="26" t="s">
        <v>1258</v>
      </c>
      <c r="AP508" s="26"/>
      <c r="AQ508" s="26"/>
      <c r="AR508" s="61">
        <v>43748</v>
      </c>
      <c r="AS508" s="26"/>
      <c r="AT508" s="308"/>
      <c r="AU508" s="26"/>
      <c r="AV508" s="26" t="s">
        <v>66</v>
      </c>
      <c r="AW508" s="26"/>
      <c r="AX508" s="26" t="s">
        <v>86</v>
      </c>
      <c r="AY508" s="26"/>
      <c r="AZ508" s="308">
        <v>43739</v>
      </c>
      <c r="BA508" s="308">
        <v>43748</v>
      </c>
      <c r="BB508" s="26"/>
      <c r="BC508" s="61">
        <v>44104</v>
      </c>
      <c r="BD508" s="26" t="s">
        <v>931</v>
      </c>
      <c r="BE508" s="297"/>
      <c r="BF508" s="298">
        <f t="shared" si="40"/>
        <v>0</v>
      </c>
      <c r="BG508" s="297" t="e">
        <f>VLOOKUP(B508,[1]Sheet2!$B:$X,23,0)</f>
        <v>#N/A</v>
      </c>
    </row>
    <row r="509" spans="1:59" s="28" customFormat="1" ht="33" customHeight="1">
      <c r="A509" s="26" t="s">
        <v>2497</v>
      </c>
      <c r="B509" s="26" t="s">
        <v>2498</v>
      </c>
      <c r="C509" s="26" t="s">
        <v>2499</v>
      </c>
      <c r="D509" s="26" t="s">
        <v>2500</v>
      </c>
      <c r="E509" s="26" t="s">
        <v>1093</v>
      </c>
      <c r="F509" s="26" t="s">
        <v>2501</v>
      </c>
      <c r="G509" s="26" t="s">
        <v>2501</v>
      </c>
      <c r="H509" s="218"/>
      <c r="I509" s="26" t="s">
        <v>1928</v>
      </c>
      <c r="J509" s="26"/>
      <c r="K509" s="61">
        <v>43748</v>
      </c>
      <c r="L509" s="26"/>
      <c r="M509" s="26">
        <f t="shared" si="54"/>
        <v>110050</v>
      </c>
      <c r="N509" s="26">
        <f t="shared" si="55"/>
        <v>110050</v>
      </c>
      <c r="O509" s="26"/>
      <c r="P509" s="26"/>
      <c r="Q509" s="26"/>
      <c r="R509" s="26"/>
      <c r="S509" s="26"/>
      <c r="T509" s="26"/>
      <c r="U509" s="26">
        <v>110050</v>
      </c>
      <c r="V509" s="26"/>
      <c r="W509" s="26"/>
      <c r="X509" s="26"/>
      <c r="Y509" s="26"/>
      <c r="Z509" s="26"/>
      <c r="AA509" s="364">
        <v>0.15</v>
      </c>
      <c r="AB509" s="26"/>
      <c r="AC509" s="26"/>
      <c r="AD509" s="26"/>
      <c r="AE509" s="26"/>
      <c r="AF509" s="26"/>
      <c r="AG509" s="26"/>
      <c r="AH509" s="26"/>
      <c r="AI509" s="26"/>
      <c r="AJ509" s="26"/>
      <c r="AK509" s="26">
        <v>93364.18</v>
      </c>
      <c r="AL509" s="26"/>
      <c r="AM509" s="26"/>
      <c r="AN509" s="26">
        <f t="shared" si="49"/>
        <v>93364.18</v>
      </c>
      <c r="AO509" s="26" t="s">
        <v>93</v>
      </c>
      <c r="AP509" s="26"/>
      <c r="AQ509" s="26"/>
      <c r="AR509" s="61">
        <v>43748</v>
      </c>
      <c r="AS509" s="26"/>
      <c r="AT509" s="308"/>
      <c r="AU509" s="26"/>
      <c r="AV509" s="26" t="s">
        <v>66</v>
      </c>
      <c r="AW509" s="26"/>
      <c r="AX509" s="26" t="s">
        <v>86</v>
      </c>
      <c r="AY509" s="26"/>
      <c r="AZ509" s="308">
        <v>43759</v>
      </c>
      <c r="BA509" s="308">
        <v>43759</v>
      </c>
      <c r="BB509" s="26"/>
      <c r="BC509" s="61">
        <v>44124</v>
      </c>
      <c r="BD509" s="113" t="s">
        <v>931</v>
      </c>
      <c r="BE509" s="297"/>
      <c r="BF509" s="298">
        <f t="shared" si="40"/>
        <v>0</v>
      </c>
      <c r="BG509" s="297" t="e">
        <f>VLOOKUP(B509,[1]Sheet2!$B:$X,23,0)</f>
        <v>#N/A</v>
      </c>
    </row>
    <row r="510" spans="1:59" s="28" customFormat="1" ht="33" customHeight="1">
      <c r="A510" s="26" t="s">
        <v>2502</v>
      </c>
      <c r="B510" s="26" t="s">
        <v>2503</v>
      </c>
      <c r="C510" s="26" t="s">
        <v>2504</v>
      </c>
      <c r="D510" s="26" t="s">
        <v>2505</v>
      </c>
      <c r="E510" s="26" t="s">
        <v>224</v>
      </c>
      <c r="F510" s="26" t="s">
        <v>1277</v>
      </c>
      <c r="G510" s="26" t="s">
        <v>1277</v>
      </c>
      <c r="H510" s="218"/>
      <c r="I510" s="26" t="s">
        <v>1998</v>
      </c>
      <c r="J510" s="26"/>
      <c r="K510" s="61">
        <v>43748</v>
      </c>
      <c r="L510" s="26"/>
      <c r="M510" s="26">
        <f t="shared" si="54"/>
        <v>520000</v>
      </c>
      <c r="N510" s="26">
        <f t="shared" si="55"/>
        <v>227200</v>
      </c>
      <c r="O510" s="26"/>
      <c r="P510" s="26"/>
      <c r="Q510" s="26"/>
      <c r="R510" s="26"/>
      <c r="S510" s="26"/>
      <c r="T510" s="26"/>
      <c r="U510" s="26">
        <v>227200</v>
      </c>
      <c r="V510" s="26"/>
      <c r="W510" s="26">
        <v>292800</v>
      </c>
      <c r="X510" s="26">
        <v>292800</v>
      </c>
      <c r="Y510" s="364">
        <v>0.09</v>
      </c>
      <c r="Z510" s="26"/>
      <c r="AA510" s="364">
        <v>0.15</v>
      </c>
      <c r="AB510" s="26"/>
      <c r="AC510" s="26"/>
      <c r="AD510" s="26"/>
      <c r="AE510" s="26"/>
      <c r="AF510" s="26"/>
      <c r="AG510" s="26"/>
      <c r="AH510" s="26">
        <v>184800</v>
      </c>
      <c r="AI510" s="26"/>
      <c r="AJ510" s="26">
        <v>292800</v>
      </c>
      <c r="AK510" s="26"/>
      <c r="AL510" s="26"/>
      <c r="AM510" s="26"/>
      <c r="AN510" s="26">
        <f t="shared" si="49"/>
        <v>477600</v>
      </c>
      <c r="AO510" s="26" t="s">
        <v>1258</v>
      </c>
      <c r="AP510" s="26"/>
      <c r="AQ510" s="26"/>
      <c r="AR510" s="61">
        <v>43748</v>
      </c>
      <c r="AS510" s="26"/>
      <c r="AT510" s="308"/>
      <c r="AU510" s="26"/>
      <c r="AV510" s="26"/>
      <c r="AW510" s="26"/>
      <c r="AX510" s="26"/>
      <c r="AY510" s="26"/>
      <c r="AZ510" s="308"/>
      <c r="BA510" s="308"/>
      <c r="BB510" s="26"/>
      <c r="BC510" s="26"/>
      <c r="BD510" s="26"/>
      <c r="BE510" s="297"/>
      <c r="BF510" s="298">
        <f t="shared" si="40"/>
        <v>0</v>
      </c>
      <c r="BG510" s="297" t="e">
        <f>VLOOKUP(B510,[1]Sheet2!$B:$X,23,0)</f>
        <v>#N/A</v>
      </c>
    </row>
    <row r="511" spans="1:59" s="28" customFormat="1" ht="33" customHeight="1">
      <c r="A511" s="26" t="s">
        <v>2506</v>
      </c>
      <c r="B511" s="26" t="s">
        <v>2507</v>
      </c>
      <c r="C511" s="26" t="s">
        <v>2508</v>
      </c>
      <c r="D511" s="26" t="s">
        <v>2509</v>
      </c>
      <c r="E511" s="26" t="s">
        <v>265</v>
      </c>
      <c r="F511" s="26" t="s">
        <v>315</v>
      </c>
      <c r="G511" s="26" t="s">
        <v>315</v>
      </c>
      <c r="H511" s="218"/>
      <c r="I511" s="26" t="s">
        <v>1951</v>
      </c>
      <c r="J511" s="26"/>
      <c r="K511" s="61">
        <v>43747</v>
      </c>
      <c r="L511" s="26"/>
      <c r="M511" s="26">
        <f t="shared" si="54"/>
        <v>2225468</v>
      </c>
      <c r="N511" s="26">
        <f t="shared" si="55"/>
        <v>2225468</v>
      </c>
      <c r="O511" s="26"/>
      <c r="P511" s="26"/>
      <c r="Q511" s="26">
        <v>1047470</v>
      </c>
      <c r="R511" s="26"/>
      <c r="S511" s="26"/>
      <c r="T511" s="26">
        <v>135070</v>
      </c>
      <c r="U511" s="26">
        <v>1042928</v>
      </c>
      <c r="V511" s="26"/>
      <c r="W511" s="26"/>
      <c r="X511" s="26"/>
      <c r="Y511" s="26"/>
      <c r="Z511" s="26"/>
      <c r="AA511" s="364">
        <v>0.09</v>
      </c>
      <c r="AB511" s="26"/>
      <c r="AC511" s="26"/>
      <c r="AD511" s="26">
        <v>1036995</v>
      </c>
      <c r="AE511" s="26"/>
      <c r="AF511" s="26"/>
      <c r="AG511" s="26">
        <v>122914</v>
      </c>
      <c r="AH511" s="26">
        <v>920584</v>
      </c>
      <c r="AI511" s="26"/>
      <c r="AJ511" s="26"/>
      <c r="AK511" s="26"/>
      <c r="AL511" s="26"/>
      <c r="AM511" s="26"/>
      <c r="AN511" s="26">
        <f t="shared" si="49"/>
        <v>2080493</v>
      </c>
      <c r="AO511" s="26" t="s">
        <v>286</v>
      </c>
      <c r="AP511" s="26"/>
      <c r="AQ511" s="26"/>
      <c r="AR511" s="61">
        <v>43747</v>
      </c>
      <c r="AS511" s="26"/>
      <c r="AT511" s="308"/>
      <c r="AU511" s="26"/>
      <c r="AV511" s="26"/>
      <c r="AW511" s="26"/>
      <c r="AX511" s="26"/>
      <c r="AY511" s="26"/>
      <c r="AZ511" s="308"/>
      <c r="BA511" s="308"/>
      <c r="BB511" s="26" t="s">
        <v>87</v>
      </c>
      <c r="BC511" s="26"/>
      <c r="BD511" s="26"/>
      <c r="BE511" s="297"/>
      <c r="BF511" s="298">
        <f t="shared" si="40"/>
        <v>0</v>
      </c>
      <c r="BG511" s="297" t="e">
        <f>VLOOKUP(B511,[1]Sheet2!$B:$X,23,0)</f>
        <v>#N/A</v>
      </c>
    </row>
    <row r="512" spans="1:59" s="28" customFormat="1" ht="33" customHeight="1">
      <c r="A512" s="26" t="s">
        <v>2510</v>
      </c>
      <c r="B512" s="26" t="s">
        <v>2511</v>
      </c>
      <c r="C512" s="26" t="s">
        <v>2512</v>
      </c>
      <c r="D512" s="26" t="s">
        <v>2513</v>
      </c>
      <c r="E512" s="26" t="s">
        <v>83</v>
      </c>
      <c r="F512" s="37" t="s">
        <v>315</v>
      </c>
      <c r="G512" s="37" t="s">
        <v>315</v>
      </c>
      <c r="H512" s="218"/>
      <c r="I512" s="26" t="s">
        <v>1004</v>
      </c>
      <c r="J512" s="26"/>
      <c r="K512" s="61">
        <v>43766</v>
      </c>
      <c r="L512" s="26" t="s">
        <v>2514</v>
      </c>
      <c r="M512" s="26">
        <f t="shared" ref="M512:M520" si="56">SUM(N512,W512)</f>
        <v>10110</v>
      </c>
      <c r="N512" s="26">
        <f t="shared" ref="N512:N520" si="57">SUM(O512:V512)</f>
        <v>10110</v>
      </c>
      <c r="O512" s="26"/>
      <c r="P512" s="26"/>
      <c r="Q512" s="26"/>
      <c r="R512" s="26"/>
      <c r="S512" s="26"/>
      <c r="T512" s="26"/>
      <c r="U512" s="26">
        <v>10110</v>
      </c>
      <c r="V512" s="26"/>
      <c r="W512" s="26"/>
      <c r="X512" s="26"/>
      <c r="Y512" s="26"/>
      <c r="Z512" s="26"/>
      <c r="AA512" s="364">
        <v>0.15</v>
      </c>
      <c r="AB512" s="26"/>
      <c r="AC512" s="26"/>
      <c r="AD512" s="26"/>
      <c r="AE512" s="26"/>
      <c r="AF512" s="26"/>
      <c r="AG512" s="26"/>
      <c r="AH512" s="26">
        <v>8593.5</v>
      </c>
      <c r="AI512" s="26"/>
      <c r="AJ512" s="26"/>
      <c r="AK512" s="26"/>
      <c r="AL512" s="26"/>
      <c r="AM512" s="26"/>
      <c r="AN512" s="26">
        <f t="shared" si="49"/>
        <v>8593.5</v>
      </c>
      <c r="AO512" s="26" t="s">
        <v>286</v>
      </c>
      <c r="AP512" s="26"/>
      <c r="AQ512" s="26"/>
      <c r="AR512" s="61">
        <v>43780</v>
      </c>
      <c r="AS512" s="26"/>
      <c r="AT512" s="308"/>
      <c r="AU512" s="26"/>
      <c r="AV512" s="26" t="s">
        <v>66</v>
      </c>
      <c r="AW512" s="26"/>
      <c r="AX512" s="26" t="s">
        <v>86</v>
      </c>
      <c r="AY512" s="26"/>
      <c r="AZ512" s="308">
        <v>43783</v>
      </c>
      <c r="BA512" s="308">
        <v>43783</v>
      </c>
      <c r="BB512" s="26"/>
      <c r="BC512" s="61">
        <v>44148</v>
      </c>
      <c r="BD512" s="26" t="s">
        <v>88</v>
      </c>
      <c r="BE512" s="297"/>
      <c r="BF512" s="298">
        <f t="shared" si="40"/>
        <v>0</v>
      </c>
      <c r="BG512" s="297" t="e">
        <f>VLOOKUP(B512,[1]Sheet2!$B:$X,23,0)</f>
        <v>#N/A</v>
      </c>
    </row>
    <row r="513" spans="1:59" s="28" customFormat="1" ht="33" customHeight="1">
      <c r="A513" s="26" t="s">
        <v>2515</v>
      </c>
      <c r="B513" s="26" t="s">
        <v>2516</v>
      </c>
      <c r="C513" s="26" t="s">
        <v>2517</v>
      </c>
      <c r="D513" s="26" t="s">
        <v>2518</v>
      </c>
      <c r="E513" s="26" t="s">
        <v>265</v>
      </c>
      <c r="F513" s="26" t="s">
        <v>2117</v>
      </c>
      <c r="G513" s="26" t="s">
        <v>2117</v>
      </c>
      <c r="H513" s="218"/>
      <c r="I513" s="26" t="s">
        <v>1937</v>
      </c>
      <c r="J513" s="26"/>
      <c r="K513" s="61">
        <v>43755</v>
      </c>
      <c r="L513" s="26"/>
      <c r="M513" s="26">
        <f t="shared" si="56"/>
        <v>984384</v>
      </c>
      <c r="N513" s="26">
        <f t="shared" si="57"/>
        <v>984384</v>
      </c>
      <c r="O513" s="26"/>
      <c r="P513" s="26"/>
      <c r="Q513" s="26"/>
      <c r="R513" s="26"/>
      <c r="S513" s="26"/>
      <c r="T513" s="26"/>
      <c r="U513" s="26">
        <v>984384</v>
      </c>
      <c r="V513" s="26"/>
      <c r="W513" s="26"/>
      <c r="X513" s="26"/>
      <c r="Y513" s="26"/>
      <c r="Z513" s="26"/>
      <c r="AA513" s="364">
        <v>0.12</v>
      </c>
      <c r="AB513" s="26"/>
      <c r="AC513" s="26"/>
      <c r="AD513" s="26"/>
      <c r="AE513" s="26"/>
      <c r="AF513" s="26"/>
      <c r="AG513" s="26"/>
      <c r="AH513" s="26">
        <v>869340</v>
      </c>
      <c r="AI513" s="26"/>
      <c r="AJ513" s="26"/>
      <c r="AK513" s="26"/>
      <c r="AL513" s="26"/>
      <c r="AM513" s="26"/>
      <c r="AN513" s="26">
        <f t="shared" si="49"/>
        <v>869340</v>
      </c>
      <c r="AO513" s="26" t="s">
        <v>286</v>
      </c>
      <c r="AP513" s="26"/>
      <c r="AQ513" s="26"/>
      <c r="AR513" s="61">
        <v>43756</v>
      </c>
      <c r="AS513" s="26"/>
      <c r="AT513" s="308"/>
      <c r="AU513" s="26"/>
      <c r="AV513" s="26" t="s">
        <v>66</v>
      </c>
      <c r="AW513" s="26"/>
      <c r="AX513" s="26" t="s">
        <v>86</v>
      </c>
      <c r="AY513" s="26"/>
      <c r="AZ513" s="308">
        <v>43766</v>
      </c>
      <c r="BA513" s="308">
        <v>43756</v>
      </c>
      <c r="BB513" s="26"/>
      <c r="BC513" s="61">
        <v>44121</v>
      </c>
      <c r="BD513" s="26" t="s">
        <v>931</v>
      </c>
      <c r="BE513" s="297">
        <v>600000</v>
      </c>
      <c r="BF513" s="298">
        <f t="shared" si="40"/>
        <v>0.60951823678564465</v>
      </c>
      <c r="BG513" s="297" t="str">
        <f>VLOOKUP(B513,[1]Sheet2!$B:$X,23,0)</f>
        <v>杨楠</v>
      </c>
    </row>
    <row r="514" spans="1:59" s="28" customFormat="1" ht="33" customHeight="1">
      <c r="A514" s="26" t="s">
        <v>2519</v>
      </c>
      <c r="B514" s="26" t="s">
        <v>2520</v>
      </c>
      <c r="C514" s="26" t="s">
        <v>2521</v>
      </c>
      <c r="D514" s="26" t="s">
        <v>2522</v>
      </c>
      <c r="E514" s="26" t="s">
        <v>83</v>
      </c>
      <c r="F514" s="26" t="s">
        <v>2523</v>
      </c>
      <c r="G514" s="26" t="s">
        <v>2523</v>
      </c>
      <c r="H514" s="218"/>
      <c r="I514" s="26" t="s">
        <v>2524</v>
      </c>
      <c r="J514" s="26"/>
      <c r="K514" s="61">
        <v>43750</v>
      </c>
      <c r="L514" s="26"/>
      <c r="M514" s="26">
        <f t="shared" si="56"/>
        <v>440000</v>
      </c>
      <c r="N514" s="26">
        <f t="shared" si="57"/>
        <v>440000</v>
      </c>
      <c r="O514" s="26"/>
      <c r="P514" s="26"/>
      <c r="Q514" s="26"/>
      <c r="R514" s="26"/>
      <c r="S514" s="26"/>
      <c r="T514" s="26"/>
      <c r="U514" s="26">
        <v>440000</v>
      </c>
      <c r="V514" s="26"/>
      <c r="W514" s="26"/>
      <c r="X514" s="26"/>
      <c r="Y514" s="26"/>
      <c r="Z514" s="26"/>
      <c r="AA514" s="364">
        <v>0.15</v>
      </c>
      <c r="AB514" s="26"/>
      <c r="AC514" s="26"/>
      <c r="AD514" s="26"/>
      <c r="AE514" s="26"/>
      <c r="AF514" s="26"/>
      <c r="AG514" s="26"/>
      <c r="AH514" s="26">
        <v>374180</v>
      </c>
      <c r="AI514" s="26"/>
      <c r="AJ514" s="26"/>
      <c r="AK514" s="26"/>
      <c r="AL514" s="26"/>
      <c r="AM514" s="26"/>
      <c r="AN514" s="26">
        <f t="shared" si="49"/>
        <v>374180</v>
      </c>
      <c r="AO514" s="26" t="s">
        <v>1258</v>
      </c>
      <c r="AP514" s="26"/>
      <c r="AQ514" s="26"/>
      <c r="AR514" s="61">
        <v>43750</v>
      </c>
      <c r="AS514" s="26"/>
      <c r="AT514" s="308"/>
      <c r="AU514" s="26"/>
      <c r="AV514" s="26"/>
      <c r="AW514" s="26"/>
      <c r="AX514" s="26"/>
      <c r="AY514" s="26"/>
      <c r="AZ514" s="308"/>
      <c r="BA514" s="308"/>
      <c r="BB514" s="26"/>
      <c r="BC514" s="26"/>
      <c r="BD514" s="26"/>
      <c r="BE514" s="297"/>
      <c r="BF514" s="298">
        <f t="shared" si="40"/>
        <v>0</v>
      </c>
      <c r="BG514" s="297" t="e">
        <f>VLOOKUP(B514,[1]Sheet2!$B:$X,23,0)</f>
        <v>#N/A</v>
      </c>
    </row>
    <row r="515" spans="1:59" s="28" customFormat="1" ht="33" customHeight="1">
      <c r="A515" s="26" t="s">
        <v>2525</v>
      </c>
      <c r="B515" s="26" t="s">
        <v>2526</v>
      </c>
      <c r="C515" s="26" t="s">
        <v>2527</v>
      </c>
      <c r="D515" s="26" t="s">
        <v>2528</v>
      </c>
      <c r="E515" s="26" t="s">
        <v>374</v>
      </c>
      <c r="F515" s="26" t="s">
        <v>315</v>
      </c>
      <c r="G515" s="26" t="s">
        <v>315</v>
      </c>
      <c r="H515" s="218"/>
      <c r="I515" s="26" t="s">
        <v>2217</v>
      </c>
      <c r="J515" s="26"/>
      <c r="K515" s="61">
        <v>43750</v>
      </c>
      <c r="L515" s="26"/>
      <c r="M515" s="26">
        <f t="shared" si="56"/>
        <v>15000</v>
      </c>
      <c r="N515" s="26">
        <f t="shared" si="57"/>
        <v>15000</v>
      </c>
      <c r="O515" s="26"/>
      <c r="P515" s="26"/>
      <c r="Q515" s="26"/>
      <c r="R515" s="26"/>
      <c r="S515" s="26"/>
      <c r="T515" s="26"/>
      <c r="U515" s="26">
        <v>15000</v>
      </c>
      <c r="V515" s="26"/>
      <c r="W515" s="26"/>
      <c r="X515" s="26"/>
      <c r="Y515" s="26"/>
      <c r="Z515" s="26"/>
      <c r="AA515" s="364">
        <v>0.15</v>
      </c>
      <c r="AB515" s="26"/>
      <c r="AC515" s="26"/>
      <c r="AD515" s="26"/>
      <c r="AE515" s="26"/>
      <c r="AF515" s="26"/>
      <c r="AG515" s="26"/>
      <c r="AH515" s="26">
        <v>12750</v>
      </c>
      <c r="AI515" s="26"/>
      <c r="AJ515" s="26"/>
      <c r="AK515" s="26"/>
      <c r="AL515" s="26"/>
      <c r="AM515" s="26"/>
      <c r="AN515" s="26">
        <f t="shared" si="49"/>
        <v>12750</v>
      </c>
      <c r="AO515" s="26" t="s">
        <v>77</v>
      </c>
      <c r="AP515" s="26"/>
      <c r="AQ515" s="26"/>
      <c r="AR515" s="61">
        <v>43753</v>
      </c>
      <c r="AS515" s="26"/>
      <c r="AT515" s="308"/>
      <c r="AU515" s="26"/>
      <c r="AV515" s="26" t="s">
        <v>66</v>
      </c>
      <c r="AW515" s="26"/>
      <c r="AX515" s="26" t="s">
        <v>86</v>
      </c>
      <c r="AY515" s="26"/>
      <c r="AZ515" s="308">
        <v>43756</v>
      </c>
      <c r="BA515" s="308">
        <v>43756</v>
      </c>
      <c r="BB515" s="61"/>
      <c r="BC515" s="61">
        <v>44121</v>
      </c>
      <c r="BD515" s="26" t="s">
        <v>88</v>
      </c>
      <c r="BE515" s="297"/>
      <c r="BF515" s="298">
        <f t="shared" ref="BF515:BF578" si="58">BE515/M515</f>
        <v>0</v>
      </c>
      <c r="BG515" s="297" t="e">
        <f>VLOOKUP(B515,[1]Sheet2!$B:$X,23,0)</f>
        <v>#N/A</v>
      </c>
    </row>
    <row r="516" spans="1:59" s="28" customFormat="1" ht="33" customHeight="1">
      <c r="A516" s="26" t="s">
        <v>2529</v>
      </c>
      <c r="B516" s="26" t="s">
        <v>2530</v>
      </c>
      <c r="C516" s="26" t="s">
        <v>2531</v>
      </c>
      <c r="D516" s="26" t="s">
        <v>2532</v>
      </c>
      <c r="E516" s="26" t="s">
        <v>92</v>
      </c>
      <c r="F516" s="26" t="s">
        <v>315</v>
      </c>
      <c r="G516" s="26" t="s">
        <v>315</v>
      </c>
      <c r="H516" s="218"/>
      <c r="I516" s="26" t="s">
        <v>1004</v>
      </c>
      <c r="J516" s="26"/>
      <c r="K516" s="61">
        <v>43755</v>
      </c>
      <c r="L516" s="26"/>
      <c r="M516" s="26">
        <f t="shared" si="56"/>
        <v>9847</v>
      </c>
      <c r="N516" s="26">
        <f t="shared" si="57"/>
        <v>9847</v>
      </c>
      <c r="O516" s="26"/>
      <c r="P516" s="26"/>
      <c r="Q516" s="26"/>
      <c r="R516" s="26"/>
      <c r="S516" s="26"/>
      <c r="T516" s="26">
        <v>9847</v>
      </c>
      <c r="U516" s="26"/>
      <c r="V516" s="26"/>
      <c r="W516" s="26"/>
      <c r="X516" s="26"/>
      <c r="Y516" s="26"/>
      <c r="Z516" s="26"/>
      <c r="AA516" s="364">
        <v>0.15</v>
      </c>
      <c r="AB516" s="26"/>
      <c r="AC516" s="26"/>
      <c r="AD516" s="26"/>
      <c r="AE516" s="26"/>
      <c r="AF516" s="26"/>
      <c r="AG516" s="26">
        <v>8370</v>
      </c>
      <c r="AH516" s="26"/>
      <c r="AI516" s="26"/>
      <c r="AJ516" s="26"/>
      <c r="AK516" s="26"/>
      <c r="AL516" s="26"/>
      <c r="AM516" s="26"/>
      <c r="AN516" s="26">
        <f t="shared" si="49"/>
        <v>8370</v>
      </c>
      <c r="AO516" s="26" t="s">
        <v>1843</v>
      </c>
      <c r="AP516" s="26"/>
      <c r="AQ516" s="26"/>
      <c r="AR516" s="61">
        <v>43756</v>
      </c>
      <c r="AS516" s="26"/>
      <c r="AT516" s="308"/>
      <c r="AU516" s="26"/>
      <c r="AV516" s="26"/>
      <c r="AW516" s="26"/>
      <c r="AX516" s="26"/>
      <c r="AY516" s="26"/>
      <c r="AZ516" s="308"/>
      <c r="BA516" s="308"/>
      <c r="BB516" s="26"/>
      <c r="BC516" s="26"/>
      <c r="BD516" s="26"/>
      <c r="BE516" s="297"/>
      <c r="BF516" s="298">
        <f t="shared" si="58"/>
        <v>0</v>
      </c>
      <c r="BG516" s="297" t="e">
        <f>VLOOKUP(B516,[1]Sheet2!$B:$X,23,0)</f>
        <v>#N/A</v>
      </c>
    </row>
    <row r="517" spans="1:59" s="28" customFormat="1" ht="33" customHeight="1">
      <c r="A517" s="25" t="s">
        <v>2533</v>
      </c>
      <c r="B517" s="26" t="s">
        <v>2534</v>
      </c>
      <c r="C517" s="26" t="s">
        <v>2535</v>
      </c>
      <c r="D517" s="26" t="s">
        <v>2536</v>
      </c>
      <c r="E517" s="26" t="s">
        <v>576</v>
      </c>
      <c r="F517" s="26" t="s">
        <v>2117</v>
      </c>
      <c r="G517" s="26" t="s">
        <v>2117</v>
      </c>
      <c r="H517" s="218"/>
      <c r="I517" s="26" t="s">
        <v>1982</v>
      </c>
      <c r="J517" s="26"/>
      <c r="K517" s="61">
        <v>43753</v>
      </c>
      <c r="L517" s="26"/>
      <c r="M517" s="26">
        <f t="shared" si="56"/>
        <v>50000</v>
      </c>
      <c r="N517" s="26">
        <f t="shared" si="57"/>
        <v>50000</v>
      </c>
      <c r="O517" s="26"/>
      <c r="P517" s="26"/>
      <c r="Q517" s="26"/>
      <c r="R517" s="26"/>
      <c r="S517" s="26"/>
      <c r="T517" s="26"/>
      <c r="U517" s="26">
        <v>50000</v>
      </c>
      <c r="V517" s="26"/>
      <c r="W517" s="26"/>
      <c r="X517" s="26"/>
      <c r="Y517" s="26"/>
      <c r="Z517" s="26"/>
      <c r="AA517" s="364">
        <v>0.15</v>
      </c>
      <c r="AB517" s="26"/>
      <c r="AC517" s="26"/>
      <c r="AD517" s="26"/>
      <c r="AE517" s="26"/>
      <c r="AF517" s="26"/>
      <c r="AG517" s="26"/>
      <c r="AH517" s="26">
        <v>42500</v>
      </c>
      <c r="AI517" s="26"/>
      <c r="AJ517" s="26"/>
      <c r="AK517" s="26"/>
      <c r="AL517" s="26"/>
      <c r="AM517" s="26"/>
      <c r="AN517" s="26">
        <f t="shared" si="49"/>
        <v>42500</v>
      </c>
      <c r="AO517" s="26" t="s">
        <v>1843</v>
      </c>
      <c r="AP517" s="26"/>
      <c r="AQ517" s="26"/>
      <c r="AR517" s="61">
        <v>43754</v>
      </c>
      <c r="AS517" s="26"/>
      <c r="AT517" s="308"/>
      <c r="AU517" s="26"/>
      <c r="AV517" s="26"/>
      <c r="AW517" s="26"/>
      <c r="AX517" s="26"/>
      <c r="AY517" s="26"/>
      <c r="AZ517" s="308"/>
      <c r="BA517" s="308"/>
      <c r="BB517" s="26"/>
      <c r="BC517" s="26"/>
      <c r="BD517" s="26"/>
      <c r="BE517" s="297"/>
      <c r="BF517" s="298">
        <f t="shared" si="58"/>
        <v>0</v>
      </c>
      <c r="BG517" s="297" t="e">
        <f>VLOOKUP(B517,[1]Sheet2!$B:$X,23,0)</f>
        <v>#N/A</v>
      </c>
    </row>
    <row r="518" spans="1:59" s="28" customFormat="1" ht="33" customHeight="1">
      <c r="A518" s="25" t="s">
        <v>2537</v>
      </c>
      <c r="B518" s="26" t="s">
        <v>2538</v>
      </c>
      <c r="C518" s="26" t="s">
        <v>2539</v>
      </c>
      <c r="D518" s="26" t="s">
        <v>2540</v>
      </c>
      <c r="E518" s="26" t="s">
        <v>374</v>
      </c>
      <c r="F518" s="26" t="s">
        <v>2117</v>
      </c>
      <c r="G518" s="26" t="s">
        <v>2117</v>
      </c>
      <c r="H518" s="218"/>
      <c r="I518" s="26" t="s">
        <v>2281</v>
      </c>
      <c r="J518" s="26"/>
      <c r="K518" s="61">
        <v>43753</v>
      </c>
      <c r="L518" s="26"/>
      <c r="M518" s="26">
        <f t="shared" si="56"/>
        <v>22900</v>
      </c>
      <c r="N518" s="26">
        <f t="shared" si="57"/>
        <v>22900</v>
      </c>
      <c r="O518" s="26"/>
      <c r="P518" s="26"/>
      <c r="Q518" s="26"/>
      <c r="R518" s="26"/>
      <c r="S518" s="26"/>
      <c r="T518" s="26"/>
      <c r="U518" s="26">
        <v>22900</v>
      </c>
      <c r="V518" s="26"/>
      <c r="W518" s="26"/>
      <c r="X518" s="26"/>
      <c r="Y518" s="26"/>
      <c r="Z518" s="26"/>
      <c r="AA518" s="364">
        <v>0.15</v>
      </c>
      <c r="AB518" s="26"/>
      <c r="AC518" s="26"/>
      <c r="AD518" s="26"/>
      <c r="AE518" s="26"/>
      <c r="AF518" s="26"/>
      <c r="AG518" s="26"/>
      <c r="AH518" s="26">
        <v>19465</v>
      </c>
      <c r="AI518" s="26"/>
      <c r="AJ518" s="26"/>
      <c r="AK518" s="26"/>
      <c r="AL518" s="26"/>
      <c r="AM518" s="26"/>
      <c r="AN518" s="26">
        <f t="shared" si="49"/>
        <v>19465</v>
      </c>
      <c r="AO518" s="26" t="s">
        <v>77</v>
      </c>
      <c r="AP518" s="26"/>
      <c r="AQ518" s="26"/>
      <c r="AR518" s="61">
        <v>43753</v>
      </c>
      <c r="AS518" s="26"/>
      <c r="AT518" s="308"/>
      <c r="AU518" s="26"/>
      <c r="AV518" s="26"/>
      <c r="AW518" s="26"/>
      <c r="AX518" s="26"/>
      <c r="AY518" s="26"/>
      <c r="AZ518" s="308"/>
      <c r="BA518" s="308"/>
      <c r="BB518" s="26"/>
      <c r="BC518" s="26"/>
      <c r="BD518" s="26"/>
      <c r="BE518" s="297"/>
      <c r="BF518" s="298">
        <f t="shared" si="58"/>
        <v>0</v>
      </c>
      <c r="BG518" s="297" t="str">
        <f>VLOOKUP(B518,[1]Sheet2!$B:$X,23,0)</f>
        <v>刘秧</v>
      </c>
    </row>
    <row r="519" spans="1:59" s="28" customFormat="1" ht="33" customHeight="1">
      <c r="A519" s="26" t="s">
        <v>2541</v>
      </c>
      <c r="B519" s="26" t="s">
        <v>2542</v>
      </c>
      <c r="C519" s="26" t="s">
        <v>2543</v>
      </c>
      <c r="D519" s="26" t="s">
        <v>2544</v>
      </c>
      <c r="E519" s="26" t="s">
        <v>92</v>
      </c>
      <c r="F519" s="26" t="s">
        <v>2104</v>
      </c>
      <c r="G519" s="26" t="s">
        <v>2104</v>
      </c>
      <c r="H519" s="218"/>
      <c r="I519" s="26" t="s">
        <v>1937</v>
      </c>
      <c r="J519" s="26"/>
      <c r="K519" s="61">
        <v>43756</v>
      </c>
      <c r="L519" s="26" t="s">
        <v>2545</v>
      </c>
      <c r="M519" s="26">
        <f t="shared" si="56"/>
        <v>248982.75</v>
      </c>
      <c r="N519" s="26">
        <f t="shared" si="57"/>
        <v>248982.75</v>
      </c>
      <c r="O519" s="26"/>
      <c r="P519" s="26"/>
      <c r="Q519" s="26">
        <v>127348.54</v>
      </c>
      <c r="R519" s="26"/>
      <c r="S519" s="26"/>
      <c r="T519" s="26">
        <v>121634.21</v>
      </c>
      <c r="U519" s="26"/>
      <c r="V519" s="26"/>
      <c r="W519" s="26"/>
      <c r="X519" s="26"/>
      <c r="Y519" s="26"/>
      <c r="Z519" s="26"/>
      <c r="AA519" s="364">
        <v>0.15</v>
      </c>
      <c r="AB519" s="26"/>
      <c r="AC519" s="26"/>
      <c r="AD519" s="26">
        <v>127050.42</v>
      </c>
      <c r="AE519" s="26"/>
      <c r="AF519" s="26"/>
      <c r="AG519" s="26">
        <v>103368.2</v>
      </c>
      <c r="AH519" s="26"/>
      <c r="AI519" s="26"/>
      <c r="AJ519" s="26"/>
      <c r="AK519" s="26"/>
      <c r="AL519" s="26"/>
      <c r="AM519" s="26"/>
      <c r="AN519" s="26">
        <f t="shared" si="49"/>
        <v>230418.62</v>
      </c>
      <c r="AO519" s="26" t="s">
        <v>1843</v>
      </c>
      <c r="AP519" s="26"/>
      <c r="AQ519" s="26"/>
      <c r="AR519" s="61" t="s">
        <v>2546</v>
      </c>
      <c r="AS519" s="26"/>
      <c r="AT519" s="308"/>
      <c r="AU519" s="26"/>
      <c r="AV519" s="26"/>
      <c r="AW519" s="26"/>
      <c r="AX519" s="26"/>
      <c r="AY519" s="26"/>
      <c r="AZ519" s="308"/>
      <c r="BA519" s="308"/>
      <c r="BB519" s="26"/>
      <c r="BC519" s="26"/>
      <c r="BD519" s="26"/>
      <c r="BE519" s="297"/>
      <c r="BF519" s="298">
        <f t="shared" si="58"/>
        <v>0</v>
      </c>
      <c r="BG519" s="297" t="str">
        <f>VLOOKUP(B519,[1]Sheet2!$B:$X,23,0)</f>
        <v>杨楠</v>
      </c>
    </row>
    <row r="520" spans="1:59" s="28" customFormat="1" ht="33" customHeight="1">
      <c r="A520" s="25" t="s">
        <v>2547</v>
      </c>
      <c r="B520" s="26" t="s">
        <v>2548</v>
      </c>
      <c r="C520" s="26" t="s">
        <v>2549</v>
      </c>
      <c r="D520" s="26" t="s">
        <v>2550</v>
      </c>
      <c r="E520" s="26" t="s">
        <v>83</v>
      </c>
      <c r="F520" s="26" t="s">
        <v>2104</v>
      </c>
      <c r="G520" s="26" t="s">
        <v>2104</v>
      </c>
      <c r="H520" s="218"/>
      <c r="I520" s="26" t="s">
        <v>2060</v>
      </c>
      <c r="J520" s="26"/>
      <c r="K520" s="61">
        <v>43752</v>
      </c>
      <c r="L520" s="26"/>
      <c r="M520" s="26">
        <f t="shared" si="56"/>
        <v>17700</v>
      </c>
      <c r="N520" s="26">
        <f t="shared" si="57"/>
        <v>17700</v>
      </c>
      <c r="O520" s="26"/>
      <c r="P520" s="26"/>
      <c r="Q520" s="26">
        <v>700</v>
      </c>
      <c r="R520" s="26"/>
      <c r="S520" s="26"/>
      <c r="T520" s="26">
        <v>10000</v>
      </c>
      <c r="U520" s="26">
        <v>7000</v>
      </c>
      <c r="V520" s="26"/>
      <c r="W520" s="26"/>
      <c r="X520" s="26"/>
      <c r="Y520" s="26"/>
      <c r="Z520" s="26"/>
      <c r="AA520" s="364">
        <v>0.15</v>
      </c>
      <c r="AB520" s="26"/>
      <c r="AC520" s="26"/>
      <c r="AD520" s="26">
        <v>698.34</v>
      </c>
      <c r="AE520" s="26"/>
      <c r="AF520" s="26"/>
      <c r="AG520" s="26">
        <v>8927.1</v>
      </c>
      <c r="AH520" s="26">
        <v>5406</v>
      </c>
      <c r="AI520" s="26"/>
      <c r="AJ520" s="26"/>
      <c r="AK520" s="26"/>
      <c r="AL520" s="26"/>
      <c r="AM520" s="26"/>
      <c r="AN520" s="26">
        <f t="shared" si="49"/>
        <v>15031.44</v>
      </c>
      <c r="AO520" s="26" t="s">
        <v>1258</v>
      </c>
      <c r="AP520" s="26"/>
      <c r="AQ520" s="26"/>
      <c r="AR520" s="61">
        <v>43753</v>
      </c>
      <c r="AS520" s="26"/>
      <c r="AT520" s="308"/>
      <c r="AU520" s="26"/>
      <c r="AV520" s="26" t="s">
        <v>66</v>
      </c>
      <c r="AW520" s="26"/>
      <c r="AX520" s="26" t="s">
        <v>86</v>
      </c>
      <c r="AY520" s="26"/>
      <c r="AZ520" s="308"/>
      <c r="BA520" s="308">
        <v>43763</v>
      </c>
      <c r="BB520" s="26"/>
      <c r="BC520" s="26"/>
      <c r="BD520" s="25" t="s">
        <v>88</v>
      </c>
      <c r="BE520" s="297"/>
      <c r="BF520" s="298">
        <f t="shared" si="58"/>
        <v>0</v>
      </c>
      <c r="BG520" s="297" t="str">
        <f>VLOOKUP(B520,[1]Sheet2!$B:$X,23,0)</f>
        <v>李天慈</v>
      </c>
    </row>
    <row r="521" spans="1:59" s="28" customFormat="1" ht="33" customHeight="1">
      <c r="A521" s="25" t="s">
        <v>2551</v>
      </c>
      <c r="B521" s="26" t="s">
        <v>2552</v>
      </c>
      <c r="C521" s="26" t="s">
        <v>2553</v>
      </c>
      <c r="D521" s="26" t="s">
        <v>2550</v>
      </c>
      <c r="E521" s="26" t="s">
        <v>83</v>
      </c>
      <c r="F521" s="26" t="s">
        <v>2104</v>
      </c>
      <c r="G521" s="26" t="s">
        <v>2104</v>
      </c>
      <c r="H521" s="218"/>
      <c r="I521" s="26" t="s">
        <v>2060</v>
      </c>
      <c r="J521" s="26"/>
      <c r="K521" s="61">
        <v>43752</v>
      </c>
      <c r="L521" s="26"/>
      <c r="M521" s="26">
        <f t="shared" ref="M521:M528" si="59">SUM(N521,W521)</f>
        <v>17700</v>
      </c>
      <c r="N521" s="26">
        <f t="shared" ref="N521:N528" si="60">SUM(O521:V521)</f>
        <v>17700</v>
      </c>
      <c r="O521" s="26"/>
      <c r="P521" s="26"/>
      <c r="Q521" s="26">
        <v>700</v>
      </c>
      <c r="R521" s="26"/>
      <c r="S521" s="26"/>
      <c r="T521" s="26">
        <v>10000</v>
      </c>
      <c r="U521" s="26">
        <v>7000</v>
      </c>
      <c r="V521" s="26"/>
      <c r="W521" s="26"/>
      <c r="X521" s="26"/>
      <c r="Y521" s="26"/>
      <c r="Z521" s="26"/>
      <c r="AA521" s="364">
        <v>0.15</v>
      </c>
      <c r="AB521" s="26"/>
      <c r="AC521" s="26"/>
      <c r="AD521" s="26">
        <v>698.34</v>
      </c>
      <c r="AE521" s="26"/>
      <c r="AF521" s="26"/>
      <c r="AG521" s="26">
        <v>8927.1</v>
      </c>
      <c r="AH521" s="26">
        <v>5406</v>
      </c>
      <c r="AI521" s="26"/>
      <c r="AJ521" s="26"/>
      <c r="AK521" s="26"/>
      <c r="AL521" s="26"/>
      <c r="AM521" s="26"/>
      <c r="AN521" s="26">
        <f t="shared" ref="AN521:AN530" si="61">SUM(AB521:AL521)</f>
        <v>15031.44</v>
      </c>
      <c r="AO521" s="26" t="s">
        <v>1258</v>
      </c>
      <c r="AP521" s="26"/>
      <c r="AQ521" s="26"/>
      <c r="AR521" s="61">
        <v>43753</v>
      </c>
      <c r="AS521" s="26"/>
      <c r="AT521" s="308">
        <v>43763</v>
      </c>
      <c r="AU521" s="26"/>
      <c r="AV521" s="26" t="s">
        <v>66</v>
      </c>
      <c r="AW521" s="26"/>
      <c r="AX521" s="26" t="s">
        <v>86</v>
      </c>
      <c r="AY521" s="26"/>
      <c r="AZ521" s="308">
        <v>43765</v>
      </c>
      <c r="BA521" s="308">
        <v>43763</v>
      </c>
      <c r="BB521" s="26"/>
      <c r="BC521" s="26"/>
      <c r="BD521" s="25" t="s">
        <v>88</v>
      </c>
      <c r="BE521" s="297"/>
      <c r="BF521" s="298">
        <f t="shared" si="58"/>
        <v>0</v>
      </c>
      <c r="BG521" s="297" t="str">
        <f>VLOOKUP(B521,[1]Sheet2!$B:$X,23,0)</f>
        <v>李天慈</v>
      </c>
    </row>
    <row r="522" spans="1:59" s="28" customFormat="1" ht="33" customHeight="1">
      <c r="A522" s="25" t="s">
        <v>2554</v>
      </c>
      <c r="B522" s="26" t="s">
        <v>2555</v>
      </c>
      <c r="C522" s="26" t="s">
        <v>2556</v>
      </c>
      <c r="D522" s="26" t="s">
        <v>2550</v>
      </c>
      <c r="E522" s="26" t="s">
        <v>83</v>
      </c>
      <c r="F522" s="26" t="s">
        <v>2104</v>
      </c>
      <c r="G522" s="26" t="s">
        <v>2104</v>
      </c>
      <c r="H522" s="218"/>
      <c r="I522" s="26" t="s">
        <v>2060</v>
      </c>
      <c r="J522" s="26"/>
      <c r="K522" s="61">
        <v>43752</v>
      </c>
      <c r="L522" s="26"/>
      <c r="M522" s="26">
        <f t="shared" si="59"/>
        <v>17700</v>
      </c>
      <c r="N522" s="26">
        <f t="shared" si="60"/>
        <v>17700</v>
      </c>
      <c r="O522" s="26"/>
      <c r="P522" s="26"/>
      <c r="Q522" s="26">
        <v>700</v>
      </c>
      <c r="R522" s="26"/>
      <c r="S522" s="26"/>
      <c r="T522" s="26">
        <v>10000</v>
      </c>
      <c r="U522" s="26">
        <v>7000</v>
      </c>
      <c r="V522" s="26"/>
      <c r="W522" s="26"/>
      <c r="X522" s="26"/>
      <c r="Y522" s="26"/>
      <c r="Z522" s="26"/>
      <c r="AA522" s="364">
        <v>0.15</v>
      </c>
      <c r="AB522" s="26"/>
      <c r="AC522" s="26"/>
      <c r="AD522" s="26">
        <v>698.34</v>
      </c>
      <c r="AE522" s="26"/>
      <c r="AF522" s="26"/>
      <c r="AG522" s="26">
        <v>8927.1</v>
      </c>
      <c r="AH522" s="26">
        <v>5406</v>
      </c>
      <c r="AI522" s="26"/>
      <c r="AJ522" s="26"/>
      <c r="AK522" s="26"/>
      <c r="AL522" s="26"/>
      <c r="AM522" s="26"/>
      <c r="AN522" s="26">
        <f t="shared" si="61"/>
        <v>15031.44</v>
      </c>
      <c r="AO522" s="26" t="s">
        <v>1258</v>
      </c>
      <c r="AP522" s="26"/>
      <c r="AQ522" s="26"/>
      <c r="AR522" s="61">
        <v>43753</v>
      </c>
      <c r="AS522" s="26"/>
      <c r="AT522" s="308">
        <v>43763</v>
      </c>
      <c r="AU522" s="26"/>
      <c r="AV522" s="26" t="s">
        <v>66</v>
      </c>
      <c r="AW522" s="26"/>
      <c r="AX522" s="26" t="s">
        <v>86</v>
      </c>
      <c r="AY522" s="26"/>
      <c r="AZ522" s="308">
        <v>43765</v>
      </c>
      <c r="BA522" s="308">
        <v>43763</v>
      </c>
      <c r="BB522" s="26"/>
      <c r="BC522" s="26"/>
      <c r="BD522" s="25" t="s">
        <v>88</v>
      </c>
      <c r="BE522" s="297"/>
      <c r="BF522" s="298">
        <f t="shared" si="58"/>
        <v>0</v>
      </c>
      <c r="BG522" s="297" t="str">
        <f>VLOOKUP(B522,[1]Sheet2!$B:$X,23,0)</f>
        <v>李天慈</v>
      </c>
    </row>
    <row r="523" spans="1:59" s="28" customFormat="1" ht="33" customHeight="1">
      <c r="A523" s="25" t="s">
        <v>2557</v>
      </c>
      <c r="B523" s="26" t="s">
        <v>2558</v>
      </c>
      <c r="C523" s="26" t="s">
        <v>2559</v>
      </c>
      <c r="D523" s="26" t="s">
        <v>2550</v>
      </c>
      <c r="E523" s="26" t="s">
        <v>83</v>
      </c>
      <c r="F523" s="26" t="s">
        <v>2104</v>
      </c>
      <c r="G523" s="26" t="s">
        <v>2104</v>
      </c>
      <c r="H523" s="218"/>
      <c r="I523" s="26" t="s">
        <v>2060</v>
      </c>
      <c r="J523" s="26"/>
      <c r="K523" s="61">
        <v>43752</v>
      </c>
      <c r="L523" s="26"/>
      <c r="M523" s="26">
        <f t="shared" si="59"/>
        <v>17700</v>
      </c>
      <c r="N523" s="26">
        <f t="shared" si="60"/>
        <v>17700</v>
      </c>
      <c r="O523" s="26"/>
      <c r="P523" s="26"/>
      <c r="Q523" s="26">
        <v>700</v>
      </c>
      <c r="R523" s="26"/>
      <c r="S523" s="26"/>
      <c r="T523" s="26">
        <v>10000</v>
      </c>
      <c r="U523" s="26">
        <v>7000</v>
      </c>
      <c r="V523" s="26"/>
      <c r="W523" s="26"/>
      <c r="X523" s="26"/>
      <c r="Y523" s="26"/>
      <c r="Z523" s="26"/>
      <c r="AA523" s="364">
        <v>0.15</v>
      </c>
      <c r="AB523" s="26"/>
      <c r="AC523" s="26"/>
      <c r="AD523" s="26">
        <v>698.34</v>
      </c>
      <c r="AE523" s="26"/>
      <c r="AF523" s="26"/>
      <c r="AG523" s="26">
        <v>8927.1</v>
      </c>
      <c r="AH523" s="26">
        <v>5406</v>
      </c>
      <c r="AI523" s="26"/>
      <c r="AJ523" s="26"/>
      <c r="AK523" s="26"/>
      <c r="AL523" s="26"/>
      <c r="AM523" s="26"/>
      <c r="AN523" s="26">
        <f t="shared" si="61"/>
        <v>15031.44</v>
      </c>
      <c r="AO523" s="26" t="s">
        <v>1258</v>
      </c>
      <c r="AP523" s="26"/>
      <c r="AQ523" s="26"/>
      <c r="AR523" s="61">
        <v>43753</v>
      </c>
      <c r="AS523" s="26"/>
      <c r="AT523" s="308">
        <v>43764</v>
      </c>
      <c r="AU523" s="26"/>
      <c r="AV523" s="26" t="s">
        <v>66</v>
      </c>
      <c r="AW523" s="26"/>
      <c r="AX523" s="26" t="s">
        <v>86</v>
      </c>
      <c r="AY523" s="26"/>
      <c r="AZ523" s="308">
        <v>43765</v>
      </c>
      <c r="BA523" s="308">
        <v>43763</v>
      </c>
      <c r="BB523" s="26"/>
      <c r="BC523" s="26"/>
      <c r="BD523" s="25" t="s">
        <v>88</v>
      </c>
      <c r="BE523" s="297"/>
      <c r="BF523" s="298">
        <f t="shared" si="58"/>
        <v>0</v>
      </c>
      <c r="BG523" s="297" t="str">
        <f>VLOOKUP(B523,[1]Sheet2!$B:$X,23,0)</f>
        <v>李天慈</v>
      </c>
    </row>
    <row r="524" spans="1:59" s="28" customFormat="1" ht="33" customHeight="1">
      <c r="A524" s="25" t="s">
        <v>2560</v>
      </c>
      <c r="B524" s="26" t="s">
        <v>2561</v>
      </c>
      <c r="C524" s="26" t="s">
        <v>2562</v>
      </c>
      <c r="D524" s="26" t="s">
        <v>2550</v>
      </c>
      <c r="E524" s="26" t="s">
        <v>83</v>
      </c>
      <c r="F524" s="26" t="s">
        <v>2104</v>
      </c>
      <c r="G524" s="26" t="s">
        <v>2104</v>
      </c>
      <c r="H524" s="218"/>
      <c r="I524" s="26" t="s">
        <v>2060</v>
      </c>
      <c r="J524" s="26"/>
      <c r="K524" s="61">
        <v>43752</v>
      </c>
      <c r="L524" s="26"/>
      <c r="M524" s="26">
        <f t="shared" si="59"/>
        <v>17700</v>
      </c>
      <c r="N524" s="26">
        <f t="shared" si="60"/>
        <v>17700</v>
      </c>
      <c r="O524" s="26"/>
      <c r="P524" s="26"/>
      <c r="Q524" s="26">
        <v>700</v>
      </c>
      <c r="R524" s="26"/>
      <c r="S524" s="26"/>
      <c r="T524" s="26">
        <v>10000</v>
      </c>
      <c r="U524" s="26">
        <v>7000</v>
      </c>
      <c r="V524" s="26"/>
      <c r="W524" s="26"/>
      <c r="X524" s="26"/>
      <c r="Y524" s="26"/>
      <c r="Z524" s="26"/>
      <c r="AA524" s="364">
        <v>0.15</v>
      </c>
      <c r="AB524" s="26"/>
      <c r="AC524" s="26"/>
      <c r="AD524" s="26">
        <v>698.34</v>
      </c>
      <c r="AE524" s="26"/>
      <c r="AF524" s="26"/>
      <c r="AG524" s="26">
        <v>8927.1</v>
      </c>
      <c r="AH524" s="26">
        <v>5406</v>
      </c>
      <c r="AI524" s="26"/>
      <c r="AJ524" s="26"/>
      <c r="AK524" s="26"/>
      <c r="AL524" s="26"/>
      <c r="AM524" s="26"/>
      <c r="AN524" s="26">
        <f t="shared" si="61"/>
        <v>15031.44</v>
      </c>
      <c r="AO524" s="26" t="s">
        <v>1258</v>
      </c>
      <c r="AP524" s="26"/>
      <c r="AQ524" s="26"/>
      <c r="AR524" s="61">
        <v>43753</v>
      </c>
      <c r="AS524" s="26"/>
      <c r="AT524" s="308">
        <v>43764</v>
      </c>
      <c r="AU524" s="26"/>
      <c r="AV524" s="26" t="s">
        <v>66</v>
      </c>
      <c r="AW524" s="26"/>
      <c r="AX524" s="26" t="s">
        <v>86</v>
      </c>
      <c r="AY524" s="26"/>
      <c r="AZ524" s="308">
        <v>43765</v>
      </c>
      <c r="BA524" s="308">
        <v>43763</v>
      </c>
      <c r="BB524" s="26"/>
      <c r="BC524" s="26"/>
      <c r="BD524" s="25" t="s">
        <v>88</v>
      </c>
      <c r="BE524" s="297"/>
      <c r="BF524" s="298">
        <f t="shared" si="58"/>
        <v>0</v>
      </c>
      <c r="BG524" s="297" t="str">
        <f>VLOOKUP(B524,[1]Sheet2!$B:$X,23,0)</f>
        <v>李天慈</v>
      </c>
    </row>
    <row r="525" spans="1:59" s="28" customFormat="1" ht="33" customHeight="1">
      <c r="A525" s="25" t="s">
        <v>2563</v>
      </c>
      <c r="B525" s="26" t="s">
        <v>2564</v>
      </c>
      <c r="C525" s="26" t="s">
        <v>2565</v>
      </c>
      <c r="D525" s="26" t="s">
        <v>2550</v>
      </c>
      <c r="E525" s="26" t="s">
        <v>83</v>
      </c>
      <c r="F525" s="26" t="s">
        <v>2104</v>
      </c>
      <c r="G525" s="26" t="s">
        <v>2104</v>
      </c>
      <c r="H525" s="218"/>
      <c r="I525" s="26" t="s">
        <v>2060</v>
      </c>
      <c r="J525" s="26"/>
      <c r="K525" s="61">
        <v>43752</v>
      </c>
      <c r="L525" s="26"/>
      <c r="M525" s="26">
        <f t="shared" si="59"/>
        <v>17700</v>
      </c>
      <c r="N525" s="26">
        <f t="shared" si="60"/>
        <v>17700</v>
      </c>
      <c r="O525" s="26"/>
      <c r="P525" s="26"/>
      <c r="Q525" s="26">
        <v>700</v>
      </c>
      <c r="R525" s="26"/>
      <c r="S525" s="26"/>
      <c r="T525" s="26">
        <v>10000</v>
      </c>
      <c r="U525" s="26">
        <v>7000</v>
      </c>
      <c r="V525" s="26"/>
      <c r="W525" s="26"/>
      <c r="X525" s="26"/>
      <c r="Y525" s="26"/>
      <c r="Z525" s="26"/>
      <c r="AA525" s="364">
        <v>0.15</v>
      </c>
      <c r="AB525" s="26"/>
      <c r="AC525" s="26"/>
      <c r="AD525" s="26">
        <v>698.34</v>
      </c>
      <c r="AE525" s="26"/>
      <c r="AF525" s="26"/>
      <c r="AG525" s="26">
        <v>8927.1</v>
      </c>
      <c r="AH525" s="26">
        <v>5406</v>
      </c>
      <c r="AI525" s="26"/>
      <c r="AJ525" s="26"/>
      <c r="AK525" s="26"/>
      <c r="AL525" s="26"/>
      <c r="AM525" s="26"/>
      <c r="AN525" s="26">
        <f t="shared" si="61"/>
        <v>15031.44</v>
      </c>
      <c r="AO525" s="26" t="s">
        <v>1258</v>
      </c>
      <c r="AP525" s="26"/>
      <c r="AQ525" s="26"/>
      <c r="AR525" s="61">
        <v>43753</v>
      </c>
      <c r="AS525" s="26"/>
      <c r="AT525" s="308">
        <v>43764</v>
      </c>
      <c r="AU525" s="26"/>
      <c r="AV525" s="26" t="s">
        <v>66</v>
      </c>
      <c r="AW525" s="26"/>
      <c r="AX525" s="26" t="s">
        <v>86</v>
      </c>
      <c r="AY525" s="26"/>
      <c r="AZ525" s="308">
        <v>43765</v>
      </c>
      <c r="BA525" s="308">
        <v>43763</v>
      </c>
      <c r="BB525" s="26"/>
      <c r="BC525" s="26"/>
      <c r="BD525" s="25" t="s">
        <v>88</v>
      </c>
      <c r="BE525" s="297"/>
      <c r="BF525" s="298">
        <f t="shared" si="58"/>
        <v>0</v>
      </c>
      <c r="BG525" s="297" t="str">
        <f>VLOOKUP(B525,[1]Sheet2!$B:$X,23,0)</f>
        <v>李天慈</v>
      </c>
    </row>
    <row r="526" spans="1:59" s="28" customFormat="1" ht="33" customHeight="1">
      <c r="A526" s="26" t="s">
        <v>2566</v>
      </c>
      <c r="B526" s="26" t="s">
        <v>2567</v>
      </c>
      <c r="C526" s="26" t="s">
        <v>2568</v>
      </c>
      <c r="D526" s="26" t="s">
        <v>2550</v>
      </c>
      <c r="E526" s="26" t="s">
        <v>83</v>
      </c>
      <c r="F526" s="26" t="s">
        <v>2104</v>
      </c>
      <c r="G526" s="26" t="s">
        <v>2104</v>
      </c>
      <c r="H526" s="218"/>
      <c r="I526" s="26" t="s">
        <v>2060</v>
      </c>
      <c r="J526" s="26"/>
      <c r="K526" s="61">
        <v>43752</v>
      </c>
      <c r="L526" s="26"/>
      <c r="M526" s="26">
        <f t="shared" si="59"/>
        <v>17700</v>
      </c>
      <c r="N526" s="26">
        <f t="shared" si="60"/>
        <v>17700</v>
      </c>
      <c r="O526" s="26"/>
      <c r="P526" s="26"/>
      <c r="Q526" s="26">
        <v>700</v>
      </c>
      <c r="R526" s="26"/>
      <c r="S526" s="26"/>
      <c r="T526" s="26">
        <v>10000</v>
      </c>
      <c r="U526" s="26">
        <v>7000</v>
      </c>
      <c r="V526" s="26"/>
      <c r="W526" s="26"/>
      <c r="X526" s="26"/>
      <c r="Y526" s="26"/>
      <c r="Z526" s="26"/>
      <c r="AA526" s="364">
        <v>0.15</v>
      </c>
      <c r="AB526" s="26"/>
      <c r="AC526" s="26"/>
      <c r="AD526" s="26">
        <v>698.34</v>
      </c>
      <c r="AE526" s="26"/>
      <c r="AF526" s="26"/>
      <c r="AG526" s="26">
        <v>8927.1</v>
      </c>
      <c r="AH526" s="26">
        <v>5406</v>
      </c>
      <c r="AI526" s="26"/>
      <c r="AJ526" s="26"/>
      <c r="AK526" s="26"/>
      <c r="AL526" s="26"/>
      <c r="AM526" s="26"/>
      <c r="AN526" s="26">
        <f t="shared" si="61"/>
        <v>15031.44</v>
      </c>
      <c r="AO526" s="26" t="s">
        <v>1258</v>
      </c>
      <c r="AP526" s="26"/>
      <c r="AQ526" s="26"/>
      <c r="AR526" s="61">
        <v>43753</v>
      </c>
      <c r="AS526" s="26"/>
      <c r="AT526" s="308">
        <v>43763</v>
      </c>
      <c r="AU526" s="26"/>
      <c r="AV526" s="26" t="s">
        <v>66</v>
      </c>
      <c r="AW526" s="26"/>
      <c r="AX526" s="26" t="s">
        <v>86</v>
      </c>
      <c r="AY526" s="26"/>
      <c r="AZ526" s="308">
        <v>43765</v>
      </c>
      <c r="BA526" s="308">
        <v>43763</v>
      </c>
      <c r="BB526" s="26"/>
      <c r="BC526" s="26"/>
      <c r="BD526" s="25" t="s">
        <v>88</v>
      </c>
      <c r="BE526" s="297"/>
      <c r="BF526" s="298">
        <f t="shared" si="58"/>
        <v>0</v>
      </c>
      <c r="BG526" s="297" t="str">
        <f>VLOOKUP(B526,[1]Sheet2!$B:$X,23,0)</f>
        <v>李天慈</v>
      </c>
    </row>
    <row r="527" spans="1:59" s="28" customFormat="1" ht="33" customHeight="1">
      <c r="A527" s="26" t="s">
        <v>2569</v>
      </c>
      <c r="B527" s="26" t="s">
        <v>2570</v>
      </c>
      <c r="C527" s="26" t="s">
        <v>2571</v>
      </c>
      <c r="D527" s="26" t="s">
        <v>2550</v>
      </c>
      <c r="E527" s="26" t="s">
        <v>83</v>
      </c>
      <c r="F527" s="26" t="s">
        <v>2104</v>
      </c>
      <c r="G527" s="26" t="s">
        <v>2104</v>
      </c>
      <c r="H527" s="218"/>
      <c r="I527" s="26" t="s">
        <v>2060</v>
      </c>
      <c r="J527" s="26"/>
      <c r="K527" s="61">
        <v>43752</v>
      </c>
      <c r="L527" s="26"/>
      <c r="M527" s="26">
        <f t="shared" si="59"/>
        <v>17700</v>
      </c>
      <c r="N527" s="26">
        <f t="shared" si="60"/>
        <v>17700</v>
      </c>
      <c r="O527" s="26"/>
      <c r="P527" s="26"/>
      <c r="Q527" s="26">
        <v>700</v>
      </c>
      <c r="R527" s="26"/>
      <c r="S527" s="26"/>
      <c r="T527" s="26">
        <v>10000</v>
      </c>
      <c r="U527" s="26">
        <v>7000</v>
      </c>
      <c r="V527" s="26"/>
      <c r="W527" s="26"/>
      <c r="X527" s="26"/>
      <c r="Y527" s="26"/>
      <c r="Z527" s="26"/>
      <c r="AA527" s="364">
        <v>0.15</v>
      </c>
      <c r="AB527" s="26"/>
      <c r="AC527" s="26"/>
      <c r="AD527" s="26">
        <v>698.34</v>
      </c>
      <c r="AE527" s="26"/>
      <c r="AF527" s="26"/>
      <c r="AG527" s="26">
        <v>8927.1</v>
      </c>
      <c r="AH527" s="26">
        <v>5406</v>
      </c>
      <c r="AI527" s="26"/>
      <c r="AJ527" s="26"/>
      <c r="AK527" s="26"/>
      <c r="AL527" s="26"/>
      <c r="AM527" s="26"/>
      <c r="AN527" s="26">
        <f t="shared" si="61"/>
        <v>15031.44</v>
      </c>
      <c r="AO527" s="26" t="s">
        <v>1258</v>
      </c>
      <c r="AP527" s="26"/>
      <c r="AQ527" s="26"/>
      <c r="AR527" s="61">
        <v>43753</v>
      </c>
      <c r="AS527" s="26"/>
      <c r="AT527" s="308">
        <v>43764</v>
      </c>
      <c r="AU527" s="26"/>
      <c r="AV527" s="26" t="s">
        <v>66</v>
      </c>
      <c r="AW527" s="26"/>
      <c r="AX527" s="26" t="s">
        <v>86</v>
      </c>
      <c r="AY527" s="26"/>
      <c r="AZ527" s="308">
        <v>43765</v>
      </c>
      <c r="BA527" s="308">
        <v>43763</v>
      </c>
      <c r="BB527" s="26"/>
      <c r="BC527" s="26"/>
      <c r="BD527" s="25" t="s">
        <v>88</v>
      </c>
      <c r="BE527" s="297"/>
      <c r="BF527" s="298">
        <f t="shared" si="58"/>
        <v>0</v>
      </c>
      <c r="BG527" s="297" t="str">
        <f>VLOOKUP(B527,[1]Sheet2!$B:$X,23,0)</f>
        <v>李天慈</v>
      </c>
    </row>
    <row r="528" spans="1:59" s="28" customFormat="1" ht="33" customHeight="1">
      <c r="A528" s="26" t="s">
        <v>2572</v>
      </c>
      <c r="B528" s="26" t="s">
        <v>2573</v>
      </c>
      <c r="C528" s="26" t="s">
        <v>2574</v>
      </c>
      <c r="D528" s="26" t="s">
        <v>2550</v>
      </c>
      <c r="E528" s="26" t="s">
        <v>83</v>
      </c>
      <c r="F528" s="26" t="s">
        <v>2104</v>
      </c>
      <c r="G528" s="26" t="s">
        <v>2104</v>
      </c>
      <c r="H528" s="218"/>
      <c r="I528" s="26" t="s">
        <v>2060</v>
      </c>
      <c r="J528" s="26"/>
      <c r="K528" s="61">
        <v>43752</v>
      </c>
      <c r="L528" s="26"/>
      <c r="M528" s="26">
        <f t="shared" si="59"/>
        <v>17700</v>
      </c>
      <c r="N528" s="26">
        <f t="shared" si="60"/>
        <v>17700</v>
      </c>
      <c r="O528" s="26"/>
      <c r="P528" s="26"/>
      <c r="Q528" s="26">
        <v>700</v>
      </c>
      <c r="R528" s="26"/>
      <c r="S528" s="26"/>
      <c r="T528" s="26">
        <v>10000</v>
      </c>
      <c r="U528" s="26">
        <v>7000</v>
      </c>
      <c r="V528" s="26"/>
      <c r="W528" s="26"/>
      <c r="X528" s="26"/>
      <c r="Y528" s="26"/>
      <c r="Z528" s="26"/>
      <c r="AA528" s="364">
        <v>0.15</v>
      </c>
      <c r="AB528" s="26"/>
      <c r="AC528" s="26"/>
      <c r="AD528" s="26">
        <v>698.34</v>
      </c>
      <c r="AE528" s="26"/>
      <c r="AF528" s="26"/>
      <c r="AG528" s="26">
        <v>8927.1</v>
      </c>
      <c r="AH528" s="26">
        <v>5406</v>
      </c>
      <c r="AI528" s="26"/>
      <c r="AJ528" s="26"/>
      <c r="AK528" s="26"/>
      <c r="AL528" s="26"/>
      <c r="AM528" s="26"/>
      <c r="AN528" s="26">
        <f t="shared" si="61"/>
        <v>15031.44</v>
      </c>
      <c r="AO528" s="26" t="s">
        <v>1258</v>
      </c>
      <c r="AP528" s="26"/>
      <c r="AQ528" s="26"/>
      <c r="AR528" s="61">
        <v>43753</v>
      </c>
      <c r="AS528" s="26"/>
      <c r="AT528" s="308">
        <v>43763</v>
      </c>
      <c r="AU528" s="26"/>
      <c r="AV528" s="26" t="s">
        <v>66</v>
      </c>
      <c r="AW528" s="26"/>
      <c r="AX528" s="26" t="s">
        <v>86</v>
      </c>
      <c r="AY528" s="26"/>
      <c r="AZ528" s="308">
        <v>43765</v>
      </c>
      <c r="BA528" s="308">
        <v>43763</v>
      </c>
      <c r="BB528" s="26"/>
      <c r="BC528" s="26"/>
      <c r="BD528" s="25" t="s">
        <v>88</v>
      </c>
      <c r="BE528" s="297"/>
      <c r="BF528" s="298">
        <f t="shared" si="58"/>
        <v>0</v>
      </c>
      <c r="BG528" s="297" t="str">
        <f>VLOOKUP(B528,[1]Sheet2!$B:$X,23,0)</f>
        <v>李天慈</v>
      </c>
    </row>
    <row r="529" spans="1:59" s="28" customFormat="1" ht="33" customHeight="1">
      <c r="A529" s="26" t="s">
        <v>2575</v>
      </c>
      <c r="B529" s="26" t="s">
        <v>2576</v>
      </c>
      <c r="C529" s="26" t="s">
        <v>2577</v>
      </c>
      <c r="D529" s="26" t="s">
        <v>2550</v>
      </c>
      <c r="E529" s="26" t="s">
        <v>83</v>
      </c>
      <c r="F529" s="26" t="s">
        <v>2104</v>
      </c>
      <c r="G529" s="26" t="s">
        <v>2104</v>
      </c>
      <c r="H529" s="218"/>
      <c r="I529" s="26" t="s">
        <v>2060</v>
      </c>
      <c r="J529" s="26"/>
      <c r="K529" s="61">
        <v>43752</v>
      </c>
      <c r="L529" s="26"/>
      <c r="M529" s="26">
        <f t="shared" ref="M529:M540" si="62">SUM(N529,W529)</f>
        <v>11900</v>
      </c>
      <c r="N529" s="26">
        <f t="shared" ref="N529:N540" si="63">SUM(O529:V529)</f>
        <v>11900</v>
      </c>
      <c r="O529" s="26"/>
      <c r="P529" s="26"/>
      <c r="Q529" s="26"/>
      <c r="R529" s="26"/>
      <c r="S529" s="26"/>
      <c r="T529" s="26">
        <v>7500</v>
      </c>
      <c r="U529" s="26">
        <v>4400</v>
      </c>
      <c r="V529" s="26"/>
      <c r="W529" s="26"/>
      <c r="X529" s="26"/>
      <c r="Y529" s="26"/>
      <c r="Z529" s="26"/>
      <c r="AA529" s="364">
        <v>0.15</v>
      </c>
      <c r="AB529" s="26"/>
      <c r="AC529" s="26"/>
      <c r="AD529" s="26"/>
      <c r="AE529" s="26"/>
      <c r="AF529" s="26"/>
      <c r="AG529" s="26">
        <v>6375</v>
      </c>
      <c r="AH529" s="26">
        <v>3740</v>
      </c>
      <c r="AI529" s="26"/>
      <c r="AJ529" s="26"/>
      <c r="AK529" s="26"/>
      <c r="AL529" s="26"/>
      <c r="AM529" s="26"/>
      <c r="AN529" s="26">
        <f t="shared" si="61"/>
        <v>10115</v>
      </c>
      <c r="AO529" s="26" t="s">
        <v>1258</v>
      </c>
      <c r="AP529" s="26"/>
      <c r="AQ529" s="26"/>
      <c r="AR529" s="61">
        <v>43753</v>
      </c>
      <c r="AS529" s="26"/>
      <c r="AT529" s="308">
        <v>43764</v>
      </c>
      <c r="AU529" s="26"/>
      <c r="AV529" s="26" t="s">
        <v>66</v>
      </c>
      <c r="AW529" s="26"/>
      <c r="AX529" s="26" t="s">
        <v>86</v>
      </c>
      <c r="AY529" s="26"/>
      <c r="AZ529" s="308">
        <v>43765</v>
      </c>
      <c r="BA529" s="308">
        <v>43763</v>
      </c>
      <c r="BB529" s="26"/>
      <c r="BC529" s="26"/>
      <c r="BD529" s="25" t="s">
        <v>88</v>
      </c>
      <c r="BE529" s="297"/>
      <c r="BF529" s="298">
        <f t="shared" si="58"/>
        <v>0</v>
      </c>
      <c r="BG529" s="297" t="str">
        <f>VLOOKUP(B529,[1]Sheet2!$B:$X,23,0)</f>
        <v>李天慈</v>
      </c>
    </row>
    <row r="530" spans="1:59" s="28" customFormat="1" ht="33" customHeight="1">
      <c r="A530" s="26" t="s">
        <v>2578</v>
      </c>
      <c r="B530" s="26" t="s">
        <v>2579</v>
      </c>
      <c r="C530" s="26" t="s">
        <v>2580</v>
      </c>
      <c r="D530" s="26" t="s">
        <v>2581</v>
      </c>
      <c r="E530" s="26" t="s">
        <v>83</v>
      </c>
      <c r="F530" s="26" t="s">
        <v>2104</v>
      </c>
      <c r="G530" s="26" t="s">
        <v>2104</v>
      </c>
      <c r="H530" s="218"/>
      <c r="I530" s="26" t="s">
        <v>2060</v>
      </c>
      <c r="J530" s="26"/>
      <c r="K530" s="61">
        <v>43752</v>
      </c>
      <c r="L530" s="26"/>
      <c r="M530" s="26">
        <f t="shared" si="62"/>
        <v>5500</v>
      </c>
      <c r="N530" s="26">
        <f t="shared" si="63"/>
        <v>5500</v>
      </c>
      <c r="O530" s="26"/>
      <c r="P530" s="26"/>
      <c r="Q530" s="26"/>
      <c r="R530" s="26"/>
      <c r="S530" s="26"/>
      <c r="T530" s="26">
        <v>5500</v>
      </c>
      <c r="U530" s="26"/>
      <c r="V530" s="26"/>
      <c r="W530" s="26"/>
      <c r="X530" s="26"/>
      <c r="Y530" s="26"/>
      <c r="Z530" s="26"/>
      <c r="AA530" s="364">
        <v>0.15</v>
      </c>
      <c r="AB530" s="26"/>
      <c r="AC530" s="26"/>
      <c r="AD530" s="26"/>
      <c r="AE530" s="26"/>
      <c r="AF530" s="26"/>
      <c r="AG530" s="26">
        <v>4670</v>
      </c>
      <c r="AH530" s="26"/>
      <c r="AI530" s="26"/>
      <c r="AJ530" s="26"/>
      <c r="AK530" s="26"/>
      <c r="AL530" s="26"/>
      <c r="AM530" s="26"/>
      <c r="AN530" s="26">
        <f t="shared" si="61"/>
        <v>4670</v>
      </c>
      <c r="AO530" s="26" t="s">
        <v>1258</v>
      </c>
      <c r="AP530" s="26"/>
      <c r="AQ530" s="26"/>
      <c r="AR530" s="61">
        <v>43753</v>
      </c>
      <c r="AS530" s="26"/>
      <c r="AT530" s="308">
        <v>43767</v>
      </c>
      <c r="AU530" s="26"/>
      <c r="AV530" s="26" t="s">
        <v>66</v>
      </c>
      <c r="AW530" s="26"/>
      <c r="AX530" s="26" t="s">
        <v>86</v>
      </c>
      <c r="AY530" s="26"/>
      <c r="AZ530" s="308">
        <v>43767</v>
      </c>
      <c r="BA530" s="308">
        <v>43763</v>
      </c>
      <c r="BB530" s="26"/>
      <c r="BC530" s="26"/>
      <c r="BD530" s="25" t="s">
        <v>88</v>
      </c>
      <c r="BE530" s="297"/>
      <c r="BF530" s="298">
        <f t="shared" si="58"/>
        <v>0</v>
      </c>
      <c r="BG530" s="297" t="str">
        <f>VLOOKUP(B530,[1]Sheet2!$B:$X,23,0)</f>
        <v>李天慈</v>
      </c>
    </row>
    <row r="531" spans="1:59" s="28" customFormat="1" ht="33" customHeight="1">
      <c r="A531" s="26" t="s">
        <v>2582</v>
      </c>
      <c r="B531" s="26" t="s">
        <v>2583</v>
      </c>
      <c r="C531" s="26" t="s">
        <v>2584</v>
      </c>
      <c r="D531" s="26" t="s">
        <v>2581</v>
      </c>
      <c r="E531" s="26" t="s">
        <v>83</v>
      </c>
      <c r="F531" s="26" t="s">
        <v>2104</v>
      </c>
      <c r="G531" s="26" t="s">
        <v>2104</v>
      </c>
      <c r="H531" s="218"/>
      <c r="I531" s="26" t="s">
        <v>2060</v>
      </c>
      <c r="J531" s="26"/>
      <c r="K531" s="61">
        <v>43752</v>
      </c>
      <c r="L531" s="26"/>
      <c r="M531" s="26">
        <f t="shared" ref="M531:M536" si="64">SUM(N531,W531)</f>
        <v>5500</v>
      </c>
      <c r="N531" s="26">
        <f t="shared" ref="N531:N536" si="65">SUM(O531:V531)</f>
        <v>5500</v>
      </c>
      <c r="O531" s="26"/>
      <c r="P531" s="26"/>
      <c r="Q531" s="26"/>
      <c r="R531" s="26"/>
      <c r="S531" s="26"/>
      <c r="T531" s="26">
        <v>5500</v>
      </c>
      <c r="U531" s="26"/>
      <c r="V531" s="26"/>
      <c r="W531" s="26"/>
      <c r="X531" s="26"/>
      <c r="Y531" s="26"/>
      <c r="Z531" s="26"/>
      <c r="AA531" s="364">
        <v>0.15</v>
      </c>
      <c r="AB531" s="26"/>
      <c r="AC531" s="26"/>
      <c r="AD531" s="26"/>
      <c r="AE531" s="26"/>
      <c r="AF531" s="26"/>
      <c r="AG531" s="26">
        <v>4670</v>
      </c>
      <c r="AH531" s="26"/>
      <c r="AI531" s="26"/>
      <c r="AJ531" s="26"/>
      <c r="AK531" s="26"/>
      <c r="AL531" s="26"/>
      <c r="AM531" s="26"/>
      <c r="AN531" s="26">
        <f t="shared" ref="AN531:AN551" si="66">SUM(AB531:AL531)</f>
        <v>4670</v>
      </c>
      <c r="AO531" s="26" t="s">
        <v>1258</v>
      </c>
      <c r="AP531" s="26"/>
      <c r="AQ531" s="26"/>
      <c r="AR531" s="61">
        <v>43753</v>
      </c>
      <c r="AS531" s="26"/>
      <c r="AT531" s="308">
        <v>43767</v>
      </c>
      <c r="AU531" s="26"/>
      <c r="AV531" s="26" t="s">
        <v>66</v>
      </c>
      <c r="AW531" s="26"/>
      <c r="AX531" s="26" t="s">
        <v>86</v>
      </c>
      <c r="AY531" s="26"/>
      <c r="AZ531" s="308">
        <v>43767</v>
      </c>
      <c r="BA531" s="308">
        <v>43763</v>
      </c>
      <c r="BB531" s="26"/>
      <c r="BC531" s="26"/>
      <c r="BD531" s="25" t="s">
        <v>88</v>
      </c>
      <c r="BE531" s="297"/>
      <c r="BF531" s="298">
        <f t="shared" si="58"/>
        <v>0</v>
      </c>
      <c r="BG531" s="297" t="str">
        <f>VLOOKUP(B531,[1]Sheet2!$B:$X,23,0)</f>
        <v>李天慈</v>
      </c>
    </row>
    <row r="532" spans="1:59" s="28" customFormat="1" ht="33" customHeight="1">
      <c r="A532" s="26" t="s">
        <v>2585</v>
      </c>
      <c r="B532" s="26" t="s">
        <v>2586</v>
      </c>
      <c r="C532" s="26" t="s">
        <v>2587</v>
      </c>
      <c r="D532" s="26" t="s">
        <v>2581</v>
      </c>
      <c r="E532" s="26" t="s">
        <v>83</v>
      </c>
      <c r="F532" s="26" t="s">
        <v>2104</v>
      </c>
      <c r="G532" s="26" t="s">
        <v>2104</v>
      </c>
      <c r="H532" s="218"/>
      <c r="I532" s="26" t="s">
        <v>2060</v>
      </c>
      <c r="J532" s="26"/>
      <c r="K532" s="61">
        <v>43752</v>
      </c>
      <c r="L532" s="26"/>
      <c r="M532" s="26">
        <f t="shared" si="64"/>
        <v>5500</v>
      </c>
      <c r="N532" s="26">
        <f t="shared" si="65"/>
        <v>5500</v>
      </c>
      <c r="O532" s="26"/>
      <c r="P532" s="26"/>
      <c r="Q532" s="26"/>
      <c r="R532" s="26"/>
      <c r="S532" s="26"/>
      <c r="T532" s="26">
        <v>5500</v>
      </c>
      <c r="U532" s="26"/>
      <c r="V532" s="26"/>
      <c r="W532" s="26"/>
      <c r="X532" s="26"/>
      <c r="Y532" s="26"/>
      <c r="Z532" s="26"/>
      <c r="AA532" s="364">
        <v>0.15</v>
      </c>
      <c r="AB532" s="26"/>
      <c r="AC532" s="26"/>
      <c r="AD532" s="26"/>
      <c r="AE532" s="26"/>
      <c r="AF532" s="26"/>
      <c r="AG532" s="26">
        <v>4670</v>
      </c>
      <c r="AH532" s="26"/>
      <c r="AI532" s="26"/>
      <c r="AJ532" s="26"/>
      <c r="AK532" s="26"/>
      <c r="AL532" s="26"/>
      <c r="AM532" s="26"/>
      <c r="AN532" s="26">
        <f t="shared" si="66"/>
        <v>4670</v>
      </c>
      <c r="AO532" s="26" t="s">
        <v>1258</v>
      </c>
      <c r="AP532" s="26"/>
      <c r="AQ532" s="26"/>
      <c r="AR532" s="61">
        <v>43753</v>
      </c>
      <c r="AS532" s="26"/>
      <c r="AT532" s="308">
        <v>43767</v>
      </c>
      <c r="AU532" s="26"/>
      <c r="AV532" s="26" t="s">
        <v>66</v>
      </c>
      <c r="AW532" s="26"/>
      <c r="AX532" s="26" t="s">
        <v>86</v>
      </c>
      <c r="AY532" s="26"/>
      <c r="AZ532" s="308">
        <v>43767</v>
      </c>
      <c r="BA532" s="308">
        <v>43763</v>
      </c>
      <c r="BB532" s="26"/>
      <c r="BC532" s="26"/>
      <c r="BD532" s="25" t="s">
        <v>88</v>
      </c>
      <c r="BE532" s="297"/>
      <c r="BF532" s="298">
        <f t="shared" si="58"/>
        <v>0</v>
      </c>
      <c r="BG532" s="297" t="str">
        <f>VLOOKUP(B532,[1]Sheet2!$B:$X,23,0)</f>
        <v>李天慈</v>
      </c>
    </row>
    <row r="533" spans="1:59" s="28" customFormat="1" ht="33" customHeight="1">
      <c r="A533" s="26" t="s">
        <v>2588</v>
      </c>
      <c r="B533" s="26" t="s">
        <v>2589</v>
      </c>
      <c r="C533" s="26" t="s">
        <v>2590</v>
      </c>
      <c r="D533" s="26" t="s">
        <v>2581</v>
      </c>
      <c r="E533" s="26" t="s">
        <v>83</v>
      </c>
      <c r="F533" s="26" t="s">
        <v>2104</v>
      </c>
      <c r="G533" s="26" t="s">
        <v>2104</v>
      </c>
      <c r="H533" s="218"/>
      <c r="I533" s="26" t="s">
        <v>2060</v>
      </c>
      <c r="J533" s="26"/>
      <c r="K533" s="61">
        <v>43752</v>
      </c>
      <c r="L533" s="26"/>
      <c r="M533" s="26">
        <f t="shared" si="64"/>
        <v>5500</v>
      </c>
      <c r="N533" s="26">
        <f t="shared" si="65"/>
        <v>5500</v>
      </c>
      <c r="O533" s="26"/>
      <c r="P533" s="26"/>
      <c r="Q533" s="26"/>
      <c r="R533" s="26"/>
      <c r="S533" s="26"/>
      <c r="T533" s="26">
        <v>5500</v>
      </c>
      <c r="U533" s="26"/>
      <c r="V533" s="26"/>
      <c r="W533" s="26"/>
      <c r="X533" s="26"/>
      <c r="Y533" s="26"/>
      <c r="Z533" s="26"/>
      <c r="AA533" s="364">
        <v>0.15</v>
      </c>
      <c r="AB533" s="26"/>
      <c r="AC533" s="26"/>
      <c r="AD533" s="26"/>
      <c r="AE533" s="26"/>
      <c r="AF533" s="26"/>
      <c r="AG533" s="26">
        <v>4670</v>
      </c>
      <c r="AH533" s="26"/>
      <c r="AI533" s="26"/>
      <c r="AJ533" s="26"/>
      <c r="AK533" s="26"/>
      <c r="AL533" s="26"/>
      <c r="AM533" s="26"/>
      <c r="AN533" s="26">
        <f t="shared" si="66"/>
        <v>4670</v>
      </c>
      <c r="AO533" s="26" t="s">
        <v>1258</v>
      </c>
      <c r="AP533" s="26"/>
      <c r="AQ533" s="26"/>
      <c r="AR533" s="61">
        <v>43753</v>
      </c>
      <c r="AS533" s="26"/>
      <c r="AT533" s="308">
        <v>43767</v>
      </c>
      <c r="AU533" s="26"/>
      <c r="AV533" s="26" t="s">
        <v>66</v>
      </c>
      <c r="AW533" s="26"/>
      <c r="AX533" s="26" t="s">
        <v>86</v>
      </c>
      <c r="AY533" s="26"/>
      <c r="AZ533" s="308">
        <v>43767</v>
      </c>
      <c r="BA533" s="308">
        <v>43763</v>
      </c>
      <c r="BB533" s="26"/>
      <c r="BC533" s="26"/>
      <c r="BD533" s="25" t="s">
        <v>88</v>
      </c>
      <c r="BE533" s="297"/>
      <c r="BF533" s="298">
        <f t="shared" si="58"/>
        <v>0</v>
      </c>
      <c r="BG533" s="297" t="str">
        <f>VLOOKUP(B533,[1]Sheet2!$B:$X,23,0)</f>
        <v>李天慈</v>
      </c>
    </row>
    <row r="534" spans="1:59" s="28" customFormat="1" ht="33" customHeight="1">
      <c r="A534" s="26" t="s">
        <v>2591</v>
      </c>
      <c r="B534" s="26" t="s">
        <v>2592</v>
      </c>
      <c r="C534" s="26" t="s">
        <v>2593</v>
      </c>
      <c r="D534" s="26" t="s">
        <v>2581</v>
      </c>
      <c r="E534" s="26" t="s">
        <v>83</v>
      </c>
      <c r="F534" s="26" t="s">
        <v>2104</v>
      </c>
      <c r="G534" s="26" t="s">
        <v>2104</v>
      </c>
      <c r="H534" s="218"/>
      <c r="I534" s="26" t="s">
        <v>2060</v>
      </c>
      <c r="J534" s="26"/>
      <c r="K534" s="61">
        <v>43752</v>
      </c>
      <c r="L534" s="26"/>
      <c r="M534" s="26">
        <f t="shared" si="64"/>
        <v>5500</v>
      </c>
      <c r="N534" s="26">
        <f t="shared" si="65"/>
        <v>5500</v>
      </c>
      <c r="O534" s="26"/>
      <c r="P534" s="26"/>
      <c r="Q534" s="26"/>
      <c r="R534" s="26"/>
      <c r="S534" s="26"/>
      <c r="T534" s="26">
        <v>5500</v>
      </c>
      <c r="U534" s="26"/>
      <c r="V534" s="26"/>
      <c r="W534" s="26"/>
      <c r="X534" s="26"/>
      <c r="Y534" s="26"/>
      <c r="Z534" s="26"/>
      <c r="AA534" s="364">
        <v>0.15</v>
      </c>
      <c r="AB534" s="26"/>
      <c r="AC534" s="26"/>
      <c r="AD534" s="26"/>
      <c r="AE534" s="26"/>
      <c r="AF534" s="26"/>
      <c r="AG534" s="26">
        <v>4670</v>
      </c>
      <c r="AH534" s="26"/>
      <c r="AI534" s="26"/>
      <c r="AJ534" s="26"/>
      <c r="AK534" s="26"/>
      <c r="AL534" s="26"/>
      <c r="AM534" s="26"/>
      <c r="AN534" s="26">
        <f t="shared" si="66"/>
        <v>4670</v>
      </c>
      <c r="AO534" s="26" t="s">
        <v>1258</v>
      </c>
      <c r="AP534" s="26"/>
      <c r="AQ534" s="26"/>
      <c r="AR534" s="61">
        <v>43753</v>
      </c>
      <c r="AS534" s="26"/>
      <c r="AT534" s="308">
        <v>43767</v>
      </c>
      <c r="AU534" s="26"/>
      <c r="AV534" s="26" t="s">
        <v>66</v>
      </c>
      <c r="AW534" s="26"/>
      <c r="AX534" s="26" t="s">
        <v>86</v>
      </c>
      <c r="AY534" s="26"/>
      <c r="AZ534" s="308">
        <v>43767</v>
      </c>
      <c r="BA534" s="308">
        <v>43763</v>
      </c>
      <c r="BB534" s="26"/>
      <c r="BC534" s="26"/>
      <c r="BD534" s="25" t="s">
        <v>88</v>
      </c>
      <c r="BE534" s="297"/>
      <c r="BF534" s="298">
        <f t="shared" si="58"/>
        <v>0</v>
      </c>
      <c r="BG534" s="297" t="str">
        <f>VLOOKUP(B534,[1]Sheet2!$B:$X,23,0)</f>
        <v>李天慈</v>
      </c>
    </row>
    <row r="535" spans="1:59" s="28" customFormat="1" ht="33" customHeight="1">
      <c r="A535" s="26" t="s">
        <v>2594</v>
      </c>
      <c r="B535" s="26" t="s">
        <v>2595</v>
      </c>
      <c r="C535" s="26" t="s">
        <v>2596</v>
      </c>
      <c r="D535" s="26" t="s">
        <v>2581</v>
      </c>
      <c r="E535" s="26" t="s">
        <v>83</v>
      </c>
      <c r="F535" s="26" t="s">
        <v>2104</v>
      </c>
      <c r="G535" s="26" t="s">
        <v>2104</v>
      </c>
      <c r="H535" s="218"/>
      <c r="I535" s="26" t="s">
        <v>2060</v>
      </c>
      <c r="J535" s="26"/>
      <c r="K535" s="61">
        <v>43752</v>
      </c>
      <c r="L535" s="26"/>
      <c r="M535" s="26">
        <f t="shared" si="64"/>
        <v>5500</v>
      </c>
      <c r="N535" s="26">
        <f t="shared" si="65"/>
        <v>5500</v>
      </c>
      <c r="O535" s="26"/>
      <c r="P535" s="26"/>
      <c r="Q535" s="26"/>
      <c r="R535" s="26"/>
      <c r="S535" s="26"/>
      <c r="T535" s="26">
        <v>5500</v>
      </c>
      <c r="U535" s="26"/>
      <c r="V535" s="26"/>
      <c r="W535" s="26"/>
      <c r="X535" s="26"/>
      <c r="Y535" s="26"/>
      <c r="Z535" s="26"/>
      <c r="AA535" s="364">
        <v>0.15</v>
      </c>
      <c r="AB535" s="26"/>
      <c r="AC535" s="26"/>
      <c r="AD535" s="26"/>
      <c r="AE535" s="26"/>
      <c r="AF535" s="26"/>
      <c r="AG535" s="26">
        <v>4670</v>
      </c>
      <c r="AH535" s="26"/>
      <c r="AI535" s="26"/>
      <c r="AJ535" s="26"/>
      <c r="AK535" s="26"/>
      <c r="AL535" s="26"/>
      <c r="AM535" s="26"/>
      <c r="AN535" s="26">
        <f t="shared" si="66"/>
        <v>4670</v>
      </c>
      <c r="AO535" s="26" t="s">
        <v>1258</v>
      </c>
      <c r="AP535" s="26"/>
      <c r="AQ535" s="26"/>
      <c r="AR535" s="61">
        <v>43753</v>
      </c>
      <c r="AS535" s="26"/>
      <c r="AT535" s="308">
        <v>43767</v>
      </c>
      <c r="AU535" s="26"/>
      <c r="AV535" s="26" t="s">
        <v>66</v>
      </c>
      <c r="AW535" s="26"/>
      <c r="AX535" s="26" t="s">
        <v>86</v>
      </c>
      <c r="AY535" s="26"/>
      <c r="AZ535" s="308">
        <v>43767</v>
      </c>
      <c r="BA535" s="308">
        <v>43763</v>
      </c>
      <c r="BB535" s="26"/>
      <c r="BC535" s="26"/>
      <c r="BD535" s="25" t="s">
        <v>88</v>
      </c>
      <c r="BE535" s="297"/>
      <c r="BF535" s="298">
        <f t="shared" si="58"/>
        <v>0</v>
      </c>
      <c r="BG535" s="297" t="str">
        <f>VLOOKUP(B535,[1]Sheet2!$B:$X,23,0)</f>
        <v>李天慈</v>
      </c>
    </row>
    <row r="536" spans="1:59" s="28" customFormat="1" ht="33" customHeight="1">
      <c r="A536" s="26" t="s">
        <v>2597</v>
      </c>
      <c r="B536" s="26" t="s">
        <v>2598</v>
      </c>
      <c r="C536" s="26" t="s">
        <v>2599</v>
      </c>
      <c r="D536" s="26" t="s">
        <v>2581</v>
      </c>
      <c r="E536" s="26" t="s">
        <v>83</v>
      </c>
      <c r="F536" s="26" t="s">
        <v>2104</v>
      </c>
      <c r="G536" s="26" t="s">
        <v>2104</v>
      </c>
      <c r="H536" s="218"/>
      <c r="I536" s="26" t="s">
        <v>2060</v>
      </c>
      <c r="J536" s="26"/>
      <c r="K536" s="61">
        <v>43752</v>
      </c>
      <c r="L536" s="26"/>
      <c r="M536" s="26">
        <f t="shared" si="64"/>
        <v>5500</v>
      </c>
      <c r="N536" s="26">
        <f t="shared" si="65"/>
        <v>5500</v>
      </c>
      <c r="O536" s="26"/>
      <c r="P536" s="26"/>
      <c r="Q536" s="26"/>
      <c r="R536" s="26"/>
      <c r="S536" s="26"/>
      <c r="T536" s="26">
        <v>5500</v>
      </c>
      <c r="U536" s="26"/>
      <c r="V536" s="26"/>
      <c r="W536" s="26"/>
      <c r="X536" s="26"/>
      <c r="Y536" s="26"/>
      <c r="Z536" s="26"/>
      <c r="AA536" s="364">
        <v>0.15</v>
      </c>
      <c r="AB536" s="26"/>
      <c r="AC536" s="26"/>
      <c r="AD536" s="26"/>
      <c r="AE536" s="26"/>
      <c r="AF536" s="26"/>
      <c r="AG536" s="26">
        <v>4670</v>
      </c>
      <c r="AH536" s="26"/>
      <c r="AI536" s="26"/>
      <c r="AJ536" s="26"/>
      <c r="AK536" s="26"/>
      <c r="AL536" s="26"/>
      <c r="AM536" s="26"/>
      <c r="AN536" s="26">
        <f t="shared" si="66"/>
        <v>4670</v>
      </c>
      <c r="AO536" s="26" t="s">
        <v>1258</v>
      </c>
      <c r="AP536" s="26"/>
      <c r="AQ536" s="26"/>
      <c r="AR536" s="61">
        <v>43753</v>
      </c>
      <c r="AS536" s="26"/>
      <c r="AT536" s="308">
        <v>43767</v>
      </c>
      <c r="AU536" s="26"/>
      <c r="AV536" s="26" t="s">
        <v>66</v>
      </c>
      <c r="AW536" s="26"/>
      <c r="AX536" s="26" t="s">
        <v>86</v>
      </c>
      <c r="AY536" s="26"/>
      <c r="AZ536" s="308">
        <v>43767</v>
      </c>
      <c r="BA536" s="308">
        <v>43763</v>
      </c>
      <c r="BB536" s="26"/>
      <c r="BC536" s="26"/>
      <c r="BD536" s="25" t="s">
        <v>88</v>
      </c>
      <c r="BE536" s="297"/>
      <c r="BF536" s="298">
        <f t="shared" si="58"/>
        <v>0</v>
      </c>
      <c r="BG536" s="297" t="str">
        <f>VLOOKUP(B536,[1]Sheet2!$B:$X,23,0)</f>
        <v>李天慈</v>
      </c>
    </row>
    <row r="537" spans="1:59" s="28" customFormat="1" ht="33" customHeight="1">
      <c r="A537" s="26" t="s">
        <v>2600</v>
      </c>
      <c r="B537" s="26" t="s">
        <v>2601</v>
      </c>
      <c r="C537" s="26" t="s">
        <v>2602</v>
      </c>
      <c r="D537" s="26" t="s">
        <v>2603</v>
      </c>
      <c r="E537" s="26" t="s">
        <v>83</v>
      </c>
      <c r="F537" s="26" t="s">
        <v>2104</v>
      </c>
      <c r="G537" s="26" t="s">
        <v>2104</v>
      </c>
      <c r="H537" s="218"/>
      <c r="I537" s="26" t="s">
        <v>1937</v>
      </c>
      <c r="J537" s="26"/>
      <c r="K537" s="61">
        <v>43756</v>
      </c>
      <c r="L537" s="26"/>
      <c r="M537" s="26">
        <f t="shared" si="62"/>
        <v>390628</v>
      </c>
      <c r="N537" s="26">
        <f t="shared" si="63"/>
        <v>390628</v>
      </c>
      <c r="O537" s="26"/>
      <c r="P537" s="26"/>
      <c r="Q537" s="26">
        <v>304580</v>
      </c>
      <c r="R537" s="26"/>
      <c r="S537" s="26"/>
      <c r="T537" s="26">
        <v>76048</v>
      </c>
      <c r="U537" s="26">
        <v>10000</v>
      </c>
      <c r="V537" s="26"/>
      <c r="W537" s="26"/>
      <c r="X537" s="26"/>
      <c r="Y537" s="26"/>
      <c r="Z537" s="26"/>
      <c r="AA537" s="364">
        <v>0.15</v>
      </c>
      <c r="AB537" s="26"/>
      <c r="AC537" s="26"/>
      <c r="AD537" s="26">
        <v>300280</v>
      </c>
      <c r="AE537" s="26"/>
      <c r="AF537" s="26"/>
      <c r="AG537" s="26">
        <v>64610</v>
      </c>
      <c r="AH537" s="26">
        <v>8500</v>
      </c>
      <c r="AI537" s="26"/>
      <c r="AJ537" s="26"/>
      <c r="AK537" s="26"/>
      <c r="AL537" s="26"/>
      <c r="AM537" s="26"/>
      <c r="AN537" s="26">
        <f t="shared" si="66"/>
        <v>373390</v>
      </c>
      <c r="AO537" s="26" t="s">
        <v>286</v>
      </c>
      <c r="AP537" s="26"/>
      <c r="AQ537" s="26"/>
      <c r="AR537" s="26"/>
      <c r="AS537" s="26"/>
      <c r="AT537" s="308"/>
      <c r="AU537" s="26"/>
      <c r="AV537" s="26"/>
      <c r="AW537" s="26"/>
      <c r="AX537" s="26"/>
      <c r="AY537" s="26"/>
      <c r="AZ537" s="308"/>
      <c r="BA537" s="308"/>
      <c r="BB537" s="26"/>
      <c r="BC537" s="26"/>
      <c r="BD537" s="26"/>
      <c r="BE537" s="297"/>
      <c r="BF537" s="298">
        <f t="shared" si="58"/>
        <v>0</v>
      </c>
      <c r="BG537" s="297" t="str">
        <f>VLOOKUP(B537,[1]Sheet2!$B:$X,23,0)</f>
        <v>杨楠</v>
      </c>
    </row>
    <row r="538" spans="1:59" s="28" customFormat="1" ht="33" customHeight="1">
      <c r="A538" s="26" t="s">
        <v>2604</v>
      </c>
      <c r="B538" s="26" t="s">
        <v>2605</v>
      </c>
      <c r="C538" s="26" t="s">
        <v>2606</v>
      </c>
      <c r="D538" s="26" t="s">
        <v>2607</v>
      </c>
      <c r="E538" s="26" t="s">
        <v>249</v>
      </c>
      <c r="F538" s="25" t="s">
        <v>315</v>
      </c>
      <c r="G538" s="25" t="s">
        <v>315</v>
      </c>
      <c r="H538" s="218"/>
      <c r="I538" s="26" t="s">
        <v>107</v>
      </c>
      <c r="J538" s="26"/>
      <c r="K538" s="61">
        <v>43761</v>
      </c>
      <c r="L538" s="26"/>
      <c r="M538" s="26">
        <f t="shared" si="62"/>
        <v>34645</v>
      </c>
      <c r="N538" s="26">
        <f t="shared" si="63"/>
        <v>34645</v>
      </c>
      <c r="O538" s="26"/>
      <c r="P538" s="26"/>
      <c r="Q538" s="26">
        <v>21027</v>
      </c>
      <c r="R538" s="26"/>
      <c r="S538" s="26"/>
      <c r="T538" s="26">
        <v>13618</v>
      </c>
      <c r="U538" s="26"/>
      <c r="V538" s="26"/>
      <c r="W538" s="26"/>
      <c r="X538" s="26"/>
      <c r="Y538" s="26"/>
      <c r="Z538" s="26"/>
      <c r="AA538" s="364">
        <v>0.15</v>
      </c>
      <c r="AB538" s="26"/>
      <c r="AC538" s="26"/>
      <c r="AD538" s="26">
        <v>20810</v>
      </c>
      <c r="AE538" s="26"/>
      <c r="AF538" s="26"/>
      <c r="AG538" s="26">
        <v>8631</v>
      </c>
      <c r="AH538" s="26"/>
      <c r="AI538" s="26"/>
      <c r="AJ538" s="26"/>
      <c r="AK538" s="26"/>
      <c r="AL538" s="26"/>
      <c r="AM538" s="26"/>
      <c r="AN538" s="26">
        <f t="shared" si="66"/>
        <v>29441</v>
      </c>
      <c r="AO538" s="26" t="s">
        <v>62</v>
      </c>
      <c r="AP538" s="26"/>
      <c r="AQ538" s="26"/>
      <c r="AR538" s="61">
        <v>43762</v>
      </c>
      <c r="AS538" s="26"/>
      <c r="AT538" s="308"/>
      <c r="AU538" s="26"/>
      <c r="AV538" s="26"/>
      <c r="AW538" s="26"/>
      <c r="AX538" s="26"/>
      <c r="AY538" s="26"/>
      <c r="AZ538" s="308"/>
      <c r="BA538" s="308"/>
      <c r="BB538" s="26"/>
      <c r="BC538" s="26"/>
      <c r="BD538" s="26"/>
      <c r="BE538" s="297"/>
      <c r="BF538" s="298">
        <f t="shared" si="58"/>
        <v>0</v>
      </c>
      <c r="BG538" s="297" t="e">
        <f>VLOOKUP(B538,[1]Sheet2!$B:$X,23,0)</f>
        <v>#N/A</v>
      </c>
    </row>
    <row r="539" spans="1:59" s="28" customFormat="1" ht="33" customHeight="1">
      <c r="A539" s="26" t="s">
        <v>2608</v>
      </c>
      <c r="B539" s="26" t="s">
        <v>2609</v>
      </c>
      <c r="C539" s="26" t="s">
        <v>2610</v>
      </c>
      <c r="D539" s="26" t="s">
        <v>2611</v>
      </c>
      <c r="E539" s="26" t="s">
        <v>174</v>
      </c>
      <c r="F539" s="26" t="s">
        <v>2117</v>
      </c>
      <c r="G539" s="26" t="s">
        <v>2117</v>
      </c>
      <c r="H539" s="218"/>
      <c r="I539" s="26" t="s">
        <v>1982</v>
      </c>
      <c r="J539" s="26"/>
      <c r="K539" s="61">
        <v>43759</v>
      </c>
      <c r="L539" s="26"/>
      <c r="M539" s="26">
        <f t="shared" si="62"/>
        <v>890000</v>
      </c>
      <c r="N539" s="26">
        <f t="shared" si="63"/>
        <v>890000</v>
      </c>
      <c r="O539" s="26"/>
      <c r="P539" s="26"/>
      <c r="Q539" s="26"/>
      <c r="R539" s="26"/>
      <c r="S539" s="26"/>
      <c r="T539" s="26">
        <v>840000</v>
      </c>
      <c r="U539" s="26">
        <v>50000</v>
      </c>
      <c r="V539" s="26"/>
      <c r="W539" s="26"/>
      <c r="X539" s="26"/>
      <c r="Y539" s="26"/>
      <c r="Z539" s="26"/>
      <c r="AA539" s="364">
        <v>0.15</v>
      </c>
      <c r="AB539" s="26"/>
      <c r="AC539" s="26"/>
      <c r="AD539" s="26"/>
      <c r="AE539" s="26"/>
      <c r="AF539" s="26"/>
      <c r="AG539" s="26">
        <v>714000</v>
      </c>
      <c r="AH539" s="26">
        <v>42500</v>
      </c>
      <c r="AI539" s="26"/>
      <c r="AJ539" s="26"/>
      <c r="AK539" s="26"/>
      <c r="AL539" s="26"/>
      <c r="AM539" s="26"/>
      <c r="AN539" s="26">
        <f t="shared" si="66"/>
        <v>756500</v>
      </c>
      <c r="AO539" s="26" t="s">
        <v>93</v>
      </c>
      <c r="AP539" s="26"/>
      <c r="AQ539" s="26"/>
      <c r="AR539" s="61">
        <v>43763</v>
      </c>
      <c r="AS539" s="26"/>
      <c r="AT539" s="308"/>
      <c r="AU539" s="26"/>
      <c r="AV539" s="26" t="s">
        <v>66</v>
      </c>
      <c r="AW539" s="26"/>
      <c r="AX539" s="26" t="s">
        <v>86</v>
      </c>
      <c r="AY539" s="26"/>
      <c r="AZ539" s="308">
        <v>43766</v>
      </c>
      <c r="BA539" s="308">
        <v>43766</v>
      </c>
      <c r="BB539" s="26"/>
      <c r="BC539" s="61">
        <v>44131</v>
      </c>
      <c r="BD539" s="26" t="s">
        <v>88</v>
      </c>
      <c r="BE539" s="297"/>
      <c r="BF539" s="298">
        <f t="shared" si="58"/>
        <v>0</v>
      </c>
      <c r="BG539" s="297" t="e">
        <f>VLOOKUP(B539,[1]Sheet2!$B:$X,23,0)</f>
        <v>#N/A</v>
      </c>
    </row>
    <row r="540" spans="1:59" s="28" customFormat="1" ht="33" customHeight="1">
      <c r="A540" s="26"/>
      <c r="B540" s="26" t="s">
        <v>2612</v>
      </c>
      <c r="C540" s="26" t="s">
        <v>2613</v>
      </c>
      <c r="D540" s="26" t="s">
        <v>2614</v>
      </c>
      <c r="E540" s="26" t="s">
        <v>106</v>
      </c>
      <c r="F540" s="25" t="s">
        <v>315</v>
      </c>
      <c r="G540" s="26"/>
      <c r="H540" s="37"/>
      <c r="I540" s="26" t="s">
        <v>1004</v>
      </c>
      <c r="J540" s="26"/>
      <c r="K540" s="61">
        <v>43768</v>
      </c>
      <c r="L540" s="26"/>
      <c r="M540" s="26">
        <f t="shared" si="62"/>
        <v>3860000</v>
      </c>
      <c r="N540" s="26">
        <f t="shared" si="63"/>
        <v>1559600</v>
      </c>
      <c r="O540" s="26"/>
      <c r="P540" s="26"/>
      <c r="Q540" s="26"/>
      <c r="R540" s="26"/>
      <c r="S540" s="26"/>
      <c r="T540" s="26"/>
      <c r="U540" s="26">
        <v>1559600</v>
      </c>
      <c r="V540" s="26"/>
      <c r="W540" s="26">
        <v>2300400</v>
      </c>
      <c r="X540" s="26" t="s">
        <v>2615</v>
      </c>
      <c r="Y540" s="26"/>
      <c r="Z540" s="26"/>
      <c r="AA540" s="364">
        <v>0.19</v>
      </c>
      <c r="AB540" s="26"/>
      <c r="AC540" s="26"/>
      <c r="AD540" s="26"/>
      <c r="AE540" s="26"/>
      <c r="AF540" s="26"/>
      <c r="AG540" s="26"/>
      <c r="AH540" s="26">
        <v>1210000</v>
      </c>
      <c r="AI540" s="26"/>
      <c r="AJ540" s="26">
        <v>36000</v>
      </c>
      <c r="AK540" s="26">
        <v>2264400</v>
      </c>
      <c r="AL540" s="26"/>
      <c r="AM540" s="26"/>
      <c r="AN540" s="26">
        <f t="shared" si="66"/>
        <v>3510400</v>
      </c>
      <c r="AO540" s="26" t="s">
        <v>108</v>
      </c>
      <c r="AP540" s="26"/>
      <c r="AQ540" s="37" t="s">
        <v>2616</v>
      </c>
      <c r="AR540" s="61">
        <v>43770</v>
      </c>
      <c r="AS540" s="26"/>
      <c r="AT540" s="308"/>
      <c r="AU540" s="26"/>
      <c r="AV540" s="26" t="s">
        <v>66</v>
      </c>
      <c r="AW540" s="26"/>
      <c r="AX540" s="26" t="s">
        <v>86</v>
      </c>
      <c r="AY540" s="26"/>
      <c r="AZ540" s="308">
        <v>43766</v>
      </c>
      <c r="BA540" s="308">
        <v>43766</v>
      </c>
      <c r="BB540" s="26"/>
      <c r="BC540" s="26"/>
      <c r="BD540" s="26" t="s">
        <v>88</v>
      </c>
      <c r="BE540" s="297"/>
      <c r="BF540" s="298">
        <f t="shared" si="58"/>
        <v>0</v>
      </c>
      <c r="BG540" s="297" t="e">
        <f>VLOOKUP(B540,[1]Sheet2!$B:$X,23,0)</f>
        <v>#N/A</v>
      </c>
    </row>
    <row r="541" spans="1:59" s="28" customFormat="1" ht="33" customHeight="1">
      <c r="A541" s="26" t="s">
        <v>2617</v>
      </c>
      <c r="B541" s="26" t="s">
        <v>2618</v>
      </c>
      <c r="C541" s="26" t="s">
        <v>2619</v>
      </c>
      <c r="D541" s="26" t="s">
        <v>2620</v>
      </c>
      <c r="E541" s="26" t="s">
        <v>92</v>
      </c>
      <c r="F541" s="25" t="s">
        <v>315</v>
      </c>
      <c r="G541" s="26"/>
      <c r="H541" s="37"/>
      <c r="I541" s="26" t="s">
        <v>1004</v>
      </c>
      <c r="J541" s="26"/>
      <c r="K541" s="61">
        <v>43774</v>
      </c>
      <c r="L541" s="26"/>
      <c r="M541" s="26">
        <f t="shared" ref="M541:M545" si="67">SUM(N541,W541)</f>
        <v>1385800</v>
      </c>
      <c r="N541" s="26">
        <f t="shared" ref="N541:N545" si="68">SUM(O541:V541)</f>
        <v>705400</v>
      </c>
      <c r="O541" s="26"/>
      <c r="P541" s="26"/>
      <c r="Q541" s="26"/>
      <c r="R541" s="26"/>
      <c r="S541" s="26"/>
      <c r="T541" s="26"/>
      <c r="U541" s="26">
        <v>705400</v>
      </c>
      <c r="V541" s="26"/>
      <c r="W541" s="26">
        <v>680400</v>
      </c>
      <c r="X541" s="364">
        <v>0.06</v>
      </c>
      <c r="Y541" s="26"/>
      <c r="Z541" s="26"/>
      <c r="AA541" s="364">
        <v>0.18</v>
      </c>
      <c r="AB541" s="26"/>
      <c r="AC541" s="26"/>
      <c r="AD541" s="26"/>
      <c r="AE541" s="26"/>
      <c r="AF541" s="26"/>
      <c r="AG541" s="26"/>
      <c r="AH541" s="26">
        <v>577800</v>
      </c>
      <c r="AI541" s="26"/>
      <c r="AJ541" s="26"/>
      <c r="AK541" s="26"/>
      <c r="AL541" s="26"/>
      <c r="AM541" s="26"/>
      <c r="AN541" s="26">
        <f t="shared" si="66"/>
        <v>577800</v>
      </c>
      <c r="AO541" s="26" t="s">
        <v>1843</v>
      </c>
      <c r="AP541" s="26"/>
      <c r="AQ541" s="26"/>
      <c r="AR541" s="61">
        <v>43776</v>
      </c>
      <c r="AS541" s="26"/>
      <c r="AT541" s="308"/>
      <c r="AU541" s="26"/>
      <c r="AV541" s="26"/>
      <c r="AW541" s="26"/>
      <c r="AX541" s="26"/>
      <c r="AY541" s="26"/>
      <c r="AZ541" s="308"/>
      <c r="BA541" s="308"/>
      <c r="BB541" s="26"/>
      <c r="BC541" s="26"/>
      <c r="BD541" s="26"/>
      <c r="BE541" s="297"/>
      <c r="BF541" s="298">
        <f t="shared" si="58"/>
        <v>0</v>
      </c>
      <c r="BG541" s="297" t="e">
        <f>VLOOKUP(B541,[1]Sheet2!$B:$X,23,0)</f>
        <v>#N/A</v>
      </c>
    </row>
    <row r="542" spans="1:59" s="28" customFormat="1" ht="33" customHeight="1">
      <c r="A542" s="26" t="s">
        <v>2621</v>
      </c>
      <c r="B542" s="26" t="s">
        <v>2622</v>
      </c>
      <c r="C542" s="26" t="s">
        <v>2623</v>
      </c>
      <c r="D542" s="26" t="s">
        <v>2624</v>
      </c>
      <c r="E542" s="26" t="s">
        <v>113</v>
      </c>
      <c r="F542" s="26" t="s">
        <v>2104</v>
      </c>
      <c r="G542" s="26"/>
      <c r="H542" s="37"/>
      <c r="I542" s="26" t="s">
        <v>402</v>
      </c>
      <c r="J542" s="26"/>
      <c r="K542" s="61" t="s">
        <v>2625</v>
      </c>
      <c r="L542" s="26"/>
      <c r="M542" s="26">
        <f t="shared" si="67"/>
        <v>8100000</v>
      </c>
      <c r="N542" s="26">
        <f t="shared" si="68"/>
        <v>8100000</v>
      </c>
      <c r="O542" s="26"/>
      <c r="P542" s="26"/>
      <c r="Q542" s="26">
        <v>2565190</v>
      </c>
      <c r="R542" s="26"/>
      <c r="S542" s="26"/>
      <c r="T542" s="26">
        <v>250000</v>
      </c>
      <c r="U542" s="26">
        <v>5284810</v>
      </c>
      <c r="V542" s="26"/>
      <c r="W542" s="26"/>
      <c r="X542" s="26"/>
      <c r="Y542" s="26"/>
      <c r="Z542" s="26"/>
      <c r="AA542" s="364">
        <v>0.08</v>
      </c>
      <c r="AB542" s="26"/>
      <c r="AC542" s="26"/>
      <c r="AD542" s="26">
        <v>2550000</v>
      </c>
      <c r="AE542" s="26"/>
      <c r="AF542" s="26"/>
      <c r="AG542" s="26">
        <v>221889</v>
      </c>
      <c r="AH542" s="26">
        <v>4870000</v>
      </c>
      <c r="AI542" s="26"/>
      <c r="AJ542" s="26"/>
      <c r="AK542" s="26"/>
      <c r="AL542" s="26"/>
      <c r="AM542" s="26"/>
      <c r="AN542" s="26">
        <f t="shared" si="66"/>
        <v>7641889</v>
      </c>
      <c r="AO542" s="26" t="s">
        <v>114</v>
      </c>
      <c r="AP542" s="26"/>
      <c r="AQ542" s="26"/>
      <c r="AR542" s="26"/>
      <c r="AS542" s="26"/>
      <c r="AT542" s="308"/>
      <c r="AU542" s="26"/>
      <c r="AV542" s="26"/>
      <c r="AW542" s="26"/>
      <c r="AX542" s="26"/>
      <c r="AY542" s="26"/>
      <c r="AZ542" s="308"/>
      <c r="BA542" s="308"/>
      <c r="BB542" s="26"/>
      <c r="BC542" s="26"/>
      <c r="BD542" s="26"/>
      <c r="BE542" s="297"/>
      <c r="BF542" s="298">
        <f t="shared" si="58"/>
        <v>0</v>
      </c>
      <c r="BG542" s="297" t="e">
        <f>VLOOKUP(B542,[1]Sheet2!$B:$X,23,0)</f>
        <v>#N/A</v>
      </c>
    </row>
    <row r="543" spans="1:59" s="28" customFormat="1" ht="33" customHeight="1">
      <c r="A543" s="26" t="s">
        <v>2626</v>
      </c>
      <c r="B543" s="26" t="s">
        <v>2627</v>
      </c>
      <c r="C543" s="26" t="s">
        <v>2628</v>
      </c>
      <c r="D543" s="26" t="s">
        <v>2629</v>
      </c>
      <c r="E543" s="26" t="s">
        <v>106</v>
      </c>
      <c r="F543" s="26" t="s">
        <v>1277</v>
      </c>
      <c r="G543" s="26"/>
      <c r="H543" s="37"/>
      <c r="I543" s="26" t="s">
        <v>107</v>
      </c>
      <c r="J543" s="26"/>
      <c r="K543" s="61">
        <v>43767</v>
      </c>
      <c r="L543" s="26"/>
      <c r="M543" s="26">
        <f t="shared" si="67"/>
        <v>688000</v>
      </c>
      <c r="N543" s="26">
        <f t="shared" si="68"/>
        <v>688000</v>
      </c>
      <c r="O543" s="26"/>
      <c r="P543" s="26"/>
      <c r="Q543" s="26"/>
      <c r="R543" s="26"/>
      <c r="S543" s="26"/>
      <c r="T543" s="26"/>
      <c r="U543" s="26">
        <v>688000</v>
      </c>
      <c r="V543" s="26"/>
      <c r="W543" s="26"/>
      <c r="X543" s="26"/>
      <c r="Y543" s="26"/>
      <c r="Z543" s="26"/>
      <c r="AA543" s="364">
        <v>0.15</v>
      </c>
      <c r="AB543" s="26"/>
      <c r="AC543" s="26"/>
      <c r="AD543" s="26"/>
      <c r="AE543" s="26"/>
      <c r="AF543" s="26"/>
      <c r="AG543" s="26"/>
      <c r="AH543" s="26">
        <v>584000</v>
      </c>
      <c r="AI543" s="26"/>
      <c r="AJ543" s="26"/>
      <c r="AK543" s="26"/>
      <c r="AL543" s="26"/>
      <c r="AM543" s="26"/>
      <c r="AN543" s="26">
        <f t="shared" si="66"/>
        <v>584000</v>
      </c>
      <c r="AO543" s="26" t="s">
        <v>108</v>
      </c>
      <c r="AP543" s="26"/>
      <c r="AQ543" s="26"/>
      <c r="AR543" s="61">
        <v>43771</v>
      </c>
      <c r="AS543" s="26"/>
      <c r="AT543" s="308"/>
      <c r="AU543" s="26"/>
      <c r="AV543" s="26"/>
      <c r="AW543" s="26"/>
      <c r="AX543" s="26"/>
      <c r="AY543" s="26"/>
      <c r="AZ543" s="308"/>
      <c r="BA543" s="308"/>
      <c r="BB543" s="26"/>
      <c r="BC543" s="26"/>
      <c r="BD543" s="26"/>
      <c r="BE543" s="297"/>
      <c r="BF543" s="298">
        <f t="shared" si="58"/>
        <v>0</v>
      </c>
      <c r="BG543" s="297" t="e">
        <f>VLOOKUP(B543,[1]Sheet2!$B:$X,23,0)</f>
        <v>#N/A</v>
      </c>
    </row>
    <row r="544" spans="1:59" s="28" customFormat="1" ht="33" customHeight="1">
      <c r="A544" s="26" t="s">
        <v>2630</v>
      </c>
      <c r="B544" s="26" t="s">
        <v>2631</v>
      </c>
      <c r="C544" s="26" t="s">
        <v>2632</v>
      </c>
      <c r="D544" s="26" t="s">
        <v>2633</v>
      </c>
      <c r="E544" s="26" t="s">
        <v>224</v>
      </c>
      <c r="F544" s="26" t="s">
        <v>2117</v>
      </c>
      <c r="G544" s="26"/>
      <c r="H544" s="37"/>
      <c r="I544" s="26" t="s">
        <v>1982</v>
      </c>
      <c r="J544" s="26"/>
      <c r="K544" s="61">
        <v>43770</v>
      </c>
      <c r="L544" s="26"/>
      <c r="M544" s="26">
        <f t="shared" si="67"/>
        <v>2605938</v>
      </c>
      <c r="N544" s="26">
        <f t="shared" si="68"/>
        <v>2605938</v>
      </c>
      <c r="O544" s="26"/>
      <c r="P544" s="26"/>
      <c r="Q544" s="26"/>
      <c r="R544" s="26"/>
      <c r="S544" s="26"/>
      <c r="T544" s="26"/>
      <c r="U544" s="26">
        <v>2605938</v>
      </c>
      <c r="V544" s="26"/>
      <c r="W544" s="26"/>
      <c r="X544" s="26"/>
      <c r="Y544" s="26"/>
      <c r="Z544" s="26"/>
      <c r="AA544" s="364">
        <v>0.08</v>
      </c>
      <c r="AB544" s="26"/>
      <c r="AC544" s="26"/>
      <c r="AD544" s="26"/>
      <c r="AE544" s="26"/>
      <c r="AF544" s="26"/>
      <c r="AG544" s="26"/>
      <c r="AH544" s="26">
        <v>2365300</v>
      </c>
      <c r="AI544" s="26"/>
      <c r="AJ544" s="26"/>
      <c r="AK544" s="26"/>
      <c r="AL544" s="26"/>
      <c r="AM544" s="26"/>
      <c r="AN544" s="26">
        <f t="shared" si="66"/>
        <v>2365300</v>
      </c>
      <c r="AO544" s="26" t="s">
        <v>1258</v>
      </c>
      <c r="AP544" s="26"/>
      <c r="AQ544" s="26"/>
      <c r="AR544" s="61">
        <v>43770</v>
      </c>
      <c r="AS544" s="26"/>
      <c r="AT544" s="308"/>
      <c r="AU544" s="26"/>
      <c r="AV544" s="26"/>
      <c r="AW544" s="26"/>
      <c r="AX544" s="26"/>
      <c r="AY544" s="26"/>
      <c r="AZ544" s="308"/>
      <c r="BA544" s="308"/>
      <c r="BB544" s="26"/>
      <c r="BC544" s="26"/>
      <c r="BD544" s="26"/>
      <c r="BE544" s="297"/>
      <c r="BF544" s="298">
        <f t="shared" si="58"/>
        <v>0</v>
      </c>
      <c r="BG544" s="297" t="e">
        <f>VLOOKUP(B544,[1]Sheet2!$B:$X,23,0)</f>
        <v>#N/A</v>
      </c>
    </row>
    <row r="545" spans="1:59" s="28" customFormat="1" ht="33" customHeight="1">
      <c r="A545" s="26" t="s">
        <v>2634</v>
      </c>
      <c r="B545" s="26" t="s">
        <v>2635</v>
      </c>
      <c r="C545" s="26" t="s">
        <v>2636</v>
      </c>
      <c r="D545" s="26" t="s">
        <v>2637</v>
      </c>
      <c r="E545" s="26" t="s">
        <v>1093</v>
      </c>
      <c r="F545" s="26" t="s">
        <v>2104</v>
      </c>
      <c r="G545" s="26"/>
      <c r="H545" s="37"/>
      <c r="I545" s="26" t="s">
        <v>402</v>
      </c>
      <c r="J545" s="26"/>
      <c r="K545" s="61">
        <v>43774</v>
      </c>
      <c r="L545" s="26"/>
      <c r="M545" s="26">
        <f t="shared" si="67"/>
        <v>344055</v>
      </c>
      <c r="N545" s="26">
        <f t="shared" si="68"/>
        <v>344055</v>
      </c>
      <c r="O545" s="26"/>
      <c r="P545" s="26"/>
      <c r="Q545" s="26"/>
      <c r="R545" s="26"/>
      <c r="S545" s="26"/>
      <c r="T545" s="26">
        <v>344055</v>
      </c>
      <c r="U545" s="26"/>
      <c r="V545" s="26"/>
      <c r="W545" s="26"/>
      <c r="X545" s="26"/>
      <c r="Y545" s="26"/>
      <c r="Z545" s="26"/>
      <c r="AA545" s="364">
        <v>0.1</v>
      </c>
      <c r="AB545" s="26"/>
      <c r="AC545" s="26"/>
      <c r="AD545" s="26"/>
      <c r="AE545" s="26"/>
      <c r="AF545" s="26"/>
      <c r="AG545" s="26">
        <v>306429</v>
      </c>
      <c r="AH545" s="26"/>
      <c r="AI545" s="26"/>
      <c r="AJ545" s="26"/>
      <c r="AK545" s="26"/>
      <c r="AL545" s="26"/>
      <c r="AM545" s="26"/>
      <c r="AN545" s="26">
        <f t="shared" si="66"/>
        <v>306429</v>
      </c>
      <c r="AO545" s="26" t="s">
        <v>1258</v>
      </c>
      <c r="AP545" s="26"/>
      <c r="AQ545" s="26"/>
      <c r="AR545" s="61">
        <v>43775</v>
      </c>
      <c r="AS545" s="26"/>
      <c r="AT545" s="308"/>
      <c r="AU545" s="26"/>
      <c r="AV545" s="26"/>
      <c r="AW545" s="26"/>
      <c r="AX545" s="26"/>
      <c r="AY545" s="26"/>
      <c r="AZ545" s="308"/>
      <c r="BA545" s="308"/>
      <c r="BB545" s="26"/>
      <c r="BC545" s="26"/>
      <c r="BD545" s="26"/>
      <c r="BE545" s="297"/>
      <c r="BF545" s="298">
        <f t="shared" si="58"/>
        <v>0</v>
      </c>
      <c r="BG545" s="297" t="e">
        <f>VLOOKUP(B545,[1]Sheet2!$B:$X,23,0)</f>
        <v>#N/A</v>
      </c>
    </row>
    <row r="546" spans="1:59" s="28" customFormat="1" ht="33" customHeight="1">
      <c r="A546" s="26" t="s">
        <v>2638</v>
      </c>
      <c r="B546" s="26" t="s">
        <v>2639</v>
      </c>
      <c r="C546" s="26" t="s">
        <v>2640</v>
      </c>
      <c r="D546" s="26" t="s">
        <v>2641</v>
      </c>
      <c r="E546" s="26" t="s">
        <v>1093</v>
      </c>
      <c r="F546" s="26" t="s">
        <v>2117</v>
      </c>
      <c r="G546" s="26"/>
      <c r="H546" s="37"/>
      <c r="I546" s="26" t="s">
        <v>2642</v>
      </c>
      <c r="J546" s="26"/>
      <c r="K546" s="61">
        <v>43774</v>
      </c>
      <c r="L546" s="26"/>
      <c r="M546" s="26">
        <f t="shared" ref="M546:M552" si="69">SUM(N546,W546)</f>
        <v>855000</v>
      </c>
      <c r="N546" s="26">
        <f t="shared" ref="N546:N552" si="70">SUM(O546:V546)</f>
        <v>855000</v>
      </c>
      <c r="O546" s="26"/>
      <c r="P546" s="26"/>
      <c r="Q546" s="26"/>
      <c r="R546" s="26"/>
      <c r="S546" s="26"/>
      <c r="T546" s="26">
        <v>855000</v>
      </c>
      <c r="U546" s="26"/>
      <c r="V546" s="26"/>
      <c r="W546" s="26"/>
      <c r="X546" s="26"/>
      <c r="Y546" s="26"/>
      <c r="Z546" s="26"/>
      <c r="AA546" s="364">
        <v>0.08</v>
      </c>
      <c r="AB546" s="26"/>
      <c r="AC546" s="26"/>
      <c r="AD546" s="26"/>
      <c r="AE546" s="26"/>
      <c r="AF546" s="26"/>
      <c r="AG546" s="26">
        <v>786514.56</v>
      </c>
      <c r="AH546" s="26"/>
      <c r="AI546" s="26"/>
      <c r="AJ546" s="26"/>
      <c r="AK546" s="26"/>
      <c r="AL546" s="26"/>
      <c r="AM546" s="26"/>
      <c r="AN546" s="26">
        <f t="shared" si="66"/>
        <v>786514.56</v>
      </c>
      <c r="AO546" s="26" t="s">
        <v>1258</v>
      </c>
      <c r="AP546" s="26"/>
      <c r="AQ546" s="26"/>
      <c r="AR546" s="61">
        <v>43774</v>
      </c>
      <c r="AS546" s="26"/>
      <c r="AT546" s="308"/>
      <c r="AU546" s="26"/>
      <c r="AV546" s="26"/>
      <c r="AW546" s="26"/>
      <c r="AX546" s="26"/>
      <c r="AY546" s="26"/>
      <c r="AZ546" s="308"/>
      <c r="BA546" s="308"/>
      <c r="BB546" s="26"/>
      <c r="BC546" s="26"/>
      <c r="BD546" s="26"/>
      <c r="BE546" s="297"/>
      <c r="BF546" s="298">
        <f t="shared" si="58"/>
        <v>0</v>
      </c>
      <c r="BG546" s="297" t="str">
        <f>VLOOKUP(B546,[1]Sheet2!$B:$X,23,0)</f>
        <v>杨楠</v>
      </c>
    </row>
    <row r="547" spans="1:59" s="28" customFormat="1" ht="33" customHeight="1">
      <c r="A547" s="26" t="s">
        <v>2643</v>
      </c>
      <c r="B547" s="26" t="s">
        <v>2644</v>
      </c>
      <c r="C547" s="26" t="s">
        <v>2645</v>
      </c>
      <c r="D547" s="26" t="s">
        <v>2646</v>
      </c>
      <c r="E547" s="26" t="s">
        <v>1093</v>
      </c>
      <c r="F547" s="26" t="s">
        <v>2104</v>
      </c>
      <c r="G547" s="26"/>
      <c r="H547" s="26"/>
      <c r="I547" s="26" t="s">
        <v>402</v>
      </c>
      <c r="J547" s="26"/>
      <c r="K547" s="61" t="s">
        <v>2647</v>
      </c>
      <c r="L547" s="26"/>
      <c r="M547" s="26">
        <f t="shared" si="69"/>
        <v>50532.4</v>
      </c>
      <c r="N547" s="26">
        <f t="shared" si="70"/>
        <v>50532.4</v>
      </c>
      <c r="O547" s="26"/>
      <c r="P547" s="26"/>
      <c r="Q547" s="26"/>
      <c r="R547" s="26"/>
      <c r="S547" s="26"/>
      <c r="T547" s="26">
        <v>50532.4</v>
      </c>
      <c r="U547" s="26"/>
      <c r="V547" s="26"/>
      <c r="W547" s="26"/>
      <c r="X547" s="26"/>
      <c r="Y547" s="26"/>
      <c r="Z547" s="26"/>
      <c r="AA547" s="364">
        <v>0.15</v>
      </c>
      <c r="AB547" s="26"/>
      <c r="AC547" s="26"/>
      <c r="AD547" s="26"/>
      <c r="AE547" s="26"/>
      <c r="AF547" s="26"/>
      <c r="AG547" s="26">
        <v>42952.54</v>
      </c>
      <c r="AH547" s="26"/>
      <c r="AI547" s="26"/>
      <c r="AJ547" s="26"/>
      <c r="AK547" s="26"/>
      <c r="AL547" s="26"/>
      <c r="AM547" s="26"/>
      <c r="AN547" s="26">
        <f t="shared" si="66"/>
        <v>42952.54</v>
      </c>
      <c r="AO547" s="26" t="s">
        <v>286</v>
      </c>
      <c r="AP547" s="26"/>
      <c r="AQ547" s="26"/>
      <c r="AR547" s="26"/>
      <c r="AS547" s="26"/>
      <c r="AT547" s="308"/>
      <c r="AU547" s="26"/>
      <c r="AV547" s="26"/>
      <c r="AW547" s="26"/>
      <c r="AX547" s="26"/>
      <c r="AY547" s="26"/>
      <c r="AZ547" s="308"/>
      <c r="BA547" s="308"/>
      <c r="BB547" s="26"/>
      <c r="BC547" s="26"/>
      <c r="BD547" s="26"/>
      <c r="BE547" s="297"/>
      <c r="BF547" s="298">
        <f t="shared" si="58"/>
        <v>0</v>
      </c>
      <c r="BG547" s="297" t="e">
        <f>VLOOKUP(B547,[1]Sheet2!$B:$X,23,0)</f>
        <v>#N/A</v>
      </c>
    </row>
    <row r="548" spans="1:59" s="28" customFormat="1" ht="33" customHeight="1">
      <c r="A548" s="26" t="s">
        <v>2648</v>
      </c>
      <c r="B548" s="26" t="s">
        <v>2649</v>
      </c>
      <c r="C548" s="26" t="s">
        <v>2650</v>
      </c>
      <c r="D548" s="26" t="s">
        <v>2651</v>
      </c>
      <c r="E548" s="26" t="s">
        <v>261</v>
      </c>
      <c r="F548" s="26" t="s">
        <v>2104</v>
      </c>
      <c r="G548" s="26"/>
      <c r="H548" s="26"/>
      <c r="I548" s="26" t="s">
        <v>402</v>
      </c>
      <c r="J548" s="26"/>
      <c r="K548" s="61">
        <v>43775</v>
      </c>
      <c r="L548" s="26"/>
      <c r="M548" s="26">
        <f t="shared" si="69"/>
        <v>34050</v>
      </c>
      <c r="N548" s="26">
        <f t="shared" si="70"/>
        <v>34050</v>
      </c>
      <c r="O548" s="26"/>
      <c r="P548" s="26"/>
      <c r="Q548" s="26">
        <v>24550</v>
      </c>
      <c r="R548" s="26"/>
      <c r="S548" s="26"/>
      <c r="T548" s="26">
        <v>9500</v>
      </c>
      <c r="U548" s="26"/>
      <c r="V548" s="26"/>
      <c r="W548" s="26"/>
      <c r="X548" s="26"/>
      <c r="Y548" s="26"/>
      <c r="Z548" s="26"/>
      <c r="AA548" s="263">
        <v>0.499</v>
      </c>
      <c r="AB548" s="26"/>
      <c r="AC548" s="26"/>
      <c r="AD548" s="26">
        <v>24304.5</v>
      </c>
      <c r="AE548" s="26"/>
      <c r="AF548" s="26"/>
      <c r="AG548" s="26">
        <v>4759.66</v>
      </c>
      <c r="AH548" s="26"/>
      <c r="AI548" s="26"/>
      <c r="AJ548" s="26"/>
      <c r="AK548" s="26"/>
      <c r="AL548" s="26"/>
      <c r="AM548" s="26"/>
      <c r="AN548" s="26">
        <f t="shared" si="66"/>
        <v>29064.16</v>
      </c>
      <c r="AO548" s="26" t="s">
        <v>77</v>
      </c>
      <c r="AP548" s="26"/>
      <c r="AQ548" s="26"/>
      <c r="AR548" s="61">
        <v>43780</v>
      </c>
      <c r="AS548" s="26"/>
      <c r="AT548" s="308"/>
      <c r="AU548" s="26"/>
      <c r="AV548" s="26"/>
      <c r="AW548" s="26"/>
      <c r="AX548" s="26"/>
      <c r="AY548" s="26"/>
      <c r="AZ548" s="308"/>
      <c r="BA548" s="308"/>
      <c r="BB548" s="26"/>
      <c r="BC548" s="26"/>
      <c r="BD548" s="26"/>
      <c r="BE548" s="297"/>
      <c r="BF548" s="298">
        <f t="shared" si="58"/>
        <v>0</v>
      </c>
      <c r="BG548" s="297" t="e">
        <f>VLOOKUP(B548,[1]Sheet2!$B:$X,23,0)</f>
        <v>#N/A</v>
      </c>
    </row>
    <row r="549" spans="1:59" s="28" customFormat="1" ht="33" customHeight="1">
      <c r="A549" s="26" t="s">
        <v>2652</v>
      </c>
      <c r="B549" s="26" t="s">
        <v>2653</v>
      </c>
      <c r="C549" s="26" t="s">
        <v>2654</v>
      </c>
      <c r="D549" s="26" t="s">
        <v>2655</v>
      </c>
      <c r="E549" s="26" t="s">
        <v>265</v>
      </c>
      <c r="F549" s="26" t="s">
        <v>2104</v>
      </c>
      <c r="G549" s="26"/>
      <c r="H549" s="26"/>
      <c r="I549" s="26" t="s">
        <v>1928</v>
      </c>
      <c r="J549" s="26"/>
      <c r="K549" s="61">
        <v>43767</v>
      </c>
      <c r="L549" s="26"/>
      <c r="M549" s="26">
        <f t="shared" si="69"/>
        <v>295200</v>
      </c>
      <c r="N549" s="26">
        <f t="shared" si="70"/>
        <v>295200</v>
      </c>
      <c r="O549" s="26"/>
      <c r="P549" s="26"/>
      <c r="Q549" s="26">
        <v>118080</v>
      </c>
      <c r="R549" s="26"/>
      <c r="S549" s="26"/>
      <c r="T549" s="26"/>
      <c r="U549" s="26">
        <v>177120</v>
      </c>
      <c r="V549" s="26"/>
      <c r="W549" s="26"/>
      <c r="X549" s="26"/>
      <c r="Y549" s="26"/>
      <c r="Z549" s="26"/>
      <c r="AA549" s="364">
        <v>0.08</v>
      </c>
      <c r="AB549" s="26"/>
      <c r="AC549" s="26"/>
      <c r="AD549" s="26">
        <v>116899.2</v>
      </c>
      <c r="AE549" s="26"/>
      <c r="AF549" s="26"/>
      <c r="AG549" s="26"/>
      <c r="AH549" s="26">
        <v>162596.16</v>
      </c>
      <c r="AI549" s="26"/>
      <c r="AJ549" s="26"/>
      <c r="AK549" s="26"/>
      <c r="AL549" s="26"/>
      <c r="AM549" s="26"/>
      <c r="AN549" s="26">
        <f t="shared" si="66"/>
        <v>279495.36</v>
      </c>
      <c r="AO549" s="26" t="s">
        <v>286</v>
      </c>
      <c r="AP549" s="26"/>
      <c r="AQ549" s="26"/>
      <c r="AR549" s="61">
        <v>43780</v>
      </c>
      <c r="AS549" s="26"/>
      <c r="AT549" s="308"/>
      <c r="AU549" s="26"/>
      <c r="AV549" s="26"/>
      <c r="AW549" s="26"/>
      <c r="AX549" s="26"/>
      <c r="AY549" s="26"/>
      <c r="AZ549" s="308"/>
      <c r="BA549" s="308"/>
      <c r="BB549" s="26"/>
      <c r="BC549" s="26"/>
      <c r="BD549" s="26"/>
      <c r="BE549" s="297"/>
      <c r="BF549" s="298">
        <f t="shared" si="58"/>
        <v>0</v>
      </c>
      <c r="BG549" s="297" t="e">
        <f>VLOOKUP(B549,[1]Sheet2!$B:$X,23,0)</f>
        <v>#N/A</v>
      </c>
    </row>
    <row r="550" spans="1:59" s="28" customFormat="1" ht="33" customHeight="1">
      <c r="A550" s="26" t="s">
        <v>2656</v>
      </c>
      <c r="B550" s="26" t="s">
        <v>2657</v>
      </c>
      <c r="C550" s="26" t="s">
        <v>2658</v>
      </c>
      <c r="D550" s="26" t="s">
        <v>2659</v>
      </c>
      <c r="E550" s="26" t="s">
        <v>265</v>
      </c>
      <c r="F550" s="26" t="s">
        <v>2104</v>
      </c>
      <c r="G550" s="26"/>
      <c r="H550" s="26"/>
      <c r="I550" s="26" t="s">
        <v>1928</v>
      </c>
      <c r="J550" s="26"/>
      <c r="K550" s="61">
        <v>43767</v>
      </c>
      <c r="L550" s="26"/>
      <c r="M550" s="26">
        <f t="shared" si="69"/>
        <v>88900</v>
      </c>
      <c r="N550" s="26">
        <f t="shared" si="70"/>
        <v>88900</v>
      </c>
      <c r="O550" s="26"/>
      <c r="P550" s="26"/>
      <c r="Q550" s="26"/>
      <c r="R550" s="26"/>
      <c r="S550" s="26"/>
      <c r="T550" s="26"/>
      <c r="U550" s="26">
        <v>88900</v>
      </c>
      <c r="V550" s="26"/>
      <c r="W550" s="26"/>
      <c r="X550" s="26"/>
      <c r="Y550" s="26"/>
      <c r="Z550" s="26"/>
      <c r="AA550" s="364">
        <v>0.08</v>
      </c>
      <c r="AB550" s="26"/>
      <c r="AC550" s="26"/>
      <c r="AD550" s="26"/>
      <c r="AE550" s="26"/>
      <c r="AF550" s="26"/>
      <c r="AG550" s="26"/>
      <c r="AH550" s="26">
        <v>81699.05</v>
      </c>
      <c r="AI550" s="26"/>
      <c r="AJ550" s="26"/>
      <c r="AK550" s="26"/>
      <c r="AL550" s="26"/>
      <c r="AM550" s="26"/>
      <c r="AN550" s="26">
        <f t="shared" si="66"/>
        <v>81699.05</v>
      </c>
      <c r="AO550" s="26" t="s">
        <v>286</v>
      </c>
      <c r="AP550" s="26"/>
      <c r="AQ550" s="26"/>
      <c r="AR550" s="61">
        <v>43780</v>
      </c>
      <c r="AS550" s="26"/>
      <c r="AT550" s="308"/>
      <c r="AU550" s="26"/>
      <c r="AV550" s="26"/>
      <c r="AW550" s="26"/>
      <c r="AX550" s="26"/>
      <c r="AY550" s="26"/>
      <c r="AZ550" s="308"/>
      <c r="BA550" s="308"/>
      <c r="BB550" s="26"/>
      <c r="BC550" s="26"/>
      <c r="BD550" s="26"/>
      <c r="BE550" s="297"/>
      <c r="BF550" s="298">
        <f t="shared" si="58"/>
        <v>0</v>
      </c>
      <c r="BG550" s="297" t="e">
        <f>VLOOKUP(B550,[1]Sheet2!$B:$X,23,0)</f>
        <v>#N/A</v>
      </c>
    </row>
    <row r="551" spans="1:59" s="28" customFormat="1" ht="33" customHeight="1">
      <c r="A551" s="26" t="s">
        <v>2660</v>
      </c>
      <c r="B551" s="26" t="s">
        <v>2661</v>
      </c>
      <c r="C551" s="26" t="s">
        <v>2662</v>
      </c>
      <c r="D551" s="26" t="s">
        <v>2663</v>
      </c>
      <c r="E551" s="26" t="s">
        <v>224</v>
      </c>
      <c r="F551" s="26" t="s">
        <v>315</v>
      </c>
      <c r="G551" s="26"/>
      <c r="H551" s="26"/>
      <c r="I551" s="26" t="s">
        <v>1004</v>
      </c>
      <c r="J551" s="26"/>
      <c r="K551" s="61">
        <v>43770</v>
      </c>
      <c r="L551" s="26"/>
      <c r="M551" s="26">
        <f t="shared" si="69"/>
        <v>600000</v>
      </c>
      <c r="N551" s="26">
        <f t="shared" si="70"/>
        <v>600000</v>
      </c>
      <c r="O551" s="26"/>
      <c r="P551" s="26"/>
      <c r="Q551" s="26">
        <v>220280</v>
      </c>
      <c r="R551" s="26"/>
      <c r="S551" s="26"/>
      <c r="T551" s="26">
        <v>379720</v>
      </c>
      <c r="U551" s="26"/>
      <c r="V551" s="26"/>
      <c r="W551" s="26"/>
      <c r="X551" s="26"/>
      <c r="Y551" s="26"/>
      <c r="Z551" s="26"/>
      <c r="AA551" s="364">
        <v>0.1</v>
      </c>
      <c r="AB551" s="26"/>
      <c r="AC551" s="26"/>
      <c r="AD551" s="26">
        <v>216270.7</v>
      </c>
      <c r="AE551" s="26"/>
      <c r="AF551" s="26"/>
      <c r="AG551" s="26">
        <v>341746.61</v>
      </c>
      <c r="AH551" s="26"/>
      <c r="AI551" s="26"/>
      <c r="AJ551" s="26"/>
      <c r="AK551" s="26"/>
      <c r="AL551" s="26"/>
      <c r="AM551" s="26"/>
      <c r="AN551" s="26">
        <f t="shared" si="66"/>
        <v>558017.31000000006</v>
      </c>
      <c r="AO551" s="26" t="s">
        <v>1021</v>
      </c>
      <c r="AP551" s="26"/>
      <c r="AQ551" s="26"/>
      <c r="AR551" s="61">
        <v>43777</v>
      </c>
      <c r="AS551" s="26"/>
      <c r="AT551" s="308"/>
      <c r="AU551" s="26"/>
      <c r="AV551" s="26"/>
      <c r="AW551" s="26"/>
      <c r="AX551" s="26"/>
      <c r="AY551" s="26"/>
      <c r="AZ551" s="308"/>
      <c r="BA551" s="308"/>
      <c r="BB551" s="26"/>
      <c r="BC551" s="26"/>
      <c r="BD551" s="26"/>
      <c r="BE551" s="297"/>
      <c r="BF551" s="298">
        <f t="shared" si="58"/>
        <v>0</v>
      </c>
      <c r="BG551" s="297" t="e">
        <f>VLOOKUP(B551,[1]Sheet2!$B:$X,23,0)</f>
        <v>#N/A</v>
      </c>
    </row>
    <row r="552" spans="1:59" s="28" customFormat="1" ht="33" customHeight="1">
      <c r="A552" s="26" t="s">
        <v>2664</v>
      </c>
      <c r="B552" s="26" t="s">
        <v>2665</v>
      </c>
      <c r="C552" s="26" t="s">
        <v>2666</v>
      </c>
      <c r="D552" s="26" t="s">
        <v>2581</v>
      </c>
      <c r="E552" s="26" t="s">
        <v>83</v>
      </c>
      <c r="F552" s="26" t="s">
        <v>2104</v>
      </c>
      <c r="G552" s="26"/>
      <c r="H552" s="26"/>
      <c r="I552" s="26" t="s">
        <v>2060</v>
      </c>
      <c r="J552" s="26"/>
      <c r="K552" s="61">
        <v>43777</v>
      </c>
      <c r="L552" s="26"/>
      <c r="M552" s="26">
        <f t="shared" si="69"/>
        <v>56135</v>
      </c>
      <c r="N552" s="26">
        <f t="shared" si="70"/>
        <v>56135</v>
      </c>
      <c r="O552" s="26"/>
      <c r="P552" s="26"/>
      <c r="Q552" s="26"/>
      <c r="R552" s="26"/>
      <c r="S552" s="26"/>
      <c r="T552" s="26">
        <v>56135</v>
      </c>
      <c r="U552" s="26"/>
      <c r="V552" s="26"/>
      <c r="W552" s="26"/>
      <c r="X552" s="26"/>
      <c r="Y552" s="26"/>
      <c r="Z552" s="26"/>
      <c r="AA552" s="364">
        <v>0.15</v>
      </c>
      <c r="AB552" s="26"/>
      <c r="AC552" s="26"/>
      <c r="AD552" s="26"/>
      <c r="AE552" s="26"/>
      <c r="AF552" s="26"/>
      <c r="AG552" s="26">
        <v>47643.9</v>
      </c>
      <c r="AH552" s="26"/>
      <c r="AI552" s="26"/>
      <c r="AJ552" s="26"/>
      <c r="AK552" s="26"/>
      <c r="AL552" s="26"/>
      <c r="AM552" s="26"/>
      <c r="AN552" s="26">
        <f>SUM(AB552:AL552)</f>
        <v>47643.9</v>
      </c>
      <c r="AO552" s="26" t="s">
        <v>1258</v>
      </c>
      <c r="AP552" s="26"/>
      <c r="AQ552" s="26"/>
      <c r="AR552" s="61">
        <v>43777</v>
      </c>
      <c r="AS552" s="26"/>
      <c r="AT552" s="308"/>
      <c r="AU552" s="26"/>
      <c r="AV552" s="26"/>
      <c r="AW552" s="26"/>
      <c r="AX552" s="26"/>
      <c r="AY552" s="26"/>
      <c r="AZ552" s="308"/>
      <c r="BA552" s="308"/>
      <c r="BB552" s="26"/>
      <c r="BC552" s="26"/>
      <c r="BD552" s="26"/>
      <c r="BE552" s="297"/>
      <c r="BF552" s="298"/>
      <c r="BG552" s="297" t="str">
        <f>VLOOKUP(B552,[1]Sheet2!$B:$X,23,0)</f>
        <v>李天慈</v>
      </c>
    </row>
    <row r="553" spans="1:59" s="28" customFormat="1" ht="33" customHeight="1">
      <c r="A553" s="26" t="s">
        <v>2667</v>
      </c>
      <c r="B553" s="26" t="s">
        <v>2668</v>
      </c>
      <c r="C553" s="26" t="s">
        <v>2669</v>
      </c>
      <c r="D553" s="26" t="s">
        <v>2670</v>
      </c>
      <c r="E553" s="26" t="s">
        <v>92</v>
      </c>
      <c r="F553" s="26" t="s">
        <v>1277</v>
      </c>
      <c r="G553" s="26"/>
      <c r="H553" s="26"/>
      <c r="I553" s="26" t="s">
        <v>1951</v>
      </c>
      <c r="J553" s="26"/>
      <c r="K553" s="61">
        <v>43777</v>
      </c>
      <c r="L553" s="26"/>
      <c r="M553" s="26">
        <f>SUM(N553,W553)</f>
        <v>201600</v>
      </c>
      <c r="N553" s="26">
        <f>SUM(O553:V553)</f>
        <v>201600</v>
      </c>
      <c r="O553" s="26"/>
      <c r="P553" s="26"/>
      <c r="Q553" s="26"/>
      <c r="R553" s="26"/>
      <c r="S553" s="26"/>
      <c r="T553" s="26"/>
      <c r="U553" s="26">
        <v>201600</v>
      </c>
      <c r="V553" s="26"/>
      <c r="W553" s="26"/>
      <c r="X553" s="26"/>
      <c r="Y553" s="26"/>
      <c r="Z553" s="26"/>
      <c r="AA553" s="364">
        <v>0.1</v>
      </c>
      <c r="AB553" s="26"/>
      <c r="AC553" s="26"/>
      <c r="AD553" s="26"/>
      <c r="AE553" s="26"/>
      <c r="AF553" s="26"/>
      <c r="AG553" s="26"/>
      <c r="AH553" s="26">
        <v>180432</v>
      </c>
      <c r="AI553" s="26"/>
      <c r="AJ553" s="26"/>
      <c r="AK553" s="26"/>
      <c r="AL553" s="26"/>
      <c r="AM553" s="26"/>
      <c r="AN553" s="26">
        <f>SUM(AB553:AL553)</f>
        <v>180432</v>
      </c>
      <c r="AO553" s="26" t="s">
        <v>1843</v>
      </c>
      <c r="AP553" s="26"/>
      <c r="AQ553" s="26"/>
      <c r="AR553" s="61">
        <v>43780</v>
      </c>
      <c r="AS553" s="26"/>
      <c r="AT553" s="308"/>
      <c r="AU553" s="26"/>
      <c r="AV553" s="26"/>
      <c r="AW553" s="26"/>
      <c r="AX553" s="26"/>
      <c r="AY553" s="26"/>
      <c r="AZ553" s="308"/>
      <c r="BA553" s="308"/>
      <c r="BB553" s="26"/>
      <c r="BC553" s="26"/>
      <c r="BD553" s="26"/>
      <c r="BE553" s="297"/>
      <c r="BF553" s="298"/>
      <c r="BG553" s="297" t="e">
        <f>VLOOKUP(B553,[1]Sheet2!$B:$X,23,0)</f>
        <v>#N/A</v>
      </c>
    </row>
    <row r="554" spans="1:59" s="28" customFormat="1" ht="33" customHeight="1">
      <c r="A554" s="26" t="s">
        <v>2671</v>
      </c>
      <c r="B554" s="26" t="s">
        <v>2672</v>
      </c>
      <c r="C554" s="26" t="s">
        <v>2673</v>
      </c>
      <c r="D554" s="26" t="s">
        <v>2663</v>
      </c>
      <c r="E554" s="26" t="s">
        <v>224</v>
      </c>
      <c r="F554" s="26" t="s">
        <v>315</v>
      </c>
      <c r="G554" s="26"/>
      <c r="H554" s="26"/>
      <c r="I554" s="26" t="s">
        <v>1004</v>
      </c>
      <c r="J554" s="26"/>
      <c r="K554" s="61">
        <v>43781</v>
      </c>
      <c r="L554" s="26"/>
      <c r="M554" s="26">
        <f>SUM(N554,W554)</f>
        <v>425202</v>
      </c>
      <c r="N554" s="26">
        <f>SUM(O554:V554)</f>
        <v>425202</v>
      </c>
      <c r="O554" s="26"/>
      <c r="P554" s="26"/>
      <c r="Q554" s="26"/>
      <c r="R554" s="26"/>
      <c r="S554" s="26"/>
      <c r="T554" s="26">
        <v>425202</v>
      </c>
      <c r="U554" s="26"/>
      <c r="V554" s="26"/>
      <c r="W554" s="26"/>
      <c r="X554" s="26"/>
      <c r="Y554" s="26"/>
      <c r="Z554" s="26"/>
      <c r="AA554" s="364">
        <v>0.1</v>
      </c>
      <c r="AB554" s="26"/>
      <c r="AC554" s="26"/>
      <c r="AD554" s="26"/>
      <c r="AE554" s="26"/>
      <c r="AF554" s="26"/>
      <c r="AG554" s="26">
        <v>382681.8</v>
      </c>
      <c r="AH554" s="26"/>
      <c r="AI554" s="26"/>
      <c r="AJ554" s="26"/>
      <c r="AK554" s="26"/>
      <c r="AL554" s="26"/>
      <c r="AM554" s="26"/>
      <c r="AN554" s="26">
        <f>SUM(AB554:AL554)</f>
        <v>382681.8</v>
      </c>
      <c r="AO554" s="26" t="s">
        <v>1258</v>
      </c>
      <c r="AP554" s="26"/>
      <c r="AQ554" s="26"/>
      <c r="AR554" s="61">
        <v>43781</v>
      </c>
      <c r="AS554" s="26"/>
      <c r="AT554" s="308"/>
      <c r="AU554" s="26"/>
      <c r="AV554" s="26"/>
      <c r="AW554" s="26"/>
      <c r="AX554" s="26"/>
      <c r="AY554" s="26"/>
      <c r="AZ554" s="308"/>
      <c r="BA554" s="308"/>
      <c r="BB554" s="26"/>
      <c r="BC554" s="26"/>
      <c r="BD554" s="26"/>
      <c r="BE554" s="297"/>
      <c r="BF554" s="298"/>
      <c r="BG554" s="297" t="e">
        <f>VLOOKUP(B554,[1]Sheet2!$B:$X,23,0)</f>
        <v>#N/A</v>
      </c>
    </row>
    <row r="555" spans="1:59" s="28" customFormat="1" ht="33" customHeight="1">
      <c r="A555" s="26" t="s">
        <v>2674</v>
      </c>
      <c r="B555" s="26" t="s">
        <v>2675</v>
      </c>
      <c r="C555" s="26" t="s">
        <v>2676</v>
      </c>
      <c r="D555" s="26" t="s">
        <v>2677</v>
      </c>
      <c r="E555" s="26" t="s">
        <v>174</v>
      </c>
      <c r="F555" s="26" t="s">
        <v>315</v>
      </c>
      <c r="G555" s="26"/>
      <c r="H555" s="26"/>
      <c r="I555" s="26" t="s">
        <v>1992</v>
      </c>
      <c r="J555" s="26"/>
      <c r="K555" s="61">
        <v>43774</v>
      </c>
      <c r="L555" s="26"/>
      <c r="M555" s="26">
        <f t="shared" ref="M555:M564" si="71">SUM(N555,W555)</f>
        <v>478500</v>
      </c>
      <c r="N555" s="26">
        <f t="shared" ref="N555:N564" si="72">SUM(O555:V555)</f>
        <v>478500</v>
      </c>
      <c r="O555" s="26"/>
      <c r="P555" s="26"/>
      <c r="Q555" s="26">
        <v>212738</v>
      </c>
      <c r="R555" s="26"/>
      <c r="S555" s="26"/>
      <c r="T555" s="26">
        <v>265762</v>
      </c>
      <c r="U555" s="26"/>
      <c r="V555" s="26"/>
      <c r="W555" s="26"/>
      <c r="X555" s="26"/>
      <c r="Y555" s="26"/>
      <c r="Z555" s="26"/>
      <c r="AA555" s="26"/>
      <c r="AB555" s="26"/>
      <c r="AC555" s="26"/>
      <c r="AD555" s="26">
        <v>212718</v>
      </c>
      <c r="AE555" s="26"/>
      <c r="AF555" s="26"/>
      <c r="AG555" s="26">
        <v>217932</v>
      </c>
      <c r="AH555" s="26"/>
      <c r="AI555" s="26"/>
      <c r="AJ555" s="26"/>
      <c r="AK555" s="26"/>
      <c r="AL555" s="26"/>
      <c r="AM555" s="26"/>
      <c r="AN555" s="26">
        <f>SUM(AB555:AL555)</f>
        <v>430650</v>
      </c>
      <c r="AO555" s="37" t="s">
        <v>114</v>
      </c>
      <c r="AP555" s="26"/>
      <c r="AQ555" s="26"/>
      <c r="AR555" s="61">
        <v>43781</v>
      </c>
      <c r="AS555" s="26"/>
      <c r="AT555" s="308"/>
      <c r="AU555" s="26"/>
      <c r="AV555" s="26"/>
      <c r="AW555" s="26"/>
      <c r="AX555" s="26"/>
      <c r="AY555" s="26"/>
      <c r="AZ555" s="308"/>
      <c r="BA555" s="308"/>
      <c r="BB555" s="26"/>
      <c r="BC555" s="26"/>
      <c r="BD555" s="26"/>
      <c r="BE555" s="297"/>
      <c r="BF555" s="298"/>
      <c r="BG555" s="297" t="e">
        <f>VLOOKUP(B555,[1]Sheet2!$B:$X,23,0)</f>
        <v>#N/A</v>
      </c>
    </row>
    <row r="556" spans="1:59" s="28" customFormat="1" ht="33" customHeight="1">
      <c r="A556" s="26"/>
      <c r="B556" s="26"/>
      <c r="C556" s="26" t="s">
        <v>2678</v>
      </c>
      <c r="D556" s="26"/>
      <c r="E556" s="26"/>
      <c r="F556" s="26"/>
      <c r="G556" s="26"/>
      <c r="H556" s="26"/>
      <c r="I556" s="26"/>
      <c r="J556" s="26"/>
      <c r="K556" s="61"/>
      <c r="L556" s="26"/>
      <c r="M556" s="26">
        <f t="shared" si="71"/>
        <v>0</v>
      </c>
      <c r="N556" s="26">
        <f t="shared" si="72"/>
        <v>0</v>
      </c>
      <c r="O556" s="26"/>
      <c r="P556" s="26"/>
      <c r="Q556" s="26"/>
      <c r="R556" s="26"/>
      <c r="S556" s="26"/>
      <c r="T556" s="26"/>
      <c r="U556" s="26"/>
      <c r="V556" s="26"/>
      <c r="W556" s="26"/>
      <c r="X556" s="26"/>
      <c r="Y556" s="26"/>
      <c r="Z556" s="26"/>
      <c r="AA556" s="26"/>
      <c r="AB556" s="26"/>
      <c r="AC556" s="26"/>
      <c r="AD556" s="26"/>
      <c r="AE556" s="26"/>
      <c r="AF556" s="26"/>
      <c r="AG556" s="26"/>
      <c r="AH556" s="26"/>
      <c r="AI556" s="26"/>
      <c r="AJ556" s="26"/>
      <c r="AK556" s="26"/>
      <c r="AL556" s="26"/>
      <c r="AM556" s="26"/>
      <c r="AN556" s="26">
        <f>SUM(AB556:AL556)</f>
        <v>0</v>
      </c>
      <c r="AO556" s="26"/>
      <c r="AP556" s="26"/>
      <c r="AQ556" s="26"/>
      <c r="AR556" s="26"/>
      <c r="AS556" s="26"/>
      <c r="AT556" s="308"/>
      <c r="AU556" s="26"/>
      <c r="AV556" s="26"/>
      <c r="AW556" s="26"/>
      <c r="AX556" s="26"/>
      <c r="AY556" s="26"/>
      <c r="AZ556" s="308"/>
      <c r="BA556" s="308"/>
      <c r="BB556" s="26"/>
      <c r="BC556" s="26"/>
      <c r="BD556" s="26"/>
      <c r="BE556" s="297"/>
      <c r="BF556" s="298"/>
      <c r="BG556" s="297"/>
    </row>
    <row r="557" spans="1:59" s="28" customFormat="1" ht="33" customHeight="1">
      <c r="A557" s="26"/>
      <c r="B557" s="26"/>
      <c r="C557" s="26" t="s">
        <v>2679</v>
      </c>
      <c r="D557" s="26"/>
      <c r="E557" s="26"/>
      <c r="F557" s="26"/>
      <c r="G557" s="26"/>
      <c r="H557" s="26"/>
      <c r="I557" s="26"/>
      <c r="J557" s="26"/>
      <c r="K557" s="61"/>
      <c r="L557" s="26"/>
      <c r="M557" s="26">
        <f t="shared" si="71"/>
        <v>0</v>
      </c>
      <c r="N557" s="26">
        <f t="shared" si="72"/>
        <v>0</v>
      </c>
      <c r="O557" s="26"/>
      <c r="P557" s="26"/>
      <c r="Q557" s="26"/>
      <c r="R557" s="26"/>
      <c r="S557" s="26"/>
      <c r="T557" s="26"/>
      <c r="U557" s="26"/>
      <c r="V557" s="26"/>
      <c r="W557" s="26"/>
      <c r="X557" s="26"/>
      <c r="Y557" s="26"/>
      <c r="Z557" s="26"/>
      <c r="AA557" s="26"/>
      <c r="AB557" s="26"/>
      <c r="AC557" s="26"/>
      <c r="AD557" s="26"/>
      <c r="AE557" s="26"/>
      <c r="AF557" s="26"/>
      <c r="AG557" s="26"/>
      <c r="AH557" s="26"/>
      <c r="AI557" s="26"/>
      <c r="AJ557" s="26"/>
      <c r="AK557" s="26"/>
      <c r="AL557" s="26"/>
      <c r="AM557" s="26"/>
      <c r="AN557" s="26"/>
      <c r="AO557" s="26"/>
      <c r="AP557" s="26"/>
      <c r="AQ557" s="26"/>
      <c r="AR557" s="26"/>
      <c r="AS557" s="26"/>
      <c r="AT557" s="308"/>
      <c r="AU557" s="26"/>
      <c r="AV557" s="26"/>
      <c r="AW557" s="26"/>
      <c r="AX557" s="26"/>
      <c r="AY557" s="26"/>
      <c r="AZ557" s="308"/>
      <c r="BA557" s="308"/>
      <c r="BB557" s="26"/>
      <c r="BC557" s="26"/>
      <c r="BD557" s="26"/>
      <c r="BE557" s="297"/>
      <c r="BF557" s="298"/>
      <c r="BG557" s="297"/>
    </row>
    <row r="558" spans="1:59" s="28" customFormat="1" ht="33" customHeight="1">
      <c r="A558" s="26"/>
      <c r="B558" s="26"/>
      <c r="C558" s="26" t="s">
        <v>2680</v>
      </c>
      <c r="D558" s="26"/>
      <c r="E558" s="26"/>
      <c r="F558" s="26"/>
      <c r="G558" s="26"/>
      <c r="H558" s="26"/>
      <c r="I558" s="26"/>
      <c r="J558" s="26"/>
      <c r="K558" s="61"/>
      <c r="L558" s="26"/>
      <c r="M558" s="26">
        <f t="shared" si="71"/>
        <v>0</v>
      </c>
      <c r="N558" s="26">
        <f t="shared" si="72"/>
        <v>0</v>
      </c>
      <c r="O558" s="26"/>
      <c r="P558" s="26"/>
      <c r="Q558" s="26"/>
      <c r="R558" s="26"/>
      <c r="S558" s="26"/>
      <c r="T558" s="26"/>
      <c r="U558" s="26"/>
      <c r="V558" s="26"/>
      <c r="W558" s="26"/>
      <c r="X558" s="26"/>
      <c r="Y558" s="26"/>
      <c r="Z558" s="26"/>
      <c r="AA558" s="26"/>
      <c r="AB558" s="26"/>
      <c r="AC558" s="26"/>
      <c r="AD558" s="26"/>
      <c r="AE558" s="26"/>
      <c r="AF558" s="26"/>
      <c r="AG558" s="26"/>
      <c r="AH558" s="26"/>
      <c r="AI558" s="26"/>
      <c r="AJ558" s="26"/>
      <c r="AK558" s="26"/>
      <c r="AL558" s="26"/>
      <c r="AM558" s="26"/>
      <c r="AN558" s="26"/>
      <c r="AO558" s="26"/>
      <c r="AP558" s="26"/>
      <c r="AQ558" s="26"/>
      <c r="AR558" s="26"/>
      <c r="AS558" s="26"/>
      <c r="AT558" s="308"/>
      <c r="AU558" s="26"/>
      <c r="AV558" s="26"/>
      <c r="AW558" s="26"/>
      <c r="AX558" s="26"/>
      <c r="AY558" s="26"/>
      <c r="AZ558" s="308"/>
      <c r="BA558" s="308"/>
      <c r="BB558" s="26"/>
      <c r="BC558" s="26"/>
      <c r="BD558" s="26"/>
      <c r="BE558" s="297"/>
      <c r="BF558" s="298"/>
      <c r="BG558" s="297"/>
    </row>
    <row r="559" spans="1:59" s="28" customFormat="1" ht="33" customHeight="1">
      <c r="A559" s="26"/>
      <c r="B559" s="26"/>
      <c r="C559" s="26" t="s">
        <v>2681</v>
      </c>
      <c r="D559" s="26"/>
      <c r="E559" s="26"/>
      <c r="F559" s="26"/>
      <c r="G559" s="26"/>
      <c r="H559" s="26"/>
      <c r="I559" s="26"/>
      <c r="J559" s="26"/>
      <c r="K559" s="61"/>
      <c r="L559" s="26"/>
      <c r="M559" s="26">
        <f t="shared" si="71"/>
        <v>0</v>
      </c>
      <c r="N559" s="26">
        <f t="shared" si="72"/>
        <v>0</v>
      </c>
      <c r="O559" s="26"/>
      <c r="P559" s="26"/>
      <c r="Q559" s="26"/>
      <c r="R559" s="26"/>
      <c r="S559" s="26"/>
      <c r="T559" s="26"/>
      <c r="U559" s="26"/>
      <c r="V559" s="26"/>
      <c r="W559" s="26"/>
      <c r="X559" s="26"/>
      <c r="Y559" s="26"/>
      <c r="Z559" s="26"/>
      <c r="AA559" s="26"/>
      <c r="AB559" s="26"/>
      <c r="AC559" s="26"/>
      <c r="AD559" s="26"/>
      <c r="AE559" s="26"/>
      <c r="AF559" s="26"/>
      <c r="AG559" s="26"/>
      <c r="AH559" s="26"/>
      <c r="AI559" s="26"/>
      <c r="AJ559" s="26"/>
      <c r="AK559" s="26"/>
      <c r="AL559" s="26"/>
      <c r="AM559" s="26"/>
      <c r="AN559" s="26"/>
      <c r="AO559" s="26"/>
      <c r="AP559" s="26"/>
      <c r="AQ559" s="26"/>
      <c r="AR559" s="26"/>
      <c r="AS559" s="26"/>
      <c r="AT559" s="308"/>
      <c r="AU559" s="26"/>
      <c r="AV559" s="26"/>
      <c r="AW559" s="26"/>
      <c r="AX559" s="26"/>
      <c r="AY559" s="26"/>
      <c r="AZ559" s="308"/>
      <c r="BA559" s="308"/>
      <c r="BB559" s="26"/>
      <c r="BC559" s="26"/>
      <c r="BD559" s="26"/>
      <c r="BE559" s="297"/>
      <c r="BF559" s="298"/>
      <c r="BG559" s="297"/>
    </row>
    <row r="560" spans="1:59" s="28" customFormat="1" ht="33" customHeight="1">
      <c r="A560" s="26"/>
      <c r="B560" s="26"/>
      <c r="C560" s="26" t="s">
        <v>2682</v>
      </c>
      <c r="D560" s="26"/>
      <c r="E560" s="26"/>
      <c r="F560" s="26"/>
      <c r="G560" s="26"/>
      <c r="H560" s="26"/>
      <c r="I560" s="26"/>
      <c r="J560" s="26"/>
      <c r="K560" s="61"/>
      <c r="L560" s="26"/>
      <c r="M560" s="26">
        <f t="shared" si="71"/>
        <v>0</v>
      </c>
      <c r="N560" s="26">
        <f t="shared" si="72"/>
        <v>0</v>
      </c>
      <c r="O560" s="26"/>
      <c r="P560" s="26"/>
      <c r="Q560" s="26"/>
      <c r="R560" s="26"/>
      <c r="S560" s="26"/>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308"/>
      <c r="AU560" s="26"/>
      <c r="AV560" s="26"/>
      <c r="AW560" s="26"/>
      <c r="AX560" s="26"/>
      <c r="AY560" s="26"/>
      <c r="AZ560" s="308"/>
      <c r="BA560" s="308"/>
      <c r="BB560" s="26"/>
      <c r="BC560" s="26"/>
      <c r="BD560" s="26"/>
      <c r="BE560" s="297"/>
      <c r="BF560" s="298"/>
      <c r="BG560" s="297"/>
    </row>
    <row r="561" spans="1:59" s="28" customFormat="1" ht="33" customHeight="1">
      <c r="A561" s="26"/>
      <c r="B561" s="26"/>
      <c r="C561" s="26" t="s">
        <v>2683</v>
      </c>
      <c r="D561" s="26"/>
      <c r="E561" s="26"/>
      <c r="F561" s="26"/>
      <c r="G561" s="26"/>
      <c r="H561" s="26"/>
      <c r="I561" s="26"/>
      <c r="J561" s="26"/>
      <c r="K561" s="61"/>
      <c r="L561" s="26"/>
      <c r="M561" s="26">
        <f t="shared" si="71"/>
        <v>0</v>
      </c>
      <c r="N561" s="26">
        <f t="shared" si="72"/>
        <v>0</v>
      </c>
      <c r="O561" s="26"/>
      <c r="P561" s="26"/>
      <c r="Q561" s="26"/>
      <c r="R561" s="26"/>
      <c r="S561" s="26"/>
      <c r="T561" s="26"/>
      <c r="U561" s="26"/>
      <c r="V561" s="26"/>
      <c r="W561" s="26"/>
      <c r="X561" s="26"/>
      <c r="Y561" s="26"/>
      <c r="Z561" s="26"/>
      <c r="AA561" s="26"/>
      <c r="AB561" s="26"/>
      <c r="AC561" s="26"/>
      <c r="AD561" s="26"/>
      <c r="AE561" s="26"/>
      <c r="AF561" s="26"/>
      <c r="AG561" s="26"/>
      <c r="AH561" s="26"/>
      <c r="AI561" s="26"/>
      <c r="AJ561" s="26"/>
      <c r="AK561" s="26"/>
      <c r="AL561" s="26"/>
      <c r="AM561" s="26"/>
      <c r="AN561" s="26"/>
      <c r="AO561" s="26"/>
      <c r="AP561" s="26"/>
      <c r="AQ561" s="26"/>
      <c r="AR561" s="26"/>
      <c r="AS561" s="26"/>
      <c r="AT561" s="308"/>
      <c r="AU561" s="26"/>
      <c r="AV561" s="26"/>
      <c r="AW561" s="26"/>
      <c r="AX561" s="26"/>
      <c r="AY561" s="26"/>
      <c r="AZ561" s="308"/>
      <c r="BA561" s="308"/>
      <c r="BB561" s="26"/>
      <c r="BC561" s="26"/>
      <c r="BD561" s="26"/>
      <c r="BE561" s="297"/>
      <c r="BF561" s="298"/>
      <c r="BG561" s="297"/>
    </row>
    <row r="562" spans="1:59" s="28" customFormat="1" ht="33" customHeight="1">
      <c r="A562" s="26"/>
      <c r="B562" s="26"/>
      <c r="C562" s="26" t="s">
        <v>2684</v>
      </c>
      <c r="D562" s="26"/>
      <c r="E562" s="26"/>
      <c r="F562" s="26"/>
      <c r="G562" s="26"/>
      <c r="H562" s="26"/>
      <c r="I562" s="26"/>
      <c r="J562" s="26"/>
      <c r="K562" s="61"/>
      <c r="L562" s="26"/>
      <c r="M562" s="26">
        <f t="shared" si="71"/>
        <v>0</v>
      </c>
      <c r="N562" s="26">
        <f t="shared" si="72"/>
        <v>0</v>
      </c>
      <c r="O562" s="26"/>
      <c r="P562" s="26"/>
      <c r="Q562" s="26"/>
      <c r="R562" s="26"/>
      <c r="S562" s="26"/>
      <c r="T562" s="26"/>
      <c r="U562" s="26"/>
      <c r="V562" s="26"/>
      <c r="W562" s="26"/>
      <c r="X562" s="26"/>
      <c r="Y562" s="26"/>
      <c r="Z562" s="26"/>
      <c r="AA562" s="26"/>
      <c r="AB562" s="26"/>
      <c r="AC562" s="26"/>
      <c r="AD562" s="26"/>
      <c r="AE562" s="26"/>
      <c r="AF562" s="26"/>
      <c r="AG562" s="26"/>
      <c r="AH562" s="26"/>
      <c r="AI562" s="26"/>
      <c r="AJ562" s="26"/>
      <c r="AK562" s="26"/>
      <c r="AL562" s="26"/>
      <c r="AM562" s="26"/>
      <c r="AN562" s="26"/>
      <c r="AO562" s="26"/>
      <c r="AP562" s="26"/>
      <c r="AQ562" s="26"/>
      <c r="AR562" s="26"/>
      <c r="AS562" s="26"/>
      <c r="AT562" s="308"/>
      <c r="AU562" s="26"/>
      <c r="AV562" s="26"/>
      <c r="AW562" s="26"/>
      <c r="AX562" s="26"/>
      <c r="AY562" s="26"/>
      <c r="AZ562" s="308"/>
      <c r="BA562" s="308"/>
      <c r="BB562" s="26"/>
      <c r="BC562" s="26"/>
      <c r="BD562" s="26"/>
      <c r="BE562" s="297"/>
      <c r="BF562" s="298"/>
      <c r="BG562" s="297"/>
    </row>
    <row r="563" spans="1:59" s="28" customFormat="1" ht="33" customHeight="1">
      <c r="A563" s="26"/>
      <c r="B563" s="26"/>
      <c r="C563" s="26" t="s">
        <v>2685</v>
      </c>
      <c r="D563" s="26"/>
      <c r="E563" s="26"/>
      <c r="F563" s="26"/>
      <c r="G563" s="26"/>
      <c r="H563" s="26"/>
      <c r="I563" s="26"/>
      <c r="J563" s="26"/>
      <c r="K563" s="61"/>
      <c r="L563" s="26"/>
      <c r="M563" s="26">
        <f t="shared" si="71"/>
        <v>0</v>
      </c>
      <c r="N563" s="26">
        <f t="shared" si="72"/>
        <v>0</v>
      </c>
      <c r="O563" s="26"/>
      <c r="P563" s="26"/>
      <c r="Q563" s="26"/>
      <c r="R563" s="26"/>
      <c r="S563" s="26"/>
      <c r="T563" s="26"/>
      <c r="U563" s="26"/>
      <c r="V563" s="26"/>
      <c r="W563" s="26"/>
      <c r="X563" s="26"/>
      <c r="Y563" s="26"/>
      <c r="Z563" s="26"/>
      <c r="AA563" s="26"/>
      <c r="AB563" s="26"/>
      <c r="AC563" s="26"/>
      <c r="AD563" s="26"/>
      <c r="AE563" s="26"/>
      <c r="AF563" s="26"/>
      <c r="AG563" s="26"/>
      <c r="AH563" s="26"/>
      <c r="AI563" s="26"/>
      <c r="AJ563" s="26"/>
      <c r="AK563" s="26"/>
      <c r="AL563" s="26"/>
      <c r="AM563" s="26"/>
      <c r="AN563" s="26"/>
      <c r="AO563" s="26"/>
      <c r="AP563" s="26"/>
      <c r="AQ563" s="26"/>
      <c r="AR563" s="26"/>
      <c r="AS563" s="26"/>
      <c r="AT563" s="308"/>
      <c r="AU563" s="26"/>
      <c r="AV563" s="26"/>
      <c r="AW563" s="26"/>
      <c r="AX563" s="26"/>
      <c r="AY563" s="26"/>
      <c r="AZ563" s="308"/>
      <c r="BA563" s="308"/>
      <c r="BB563" s="26"/>
      <c r="BC563" s="26"/>
      <c r="BD563" s="26"/>
      <c r="BE563" s="297"/>
      <c r="BF563" s="298"/>
      <c r="BG563" s="297"/>
    </row>
    <row r="564" spans="1:59" s="28" customFormat="1" ht="33" customHeight="1">
      <c r="A564" s="26"/>
      <c r="B564" s="26"/>
      <c r="C564" s="26"/>
      <c r="D564" s="26"/>
      <c r="E564" s="26"/>
      <c r="F564" s="26"/>
      <c r="G564" s="26"/>
      <c r="H564" s="26"/>
      <c r="I564" s="26"/>
      <c r="J564" s="26"/>
      <c r="K564" s="61"/>
      <c r="L564" s="26"/>
      <c r="M564" s="26">
        <f t="shared" si="71"/>
        <v>0</v>
      </c>
      <c r="N564" s="26">
        <f t="shared" si="72"/>
        <v>0</v>
      </c>
      <c r="O564" s="26"/>
      <c r="P564" s="26"/>
      <c r="Q564" s="26"/>
      <c r="R564" s="26"/>
      <c r="S564" s="26"/>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308"/>
      <c r="AU564" s="26"/>
      <c r="AV564" s="26"/>
      <c r="AW564" s="26"/>
      <c r="AX564" s="26"/>
      <c r="AY564" s="26"/>
      <c r="AZ564" s="308"/>
      <c r="BA564" s="308"/>
      <c r="BB564" s="26"/>
      <c r="BC564" s="26"/>
      <c r="BD564" s="26"/>
      <c r="BE564" s="297"/>
      <c r="BF564" s="298"/>
      <c r="BG564" s="297"/>
    </row>
    <row r="565" spans="1:59" ht="33" customHeight="1">
      <c r="A565" s="26"/>
      <c r="B565" s="26"/>
      <c r="C565" s="26"/>
      <c r="D565" s="26"/>
      <c r="E565" s="26"/>
      <c r="F565" s="26"/>
      <c r="G565" s="26"/>
      <c r="H565" s="26"/>
      <c r="I565" s="26"/>
      <c r="J565" s="26"/>
      <c r="K565" s="61"/>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5"/>
      <c r="AS565" s="5"/>
      <c r="AT565" s="308"/>
      <c r="AU565" s="26"/>
      <c r="AV565" s="26"/>
      <c r="AW565" s="26"/>
      <c r="AX565" s="26"/>
      <c r="AY565" s="26"/>
      <c r="AZ565" s="308"/>
      <c r="BA565" s="308"/>
      <c r="BB565" s="26"/>
      <c r="BC565" s="26"/>
      <c r="BD565" s="26"/>
    </row>
    <row r="566" spans="1:59" ht="33" customHeight="1">
      <c r="A566" s="26"/>
      <c r="B566" s="26"/>
      <c r="C566" s="26"/>
      <c r="D566" s="26"/>
      <c r="E566" s="26"/>
      <c r="F566" s="26"/>
      <c r="G566" s="26"/>
      <c r="H566" s="26"/>
      <c r="I566" s="26"/>
      <c r="J566" s="26"/>
      <c r="K566" s="61"/>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c r="AK566" s="26"/>
      <c r="AL566" s="26"/>
      <c r="AM566" s="26"/>
      <c r="AN566" s="26"/>
      <c r="AO566" s="26"/>
      <c r="AP566" s="26"/>
      <c r="AQ566" s="26"/>
      <c r="AR566" s="5"/>
      <c r="AS566" s="5"/>
      <c r="AT566" s="308"/>
      <c r="AU566" s="26"/>
      <c r="AV566" s="26"/>
      <c r="AW566" s="26"/>
      <c r="AX566" s="26"/>
      <c r="AY566" s="26"/>
      <c r="AZ566" s="308"/>
      <c r="BA566" s="308"/>
      <c r="BB566" s="26"/>
      <c r="BC566" s="26"/>
      <c r="BD566" s="26"/>
    </row>
    <row r="567" spans="1:59" ht="33" customHeight="1">
      <c r="A567" s="26"/>
      <c r="B567" s="26"/>
      <c r="C567" s="26"/>
      <c r="D567" s="26"/>
      <c r="E567" s="26"/>
      <c r="F567" s="26"/>
      <c r="G567" s="26"/>
      <c r="H567" s="26"/>
      <c r="I567" s="26"/>
      <c r="J567" s="26"/>
      <c r="K567" s="61"/>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c r="AP567" s="26"/>
      <c r="AQ567" s="26"/>
      <c r="AR567" s="5"/>
      <c r="AS567" s="5"/>
      <c r="AT567" s="308"/>
      <c r="AU567" s="26"/>
      <c r="AV567" s="26"/>
      <c r="AW567" s="26"/>
      <c r="AX567" s="26"/>
      <c r="AY567" s="26"/>
      <c r="AZ567" s="308"/>
      <c r="BA567" s="308"/>
      <c r="BB567" s="26"/>
      <c r="BC567" s="26"/>
      <c r="BD567" s="26"/>
    </row>
    <row r="568" spans="1:59" ht="33" customHeight="1">
      <c r="A568" s="26"/>
      <c r="B568" s="26"/>
      <c r="C568" s="26"/>
      <c r="D568" s="26"/>
      <c r="E568" s="26"/>
      <c r="F568" s="26"/>
      <c r="G568" s="26"/>
      <c r="H568" s="26"/>
      <c r="I568" s="26"/>
      <c r="J568" s="26"/>
      <c r="K568" s="61"/>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c r="AR568" s="5"/>
      <c r="AS568" s="5"/>
      <c r="AT568" s="308"/>
      <c r="AU568" s="26"/>
      <c r="AV568" s="26"/>
      <c r="AW568" s="26"/>
      <c r="AX568" s="26"/>
      <c r="AY568" s="26"/>
      <c r="AZ568" s="308"/>
      <c r="BA568" s="308"/>
      <c r="BB568" s="26"/>
      <c r="BC568" s="26"/>
      <c r="BD568" s="26"/>
    </row>
    <row r="569" spans="1:59" ht="33" customHeight="1">
      <c r="A569" s="26"/>
      <c r="B569" s="26"/>
      <c r="C569" s="26"/>
      <c r="D569" s="26"/>
      <c r="E569" s="26"/>
      <c r="F569" s="26"/>
      <c r="G569" s="26"/>
      <c r="H569" s="26"/>
      <c r="I569" s="26"/>
      <c r="J569" s="26"/>
      <c r="K569" s="61"/>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c r="AR569" s="5"/>
      <c r="AS569" s="5"/>
      <c r="AT569" s="308"/>
      <c r="AU569" s="26"/>
      <c r="AV569" s="26"/>
      <c r="AW569" s="26"/>
      <c r="AX569" s="26"/>
      <c r="AY569" s="26"/>
      <c r="AZ569" s="308"/>
      <c r="BA569" s="308"/>
      <c r="BB569" s="26"/>
      <c r="BC569" s="26"/>
      <c r="BD569" s="26"/>
    </row>
    <row r="570" spans="1:59" ht="33" customHeight="1">
      <c r="A570" s="26"/>
      <c r="B570" s="26"/>
      <c r="C570" s="26"/>
      <c r="D570" s="26"/>
      <c r="E570" s="26"/>
      <c r="F570" s="26"/>
      <c r="G570" s="26"/>
      <c r="H570" s="26"/>
      <c r="I570" s="26"/>
      <c r="J570" s="26"/>
      <c r="K570" s="61"/>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c r="AR570" s="5"/>
      <c r="AS570" s="5"/>
      <c r="AT570" s="308"/>
      <c r="AU570" s="26"/>
      <c r="AV570" s="26"/>
      <c r="AW570" s="26"/>
      <c r="AX570" s="26"/>
      <c r="AY570" s="26"/>
      <c r="AZ570" s="308"/>
      <c r="BA570" s="308"/>
      <c r="BB570" s="26"/>
      <c r="BC570" s="26"/>
      <c r="BD570" s="26"/>
    </row>
    <row r="571" spans="1:59" ht="33" customHeight="1">
      <c r="A571" s="26"/>
      <c r="B571" s="26"/>
      <c r="C571" s="26"/>
      <c r="D571" s="26"/>
      <c r="E571" s="26"/>
      <c r="F571" s="26"/>
      <c r="G571" s="26"/>
      <c r="H571" s="26"/>
      <c r="I571" s="26"/>
      <c r="J571" s="26"/>
      <c r="K571" s="61"/>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c r="AR571" s="5"/>
      <c r="AS571" s="5"/>
      <c r="AT571" s="308"/>
      <c r="AU571" s="26"/>
      <c r="AV571" s="26"/>
      <c r="AW571" s="26"/>
      <c r="AX571" s="26"/>
      <c r="AY571" s="26"/>
      <c r="AZ571" s="308"/>
      <c r="BA571" s="308"/>
      <c r="BB571" s="26"/>
      <c r="BC571" s="26"/>
      <c r="BD571" s="26"/>
    </row>
    <row r="572" spans="1:59" ht="33" customHeight="1">
      <c r="A572" s="26"/>
      <c r="B572" s="26"/>
      <c r="C572" s="26"/>
      <c r="D572" s="26"/>
      <c r="E572" s="26"/>
      <c r="F572" s="26"/>
      <c r="G572" s="26"/>
      <c r="H572" s="26"/>
      <c r="I572" s="26"/>
      <c r="J572" s="26"/>
      <c r="K572" s="61"/>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c r="AR572" s="5"/>
      <c r="AS572" s="5"/>
      <c r="AT572" s="308"/>
      <c r="AU572" s="26"/>
      <c r="AV572" s="26"/>
      <c r="AW572" s="26"/>
      <c r="AX572" s="26"/>
      <c r="AY572" s="26"/>
      <c r="AZ572" s="308"/>
      <c r="BA572" s="308"/>
      <c r="BB572" s="26"/>
      <c r="BC572" s="26"/>
      <c r="BD572" s="26"/>
    </row>
    <row r="573" spans="1:59" ht="33" customHeight="1">
      <c r="A573" s="26"/>
      <c r="B573" s="26"/>
      <c r="C573" s="26"/>
      <c r="D573" s="26"/>
      <c r="E573" s="26"/>
      <c r="F573" s="26"/>
      <c r="G573" s="26"/>
      <c r="H573" s="26"/>
      <c r="I573" s="26"/>
      <c r="J573" s="26"/>
      <c r="K573" s="61"/>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c r="AR573" s="5"/>
      <c r="AS573" s="5"/>
      <c r="AT573" s="308"/>
      <c r="AU573" s="26"/>
      <c r="AV573" s="26"/>
      <c r="AW573" s="26"/>
      <c r="AX573" s="26"/>
      <c r="AY573" s="26"/>
      <c r="AZ573" s="308"/>
      <c r="BA573" s="308"/>
      <c r="BB573" s="26"/>
      <c r="BC573" s="26"/>
      <c r="BD573" s="26"/>
    </row>
    <row r="574" spans="1:59" ht="33" customHeight="1">
      <c r="A574" s="26"/>
      <c r="B574" s="26"/>
      <c r="C574" s="26"/>
      <c r="D574" s="26"/>
      <c r="E574" s="26"/>
      <c r="F574" s="26"/>
      <c r="G574" s="26"/>
      <c r="H574" s="26"/>
      <c r="I574" s="26"/>
      <c r="J574" s="26"/>
      <c r="K574" s="61"/>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c r="AK574" s="26"/>
      <c r="AL574" s="26"/>
      <c r="AM574" s="26"/>
      <c r="AN574" s="26"/>
      <c r="AO574" s="26"/>
      <c r="AP574" s="26"/>
      <c r="AQ574" s="26"/>
      <c r="AR574" s="5"/>
      <c r="AS574" s="5"/>
      <c r="AT574" s="308"/>
      <c r="AU574" s="26"/>
      <c r="AV574" s="26"/>
      <c r="AW574" s="26"/>
      <c r="AX574" s="26"/>
      <c r="AY574" s="26"/>
      <c r="AZ574" s="308"/>
      <c r="BA574" s="308"/>
      <c r="BB574" s="26"/>
      <c r="BC574" s="26"/>
      <c r="BD574" s="26"/>
    </row>
    <row r="575" spans="1:59" ht="33" customHeight="1">
      <c r="A575" s="26"/>
      <c r="B575" s="26"/>
      <c r="C575" s="26"/>
      <c r="D575" s="26"/>
      <c r="E575" s="26"/>
      <c r="F575" s="26"/>
      <c r="G575" s="26"/>
      <c r="H575" s="26"/>
      <c r="I575" s="26"/>
      <c r="J575" s="26"/>
      <c r="K575" s="61"/>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c r="AK575" s="26"/>
      <c r="AL575" s="26"/>
      <c r="AM575" s="26"/>
      <c r="AN575" s="26"/>
      <c r="AO575" s="26"/>
      <c r="AP575" s="26"/>
      <c r="AQ575" s="26"/>
      <c r="AR575" s="5"/>
      <c r="AS575" s="5"/>
      <c r="AT575" s="308"/>
      <c r="AU575" s="26"/>
      <c r="AV575" s="26"/>
      <c r="AW575" s="26"/>
      <c r="AX575" s="26"/>
      <c r="AY575" s="26"/>
      <c r="AZ575" s="308"/>
      <c r="BA575" s="308"/>
      <c r="BB575" s="26"/>
      <c r="BC575" s="26"/>
      <c r="BD575" s="26"/>
    </row>
    <row r="576" spans="1:59" ht="33" customHeight="1">
      <c r="A576" s="26"/>
      <c r="B576" s="26"/>
      <c r="C576" s="26"/>
      <c r="D576" s="26"/>
      <c r="E576" s="26"/>
      <c r="F576" s="26"/>
      <c r="G576" s="26"/>
      <c r="H576" s="26"/>
      <c r="I576" s="26"/>
      <c r="J576" s="26"/>
      <c r="K576" s="61"/>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c r="AK576" s="26"/>
      <c r="AL576" s="26"/>
      <c r="AM576" s="26"/>
      <c r="AN576" s="26"/>
      <c r="AO576" s="26"/>
      <c r="AP576" s="26"/>
      <c r="AQ576" s="26"/>
      <c r="AR576" s="5"/>
      <c r="AS576" s="5"/>
      <c r="AT576" s="308"/>
      <c r="AU576" s="26"/>
      <c r="AV576" s="26"/>
      <c r="AW576" s="26"/>
      <c r="AX576" s="26"/>
      <c r="AY576" s="26"/>
      <c r="AZ576" s="308"/>
      <c r="BA576" s="308"/>
      <c r="BB576" s="26"/>
      <c r="BC576" s="26"/>
      <c r="BD576" s="26"/>
    </row>
    <row r="577" spans="1:56" ht="33" customHeight="1">
      <c r="A577" s="26"/>
      <c r="B577" s="26"/>
      <c r="C577" s="26"/>
      <c r="D577" s="26"/>
      <c r="E577" s="26"/>
      <c r="F577" s="26"/>
      <c r="G577" s="26"/>
      <c r="H577" s="26"/>
      <c r="I577" s="26"/>
      <c r="J577" s="26"/>
      <c r="K577" s="61"/>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c r="AK577" s="26"/>
      <c r="AL577" s="26"/>
      <c r="AM577" s="26"/>
      <c r="AN577" s="26"/>
      <c r="AO577" s="26"/>
      <c r="AP577" s="26"/>
      <c r="AQ577" s="26"/>
      <c r="AR577" s="5"/>
      <c r="AS577" s="5"/>
      <c r="AT577" s="308"/>
      <c r="AU577" s="26"/>
      <c r="AV577" s="26"/>
      <c r="AW577" s="26"/>
      <c r="AX577" s="26"/>
      <c r="AY577" s="26"/>
      <c r="AZ577" s="308"/>
      <c r="BA577" s="308"/>
      <c r="BB577" s="26"/>
      <c r="BC577" s="26"/>
      <c r="BD577" s="26"/>
    </row>
    <row r="578" spans="1:56" ht="33" customHeight="1">
      <c r="A578" s="26"/>
      <c r="B578" s="26"/>
      <c r="C578" s="26"/>
      <c r="D578" s="26"/>
      <c r="E578" s="26"/>
      <c r="F578" s="26"/>
      <c r="G578" s="26"/>
      <c r="H578" s="26"/>
      <c r="I578" s="26"/>
      <c r="J578" s="26"/>
      <c r="K578" s="61"/>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c r="AK578" s="26"/>
      <c r="AL578" s="26"/>
      <c r="AM578" s="26"/>
      <c r="AN578" s="26"/>
      <c r="AO578" s="26"/>
      <c r="AP578" s="26"/>
      <c r="AQ578" s="26"/>
      <c r="AR578" s="5"/>
      <c r="AS578" s="5"/>
      <c r="AT578" s="308"/>
      <c r="AU578" s="26"/>
      <c r="AV578" s="26"/>
      <c r="AW578" s="26"/>
      <c r="AX578" s="26"/>
      <c r="AY578" s="26"/>
      <c r="AZ578" s="308"/>
      <c r="BA578" s="308"/>
      <c r="BB578" s="26"/>
      <c r="BC578" s="26"/>
      <c r="BD578" s="26"/>
    </row>
    <row r="579" spans="1:56" ht="33" customHeight="1">
      <c r="A579" s="26"/>
      <c r="B579" s="26"/>
      <c r="C579" s="26"/>
      <c r="D579" s="26"/>
      <c r="E579" s="26"/>
      <c r="F579" s="26"/>
      <c r="G579" s="26"/>
      <c r="H579" s="26"/>
      <c r="I579" s="26"/>
      <c r="J579" s="26"/>
      <c r="K579" s="61"/>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c r="AK579" s="26"/>
      <c r="AL579" s="26"/>
      <c r="AM579" s="26"/>
      <c r="AN579" s="26"/>
      <c r="AO579" s="26"/>
      <c r="AP579" s="26"/>
      <c r="AQ579" s="26"/>
      <c r="AR579" s="5"/>
      <c r="AS579" s="5"/>
      <c r="AT579" s="308"/>
      <c r="AU579" s="26"/>
      <c r="AV579" s="26"/>
      <c r="AW579" s="26"/>
      <c r="AX579" s="26"/>
      <c r="AY579" s="26"/>
      <c r="AZ579" s="308"/>
      <c r="BA579" s="308"/>
      <c r="BB579" s="26"/>
      <c r="BC579" s="26"/>
      <c r="BD579" s="26"/>
    </row>
    <row r="580" spans="1:56" ht="33" customHeight="1">
      <c r="A580" s="26"/>
      <c r="B580" s="26"/>
      <c r="C580" s="26"/>
      <c r="D580" s="26"/>
      <c r="E580" s="26"/>
      <c r="F580" s="26"/>
      <c r="G580" s="26"/>
      <c r="H580" s="26"/>
      <c r="I580" s="26"/>
      <c r="J580" s="26"/>
      <c r="K580" s="61"/>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c r="AP580" s="26"/>
      <c r="AQ580" s="26"/>
      <c r="AR580" s="5"/>
      <c r="AS580" s="5"/>
      <c r="AT580" s="308"/>
      <c r="AU580" s="26"/>
      <c r="AV580" s="26"/>
      <c r="AW580" s="26"/>
      <c r="AX580" s="26"/>
      <c r="AY580" s="26"/>
      <c r="AZ580" s="308"/>
      <c r="BA580" s="308"/>
      <c r="BB580" s="26"/>
      <c r="BC580" s="26"/>
      <c r="BD580" s="26"/>
    </row>
    <row r="581" spans="1:56" ht="33" customHeight="1">
      <c r="A581" s="26"/>
      <c r="B581" s="26"/>
      <c r="C581" s="26"/>
      <c r="D581" s="26"/>
      <c r="E581" s="26"/>
      <c r="F581" s="26"/>
      <c r="G581" s="26"/>
      <c r="H581" s="26"/>
      <c r="I581" s="26"/>
      <c r="J581" s="26"/>
      <c r="K581" s="61"/>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c r="AR581" s="5"/>
      <c r="AS581" s="5"/>
      <c r="AT581" s="308"/>
      <c r="AU581" s="26"/>
      <c r="AV581" s="26"/>
      <c r="AW581" s="26"/>
      <c r="AX581" s="26"/>
      <c r="AY581" s="26"/>
      <c r="AZ581" s="308"/>
      <c r="BA581" s="308"/>
      <c r="BB581" s="26"/>
      <c r="BC581" s="26"/>
      <c r="BD581" s="26"/>
    </row>
    <row r="582" spans="1:56" ht="33" customHeight="1">
      <c r="A582" s="26"/>
      <c r="B582" s="26"/>
      <c r="C582" s="26"/>
      <c r="D582" s="26"/>
      <c r="E582" s="26"/>
      <c r="F582" s="26"/>
      <c r="G582" s="26"/>
      <c r="H582" s="26"/>
      <c r="I582" s="26"/>
      <c r="J582" s="26"/>
      <c r="K582" s="61"/>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c r="AK582" s="26"/>
      <c r="AL582" s="26"/>
      <c r="AM582" s="26"/>
      <c r="AN582" s="26"/>
      <c r="AO582" s="26"/>
      <c r="AP582" s="26"/>
      <c r="AQ582" s="26"/>
      <c r="AR582" s="5"/>
      <c r="AS582" s="5"/>
      <c r="AT582" s="308"/>
      <c r="AU582" s="26"/>
      <c r="AV582" s="26"/>
      <c r="AW582" s="26"/>
      <c r="AX582" s="26"/>
      <c r="AY582" s="26"/>
      <c r="AZ582" s="308"/>
      <c r="BA582" s="308"/>
      <c r="BB582" s="26"/>
      <c r="BC582" s="26"/>
      <c r="BD582" s="26"/>
    </row>
    <row r="583" spans="1:56" ht="33" customHeight="1">
      <c r="A583" s="26"/>
      <c r="B583" s="26"/>
      <c r="C583" s="26"/>
      <c r="D583" s="26"/>
      <c r="E583" s="26"/>
      <c r="F583" s="26"/>
      <c r="G583" s="26"/>
      <c r="H583" s="26"/>
      <c r="I583" s="26"/>
      <c r="J583" s="26"/>
      <c r="K583" s="61"/>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5"/>
      <c r="AS583" s="5"/>
      <c r="AT583" s="308"/>
      <c r="AU583" s="26"/>
      <c r="AV583" s="26"/>
      <c r="AW583" s="26"/>
      <c r="AX583" s="26"/>
      <c r="AY583" s="26"/>
      <c r="AZ583" s="308"/>
      <c r="BA583" s="308"/>
      <c r="BB583" s="26"/>
      <c r="BC583" s="26"/>
      <c r="BD583" s="26"/>
    </row>
    <row r="584" spans="1:56" ht="33" customHeight="1">
      <c r="A584" s="26"/>
      <c r="B584" s="26"/>
      <c r="C584" s="26"/>
      <c r="D584" s="26"/>
      <c r="E584" s="26"/>
      <c r="F584" s="26"/>
      <c r="G584" s="26"/>
      <c r="H584" s="26"/>
      <c r="I584" s="26"/>
      <c r="J584" s="26"/>
      <c r="K584" s="61"/>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c r="AK584" s="26"/>
      <c r="AL584" s="26"/>
      <c r="AM584" s="26"/>
      <c r="AN584" s="26"/>
      <c r="AO584" s="26"/>
      <c r="AP584" s="26"/>
      <c r="AQ584" s="26"/>
      <c r="AR584" s="5"/>
      <c r="AS584" s="5"/>
      <c r="AT584" s="308"/>
      <c r="AU584" s="26"/>
      <c r="AV584" s="26"/>
      <c r="AW584" s="26"/>
      <c r="AX584" s="26"/>
      <c r="AY584" s="26"/>
      <c r="AZ584" s="308"/>
      <c r="BA584" s="308"/>
      <c r="BB584" s="26"/>
      <c r="BC584" s="26"/>
      <c r="BD584" s="26"/>
    </row>
    <row r="585" spans="1:56" ht="33" customHeight="1">
      <c r="A585" s="26"/>
      <c r="B585" s="26"/>
      <c r="C585" s="26"/>
      <c r="D585" s="26"/>
      <c r="E585" s="26"/>
      <c r="F585" s="26"/>
      <c r="G585" s="26"/>
      <c r="H585" s="26"/>
      <c r="I585" s="26"/>
      <c r="J585" s="26"/>
      <c r="K585" s="61"/>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c r="AR585" s="5"/>
      <c r="AS585" s="5"/>
      <c r="AT585" s="308"/>
      <c r="AU585" s="26"/>
      <c r="AV585" s="26"/>
      <c r="AW585" s="26"/>
      <c r="AX585" s="26"/>
      <c r="AY585" s="26"/>
      <c r="AZ585" s="308"/>
      <c r="BA585" s="308"/>
      <c r="BB585" s="26"/>
      <c r="BC585" s="26"/>
      <c r="BD585" s="26"/>
    </row>
    <row r="586" spans="1:56" ht="33" customHeight="1">
      <c r="A586" s="26"/>
      <c r="B586" s="26"/>
      <c r="C586" s="26"/>
      <c r="D586" s="26"/>
      <c r="E586" s="26"/>
      <c r="F586" s="26"/>
      <c r="G586" s="26"/>
      <c r="H586" s="26"/>
      <c r="I586" s="26"/>
      <c r="J586" s="26"/>
      <c r="K586" s="61"/>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c r="AK586" s="26"/>
      <c r="AL586" s="26"/>
      <c r="AM586" s="26"/>
      <c r="AN586" s="26"/>
      <c r="AO586" s="26"/>
      <c r="AP586" s="26"/>
      <c r="AQ586" s="26"/>
      <c r="AR586" s="5"/>
      <c r="AS586" s="5"/>
      <c r="AT586" s="308"/>
      <c r="AU586" s="26"/>
      <c r="AV586" s="26"/>
      <c r="AW586" s="26"/>
      <c r="AX586" s="26"/>
      <c r="AY586" s="26"/>
      <c r="AZ586" s="308"/>
      <c r="BA586" s="308"/>
      <c r="BB586" s="26"/>
      <c r="BC586" s="26"/>
      <c r="BD586" s="26"/>
    </row>
    <row r="587" spans="1:56" ht="33" customHeight="1">
      <c r="A587" s="26"/>
      <c r="B587" s="26"/>
      <c r="C587" s="26"/>
      <c r="D587" s="26"/>
      <c r="E587" s="26"/>
      <c r="F587" s="26"/>
      <c r="G587" s="26"/>
      <c r="H587" s="26"/>
      <c r="I587" s="26"/>
      <c r="J587" s="26"/>
      <c r="K587" s="61"/>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c r="AR587" s="5"/>
      <c r="AS587" s="5"/>
      <c r="AT587" s="308"/>
      <c r="AU587" s="26"/>
      <c r="AV587" s="26"/>
      <c r="AW587" s="26"/>
      <c r="AX587" s="26"/>
      <c r="AY587" s="26"/>
      <c r="AZ587" s="308"/>
      <c r="BA587" s="308"/>
      <c r="BB587" s="26"/>
      <c r="BC587" s="26"/>
      <c r="BD587" s="26"/>
    </row>
    <row r="588" spans="1:56" ht="33" customHeight="1">
      <c r="A588" s="26"/>
      <c r="B588" s="26"/>
      <c r="C588" s="26"/>
      <c r="D588" s="26"/>
      <c r="E588" s="26"/>
      <c r="F588" s="26"/>
      <c r="G588" s="26"/>
      <c r="H588" s="26"/>
      <c r="I588" s="26"/>
      <c r="J588" s="26"/>
      <c r="K588" s="61"/>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c r="AR588" s="5"/>
      <c r="AS588" s="5"/>
      <c r="AT588" s="308"/>
      <c r="AU588" s="26"/>
      <c r="AV588" s="26"/>
      <c r="AW588" s="26"/>
      <c r="AX588" s="26"/>
      <c r="AY588" s="26"/>
      <c r="AZ588" s="308"/>
      <c r="BA588" s="308"/>
      <c r="BB588" s="26"/>
      <c r="BC588" s="26"/>
      <c r="BD588" s="26"/>
    </row>
    <row r="589" spans="1:56" ht="33" customHeight="1">
      <c r="A589" s="26"/>
      <c r="B589" s="26"/>
      <c r="C589" s="26"/>
      <c r="D589" s="26"/>
      <c r="E589" s="26"/>
      <c r="F589" s="26"/>
      <c r="G589" s="26"/>
      <c r="H589" s="26"/>
      <c r="I589" s="26"/>
      <c r="J589" s="26"/>
      <c r="K589" s="61"/>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c r="AP589" s="26"/>
      <c r="AQ589" s="26"/>
      <c r="AR589" s="5"/>
      <c r="AS589" s="5"/>
      <c r="AT589" s="308"/>
      <c r="AU589" s="26"/>
      <c r="AV589" s="26"/>
      <c r="AW589" s="26"/>
      <c r="AX589" s="26"/>
      <c r="AY589" s="26"/>
      <c r="AZ589" s="308"/>
      <c r="BA589" s="308"/>
      <c r="BB589" s="26"/>
      <c r="BC589" s="26"/>
      <c r="BD589" s="26"/>
    </row>
    <row r="590" spans="1:56" ht="33" customHeight="1">
      <c r="A590" s="26"/>
      <c r="B590" s="26"/>
      <c r="C590" s="26"/>
      <c r="D590" s="26"/>
      <c r="E590" s="26"/>
      <c r="F590" s="26"/>
      <c r="G590" s="26"/>
      <c r="H590" s="26"/>
      <c r="I590" s="26"/>
      <c r="J590" s="26"/>
      <c r="K590" s="61"/>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c r="AR590" s="5"/>
      <c r="AS590" s="5"/>
      <c r="AT590" s="308"/>
      <c r="AU590" s="26"/>
      <c r="AV590" s="26"/>
      <c r="AW590" s="26"/>
      <c r="AX590" s="26"/>
      <c r="AY590" s="26"/>
      <c r="AZ590" s="308"/>
      <c r="BA590" s="308"/>
      <c r="BB590" s="26"/>
      <c r="BC590" s="26"/>
      <c r="BD590" s="26"/>
    </row>
    <row r="591" spans="1:56" ht="33" customHeight="1">
      <c r="A591" s="26"/>
      <c r="B591" s="26"/>
      <c r="C591" s="26"/>
      <c r="D591" s="26"/>
      <c r="E591" s="26"/>
      <c r="F591" s="26"/>
      <c r="G591" s="26"/>
      <c r="H591" s="26"/>
      <c r="I591" s="26"/>
      <c r="J591" s="26"/>
      <c r="K591" s="61"/>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c r="AR591" s="5"/>
      <c r="AS591" s="5"/>
      <c r="AT591" s="308"/>
      <c r="AU591" s="26"/>
      <c r="AV591" s="26"/>
      <c r="AW591" s="26"/>
      <c r="AX591" s="26"/>
      <c r="AY591" s="26"/>
      <c r="AZ591" s="308"/>
      <c r="BA591" s="308"/>
      <c r="BB591" s="26"/>
      <c r="BC591" s="26"/>
      <c r="BD591" s="26"/>
    </row>
    <row r="592" spans="1:56" ht="33" customHeight="1">
      <c r="A592" s="26"/>
      <c r="B592" s="26"/>
      <c r="C592" s="26"/>
      <c r="D592" s="26"/>
      <c r="E592" s="26"/>
      <c r="F592" s="26"/>
      <c r="G592" s="26"/>
      <c r="H592" s="26"/>
      <c r="I592" s="26"/>
      <c r="J592" s="26"/>
      <c r="K592" s="61"/>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c r="AR592" s="5"/>
      <c r="AS592" s="5"/>
      <c r="AT592" s="308"/>
      <c r="AU592" s="26"/>
      <c r="AV592" s="26"/>
      <c r="AW592" s="26"/>
      <c r="AX592" s="26"/>
      <c r="AY592" s="26"/>
      <c r="AZ592" s="308"/>
      <c r="BA592" s="308"/>
      <c r="BB592" s="26"/>
      <c r="BC592" s="26"/>
      <c r="BD592" s="26"/>
    </row>
    <row r="593" spans="1:56" ht="33" customHeight="1">
      <c r="A593" s="26"/>
      <c r="B593" s="26"/>
      <c r="C593" s="26"/>
      <c r="D593" s="26"/>
      <c r="E593" s="26"/>
      <c r="F593" s="26"/>
      <c r="G593" s="26"/>
      <c r="H593" s="26"/>
      <c r="I593" s="26"/>
      <c r="J593" s="26"/>
      <c r="K593" s="61"/>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c r="AR593" s="5"/>
      <c r="AS593" s="5"/>
      <c r="AT593" s="308"/>
      <c r="AU593" s="26"/>
      <c r="AV593" s="26"/>
      <c r="AW593" s="26"/>
      <c r="AX593" s="26"/>
      <c r="AY593" s="26"/>
      <c r="AZ593" s="308"/>
      <c r="BA593" s="308"/>
      <c r="BB593" s="26"/>
      <c r="BC593" s="26"/>
      <c r="BD593" s="26"/>
    </row>
    <row r="594" spans="1:56" ht="33" customHeight="1">
      <c r="A594" s="26"/>
      <c r="B594" s="26"/>
      <c r="C594" s="26"/>
      <c r="D594" s="26"/>
      <c r="E594" s="26"/>
      <c r="F594" s="26"/>
      <c r="G594" s="26"/>
      <c r="H594" s="26"/>
      <c r="I594" s="26"/>
      <c r="J594" s="26"/>
      <c r="K594" s="61"/>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c r="AR594" s="5"/>
      <c r="AS594" s="5"/>
      <c r="AT594" s="308"/>
      <c r="AU594" s="26"/>
      <c r="AV594" s="26"/>
      <c r="AW594" s="26"/>
      <c r="AX594" s="26"/>
      <c r="AY594" s="26"/>
      <c r="AZ594" s="308"/>
      <c r="BA594" s="308"/>
      <c r="BB594" s="26"/>
      <c r="BC594" s="26"/>
      <c r="BD594" s="26"/>
    </row>
    <row r="595" spans="1:56" ht="33" customHeight="1">
      <c r="A595" s="26"/>
      <c r="B595" s="26"/>
      <c r="C595" s="26"/>
      <c r="D595" s="26"/>
      <c r="E595" s="26"/>
      <c r="F595" s="26"/>
      <c r="G595" s="26"/>
      <c r="H595" s="26"/>
      <c r="I595" s="26"/>
      <c r="J595" s="26"/>
      <c r="K595" s="61"/>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c r="AK595" s="26"/>
      <c r="AL595" s="26"/>
      <c r="AM595" s="26"/>
      <c r="AN595" s="26"/>
      <c r="AO595" s="26"/>
      <c r="AP595" s="26"/>
      <c r="AQ595" s="26"/>
      <c r="AR595" s="5"/>
      <c r="AS595" s="5"/>
      <c r="AT595" s="308"/>
      <c r="AU595" s="26"/>
      <c r="AV595" s="26"/>
      <c r="AW595" s="26"/>
      <c r="AX595" s="26"/>
      <c r="AY595" s="26"/>
      <c r="AZ595" s="308"/>
      <c r="BA595" s="308"/>
      <c r="BB595" s="26"/>
      <c r="BC595" s="26"/>
      <c r="BD595" s="26"/>
    </row>
    <row r="596" spans="1:56" ht="33" customHeight="1">
      <c r="A596" s="26"/>
      <c r="B596" s="26"/>
      <c r="C596" s="26"/>
      <c r="D596" s="26"/>
      <c r="E596" s="26"/>
      <c r="F596" s="26"/>
      <c r="G596" s="26"/>
      <c r="H596" s="26"/>
      <c r="I596" s="26"/>
      <c r="J596" s="26"/>
      <c r="K596" s="61"/>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c r="AP596" s="26"/>
      <c r="AQ596" s="26"/>
      <c r="AR596" s="5"/>
      <c r="AS596" s="5"/>
      <c r="AT596" s="308"/>
      <c r="AU596" s="26"/>
      <c r="AV596" s="26"/>
      <c r="AW596" s="26"/>
      <c r="AX596" s="26"/>
      <c r="AY596" s="26"/>
      <c r="AZ596" s="308"/>
      <c r="BA596" s="308"/>
      <c r="BB596" s="26"/>
      <c r="BC596" s="26"/>
      <c r="BD596" s="26"/>
    </row>
    <row r="597" spans="1:56" ht="33" customHeight="1">
      <c r="A597" s="26"/>
      <c r="B597" s="26"/>
      <c r="C597" s="26"/>
      <c r="D597" s="26"/>
      <c r="E597" s="26"/>
      <c r="F597" s="26"/>
      <c r="G597" s="26"/>
      <c r="H597" s="26"/>
      <c r="I597" s="26"/>
      <c r="J597" s="26"/>
      <c r="K597" s="61"/>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c r="AP597" s="26"/>
      <c r="AQ597" s="26"/>
      <c r="AR597" s="5"/>
      <c r="AS597" s="5"/>
      <c r="AT597" s="308"/>
      <c r="AU597" s="26"/>
      <c r="AV597" s="26"/>
      <c r="AW597" s="26"/>
      <c r="AX597" s="26"/>
      <c r="AY597" s="26"/>
      <c r="AZ597" s="308"/>
      <c r="BA597" s="308"/>
      <c r="BB597" s="26"/>
      <c r="BC597" s="26"/>
      <c r="BD597" s="26"/>
    </row>
    <row r="598" spans="1:56" ht="33" customHeight="1">
      <c r="A598" s="26"/>
      <c r="B598" s="26"/>
      <c r="C598" s="26"/>
      <c r="D598" s="26"/>
      <c r="E598" s="26"/>
      <c r="F598" s="26"/>
      <c r="G598" s="26"/>
      <c r="H598" s="26"/>
      <c r="I598" s="26"/>
      <c r="J598" s="26"/>
      <c r="K598" s="61"/>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c r="AR598" s="5"/>
      <c r="AS598" s="5"/>
      <c r="AT598" s="308"/>
      <c r="AU598" s="26"/>
      <c r="AV598" s="26"/>
      <c r="AW598" s="26"/>
      <c r="AX598" s="26"/>
      <c r="AY598" s="26"/>
      <c r="AZ598" s="308"/>
      <c r="BA598" s="308"/>
      <c r="BB598" s="26"/>
      <c r="BC598" s="26"/>
      <c r="BD598" s="26"/>
    </row>
    <row r="599" spans="1:56" ht="33" customHeight="1">
      <c r="A599" s="26"/>
      <c r="B599" s="26"/>
      <c r="C599" s="26"/>
      <c r="D599" s="26"/>
      <c r="E599" s="26"/>
      <c r="F599" s="26"/>
      <c r="G599" s="26"/>
      <c r="H599" s="26"/>
      <c r="I599" s="26"/>
      <c r="J599" s="26"/>
      <c r="K599" s="61"/>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c r="AP599" s="26"/>
      <c r="AQ599" s="26"/>
      <c r="AR599" s="5"/>
      <c r="AS599" s="5"/>
      <c r="AT599" s="308"/>
      <c r="AU599" s="26"/>
      <c r="AV599" s="26"/>
      <c r="AW599" s="26"/>
      <c r="AX599" s="26"/>
      <c r="AY599" s="26"/>
      <c r="AZ599" s="308"/>
      <c r="BA599" s="308"/>
      <c r="BB599" s="26"/>
      <c r="BC599" s="26"/>
      <c r="BD599" s="26"/>
    </row>
    <row r="600" spans="1:56" ht="33" customHeight="1">
      <c r="A600" s="26"/>
      <c r="B600" s="26"/>
      <c r="C600" s="26"/>
      <c r="D600" s="26"/>
      <c r="E600" s="26"/>
      <c r="F600" s="26"/>
      <c r="G600" s="26"/>
      <c r="H600" s="26"/>
      <c r="I600" s="26"/>
      <c r="J600" s="26"/>
      <c r="K600" s="61"/>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c r="AR600" s="5"/>
      <c r="AS600" s="5"/>
      <c r="AT600" s="308"/>
      <c r="AU600" s="26"/>
      <c r="AV600" s="26"/>
      <c r="AW600" s="26"/>
      <c r="AX600" s="26"/>
      <c r="AY600" s="26"/>
      <c r="AZ600" s="308"/>
      <c r="BA600" s="308"/>
      <c r="BB600" s="26"/>
      <c r="BC600" s="26"/>
      <c r="BD600" s="26"/>
    </row>
    <row r="601" spans="1:56" ht="33" customHeight="1">
      <c r="A601" s="26"/>
      <c r="B601" s="26"/>
      <c r="C601" s="26"/>
      <c r="D601" s="26"/>
      <c r="E601" s="26"/>
      <c r="F601" s="26"/>
      <c r="G601" s="26"/>
      <c r="H601" s="26"/>
      <c r="I601" s="26"/>
      <c r="J601" s="26"/>
      <c r="K601" s="61"/>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c r="AR601" s="5"/>
      <c r="AS601" s="5"/>
      <c r="AT601" s="308"/>
      <c r="AU601" s="26"/>
      <c r="AV601" s="26"/>
      <c r="AW601" s="26"/>
      <c r="AX601" s="26"/>
      <c r="AY601" s="26"/>
      <c r="AZ601" s="308"/>
      <c r="BA601" s="308"/>
      <c r="BB601" s="26"/>
      <c r="BC601" s="26"/>
      <c r="BD601" s="26"/>
    </row>
    <row r="602" spans="1:56" ht="33" customHeight="1">
      <c r="A602" s="26"/>
      <c r="B602" s="26"/>
      <c r="C602" s="26"/>
      <c r="D602" s="26"/>
      <c r="E602" s="26"/>
      <c r="F602" s="26"/>
      <c r="G602" s="26"/>
      <c r="H602" s="26"/>
      <c r="I602" s="26"/>
      <c r="J602" s="26"/>
      <c r="K602" s="61"/>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c r="AR602" s="5"/>
      <c r="AS602" s="5"/>
      <c r="AT602" s="308"/>
      <c r="AU602" s="26"/>
      <c r="AV602" s="26"/>
      <c r="AW602" s="26"/>
      <c r="AX602" s="26"/>
      <c r="AY602" s="26"/>
      <c r="AZ602" s="308"/>
      <c r="BA602" s="308"/>
      <c r="BB602" s="26"/>
      <c r="BC602" s="26"/>
      <c r="BD602" s="26"/>
    </row>
    <row r="603" spans="1:56" ht="33" customHeight="1">
      <c r="A603" s="26"/>
      <c r="B603" s="26"/>
      <c r="C603" s="26"/>
      <c r="D603" s="26"/>
      <c r="E603" s="26"/>
      <c r="F603" s="26"/>
      <c r="G603" s="26"/>
      <c r="H603" s="26"/>
      <c r="I603" s="26"/>
      <c r="J603" s="26"/>
      <c r="K603" s="61"/>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c r="AR603" s="5"/>
      <c r="AS603" s="5"/>
      <c r="AT603" s="308"/>
      <c r="AU603" s="26"/>
      <c r="AV603" s="26"/>
      <c r="AW603" s="26"/>
      <c r="AX603" s="26"/>
      <c r="AY603" s="26"/>
      <c r="AZ603" s="308"/>
      <c r="BA603" s="308"/>
      <c r="BB603" s="26"/>
      <c r="BC603" s="26"/>
      <c r="BD603" s="26"/>
    </row>
    <row r="604" spans="1:56" ht="33" customHeight="1">
      <c r="A604" s="26"/>
      <c r="B604" s="26"/>
      <c r="C604" s="26"/>
      <c r="D604" s="26"/>
      <c r="E604" s="26"/>
      <c r="F604" s="26"/>
      <c r="G604" s="26"/>
      <c r="H604" s="26"/>
      <c r="I604" s="26"/>
      <c r="J604" s="26"/>
      <c r="K604" s="61"/>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c r="AK604" s="26"/>
      <c r="AL604" s="26"/>
      <c r="AM604" s="26"/>
      <c r="AN604" s="26"/>
      <c r="AO604" s="26"/>
      <c r="AP604" s="26"/>
      <c r="AQ604" s="26"/>
      <c r="AR604" s="5"/>
      <c r="AS604" s="5"/>
      <c r="AT604" s="308"/>
      <c r="AU604" s="26"/>
      <c r="AV604" s="26"/>
      <c r="AW604" s="26"/>
      <c r="AX604" s="26"/>
      <c r="AY604" s="26"/>
      <c r="AZ604" s="308"/>
      <c r="BA604" s="308"/>
      <c r="BB604" s="26"/>
      <c r="BC604" s="26"/>
      <c r="BD604" s="26"/>
    </row>
    <row r="605" spans="1:56" ht="33" customHeight="1">
      <c r="A605" s="26"/>
      <c r="B605" s="26"/>
      <c r="C605" s="26"/>
      <c r="D605" s="26"/>
      <c r="E605" s="26"/>
      <c r="F605" s="26"/>
      <c r="G605" s="26"/>
      <c r="H605" s="26"/>
      <c r="I605" s="26"/>
      <c r="J605" s="26"/>
      <c r="K605" s="61"/>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c r="AK605" s="26"/>
      <c r="AL605" s="26"/>
      <c r="AM605" s="26"/>
      <c r="AN605" s="26"/>
      <c r="AO605" s="26"/>
      <c r="AP605" s="26"/>
      <c r="AQ605" s="26"/>
      <c r="AR605" s="5"/>
      <c r="AS605" s="5"/>
      <c r="AT605" s="308"/>
      <c r="AU605" s="26"/>
      <c r="AV605" s="26"/>
      <c r="AW605" s="26"/>
      <c r="AX605" s="26"/>
      <c r="AY605" s="26"/>
      <c r="AZ605" s="308"/>
      <c r="BA605" s="308"/>
      <c r="BB605" s="26"/>
      <c r="BC605" s="26"/>
      <c r="BD605" s="26"/>
    </row>
    <row r="606" spans="1:56" ht="33" customHeight="1">
      <c r="A606" s="26"/>
      <c r="B606" s="26"/>
      <c r="C606" s="26"/>
      <c r="D606" s="26"/>
      <c r="E606" s="26"/>
      <c r="F606" s="26"/>
      <c r="G606" s="26"/>
      <c r="H606" s="26"/>
      <c r="I606" s="26"/>
      <c r="J606" s="26"/>
      <c r="K606" s="61"/>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c r="AK606" s="26"/>
      <c r="AL606" s="26"/>
      <c r="AM606" s="26"/>
      <c r="AN606" s="26"/>
      <c r="AO606" s="26"/>
      <c r="AP606" s="26"/>
      <c r="AQ606" s="26"/>
      <c r="AR606" s="5"/>
      <c r="AS606" s="5"/>
      <c r="AT606" s="308"/>
      <c r="AU606" s="26"/>
      <c r="AV606" s="26"/>
      <c r="AW606" s="26"/>
      <c r="AX606" s="26"/>
      <c r="AY606" s="26"/>
      <c r="AZ606" s="308"/>
      <c r="BA606" s="308"/>
      <c r="BB606" s="26"/>
      <c r="BC606" s="26"/>
      <c r="BD606" s="26"/>
    </row>
    <row r="607" spans="1:56" ht="33" customHeight="1">
      <c r="A607" s="26"/>
      <c r="B607" s="26"/>
      <c r="C607" s="26"/>
      <c r="D607" s="26"/>
      <c r="E607" s="26"/>
      <c r="F607" s="26"/>
      <c r="G607" s="26"/>
      <c r="H607" s="26"/>
      <c r="I607" s="26"/>
      <c r="J607" s="26"/>
      <c r="K607" s="61"/>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c r="AK607" s="26"/>
      <c r="AL607" s="26"/>
      <c r="AM607" s="26"/>
      <c r="AN607" s="26"/>
      <c r="AO607" s="26"/>
      <c r="AP607" s="26"/>
      <c r="AQ607" s="26"/>
      <c r="AR607" s="5"/>
      <c r="AS607" s="5"/>
      <c r="AT607" s="308"/>
      <c r="AU607" s="26"/>
      <c r="AV607" s="26"/>
      <c r="AW607" s="26"/>
      <c r="AX607" s="26"/>
      <c r="AY607" s="26"/>
      <c r="AZ607" s="308"/>
      <c r="BA607" s="308"/>
      <c r="BB607" s="26"/>
      <c r="BC607" s="26"/>
      <c r="BD607" s="26"/>
    </row>
    <row r="608" spans="1:56" ht="33" customHeight="1">
      <c r="A608" s="26"/>
      <c r="B608" s="26"/>
      <c r="C608" s="26"/>
      <c r="D608" s="26"/>
      <c r="E608" s="26"/>
      <c r="F608" s="26"/>
      <c r="G608" s="26"/>
      <c r="H608" s="26"/>
      <c r="I608" s="26"/>
      <c r="J608" s="26"/>
      <c r="K608" s="61"/>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c r="AK608" s="26"/>
      <c r="AL608" s="26"/>
      <c r="AM608" s="26"/>
      <c r="AN608" s="26"/>
      <c r="AO608" s="26"/>
      <c r="AP608" s="26"/>
      <c r="AQ608" s="26"/>
      <c r="AR608" s="5"/>
      <c r="AS608" s="5"/>
      <c r="AT608" s="308"/>
      <c r="AU608" s="26"/>
      <c r="AV608" s="26"/>
      <c r="AW608" s="26"/>
      <c r="AX608" s="26"/>
      <c r="AY608" s="26"/>
      <c r="AZ608" s="308"/>
      <c r="BA608" s="308"/>
      <c r="BB608" s="26"/>
      <c r="BC608" s="26"/>
      <c r="BD608" s="26"/>
    </row>
    <row r="609" spans="1:56" ht="33" customHeight="1">
      <c r="A609" s="26"/>
      <c r="B609" s="26"/>
      <c r="C609" s="26"/>
      <c r="D609" s="26"/>
      <c r="E609" s="26"/>
      <c r="F609" s="26"/>
      <c r="G609" s="26"/>
      <c r="H609" s="26"/>
      <c r="I609" s="26"/>
      <c r="J609" s="26"/>
      <c r="K609" s="61"/>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c r="AK609" s="26"/>
      <c r="AL609" s="26"/>
      <c r="AM609" s="26"/>
      <c r="AN609" s="26"/>
      <c r="AO609" s="26"/>
      <c r="AP609" s="26"/>
      <c r="AQ609" s="26"/>
      <c r="AR609" s="5"/>
      <c r="AS609" s="5"/>
      <c r="AT609" s="308"/>
      <c r="AU609" s="26"/>
      <c r="AV609" s="26"/>
      <c r="AW609" s="26"/>
      <c r="AX609" s="26"/>
      <c r="AY609" s="26"/>
      <c r="AZ609" s="308"/>
      <c r="BA609" s="308"/>
      <c r="BB609" s="26"/>
      <c r="BC609" s="26"/>
      <c r="BD609" s="26"/>
    </row>
    <row r="610" spans="1:56" ht="33" customHeight="1">
      <c r="A610" s="26"/>
      <c r="B610" s="26"/>
      <c r="C610" s="26"/>
      <c r="D610" s="26"/>
      <c r="E610" s="26"/>
      <c r="F610" s="26"/>
      <c r="G610" s="26"/>
      <c r="H610" s="26"/>
      <c r="I610" s="26"/>
      <c r="J610" s="26"/>
      <c r="K610" s="61"/>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c r="AK610" s="26"/>
      <c r="AL610" s="26"/>
      <c r="AM610" s="26"/>
      <c r="AN610" s="26"/>
      <c r="AO610" s="26"/>
      <c r="AP610" s="26"/>
      <c r="AQ610" s="26"/>
      <c r="AR610" s="5"/>
      <c r="AS610" s="5"/>
      <c r="AT610" s="308"/>
      <c r="AU610" s="26"/>
      <c r="AV610" s="26"/>
      <c r="AW610" s="26"/>
      <c r="AX610" s="26"/>
      <c r="AY610" s="26"/>
      <c r="AZ610" s="308"/>
      <c r="BA610" s="308"/>
      <c r="BB610" s="26"/>
      <c r="BC610" s="26"/>
      <c r="BD610" s="26"/>
    </row>
    <row r="611" spans="1:56" ht="33" customHeight="1">
      <c r="A611" s="26"/>
      <c r="B611" s="26"/>
      <c r="C611" s="26"/>
      <c r="D611" s="26"/>
      <c r="E611" s="26"/>
      <c r="F611" s="26"/>
      <c r="G611" s="26"/>
      <c r="H611" s="26"/>
      <c r="I611" s="26"/>
      <c r="J611" s="26"/>
      <c r="K611" s="61"/>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c r="AK611" s="26"/>
      <c r="AL611" s="26"/>
      <c r="AM611" s="26"/>
      <c r="AN611" s="26"/>
      <c r="AO611" s="26"/>
      <c r="AP611" s="26"/>
      <c r="AQ611" s="26"/>
      <c r="AR611" s="5"/>
      <c r="AS611" s="5"/>
      <c r="AT611" s="308"/>
      <c r="AU611" s="26"/>
      <c r="AV611" s="26"/>
      <c r="AW611" s="26"/>
      <c r="AX611" s="26"/>
      <c r="AY611" s="26"/>
      <c r="AZ611" s="308"/>
      <c r="BA611" s="308"/>
      <c r="BB611" s="26"/>
      <c r="BC611" s="26"/>
      <c r="BD611" s="26"/>
    </row>
    <row r="612" spans="1:56" ht="33" customHeight="1">
      <c r="A612" s="26"/>
      <c r="B612" s="26"/>
      <c r="C612" s="26"/>
      <c r="D612" s="26"/>
      <c r="E612" s="26"/>
      <c r="F612" s="26"/>
      <c r="G612" s="26"/>
      <c r="H612" s="26"/>
      <c r="I612" s="26"/>
      <c r="J612" s="26"/>
      <c r="K612" s="61"/>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c r="AK612" s="26"/>
      <c r="AL612" s="26"/>
      <c r="AM612" s="26"/>
      <c r="AN612" s="26"/>
      <c r="AO612" s="26"/>
      <c r="AP612" s="26"/>
      <c r="AQ612" s="26"/>
      <c r="AR612" s="5"/>
      <c r="AS612" s="5"/>
      <c r="AT612" s="308"/>
      <c r="AU612" s="26"/>
      <c r="AV612" s="26"/>
      <c r="AW612" s="26"/>
      <c r="AX612" s="26"/>
      <c r="AY612" s="26"/>
      <c r="AZ612" s="308"/>
      <c r="BA612" s="308"/>
      <c r="BB612" s="26"/>
      <c r="BC612" s="26"/>
      <c r="BD612" s="26"/>
    </row>
    <row r="613" spans="1:56" ht="33" customHeight="1">
      <c r="A613" s="26"/>
      <c r="B613" s="26"/>
      <c r="C613" s="26"/>
      <c r="D613" s="26"/>
      <c r="E613" s="26"/>
      <c r="F613" s="26"/>
      <c r="G613" s="26"/>
      <c r="H613" s="26"/>
      <c r="I613" s="26"/>
      <c r="J613" s="26"/>
      <c r="K613" s="61"/>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c r="AK613" s="26"/>
      <c r="AL613" s="26"/>
      <c r="AM613" s="26"/>
      <c r="AN613" s="26"/>
      <c r="AO613" s="26"/>
      <c r="AP613" s="26"/>
      <c r="AQ613" s="26"/>
      <c r="AR613" s="5"/>
      <c r="AS613" s="5"/>
      <c r="AT613" s="308"/>
      <c r="AU613" s="26"/>
      <c r="AV613" s="26"/>
      <c r="AW613" s="26"/>
      <c r="AX613" s="26"/>
      <c r="AY613" s="26"/>
      <c r="AZ613" s="308"/>
      <c r="BA613" s="308"/>
      <c r="BB613" s="26"/>
      <c r="BC613" s="26"/>
      <c r="BD613" s="26"/>
    </row>
    <row r="614" spans="1:56" ht="33" customHeight="1">
      <c r="A614" s="26"/>
      <c r="B614" s="26"/>
      <c r="C614" s="26"/>
      <c r="D614" s="26"/>
      <c r="E614" s="26"/>
      <c r="F614" s="26"/>
      <c r="G614" s="26"/>
      <c r="H614" s="26"/>
      <c r="I614" s="26"/>
      <c r="J614" s="26"/>
      <c r="K614" s="61"/>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c r="AK614" s="26"/>
      <c r="AL614" s="26"/>
      <c r="AM614" s="26"/>
      <c r="AN614" s="26"/>
      <c r="AO614" s="26"/>
      <c r="AP614" s="26"/>
      <c r="AQ614" s="26"/>
      <c r="AR614" s="5"/>
      <c r="AS614" s="5"/>
      <c r="AT614" s="308"/>
      <c r="AU614" s="26"/>
      <c r="AV614" s="26"/>
      <c r="AW614" s="26"/>
      <c r="AX614" s="26"/>
      <c r="AY614" s="26"/>
      <c r="AZ614" s="308"/>
      <c r="BA614" s="308"/>
      <c r="BB614" s="26"/>
      <c r="BC614" s="26"/>
      <c r="BD614" s="26"/>
    </row>
    <row r="615" spans="1:56" ht="33" customHeight="1">
      <c r="A615" s="26"/>
      <c r="B615" s="26"/>
      <c r="C615" s="26"/>
      <c r="D615" s="26"/>
      <c r="E615" s="26"/>
      <c r="F615" s="26"/>
      <c r="G615" s="26"/>
      <c r="H615" s="26"/>
      <c r="I615" s="26"/>
      <c r="J615" s="26"/>
      <c r="K615" s="61"/>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c r="AK615" s="26"/>
      <c r="AL615" s="26"/>
      <c r="AM615" s="26"/>
      <c r="AN615" s="26"/>
      <c r="AO615" s="26"/>
      <c r="AP615" s="26"/>
      <c r="AQ615" s="26"/>
      <c r="AR615" s="5"/>
      <c r="AS615" s="5"/>
      <c r="AT615" s="308"/>
      <c r="AU615" s="26"/>
      <c r="AV615" s="26"/>
      <c r="AW615" s="26"/>
      <c r="AX615" s="26"/>
      <c r="AY615" s="26"/>
      <c r="AZ615" s="308"/>
      <c r="BA615" s="308"/>
      <c r="BB615" s="26"/>
      <c r="BC615" s="26"/>
      <c r="BD615" s="26"/>
    </row>
    <row r="616" spans="1:56" ht="33" customHeight="1">
      <c r="A616" s="26"/>
      <c r="B616" s="26"/>
      <c r="C616" s="26"/>
      <c r="D616" s="26"/>
      <c r="E616" s="26"/>
      <c r="F616" s="26"/>
      <c r="G616" s="26"/>
      <c r="H616" s="26"/>
      <c r="I616" s="26"/>
      <c r="J616" s="26"/>
      <c r="K616" s="61"/>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c r="AK616" s="26"/>
      <c r="AL616" s="26"/>
      <c r="AM616" s="26"/>
      <c r="AN616" s="26"/>
      <c r="AO616" s="26"/>
      <c r="AP616" s="26"/>
      <c r="AQ616" s="26"/>
      <c r="AR616" s="5"/>
      <c r="AS616" s="5"/>
      <c r="AT616" s="308"/>
      <c r="AU616" s="26"/>
      <c r="AV616" s="26"/>
      <c r="AW616" s="26"/>
      <c r="AX616" s="26"/>
      <c r="AY616" s="26"/>
      <c r="AZ616" s="308"/>
      <c r="BA616" s="308"/>
      <c r="BB616" s="26"/>
      <c r="BC616" s="26"/>
      <c r="BD616" s="26"/>
    </row>
    <row r="617" spans="1:56" ht="33" customHeight="1">
      <c r="A617" s="26"/>
      <c r="B617" s="26"/>
      <c r="C617" s="26"/>
      <c r="D617" s="26"/>
      <c r="E617" s="26"/>
      <c r="F617" s="26"/>
      <c r="G617" s="26"/>
      <c r="H617" s="26"/>
      <c r="I617" s="26"/>
      <c r="J617" s="26"/>
      <c r="K617" s="61"/>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c r="AK617" s="26"/>
      <c r="AL617" s="26"/>
      <c r="AM617" s="26"/>
      <c r="AN617" s="26"/>
      <c r="AO617" s="26"/>
      <c r="AP617" s="26"/>
      <c r="AQ617" s="26"/>
      <c r="AR617" s="5"/>
      <c r="AS617" s="5"/>
      <c r="AT617" s="308"/>
      <c r="AU617" s="26"/>
      <c r="AV617" s="26"/>
      <c r="AW617" s="26"/>
      <c r="AX617" s="26"/>
      <c r="AY617" s="26"/>
      <c r="AZ617" s="308"/>
      <c r="BA617" s="308"/>
      <c r="BB617" s="26"/>
      <c r="BC617" s="26"/>
      <c r="BD617" s="26"/>
    </row>
    <row r="618" spans="1:56" ht="33" customHeight="1">
      <c r="A618" s="26"/>
      <c r="B618" s="26"/>
      <c r="C618" s="26"/>
      <c r="D618" s="26"/>
      <c r="E618" s="26"/>
      <c r="F618" s="26"/>
      <c r="G618" s="26"/>
      <c r="H618" s="26"/>
      <c r="I618" s="26"/>
      <c r="J618" s="26"/>
      <c r="K618" s="61"/>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c r="AK618" s="26"/>
      <c r="AL618" s="26"/>
      <c r="AM618" s="26"/>
      <c r="AN618" s="26"/>
      <c r="AO618" s="26"/>
      <c r="AP618" s="26"/>
      <c r="AQ618" s="26"/>
      <c r="AR618" s="5"/>
      <c r="AS618" s="5"/>
      <c r="AT618" s="308"/>
      <c r="AU618" s="26"/>
      <c r="AV618" s="26"/>
      <c r="AW618" s="26"/>
      <c r="AX618" s="26"/>
      <c r="AY618" s="26"/>
      <c r="AZ618" s="308"/>
      <c r="BA618" s="308"/>
      <c r="BB618" s="26"/>
      <c r="BC618" s="26"/>
      <c r="BD618" s="26"/>
    </row>
    <row r="619" spans="1:56" ht="33" customHeight="1">
      <c r="A619" s="26"/>
      <c r="B619" s="26"/>
      <c r="C619" s="26"/>
      <c r="D619" s="26"/>
      <c r="E619" s="26"/>
      <c r="F619" s="26"/>
      <c r="G619" s="26"/>
      <c r="H619" s="26"/>
      <c r="I619" s="26"/>
      <c r="J619" s="26"/>
      <c r="K619" s="61"/>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c r="AK619" s="26"/>
      <c r="AL619" s="26"/>
      <c r="AM619" s="26"/>
      <c r="AN619" s="26"/>
      <c r="AO619" s="26"/>
      <c r="AP619" s="26"/>
      <c r="AQ619" s="26"/>
      <c r="AR619" s="5"/>
      <c r="AS619" s="5"/>
      <c r="AT619" s="308"/>
      <c r="AU619" s="26"/>
      <c r="AV619" s="26"/>
      <c r="AW619" s="26"/>
      <c r="AX619" s="26"/>
      <c r="AY619" s="26"/>
      <c r="AZ619" s="308"/>
      <c r="BA619" s="308"/>
      <c r="BB619" s="26"/>
      <c r="BC619" s="26"/>
      <c r="BD619" s="26"/>
    </row>
    <row r="620" spans="1:56" ht="33" customHeight="1">
      <c r="A620" s="26"/>
      <c r="B620" s="26"/>
      <c r="C620" s="26"/>
      <c r="D620" s="26"/>
      <c r="E620" s="26"/>
      <c r="F620" s="26"/>
      <c r="G620" s="26"/>
      <c r="H620" s="26"/>
      <c r="I620" s="26"/>
      <c r="J620" s="26"/>
      <c r="K620" s="61"/>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c r="AK620" s="26"/>
      <c r="AL620" s="26"/>
      <c r="AM620" s="26"/>
      <c r="AN620" s="26"/>
      <c r="AO620" s="26"/>
      <c r="AP620" s="26"/>
      <c r="AQ620" s="26"/>
      <c r="AR620" s="5"/>
      <c r="AS620" s="5"/>
      <c r="AT620" s="308"/>
      <c r="AU620" s="26"/>
      <c r="AV620" s="26"/>
      <c r="AW620" s="26"/>
      <c r="AX620" s="26"/>
      <c r="AY620" s="26"/>
      <c r="AZ620" s="308"/>
      <c r="BA620" s="308"/>
      <c r="BB620" s="26"/>
      <c r="BC620" s="26"/>
      <c r="BD620" s="26"/>
    </row>
    <row r="621" spans="1:56" ht="33" customHeight="1">
      <c r="A621" s="26"/>
      <c r="B621" s="26"/>
      <c r="C621" s="26"/>
      <c r="D621" s="26"/>
      <c r="E621" s="26"/>
      <c r="F621" s="26"/>
      <c r="G621" s="26"/>
      <c r="H621" s="26"/>
      <c r="I621" s="26"/>
      <c r="J621" s="26"/>
      <c r="K621" s="61"/>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c r="AK621" s="26"/>
      <c r="AL621" s="26"/>
      <c r="AM621" s="26"/>
      <c r="AN621" s="26"/>
      <c r="AO621" s="26"/>
      <c r="AP621" s="26"/>
      <c r="AQ621" s="26"/>
      <c r="AR621" s="5"/>
      <c r="AS621" s="5"/>
      <c r="AT621" s="308"/>
      <c r="AU621" s="26"/>
      <c r="AV621" s="26"/>
      <c r="AW621" s="26"/>
      <c r="AX621" s="26"/>
      <c r="AY621" s="26"/>
      <c r="AZ621" s="308"/>
      <c r="BA621" s="308"/>
      <c r="BB621" s="26"/>
      <c r="BC621" s="26"/>
      <c r="BD621" s="26"/>
    </row>
    <row r="622" spans="1:56" ht="33" customHeight="1">
      <c r="A622" s="26"/>
      <c r="B622" s="26"/>
      <c r="C622" s="26"/>
      <c r="D622" s="26"/>
      <c r="E622" s="26"/>
      <c r="F622" s="26"/>
      <c r="G622" s="26"/>
      <c r="H622" s="26"/>
      <c r="I622" s="26"/>
      <c r="J622" s="26"/>
      <c r="K622" s="61"/>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c r="AK622" s="26"/>
      <c r="AL622" s="26"/>
      <c r="AM622" s="26"/>
      <c r="AN622" s="26"/>
      <c r="AO622" s="26"/>
      <c r="AP622" s="26"/>
      <c r="AQ622" s="26"/>
      <c r="AR622" s="5"/>
      <c r="AS622" s="5"/>
      <c r="AT622" s="308"/>
      <c r="AU622" s="26"/>
      <c r="AV622" s="26"/>
      <c r="AW622" s="26"/>
      <c r="AX622" s="26"/>
      <c r="AY622" s="26"/>
      <c r="AZ622" s="308"/>
      <c r="BA622" s="308"/>
      <c r="BB622" s="26"/>
      <c r="BC622" s="26"/>
      <c r="BD622" s="26"/>
    </row>
    <row r="623" spans="1:56" ht="33" customHeight="1">
      <c r="A623" s="26"/>
      <c r="B623" s="26"/>
      <c r="C623" s="26"/>
      <c r="D623" s="26"/>
      <c r="E623" s="26"/>
      <c r="F623" s="26"/>
      <c r="G623" s="26"/>
      <c r="H623" s="26"/>
      <c r="I623" s="26"/>
      <c r="J623" s="26"/>
      <c r="K623" s="61"/>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c r="AK623" s="26"/>
      <c r="AL623" s="26"/>
      <c r="AM623" s="26"/>
      <c r="AN623" s="26"/>
      <c r="AO623" s="26"/>
      <c r="AP623" s="26"/>
      <c r="AQ623" s="26"/>
      <c r="AR623" s="5"/>
      <c r="AS623" s="5"/>
      <c r="AT623" s="308"/>
      <c r="AU623" s="26"/>
      <c r="AV623" s="26"/>
      <c r="AW623" s="26"/>
      <c r="AX623" s="26"/>
      <c r="AY623" s="26"/>
      <c r="AZ623" s="308"/>
      <c r="BA623" s="308"/>
      <c r="BB623" s="26"/>
      <c r="BC623" s="26"/>
      <c r="BD623" s="26"/>
    </row>
    <row r="624" spans="1:56" ht="33" customHeight="1">
      <c r="A624" s="26"/>
      <c r="B624" s="26"/>
      <c r="C624" s="26"/>
      <c r="D624" s="26"/>
      <c r="E624" s="26"/>
      <c r="F624" s="26"/>
      <c r="G624" s="26"/>
      <c r="H624" s="26"/>
      <c r="I624" s="26"/>
      <c r="J624" s="26"/>
      <c r="K624" s="61"/>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c r="AK624" s="26"/>
      <c r="AL624" s="26"/>
      <c r="AM624" s="26"/>
      <c r="AN624" s="26"/>
      <c r="AO624" s="26"/>
      <c r="AP624" s="26"/>
      <c r="AQ624" s="26"/>
      <c r="AR624" s="5"/>
      <c r="AS624" s="5"/>
      <c r="AT624" s="308"/>
      <c r="AU624" s="26"/>
      <c r="AV624" s="26"/>
      <c r="AW624" s="26"/>
      <c r="AX624" s="26"/>
      <c r="AY624" s="26"/>
      <c r="AZ624" s="308"/>
      <c r="BA624" s="308"/>
      <c r="BB624" s="26"/>
      <c r="BC624" s="26"/>
      <c r="BD624" s="26"/>
    </row>
    <row r="625" spans="1:56" ht="33" customHeight="1">
      <c r="A625" s="26"/>
      <c r="B625" s="26"/>
      <c r="C625" s="26"/>
      <c r="D625" s="26"/>
      <c r="E625" s="26"/>
      <c r="F625" s="26"/>
      <c r="G625" s="26"/>
      <c r="H625" s="26"/>
      <c r="I625" s="26"/>
      <c r="J625" s="26"/>
      <c r="K625" s="61"/>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c r="AK625" s="26"/>
      <c r="AL625" s="26"/>
      <c r="AM625" s="26"/>
      <c r="AN625" s="26"/>
      <c r="AO625" s="26"/>
      <c r="AP625" s="26"/>
      <c r="AQ625" s="26"/>
      <c r="AR625" s="5"/>
      <c r="AS625" s="5"/>
      <c r="AT625" s="308"/>
      <c r="AU625" s="26"/>
      <c r="AV625" s="26"/>
      <c r="AW625" s="26"/>
      <c r="AX625" s="26"/>
      <c r="AY625" s="26"/>
      <c r="AZ625" s="308"/>
      <c r="BA625" s="308"/>
      <c r="BB625" s="26"/>
      <c r="BC625" s="26"/>
      <c r="BD625" s="26"/>
    </row>
    <row r="626" spans="1:56" ht="33" customHeight="1">
      <c r="A626" s="26"/>
      <c r="B626" s="26"/>
      <c r="C626" s="26"/>
      <c r="D626" s="26"/>
      <c r="E626" s="26"/>
      <c r="F626" s="26"/>
      <c r="G626" s="26"/>
      <c r="H626" s="26"/>
      <c r="I626" s="26"/>
      <c r="J626" s="26"/>
      <c r="K626" s="61"/>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c r="AK626" s="26"/>
      <c r="AL626" s="26"/>
      <c r="AM626" s="26"/>
      <c r="AN626" s="26"/>
      <c r="AO626" s="26"/>
      <c r="AP626" s="26"/>
      <c r="AQ626" s="26"/>
      <c r="AR626" s="5"/>
      <c r="AS626" s="5"/>
      <c r="AT626" s="308"/>
      <c r="AU626" s="26"/>
      <c r="AV626" s="26"/>
      <c r="AW626" s="26"/>
      <c r="AX626" s="26"/>
      <c r="AY626" s="26"/>
      <c r="AZ626" s="308"/>
      <c r="BA626" s="308"/>
      <c r="BB626" s="26"/>
      <c r="BC626" s="26"/>
      <c r="BD626" s="26"/>
    </row>
    <row r="627" spans="1:56" ht="33" customHeight="1">
      <c r="A627" s="26"/>
      <c r="B627" s="26"/>
      <c r="C627" s="26"/>
      <c r="D627" s="26"/>
      <c r="E627" s="26"/>
      <c r="F627" s="26"/>
      <c r="G627" s="26"/>
      <c r="H627" s="26"/>
      <c r="I627" s="26"/>
      <c r="J627" s="26"/>
      <c r="K627" s="61"/>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c r="AL627" s="26"/>
      <c r="AM627" s="26"/>
      <c r="AN627" s="26"/>
      <c r="AO627" s="26"/>
      <c r="AP627" s="26"/>
      <c r="AQ627" s="26"/>
      <c r="AR627" s="5"/>
      <c r="AS627" s="5"/>
      <c r="AT627" s="308"/>
      <c r="AU627" s="26"/>
      <c r="AV627" s="26"/>
      <c r="AW627" s="26"/>
      <c r="AX627" s="26"/>
      <c r="AY627" s="26"/>
      <c r="AZ627" s="308"/>
      <c r="BA627" s="308"/>
      <c r="BB627" s="26"/>
      <c r="BC627" s="26"/>
      <c r="BD627" s="26"/>
    </row>
    <row r="628" spans="1:56" ht="33" customHeight="1">
      <c r="A628" s="26"/>
      <c r="B628" s="26"/>
      <c r="C628" s="26"/>
      <c r="D628" s="26"/>
      <c r="E628" s="26"/>
      <c r="F628" s="26"/>
      <c r="G628" s="26"/>
      <c r="H628" s="26"/>
      <c r="I628" s="26"/>
      <c r="J628" s="26"/>
      <c r="K628" s="61"/>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c r="AK628" s="26"/>
      <c r="AL628" s="26"/>
      <c r="AM628" s="26"/>
      <c r="AN628" s="26"/>
      <c r="AO628" s="26"/>
      <c r="AP628" s="26"/>
      <c r="AQ628" s="26"/>
      <c r="AR628" s="5"/>
      <c r="AS628" s="5"/>
      <c r="AT628" s="308"/>
      <c r="AU628" s="26"/>
      <c r="AV628" s="26"/>
      <c r="AW628" s="26"/>
      <c r="AX628" s="26"/>
      <c r="AY628" s="26"/>
      <c r="AZ628" s="308"/>
      <c r="BA628" s="308"/>
      <c r="BB628" s="26"/>
      <c r="BC628" s="26"/>
      <c r="BD628" s="26"/>
    </row>
    <row r="629" spans="1:56" ht="33" customHeight="1">
      <c r="A629" s="26"/>
      <c r="B629" s="26"/>
      <c r="C629" s="26"/>
      <c r="D629" s="26"/>
      <c r="E629" s="26"/>
      <c r="F629" s="26"/>
      <c r="G629" s="26"/>
      <c r="H629" s="26"/>
      <c r="I629" s="26"/>
      <c r="J629" s="26"/>
      <c r="K629" s="61"/>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c r="AL629" s="26"/>
      <c r="AM629" s="26"/>
      <c r="AN629" s="26"/>
      <c r="AO629" s="26"/>
      <c r="AP629" s="26"/>
      <c r="AQ629" s="26"/>
      <c r="AR629" s="5"/>
      <c r="AS629" s="5"/>
      <c r="AT629" s="308"/>
      <c r="AU629" s="26"/>
      <c r="AV629" s="26"/>
      <c r="AW629" s="26"/>
      <c r="AX629" s="26"/>
      <c r="AY629" s="26"/>
      <c r="AZ629" s="308"/>
      <c r="BA629" s="308"/>
      <c r="BB629" s="26"/>
      <c r="BC629" s="26"/>
      <c r="BD629" s="26"/>
    </row>
    <row r="630" spans="1:56" ht="33" customHeight="1">
      <c r="A630" s="26"/>
      <c r="B630" s="26"/>
      <c r="C630" s="26"/>
      <c r="D630" s="26"/>
      <c r="E630" s="26"/>
      <c r="F630" s="26"/>
      <c r="G630" s="26"/>
      <c r="H630" s="26"/>
      <c r="I630" s="26"/>
      <c r="J630" s="26"/>
      <c r="K630" s="61"/>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c r="AK630" s="26"/>
      <c r="AL630" s="26"/>
      <c r="AM630" s="26"/>
      <c r="AN630" s="26"/>
      <c r="AO630" s="26"/>
      <c r="AP630" s="26"/>
      <c r="AQ630" s="26"/>
      <c r="AR630" s="5"/>
      <c r="AS630" s="5"/>
      <c r="AT630" s="308"/>
      <c r="AU630" s="26"/>
      <c r="AV630" s="26"/>
      <c r="AW630" s="26"/>
      <c r="AX630" s="26"/>
      <c r="AY630" s="26"/>
      <c r="AZ630" s="308"/>
      <c r="BA630" s="308"/>
      <c r="BB630" s="26"/>
      <c r="BC630" s="26"/>
      <c r="BD630" s="26"/>
    </row>
    <row r="631" spans="1:56" ht="33" customHeight="1">
      <c r="A631" s="26"/>
      <c r="B631" s="26"/>
      <c r="C631" s="26"/>
      <c r="D631" s="26"/>
      <c r="E631" s="26"/>
      <c r="F631" s="26"/>
      <c r="G631" s="26"/>
      <c r="H631" s="26"/>
      <c r="I631" s="26"/>
      <c r="J631" s="26"/>
      <c r="K631" s="61"/>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c r="AK631" s="26"/>
      <c r="AL631" s="26"/>
      <c r="AM631" s="26"/>
      <c r="AN631" s="26"/>
      <c r="AO631" s="26"/>
      <c r="AP631" s="26"/>
      <c r="AQ631" s="26"/>
      <c r="AR631" s="5"/>
      <c r="AS631" s="5"/>
      <c r="AT631" s="308"/>
      <c r="AU631" s="26"/>
      <c r="AV631" s="26"/>
      <c r="AW631" s="26"/>
      <c r="AX631" s="26"/>
      <c r="AY631" s="26"/>
      <c r="AZ631" s="308"/>
      <c r="BA631" s="308"/>
      <c r="BB631" s="26"/>
      <c r="BC631" s="26"/>
      <c r="BD631" s="26"/>
    </row>
    <row r="632" spans="1:56" ht="33" customHeight="1">
      <c r="A632" s="26"/>
      <c r="B632" s="26"/>
      <c r="C632" s="26"/>
      <c r="D632" s="26"/>
      <c r="E632" s="26"/>
      <c r="F632" s="26"/>
      <c r="G632" s="26"/>
      <c r="H632" s="26"/>
      <c r="I632" s="26"/>
      <c r="J632" s="26"/>
      <c r="K632" s="61"/>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c r="AK632" s="26"/>
      <c r="AL632" s="26"/>
      <c r="AM632" s="26"/>
      <c r="AN632" s="26"/>
      <c r="AO632" s="26"/>
      <c r="AP632" s="26"/>
      <c r="AQ632" s="26"/>
      <c r="AR632" s="5"/>
      <c r="AS632" s="5"/>
      <c r="AT632" s="308"/>
      <c r="AU632" s="26"/>
      <c r="AV632" s="26"/>
      <c r="AW632" s="26"/>
      <c r="AX632" s="26"/>
      <c r="AY632" s="26"/>
      <c r="AZ632" s="308"/>
      <c r="BA632" s="308"/>
      <c r="BB632" s="26"/>
      <c r="BC632" s="26"/>
      <c r="BD632" s="26"/>
    </row>
    <row r="633" spans="1:56" ht="33" customHeight="1">
      <c r="A633" s="26"/>
      <c r="B633" s="26"/>
      <c r="C633" s="26"/>
      <c r="D633" s="26"/>
      <c r="E633" s="26"/>
      <c r="F633" s="26"/>
      <c r="G633" s="26"/>
      <c r="H633" s="26"/>
      <c r="I633" s="26"/>
      <c r="J633" s="26"/>
      <c r="K633" s="61"/>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c r="AK633" s="26"/>
      <c r="AL633" s="26"/>
      <c r="AM633" s="26"/>
      <c r="AN633" s="26"/>
      <c r="AO633" s="26"/>
      <c r="AP633" s="26"/>
      <c r="AQ633" s="26"/>
      <c r="AR633" s="5"/>
      <c r="AS633" s="5"/>
      <c r="AT633" s="308"/>
      <c r="AU633" s="26"/>
      <c r="AV633" s="26"/>
      <c r="AW633" s="26"/>
      <c r="AX633" s="26"/>
      <c r="AY633" s="26"/>
      <c r="AZ633" s="308"/>
      <c r="BA633" s="308"/>
      <c r="BB633" s="26"/>
      <c r="BC633" s="26"/>
      <c r="BD633" s="26"/>
    </row>
  </sheetData>
  <autoFilter ref="A2:BG556" xr:uid="{00000000-0009-0000-0000-000001000000}"/>
  <phoneticPr fontId="5" type="noConversion"/>
  <conditionalFormatting sqref="B137">
    <cfRule type="duplicateValues" dxfId="5" priority="8"/>
  </conditionalFormatting>
  <conditionalFormatting sqref="B363">
    <cfRule type="duplicateValues" dxfId="4" priority="6"/>
  </conditionalFormatting>
  <conditionalFormatting sqref="B405">
    <cfRule type="duplicateValues" dxfId="3" priority="2"/>
  </conditionalFormatting>
  <dataValidations count="1">
    <dataValidation type="list" allowBlank="1" showInputMessage="1" showErrorMessage="1" sqref="F40:G40 O61 U61 F126:G126 Y139:Z139 R152 U153 R155 U156 U158 P160:Q160 S160:V160 F192:G192 P207:R207 U207:V207 O220 P229:T229 V229 P235:Q235 S235:V235 F238:G238 R240 U241 O243:V243 P249:Q249 S249:V249 O256:V256 X270 P286:Q286 S286:V286 R290 U290:V290 W291:Z291 P292:Z292 W308:X308 W309:Z309 W310:X310 X318:Z318 F347:G347 W347:Z347 F368:G368 F383:G383 F512:G512 F634:H1048576 O76:O79 O166:O168 O186:O191 O207:O212 O261:O269 O271:O284 O290:O336 O357:O367 R62:R68 R166:R168 R186:R191 U186:U189 U237:U239 V152:V158 V186:V191 V237:V241 W157:W158 W293:W307 W313:W318 X230:X260 X285:X290 X293:X294 W353:Z367 W319:Z324 F85:G86 F117:G118 F353:G354 F515:G516 W326:Z345 X348:Z351 F112:G114 F136:G138 W221:Z228 O213:Z219 P209:V212 X295:Z296 X305:Z306 W271:Z279 S232:V233 S252:V253 W187:X191 S237:T241 P237:Q241 W207:Z212 Y255:Z256 Y230:Z253 F108:G109 P232:Q233 P252:Q253 O221:V227 W179:X185 Y178:Z185 Y188:Z191 W261:Z269 O169:Z177 F128:G132 P76:Q83 S76:Z83 S152:T158 P152:Q158 S142:V150 X142:Z150 Y121:Z126 F94:G105 P142:Q150 W159:Z163 F120:G122 W4:Z9 S61:T68 P61:Q68 V61:Z68 F8:G10 F23:G25 F35:G37 F77:G79 F27:G33 F62:G69 F71:G75 S165:Z168 P165:Q168 W311:Z312 O634:Z1048576 F2 Y2 F4:G6" xr:uid="{00000000-0002-0000-0100-000000000000}">
      <formula1>#REF!</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R75"/>
  <sheetViews>
    <sheetView workbookViewId="0">
      <pane ySplit="1" topLeftCell="A363" activePane="bottomLeft" state="frozen"/>
      <selection pane="bottomLeft" activeCell="BA34" sqref="BA34"/>
    </sheetView>
  </sheetViews>
  <sheetFormatPr defaultColWidth="9" defaultRowHeight="27.75" customHeight="1"/>
  <cols>
    <col min="1" max="1" width="4.21875" style="131" customWidth="1"/>
    <col min="2" max="2" width="7.33203125" style="131" customWidth="1"/>
    <col min="3" max="3" width="13.21875" style="131" customWidth="1"/>
    <col min="4" max="4" width="7.88671875" style="131" customWidth="1"/>
    <col min="5" max="5" width="15.6640625" style="131" customWidth="1"/>
    <col min="6" max="6" width="5.77734375" style="131" customWidth="1"/>
    <col min="7" max="7" width="6.109375" style="131" customWidth="1"/>
    <col min="8" max="8" width="5.88671875" style="131" customWidth="1"/>
    <col min="9" max="9" width="5.109375" style="131" customWidth="1"/>
    <col min="10" max="10" width="9.6640625" style="132" customWidth="1"/>
    <col min="11" max="11" width="7.33203125" style="131" customWidth="1"/>
    <col min="12" max="12" width="9.77734375" style="131" customWidth="1"/>
    <col min="13" max="13" width="12.33203125" style="131" customWidth="1"/>
    <col min="14" max="14" width="7.109375" style="131" customWidth="1"/>
    <col min="15" max="15" width="6.88671875" style="131" customWidth="1"/>
    <col min="16" max="18" width="10.33203125" style="131" customWidth="1"/>
    <col min="19" max="19" width="9" style="131" customWidth="1"/>
    <col min="20" max="21" width="10.6640625" style="131" customWidth="1"/>
    <col min="22" max="22" width="9" style="131" customWidth="1"/>
    <col min="23" max="23" width="9.33203125" style="131" customWidth="1"/>
    <col min="24" max="24" width="9.33203125" style="133" customWidth="1"/>
    <col min="25" max="25" width="9" style="131" customWidth="1"/>
    <col min="26" max="26" width="10.33203125" style="134" customWidth="1"/>
    <col min="27" max="27" width="6.6640625" style="131" customWidth="1"/>
    <col min="28" max="28" width="9.33203125" style="131" hidden="1" customWidth="1"/>
    <col min="29" max="29" width="15" style="131" hidden="1" customWidth="1"/>
    <col min="30" max="31" width="8.77734375" style="131" hidden="1" customWidth="1"/>
    <col min="32" max="32" width="11.88671875" style="131" hidden="1" customWidth="1"/>
    <col min="33" max="34" width="7.77734375" style="131" hidden="1" customWidth="1"/>
    <col min="35" max="35" width="8" style="131" hidden="1" customWidth="1"/>
    <col min="36" max="36" width="7.44140625" style="131" hidden="1" customWidth="1"/>
    <col min="37" max="37" width="8.88671875" style="131" hidden="1" customWidth="1"/>
    <col min="38" max="39" width="7.77734375" style="131" hidden="1" customWidth="1"/>
    <col min="40" max="40" width="7.77734375" style="135" hidden="1" customWidth="1"/>
    <col min="41" max="41" width="9" style="131" hidden="1" customWidth="1"/>
    <col min="42" max="42" width="7.33203125" style="131" hidden="1" customWidth="1"/>
    <col min="43" max="43" width="8.44140625" style="131" hidden="1" customWidth="1"/>
    <col min="44" max="44" width="8.109375" style="131" hidden="1" customWidth="1"/>
    <col min="45" max="45" width="10.77734375" style="136" hidden="1" customWidth="1"/>
    <col min="46" max="46" width="9" style="131" hidden="1" customWidth="1"/>
    <col min="47" max="47" width="10.21875" style="136" hidden="1" customWidth="1"/>
    <col min="48" max="49" width="9" style="131"/>
    <col min="50" max="50" width="10.44140625" style="134" customWidth="1"/>
    <col min="51" max="51" width="10.6640625" style="134" customWidth="1"/>
    <col min="52" max="52" width="9" style="131"/>
    <col min="53" max="53" width="13.33203125" style="131" customWidth="1"/>
    <col min="54" max="54" width="10.109375" style="131"/>
    <col min="55" max="16384" width="9" style="131"/>
  </cols>
  <sheetData>
    <row r="1" spans="1:122" s="128" customFormat="1" ht="25.5" customHeight="1">
      <c r="A1" s="137"/>
      <c r="B1" s="138" t="s">
        <v>9</v>
      </c>
      <c r="C1" s="138" t="s">
        <v>8</v>
      </c>
      <c r="D1" s="138" t="s">
        <v>10</v>
      </c>
      <c r="E1" s="138" t="s">
        <v>2686</v>
      </c>
      <c r="F1" s="138" t="s">
        <v>12</v>
      </c>
      <c r="G1" s="139" t="s">
        <v>2687</v>
      </c>
      <c r="H1" s="140" t="s">
        <v>2688</v>
      </c>
      <c r="I1" s="140" t="s">
        <v>15</v>
      </c>
      <c r="J1" s="152" t="s">
        <v>16</v>
      </c>
      <c r="K1" s="139" t="s">
        <v>17</v>
      </c>
      <c r="L1" s="153" t="s">
        <v>18</v>
      </c>
      <c r="M1" s="140" t="s">
        <v>27</v>
      </c>
      <c r="N1" s="154" t="s">
        <v>2689</v>
      </c>
      <c r="O1" s="153" t="s">
        <v>2690</v>
      </c>
      <c r="P1" s="153" t="s">
        <v>30</v>
      </c>
      <c r="Q1" s="153" t="s">
        <v>31</v>
      </c>
      <c r="R1" s="153" t="s">
        <v>1266</v>
      </c>
      <c r="S1" s="153" t="s">
        <v>32</v>
      </c>
      <c r="T1" s="153" t="s">
        <v>33</v>
      </c>
      <c r="U1" s="153" t="s">
        <v>1267</v>
      </c>
      <c r="V1" s="153" t="s">
        <v>34</v>
      </c>
      <c r="W1" s="153" t="s">
        <v>2691</v>
      </c>
      <c r="X1" s="168" t="s">
        <v>2692</v>
      </c>
      <c r="Y1" s="139" t="s">
        <v>770</v>
      </c>
      <c r="Z1" s="134" t="s">
        <v>2693</v>
      </c>
      <c r="AA1" s="140" t="s">
        <v>17</v>
      </c>
      <c r="AB1" s="137" t="s">
        <v>2694</v>
      </c>
      <c r="AC1" s="137" t="s">
        <v>2695</v>
      </c>
      <c r="AD1" s="139" t="s">
        <v>2696</v>
      </c>
      <c r="AE1" s="139" t="s">
        <v>2689</v>
      </c>
      <c r="AF1" s="137" t="s">
        <v>2697</v>
      </c>
      <c r="AG1" s="180" t="s">
        <v>2698</v>
      </c>
      <c r="AH1" s="180" t="s">
        <v>2699</v>
      </c>
      <c r="AI1" s="180" t="s">
        <v>2700</v>
      </c>
      <c r="AJ1" s="181" t="s">
        <v>2701</v>
      </c>
      <c r="AK1" s="182" t="s">
        <v>2702</v>
      </c>
      <c r="AL1" s="181" t="s">
        <v>2703</v>
      </c>
      <c r="AM1" s="181" t="s">
        <v>2704</v>
      </c>
      <c r="AN1" s="140" t="s">
        <v>2702</v>
      </c>
      <c r="AO1" s="181" t="s">
        <v>2703</v>
      </c>
      <c r="AP1" s="181" t="s">
        <v>2705</v>
      </c>
      <c r="AQ1" s="181" t="s">
        <v>2702</v>
      </c>
      <c r="AR1" s="181" t="s">
        <v>2703</v>
      </c>
      <c r="AS1" s="153" t="s">
        <v>2706</v>
      </c>
      <c r="AT1" s="181" t="s">
        <v>2707</v>
      </c>
      <c r="AU1" s="190" t="s">
        <v>2708</v>
      </c>
      <c r="AV1" s="181" t="s">
        <v>2709</v>
      </c>
      <c r="AW1" s="181" t="s">
        <v>2710</v>
      </c>
      <c r="AX1" s="134" t="s">
        <v>2711</v>
      </c>
      <c r="AY1" s="134" t="s">
        <v>50</v>
      </c>
      <c r="AZ1" s="120"/>
      <c r="BA1" s="120" t="s">
        <v>2700</v>
      </c>
      <c r="BB1" s="199"/>
      <c r="BC1" s="199"/>
      <c r="BD1" s="199"/>
      <c r="BE1" s="199"/>
      <c r="BF1" s="199"/>
      <c r="BG1" s="199"/>
      <c r="BH1" s="199"/>
      <c r="BI1" s="199"/>
      <c r="BJ1" s="199"/>
      <c r="BK1" s="199"/>
      <c r="BL1" s="199"/>
      <c r="BM1" s="199"/>
      <c r="BN1" s="199"/>
      <c r="BO1" s="199"/>
      <c r="BP1" s="199"/>
      <c r="BQ1" s="199"/>
      <c r="BR1" s="199"/>
      <c r="BS1" s="199"/>
      <c r="BT1" s="199"/>
      <c r="BU1" s="199"/>
      <c r="BV1" s="199"/>
      <c r="BW1" s="199"/>
      <c r="BX1" s="199"/>
      <c r="BY1" s="199"/>
      <c r="BZ1" s="199"/>
      <c r="CA1" s="199"/>
      <c r="CB1" s="199"/>
      <c r="CC1" s="199"/>
      <c r="CD1" s="199"/>
      <c r="CE1" s="199"/>
      <c r="CF1" s="199"/>
      <c r="CG1" s="199"/>
      <c r="CH1" s="199"/>
      <c r="CI1" s="199"/>
      <c r="CJ1" s="199"/>
      <c r="CK1" s="199"/>
      <c r="CL1" s="199"/>
      <c r="CM1" s="199"/>
      <c r="CN1" s="199"/>
      <c r="CO1" s="199"/>
      <c r="CP1" s="199"/>
      <c r="CQ1" s="199"/>
      <c r="CR1" s="199"/>
      <c r="CS1" s="199"/>
      <c r="CT1" s="199"/>
      <c r="CU1" s="199"/>
      <c r="CV1" s="199"/>
      <c r="CW1" s="199"/>
      <c r="CX1" s="199"/>
      <c r="CY1" s="199"/>
      <c r="CZ1" s="199"/>
      <c r="DA1" s="199"/>
      <c r="DB1" s="199"/>
      <c r="DC1" s="199"/>
      <c r="DD1" s="199"/>
      <c r="DE1" s="199"/>
      <c r="DF1" s="199"/>
      <c r="DG1" s="199"/>
      <c r="DH1" s="199"/>
      <c r="DI1" s="199"/>
      <c r="DJ1" s="199"/>
      <c r="DK1" s="199"/>
      <c r="DL1" s="199"/>
      <c r="DM1" s="199"/>
      <c r="DN1" s="199"/>
      <c r="DO1" s="199"/>
      <c r="DP1" s="199"/>
      <c r="DQ1" s="199"/>
      <c r="DR1" s="199"/>
    </row>
    <row r="2" spans="1:122" s="128" customFormat="1" ht="52.5" customHeight="1">
      <c r="A2" s="120">
        <v>1</v>
      </c>
      <c r="B2" s="120" t="s">
        <v>2712</v>
      </c>
      <c r="C2" s="120"/>
      <c r="D2" s="141" t="s">
        <v>2713</v>
      </c>
      <c r="E2" s="120" t="s">
        <v>2714</v>
      </c>
      <c r="F2" s="120" t="s">
        <v>83</v>
      </c>
      <c r="G2" s="126" t="s">
        <v>2715</v>
      </c>
      <c r="H2" s="141" t="s">
        <v>2716</v>
      </c>
      <c r="I2" s="141" t="s">
        <v>128</v>
      </c>
      <c r="J2" s="155" t="s">
        <v>2717</v>
      </c>
      <c r="K2" s="120"/>
      <c r="L2" s="127">
        <v>738000</v>
      </c>
      <c r="M2" s="156" t="s">
        <v>2718</v>
      </c>
      <c r="N2" s="157" t="s">
        <v>303</v>
      </c>
      <c r="O2" s="157">
        <f>(12+21.38)/2/100</f>
        <v>0.16689999999999997</v>
      </c>
      <c r="P2" s="120">
        <v>417700</v>
      </c>
      <c r="Q2" s="120"/>
      <c r="R2" s="120"/>
      <c r="S2" s="120">
        <v>206605</v>
      </c>
      <c r="T2" s="120"/>
      <c r="U2" s="120"/>
      <c r="V2" s="120">
        <v>0</v>
      </c>
      <c r="W2" s="120">
        <f>SUM(P2:V2)</f>
        <v>624305</v>
      </c>
      <c r="X2" s="169">
        <f>1-W2/L2</f>
        <v>0.15405826558265578</v>
      </c>
      <c r="Y2" s="126" t="s">
        <v>132</v>
      </c>
      <c r="Z2" s="134"/>
      <c r="AA2" s="156"/>
      <c r="AB2" s="120" t="s">
        <v>2719</v>
      </c>
      <c r="AC2" s="120" t="s">
        <v>2720</v>
      </c>
      <c r="AD2" s="120">
        <v>200462.99</v>
      </c>
      <c r="AE2" s="175">
        <v>0.06</v>
      </c>
      <c r="AF2" s="120" t="s">
        <v>2721</v>
      </c>
      <c r="AG2" s="120">
        <v>2017.9</v>
      </c>
      <c r="AH2" s="120" t="s">
        <v>2722</v>
      </c>
      <c r="AI2" s="120" t="s">
        <v>78</v>
      </c>
      <c r="AJ2" s="175">
        <v>0.3</v>
      </c>
      <c r="AK2" s="120">
        <v>2017.12</v>
      </c>
      <c r="AL2" s="120" t="s">
        <v>2723</v>
      </c>
      <c r="AM2" s="175">
        <v>1</v>
      </c>
      <c r="AN2" s="183" t="s">
        <v>2724</v>
      </c>
      <c r="AO2" s="191" t="s">
        <v>2725</v>
      </c>
      <c r="AP2" s="191"/>
      <c r="AQ2" s="191"/>
      <c r="AR2" s="191"/>
      <c r="AS2" s="120">
        <v>200462.99</v>
      </c>
      <c r="AT2" s="191" t="s">
        <v>2726</v>
      </c>
      <c r="AU2" s="192">
        <v>0</v>
      </c>
      <c r="AV2" s="120" t="s">
        <v>71</v>
      </c>
      <c r="AW2" s="120"/>
      <c r="AX2" s="134">
        <v>2017.12</v>
      </c>
      <c r="AY2" s="134" t="s">
        <v>2727</v>
      </c>
      <c r="AZ2" s="120" t="s">
        <v>122</v>
      </c>
      <c r="BA2" s="120" t="s">
        <v>78</v>
      </c>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199"/>
      <c r="CT2" s="199"/>
      <c r="CU2" s="199"/>
      <c r="CV2" s="199"/>
      <c r="CW2" s="199"/>
      <c r="CX2" s="199"/>
      <c r="CY2" s="199"/>
      <c r="CZ2" s="199"/>
      <c r="DA2" s="199"/>
      <c r="DB2" s="199"/>
      <c r="DC2" s="199"/>
      <c r="DD2" s="199"/>
      <c r="DE2" s="199"/>
      <c r="DF2" s="199"/>
      <c r="DG2" s="199"/>
      <c r="DH2" s="199"/>
      <c r="DI2" s="199"/>
      <c r="DJ2" s="199"/>
      <c r="DK2" s="199"/>
      <c r="DL2" s="199"/>
      <c r="DM2" s="199"/>
      <c r="DN2" s="199"/>
      <c r="DO2" s="199"/>
      <c r="DP2" s="199"/>
      <c r="DQ2" s="199"/>
      <c r="DR2" s="199"/>
    </row>
    <row r="3" spans="1:122" ht="39" customHeight="1">
      <c r="A3" s="121"/>
      <c r="B3" s="120" t="s">
        <v>2728</v>
      </c>
      <c r="C3" s="121"/>
      <c r="D3" s="141" t="s">
        <v>2729</v>
      </c>
      <c r="E3" s="120" t="s">
        <v>2730</v>
      </c>
      <c r="F3" s="120" t="s">
        <v>83</v>
      </c>
      <c r="G3" s="126" t="s">
        <v>2715</v>
      </c>
      <c r="H3" s="141" t="s">
        <v>157</v>
      </c>
      <c r="I3" s="141" t="s">
        <v>1130</v>
      </c>
      <c r="J3" s="155" t="s">
        <v>2731</v>
      </c>
      <c r="K3" s="121"/>
      <c r="L3" s="127">
        <v>132000</v>
      </c>
      <c r="M3" s="156" t="s">
        <v>2732</v>
      </c>
      <c r="N3" s="157" t="s">
        <v>303</v>
      </c>
      <c r="O3" s="157">
        <v>0.15</v>
      </c>
      <c r="P3" s="120">
        <v>45050</v>
      </c>
      <c r="Q3" s="120"/>
      <c r="R3" s="120"/>
      <c r="S3" s="121">
        <v>0</v>
      </c>
      <c r="T3" s="121"/>
      <c r="U3" s="121"/>
      <c r="V3" s="120">
        <v>67150</v>
      </c>
      <c r="W3" s="120">
        <f t="shared" ref="W3:W14" si="0">SUM(P3:V3)</f>
        <v>112200</v>
      </c>
      <c r="X3" s="169">
        <f t="shared" ref="X3:X14" si="1">1-W3/L3</f>
        <v>0.15000000000000002</v>
      </c>
      <c r="Y3" s="126" t="s">
        <v>132</v>
      </c>
      <c r="Z3" s="134" t="s">
        <v>2733</v>
      </c>
      <c r="AA3" s="121"/>
      <c r="AB3" s="120" t="s">
        <v>2734</v>
      </c>
      <c r="AC3" s="120" t="s">
        <v>2735</v>
      </c>
      <c r="AD3" s="120">
        <v>67000</v>
      </c>
      <c r="AE3" s="175">
        <v>0.06</v>
      </c>
      <c r="AF3" s="120" t="s">
        <v>2736</v>
      </c>
      <c r="AG3" s="120">
        <v>2017.12</v>
      </c>
      <c r="AH3" s="120" t="s">
        <v>2737</v>
      </c>
      <c r="AI3" s="120" t="s">
        <v>78</v>
      </c>
      <c r="AJ3" s="175">
        <v>1</v>
      </c>
      <c r="AK3" s="184">
        <v>2018.01</v>
      </c>
      <c r="AL3" s="121" t="s">
        <v>2725</v>
      </c>
      <c r="AM3" s="121"/>
      <c r="AN3" s="185"/>
      <c r="AO3" s="121"/>
      <c r="AP3" s="121"/>
      <c r="AQ3" s="121"/>
      <c r="AR3" s="121"/>
      <c r="AS3" s="193">
        <v>67000</v>
      </c>
      <c r="AT3" s="121">
        <v>2018.01</v>
      </c>
      <c r="AU3" s="192">
        <f t="shared" ref="AU3:AU11" si="2">AD3-AS3</f>
        <v>0</v>
      </c>
      <c r="AV3" s="120" t="s">
        <v>71</v>
      </c>
      <c r="AW3" s="120"/>
      <c r="AX3" s="134" t="s">
        <v>2738</v>
      </c>
      <c r="AY3" s="134" t="s">
        <v>2739</v>
      </c>
      <c r="AZ3" s="120" t="s">
        <v>219</v>
      </c>
      <c r="BA3" s="120"/>
    </row>
    <row r="4" spans="1:122" ht="48">
      <c r="A4" s="121"/>
      <c r="B4" s="120" t="s">
        <v>2740</v>
      </c>
      <c r="C4" s="120"/>
      <c r="D4" s="120" t="s">
        <v>2741</v>
      </c>
      <c r="E4" s="120" t="s">
        <v>2742</v>
      </c>
      <c r="F4" s="120" t="s">
        <v>83</v>
      </c>
      <c r="G4" s="126" t="s">
        <v>2715</v>
      </c>
      <c r="H4" s="141" t="s">
        <v>2716</v>
      </c>
      <c r="I4" s="141"/>
      <c r="J4" s="155" t="s">
        <v>2743</v>
      </c>
      <c r="K4" s="121"/>
      <c r="L4" s="127">
        <v>180000</v>
      </c>
      <c r="M4" s="156"/>
      <c r="N4" s="141" t="s">
        <v>2744</v>
      </c>
      <c r="O4" s="157">
        <v>0.15</v>
      </c>
      <c r="P4" s="121"/>
      <c r="Q4" s="121"/>
      <c r="R4" s="121"/>
      <c r="S4" s="121"/>
      <c r="T4" s="121"/>
      <c r="U4" s="121"/>
      <c r="V4" s="120">
        <v>153000</v>
      </c>
      <c r="W4" s="120">
        <f t="shared" si="0"/>
        <v>153000</v>
      </c>
      <c r="X4" s="169">
        <f t="shared" si="1"/>
        <v>0.15000000000000002</v>
      </c>
      <c r="Y4" s="126" t="s">
        <v>132</v>
      </c>
      <c r="AA4" s="121"/>
      <c r="AB4" s="120" t="s">
        <v>2745</v>
      </c>
      <c r="AC4" s="120" t="s">
        <v>2746</v>
      </c>
      <c r="AD4" s="120">
        <v>152970.21</v>
      </c>
      <c r="AE4" s="175">
        <v>0.11</v>
      </c>
      <c r="AF4" s="120" t="s">
        <v>2747</v>
      </c>
      <c r="AG4" s="120">
        <v>2017.12</v>
      </c>
      <c r="AH4" s="120" t="s">
        <v>2748</v>
      </c>
      <c r="AI4" s="120" t="s">
        <v>87</v>
      </c>
      <c r="AJ4" s="120"/>
      <c r="AK4" s="184"/>
      <c r="AL4" s="121"/>
      <c r="AM4" s="121"/>
      <c r="AN4" s="185"/>
      <c r="AO4" s="121"/>
      <c r="AP4" s="121"/>
      <c r="AQ4" s="121"/>
      <c r="AR4" s="121"/>
      <c r="AS4" s="193"/>
      <c r="AT4" s="121"/>
      <c r="AU4" s="192">
        <f t="shared" si="2"/>
        <v>152970.21</v>
      </c>
      <c r="AV4" s="120"/>
      <c r="AW4" s="120"/>
      <c r="AZ4" s="120" t="s">
        <v>213</v>
      </c>
      <c r="BA4" s="120"/>
    </row>
    <row r="5" spans="1:122" ht="27.75" customHeight="1">
      <c r="A5" s="121"/>
      <c r="B5" s="120" t="s">
        <v>2749</v>
      </c>
      <c r="C5" s="120"/>
      <c r="D5" s="120" t="s">
        <v>2750</v>
      </c>
      <c r="E5" s="108" t="s">
        <v>2751</v>
      </c>
      <c r="F5" s="120"/>
      <c r="G5" s="126"/>
      <c r="H5" s="141"/>
      <c r="I5" s="141"/>
      <c r="J5" s="155"/>
      <c r="K5" s="121"/>
      <c r="L5" s="127"/>
      <c r="M5" s="156"/>
      <c r="N5" s="141"/>
      <c r="O5" s="157"/>
      <c r="P5" s="121"/>
      <c r="Q5" s="121"/>
      <c r="R5" s="121"/>
      <c r="S5" s="121"/>
      <c r="T5" s="121"/>
      <c r="U5" s="121"/>
      <c r="V5" s="120"/>
      <c r="W5" s="120"/>
      <c r="X5" s="169"/>
      <c r="Y5" s="126" t="s">
        <v>108</v>
      </c>
      <c r="AA5" s="121"/>
      <c r="AB5" s="120"/>
      <c r="AC5" s="120"/>
      <c r="AD5" s="120"/>
      <c r="AE5" s="175"/>
      <c r="AF5" s="120"/>
      <c r="AG5" s="120"/>
      <c r="AH5" s="120"/>
      <c r="AI5" s="120"/>
      <c r="AJ5" s="120"/>
      <c r="AK5" s="184"/>
      <c r="AL5" s="121"/>
      <c r="AM5" s="121"/>
      <c r="AN5" s="185"/>
      <c r="AO5" s="121"/>
      <c r="AP5" s="121"/>
      <c r="AQ5" s="121"/>
      <c r="AR5" s="121"/>
      <c r="AS5" s="193"/>
      <c r="AT5" s="121"/>
      <c r="AU5" s="192"/>
      <c r="AV5" s="120" t="s">
        <v>71</v>
      </c>
      <c r="AW5" s="120"/>
      <c r="AX5" s="134">
        <v>2018.1</v>
      </c>
      <c r="AZ5" s="120" t="s">
        <v>122</v>
      </c>
      <c r="BA5" s="120"/>
    </row>
    <row r="6" spans="1:122" s="129" customFormat="1" ht="27.75" customHeight="1">
      <c r="A6" s="142"/>
      <c r="B6" s="143" t="s">
        <v>2752</v>
      </c>
      <c r="C6" s="142"/>
      <c r="D6" s="143" t="s">
        <v>2753</v>
      </c>
      <c r="E6" s="144" t="s">
        <v>2754</v>
      </c>
      <c r="F6" s="144"/>
      <c r="G6" s="142"/>
      <c r="H6" s="145"/>
      <c r="I6" s="145"/>
      <c r="J6" s="158" t="s">
        <v>2755</v>
      </c>
      <c r="K6" s="142"/>
      <c r="L6" s="142"/>
      <c r="M6" s="159"/>
      <c r="N6" s="142"/>
      <c r="O6" s="160"/>
      <c r="P6" s="142"/>
      <c r="Q6" s="142"/>
      <c r="R6" s="142"/>
      <c r="S6" s="142"/>
      <c r="T6" s="142"/>
      <c r="U6" s="142"/>
      <c r="V6" s="142"/>
      <c r="W6" s="144">
        <v>470000</v>
      </c>
      <c r="X6" s="170" t="e">
        <f t="shared" si="1"/>
        <v>#DIV/0!</v>
      </c>
      <c r="Y6" s="142" t="s">
        <v>145</v>
      </c>
      <c r="Z6" s="134"/>
      <c r="AA6" s="142"/>
      <c r="AB6" s="142" t="s">
        <v>2756</v>
      </c>
      <c r="AC6" s="144"/>
      <c r="AD6" s="144">
        <v>470000</v>
      </c>
      <c r="AE6" s="176"/>
      <c r="AF6" s="144"/>
      <c r="AG6" s="142"/>
      <c r="AH6" s="144"/>
      <c r="AI6" s="144"/>
      <c r="AJ6" s="144"/>
      <c r="AK6" s="186"/>
      <c r="AL6" s="142" t="s">
        <v>2725</v>
      </c>
      <c r="AM6" s="142"/>
      <c r="AN6" s="187"/>
      <c r="AO6" s="142"/>
      <c r="AP6" s="142"/>
      <c r="AQ6" s="142"/>
      <c r="AR6" s="142"/>
      <c r="AS6" s="194">
        <v>423000</v>
      </c>
      <c r="AT6" s="142">
        <v>2018.8</v>
      </c>
      <c r="AU6" s="195">
        <f t="shared" si="2"/>
        <v>47000</v>
      </c>
      <c r="AV6" s="144" t="s">
        <v>71</v>
      </c>
      <c r="AW6" s="144"/>
      <c r="AX6" s="134" t="s">
        <v>2757</v>
      </c>
      <c r="AY6" s="134" t="s">
        <v>2758</v>
      </c>
      <c r="AZ6" s="120" t="s">
        <v>122</v>
      </c>
      <c r="BA6" s="120" t="s">
        <v>78</v>
      </c>
    </row>
    <row r="7" spans="1:122" s="129" customFormat="1" ht="39.75" customHeight="1">
      <c r="A7" s="142"/>
      <c r="B7" s="143" t="s">
        <v>2759</v>
      </c>
      <c r="D7" s="143" t="s">
        <v>2760</v>
      </c>
      <c r="E7" s="144" t="s">
        <v>2761</v>
      </c>
      <c r="F7" s="144"/>
      <c r="G7" s="142"/>
      <c r="H7" s="145"/>
      <c r="I7" s="145"/>
      <c r="J7" s="158" t="s">
        <v>2755</v>
      </c>
      <c r="K7" s="142"/>
      <c r="L7" s="142"/>
      <c r="M7" s="159"/>
      <c r="N7" s="142"/>
      <c r="O7" s="160"/>
      <c r="P7" s="142"/>
      <c r="Q7" s="142"/>
      <c r="R7" s="142"/>
      <c r="S7" s="142"/>
      <c r="T7" s="142"/>
      <c r="U7" s="142"/>
      <c r="V7" s="142"/>
      <c r="W7" s="144">
        <f t="shared" si="0"/>
        <v>0</v>
      </c>
      <c r="X7" s="170" t="e">
        <f t="shared" si="1"/>
        <v>#DIV/0!</v>
      </c>
      <c r="Y7" s="142" t="s">
        <v>77</v>
      </c>
      <c r="Z7" s="134"/>
      <c r="AA7" s="142"/>
      <c r="AB7" s="144" t="s">
        <v>2762</v>
      </c>
      <c r="AC7" s="144" t="s">
        <v>2761</v>
      </c>
      <c r="AD7" s="144">
        <v>27000</v>
      </c>
      <c r="AE7" s="176">
        <v>0.06</v>
      </c>
      <c r="AF7" s="144" t="s">
        <v>2763</v>
      </c>
      <c r="AG7" s="142">
        <v>2018.4</v>
      </c>
      <c r="AH7" s="144" t="s">
        <v>2764</v>
      </c>
      <c r="AI7" s="144" t="s">
        <v>2765</v>
      </c>
      <c r="AJ7" s="176">
        <v>1</v>
      </c>
      <c r="AK7" s="186">
        <v>2018.04</v>
      </c>
      <c r="AL7" s="142" t="s">
        <v>2766</v>
      </c>
      <c r="AM7" s="142"/>
      <c r="AN7" s="187"/>
      <c r="AO7" s="142"/>
      <c r="AP7" s="142"/>
      <c r="AQ7" s="142"/>
      <c r="AR7" s="142"/>
      <c r="AS7" s="194">
        <v>27000</v>
      </c>
      <c r="AT7" s="142">
        <v>2018.5</v>
      </c>
      <c r="AU7" s="195">
        <f t="shared" si="2"/>
        <v>0</v>
      </c>
      <c r="AV7" s="144" t="s">
        <v>2767</v>
      </c>
      <c r="AW7" s="144"/>
      <c r="AX7" s="134"/>
      <c r="AY7" s="134"/>
      <c r="AZ7" s="120" t="s">
        <v>122</v>
      </c>
      <c r="BA7" s="120"/>
    </row>
    <row r="8" spans="1:122" s="129" customFormat="1" ht="45" customHeight="1">
      <c r="A8" s="142"/>
      <c r="B8" s="142"/>
      <c r="C8" s="142"/>
      <c r="D8" s="142"/>
      <c r="E8" s="144" t="s">
        <v>2768</v>
      </c>
      <c r="F8" s="144"/>
      <c r="G8" s="142"/>
      <c r="H8" s="145"/>
      <c r="I8" s="145"/>
      <c r="J8" s="158" t="s">
        <v>2755</v>
      </c>
      <c r="K8" s="142"/>
      <c r="L8" s="142"/>
      <c r="M8" s="159"/>
      <c r="N8" s="142"/>
      <c r="O8" s="160"/>
      <c r="P8" s="142"/>
      <c r="Q8" s="142"/>
      <c r="R8" s="142"/>
      <c r="S8" s="142"/>
      <c r="T8" s="142"/>
      <c r="U8" s="142"/>
      <c r="V8" s="142"/>
      <c r="W8" s="144">
        <f t="shared" ref="W8" si="3">SUM(P8:V8)</f>
        <v>0</v>
      </c>
      <c r="X8" s="170" t="e">
        <f t="shared" si="1"/>
        <v>#DIV/0!</v>
      </c>
      <c r="Y8" s="142" t="s">
        <v>108</v>
      </c>
      <c r="Z8" s="134"/>
      <c r="AA8" s="142"/>
      <c r="AB8" s="142"/>
      <c r="AC8" s="144"/>
      <c r="AD8" s="144">
        <v>99936</v>
      </c>
      <c r="AE8" s="176"/>
      <c r="AF8" s="144"/>
      <c r="AG8" s="142"/>
      <c r="AH8" s="144"/>
      <c r="AI8" s="144"/>
      <c r="AJ8" s="144"/>
      <c r="AK8" s="186"/>
      <c r="AL8" s="142"/>
      <c r="AM8" s="142"/>
      <c r="AN8" s="187"/>
      <c r="AO8" s="142"/>
      <c r="AP8" s="142"/>
      <c r="AQ8" s="142"/>
      <c r="AR8" s="142"/>
      <c r="AS8" s="194">
        <v>89942.399999999994</v>
      </c>
      <c r="AT8" s="142"/>
      <c r="AU8" s="195">
        <f t="shared" si="2"/>
        <v>9993.6000000000058</v>
      </c>
      <c r="AV8" s="144" t="s">
        <v>71</v>
      </c>
      <c r="AW8" s="144"/>
      <c r="AX8" s="134">
        <v>2018.1</v>
      </c>
      <c r="AY8" s="134" t="s">
        <v>2769</v>
      </c>
      <c r="AZ8" s="120" t="s">
        <v>122</v>
      </c>
      <c r="BA8" s="120" t="s">
        <v>78</v>
      </c>
    </row>
    <row r="9" spans="1:122" s="129" customFormat="1" ht="45" customHeight="1">
      <c r="A9" s="142"/>
      <c r="B9" s="142"/>
      <c r="C9" s="142"/>
      <c r="D9" s="142"/>
      <c r="E9" s="144" t="s">
        <v>2770</v>
      </c>
      <c r="F9" s="144"/>
      <c r="G9" s="142"/>
      <c r="H9" s="145"/>
      <c r="I9" s="145"/>
      <c r="J9" s="158" t="s">
        <v>2755</v>
      </c>
      <c r="K9" s="142"/>
      <c r="L9" s="142"/>
      <c r="M9" s="159"/>
      <c r="N9" s="142"/>
      <c r="O9" s="160"/>
      <c r="P9" s="142"/>
      <c r="Q9" s="142"/>
      <c r="R9" s="142"/>
      <c r="S9" s="142"/>
      <c r="T9" s="142"/>
      <c r="U9" s="142"/>
      <c r="V9" s="142"/>
      <c r="W9" s="144"/>
      <c r="X9" s="170"/>
      <c r="Y9" s="142" t="s">
        <v>93</v>
      </c>
      <c r="Z9" s="134"/>
      <c r="AA9" s="142"/>
      <c r="AB9" s="142"/>
      <c r="AC9" s="144"/>
      <c r="AD9" s="144"/>
      <c r="AE9" s="176"/>
      <c r="AF9" s="144"/>
      <c r="AG9" s="142"/>
      <c r="AH9" s="144"/>
      <c r="AI9" s="144"/>
      <c r="AJ9" s="144"/>
      <c r="AK9" s="186"/>
      <c r="AL9" s="142"/>
      <c r="AM9" s="142"/>
      <c r="AN9" s="187"/>
      <c r="AO9" s="142"/>
      <c r="AP9" s="142"/>
      <c r="AQ9" s="142"/>
      <c r="AR9" s="142"/>
      <c r="AS9" s="194"/>
      <c r="AT9" s="142"/>
      <c r="AU9" s="195"/>
      <c r="AV9" s="144" t="s">
        <v>71</v>
      </c>
      <c r="AW9" s="144"/>
      <c r="AX9" s="134">
        <v>42643</v>
      </c>
      <c r="AY9" s="134">
        <v>43661</v>
      </c>
      <c r="AZ9" s="120" t="s">
        <v>122</v>
      </c>
      <c r="BA9" s="120" t="s">
        <v>78</v>
      </c>
    </row>
    <row r="10" spans="1:122" ht="38.25" customHeight="1">
      <c r="A10" s="121"/>
      <c r="B10" s="120" t="s">
        <v>2771</v>
      </c>
      <c r="C10" s="120" t="s">
        <v>2772</v>
      </c>
      <c r="D10" s="120" t="s">
        <v>2773</v>
      </c>
      <c r="E10" s="120" t="s">
        <v>2774</v>
      </c>
      <c r="F10" s="120" t="s">
        <v>1093</v>
      </c>
      <c r="G10" s="121" t="s">
        <v>2715</v>
      </c>
      <c r="H10" s="141" t="s">
        <v>76</v>
      </c>
      <c r="I10" s="141" t="s">
        <v>128</v>
      </c>
      <c r="J10" s="155" t="s">
        <v>2775</v>
      </c>
      <c r="K10" s="121"/>
      <c r="L10" s="120">
        <v>800111.81</v>
      </c>
      <c r="M10" s="120">
        <v>800111.81</v>
      </c>
      <c r="N10" s="141" t="s">
        <v>2776</v>
      </c>
      <c r="O10" s="157">
        <v>0.1</v>
      </c>
      <c r="P10" s="121"/>
      <c r="Q10" s="121"/>
      <c r="R10" s="121"/>
      <c r="S10" s="121"/>
      <c r="T10" s="120">
        <v>720100.63</v>
      </c>
      <c r="U10" s="120"/>
      <c r="V10" s="121"/>
      <c r="W10" s="120">
        <f t="shared" si="0"/>
        <v>720100.63</v>
      </c>
      <c r="X10" s="169">
        <f t="shared" si="1"/>
        <v>9.9999998750174734E-2</v>
      </c>
      <c r="Y10" s="126" t="s">
        <v>948</v>
      </c>
      <c r="AA10" s="121"/>
      <c r="AB10" s="120" t="s">
        <v>2777</v>
      </c>
      <c r="AC10" s="120" t="s">
        <v>2778</v>
      </c>
      <c r="AD10" s="177">
        <v>720100.63</v>
      </c>
      <c r="AE10" s="175"/>
      <c r="AF10" s="120" t="s">
        <v>2779</v>
      </c>
      <c r="AG10" s="121"/>
      <c r="AH10" s="120" t="s">
        <v>2780</v>
      </c>
      <c r="AI10" s="120"/>
      <c r="AJ10" s="120"/>
      <c r="AK10" s="184"/>
      <c r="AL10" s="121"/>
      <c r="AM10" s="121"/>
      <c r="AN10" s="185"/>
      <c r="AO10" s="121"/>
      <c r="AP10" s="121"/>
      <c r="AQ10" s="121"/>
      <c r="AR10" s="121"/>
      <c r="AS10" s="193">
        <v>432060.38</v>
      </c>
      <c r="AT10" s="121">
        <v>2018.12</v>
      </c>
      <c r="AU10" s="192">
        <f t="shared" si="2"/>
        <v>288040.25</v>
      </c>
      <c r="AV10" s="121" t="s">
        <v>71</v>
      </c>
      <c r="AW10" s="121"/>
      <c r="AX10" s="134" t="s">
        <v>2781</v>
      </c>
      <c r="AY10" s="134" t="s">
        <v>2781</v>
      </c>
      <c r="AZ10" s="120" t="s">
        <v>88</v>
      </c>
      <c r="BA10" s="120" t="s">
        <v>78</v>
      </c>
    </row>
    <row r="11" spans="1:122" ht="38.25" customHeight="1">
      <c r="A11" s="121"/>
      <c r="B11" s="120" t="s">
        <v>2782</v>
      </c>
      <c r="C11" s="120"/>
      <c r="D11" s="120" t="s">
        <v>2783</v>
      </c>
      <c r="E11" s="120" t="s">
        <v>2784</v>
      </c>
      <c r="F11" s="120" t="s">
        <v>156</v>
      </c>
      <c r="G11" s="121" t="s">
        <v>2715</v>
      </c>
      <c r="H11" s="141" t="s">
        <v>157</v>
      </c>
      <c r="I11" s="141"/>
      <c r="J11" s="155" t="s">
        <v>2785</v>
      </c>
      <c r="K11" s="121"/>
      <c r="L11" s="120">
        <f>823536+76464</f>
        <v>900000</v>
      </c>
      <c r="M11" s="156" t="s">
        <v>2786</v>
      </c>
      <c r="N11" s="121" t="s">
        <v>303</v>
      </c>
      <c r="O11" s="157">
        <v>0.15</v>
      </c>
      <c r="P11" s="121"/>
      <c r="Q11" s="120">
        <v>700005.6</v>
      </c>
      <c r="R11" s="120"/>
      <c r="S11" s="120"/>
      <c r="T11" s="120"/>
      <c r="U11" s="120"/>
      <c r="V11" s="120">
        <v>64994.400000000001</v>
      </c>
      <c r="W11" s="120">
        <f t="shared" si="0"/>
        <v>765000</v>
      </c>
      <c r="X11" s="169">
        <f t="shared" si="1"/>
        <v>0.15000000000000002</v>
      </c>
      <c r="Y11" s="126" t="s">
        <v>114</v>
      </c>
      <c r="AA11" s="121"/>
      <c r="AB11" s="121"/>
      <c r="AC11" s="120"/>
      <c r="AD11" s="120"/>
      <c r="AE11" s="175"/>
      <c r="AF11" s="120"/>
      <c r="AG11" s="121"/>
      <c r="AH11" s="120"/>
      <c r="AI11" s="120"/>
      <c r="AJ11" s="120"/>
      <c r="AK11" s="184"/>
      <c r="AL11" s="121"/>
      <c r="AM11" s="121"/>
      <c r="AN11" s="185"/>
      <c r="AO11" s="121"/>
      <c r="AP11" s="121"/>
      <c r="AQ11" s="121"/>
      <c r="AR11" s="121"/>
      <c r="AS11" s="193"/>
      <c r="AT11" s="121"/>
      <c r="AU11" s="192">
        <f t="shared" si="2"/>
        <v>0</v>
      </c>
      <c r="AV11" s="121"/>
      <c r="AW11" s="121"/>
      <c r="AZ11" s="120" t="s">
        <v>1515</v>
      </c>
      <c r="BA11" s="120"/>
    </row>
    <row r="12" spans="1:122" ht="30" customHeight="1">
      <c r="A12" s="121"/>
      <c r="B12" s="120" t="s">
        <v>2787</v>
      </c>
      <c r="C12" s="120" t="s">
        <v>2788</v>
      </c>
      <c r="D12" s="120" t="s">
        <v>2789</v>
      </c>
      <c r="E12" s="120" t="s">
        <v>2790</v>
      </c>
      <c r="F12" s="120" t="s">
        <v>83</v>
      </c>
      <c r="G12" s="121"/>
      <c r="H12" s="141" t="s">
        <v>175</v>
      </c>
      <c r="I12" s="141" t="s">
        <v>128</v>
      </c>
      <c r="J12" s="155">
        <v>43325</v>
      </c>
      <c r="K12" s="121"/>
      <c r="L12" s="121">
        <v>2041050</v>
      </c>
      <c r="M12" s="156"/>
      <c r="N12" s="161">
        <v>0.06</v>
      </c>
      <c r="O12" s="157"/>
      <c r="P12" s="121"/>
      <c r="Q12" s="121"/>
      <c r="R12" s="121"/>
      <c r="S12" s="121"/>
      <c r="T12" s="121"/>
      <c r="U12" s="121"/>
      <c r="V12" s="120">
        <v>1632188</v>
      </c>
      <c r="W12" s="120">
        <f t="shared" si="0"/>
        <v>1632188</v>
      </c>
      <c r="X12" s="169">
        <f t="shared" si="1"/>
        <v>0.20031944342372798</v>
      </c>
      <c r="Y12" s="121" t="s">
        <v>108</v>
      </c>
      <c r="AA12" s="121"/>
      <c r="AB12" s="121"/>
      <c r="AC12" s="120"/>
      <c r="AD12" s="120"/>
      <c r="AE12" s="175"/>
      <c r="AF12" s="120"/>
      <c r="AG12" s="121"/>
      <c r="AH12" s="120"/>
      <c r="AI12" s="120"/>
      <c r="AJ12" s="120"/>
      <c r="AK12" s="184"/>
      <c r="AL12" s="121"/>
      <c r="AM12" s="121"/>
      <c r="AN12" s="185"/>
      <c r="AO12" s="121"/>
      <c r="AP12" s="121"/>
      <c r="AQ12" s="121"/>
      <c r="AR12" s="121"/>
      <c r="AS12" s="193"/>
      <c r="AT12" s="121"/>
      <c r="AU12" s="193"/>
      <c r="AV12" s="121" t="s">
        <v>71</v>
      </c>
      <c r="AW12" s="121"/>
      <c r="AX12" s="134">
        <v>43581</v>
      </c>
      <c r="AY12" s="134">
        <v>43624</v>
      </c>
      <c r="AZ12" s="120" t="s">
        <v>88</v>
      </c>
      <c r="BA12" s="120">
        <v>1</v>
      </c>
    </row>
    <row r="13" spans="1:122" ht="38.25" customHeight="1">
      <c r="A13" s="121"/>
      <c r="B13" s="120" t="s">
        <v>2791</v>
      </c>
      <c r="C13" s="120" t="s">
        <v>2792</v>
      </c>
      <c r="D13" s="108" t="s">
        <v>2793</v>
      </c>
      <c r="E13" s="120" t="s">
        <v>2794</v>
      </c>
      <c r="F13" s="120" t="s">
        <v>156</v>
      </c>
      <c r="G13" s="120" t="s">
        <v>2715</v>
      </c>
      <c r="H13" s="120" t="s">
        <v>1987</v>
      </c>
      <c r="I13" s="120"/>
      <c r="J13" s="155">
        <v>43593</v>
      </c>
      <c r="K13" s="120"/>
      <c r="L13" s="120">
        <f>823536+76464</f>
        <v>900000</v>
      </c>
      <c r="M13" s="120" t="s">
        <v>2795</v>
      </c>
      <c r="N13" s="161">
        <v>0.06</v>
      </c>
      <c r="O13" s="157">
        <v>0.15</v>
      </c>
      <c r="P13" s="121"/>
      <c r="Q13" s="120"/>
      <c r="R13" s="120"/>
      <c r="S13" s="121"/>
      <c r="T13" s="121"/>
      <c r="U13" s="121"/>
      <c r="V13" s="120">
        <v>694000</v>
      </c>
      <c r="W13" s="120">
        <f t="shared" si="0"/>
        <v>694000</v>
      </c>
      <c r="X13" s="169">
        <f t="shared" si="1"/>
        <v>0.22888888888888892</v>
      </c>
      <c r="Y13" s="121" t="s">
        <v>77</v>
      </c>
      <c r="AA13" s="121"/>
      <c r="AB13" s="121"/>
      <c r="AC13" s="120"/>
      <c r="AD13" s="120"/>
      <c r="AE13" s="175"/>
      <c r="AF13" s="120"/>
      <c r="AG13" s="121"/>
      <c r="AH13" s="120"/>
      <c r="AI13" s="120"/>
      <c r="AJ13" s="120"/>
      <c r="AK13" s="184"/>
      <c r="AL13" s="121"/>
      <c r="AM13" s="121"/>
      <c r="AN13" s="185"/>
      <c r="AO13" s="121"/>
      <c r="AP13" s="121"/>
      <c r="AQ13" s="121"/>
      <c r="AR13" s="121"/>
      <c r="AS13" s="193"/>
      <c r="AT13" s="121"/>
      <c r="AU13" s="193"/>
      <c r="AV13" s="121" t="s">
        <v>71</v>
      </c>
      <c r="AW13" s="121"/>
      <c r="AX13" s="134">
        <v>43609</v>
      </c>
      <c r="AY13" s="134">
        <v>43609</v>
      </c>
      <c r="AZ13" s="120" t="s">
        <v>88</v>
      </c>
      <c r="BA13" s="120" t="s">
        <v>78</v>
      </c>
    </row>
    <row r="14" spans="1:122" ht="27.75" customHeight="1">
      <c r="A14" s="121"/>
      <c r="B14" s="120" t="s">
        <v>2796</v>
      </c>
      <c r="C14" s="120" t="s">
        <v>2797</v>
      </c>
      <c r="D14" s="120" t="s">
        <v>2798</v>
      </c>
      <c r="E14" s="120" t="s">
        <v>2799</v>
      </c>
      <c r="F14" s="120" t="s">
        <v>261</v>
      </c>
      <c r="G14" s="120"/>
      <c r="H14" s="120" t="s">
        <v>2800</v>
      </c>
      <c r="I14" s="120"/>
      <c r="J14" s="155">
        <v>43595</v>
      </c>
      <c r="K14" s="120"/>
      <c r="L14" s="120">
        <v>418000</v>
      </c>
      <c r="M14" s="120"/>
      <c r="N14" s="161">
        <v>0.06</v>
      </c>
      <c r="O14" s="157">
        <v>0.12</v>
      </c>
      <c r="P14" s="121"/>
      <c r="Q14" s="121"/>
      <c r="R14" s="121"/>
      <c r="S14" s="121"/>
      <c r="T14" s="121"/>
      <c r="U14" s="121"/>
      <c r="V14" s="121">
        <v>353186</v>
      </c>
      <c r="W14" s="121">
        <f t="shared" si="0"/>
        <v>353186</v>
      </c>
      <c r="X14" s="169">
        <f t="shared" si="1"/>
        <v>0.15505741626794256</v>
      </c>
      <c r="Y14" s="121" t="s">
        <v>77</v>
      </c>
      <c r="AA14" s="121"/>
      <c r="AB14" s="121"/>
      <c r="AC14" s="120"/>
      <c r="AD14" s="121"/>
      <c r="AE14" s="175"/>
      <c r="AF14" s="120"/>
      <c r="AG14" s="121"/>
      <c r="AH14" s="120"/>
      <c r="AI14" s="120"/>
      <c r="AJ14" s="120"/>
      <c r="AK14" s="184"/>
      <c r="AL14" s="121"/>
      <c r="AM14" s="121"/>
      <c r="AN14" s="185"/>
      <c r="AO14" s="121"/>
      <c r="AP14" s="121"/>
      <c r="AQ14" s="121"/>
      <c r="AR14" s="121"/>
      <c r="AS14" s="193"/>
      <c r="AT14" s="121"/>
      <c r="AU14" s="193"/>
      <c r="AV14" s="121" t="s">
        <v>71</v>
      </c>
      <c r="AW14" s="121"/>
      <c r="AX14" s="134">
        <v>43617</v>
      </c>
      <c r="AY14" s="134">
        <v>43636</v>
      </c>
      <c r="AZ14" s="120" t="s">
        <v>88</v>
      </c>
      <c r="BA14" s="120" t="s">
        <v>78</v>
      </c>
    </row>
    <row r="15" spans="1:122" ht="27.75" customHeight="1">
      <c r="A15" s="121"/>
      <c r="B15" s="120"/>
      <c r="C15" s="120"/>
      <c r="D15" s="120"/>
      <c r="E15" s="120" t="s">
        <v>2801</v>
      </c>
      <c r="F15" s="120"/>
      <c r="G15" s="120"/>
      <c r="H15" s="120"/>
      <c r="I15" s="120"/>
      <c r="J15" s="155"/>
      <c r="K15" s="120"/>
      <c r="L15" s="120"/>
      <c r="M15" s="120"/>
      <c r="N15" s="161"/>
      <c r="O15" s="157"/>
      <c r="P15" s="121"/>
      <c r="Q15" s="121"/>
      <c r="R15" s="121"/>
      <c r="S15" s="121"/>
      <c r="T15" s="121"/>
      <c r="U15" s="121"/>
      <c r="V15" s="121"/>
      <c r="W15" s="121"/>
      <c r="X15" s="169"/>
      <c r="Y15" s="121"/>
      <c r="AA15" s="121"/>
      <c r="AB15" s="121"/>
      <c r="AC15" s="120"/>
      <c r="AD15" s="121"/>
      <c r="AE15" s="175"/>
      <c r="AF15" s="120"/>
      <c r="AG15" s="121"/>
      <c r="AH15" s="120"/>
      <c r="AI15" s="120"/>
      <c r="AJ15" s="120"/>
      <c r="AK15" s="184"/>
      <c r="AL15" s="121"/>
      <c r="AM15" s="121"/>
      <c r="AN15" s="185"/>
      <c r="AO15" s="121"/>
      <c r="AP15" s="121"/>
      <c r="AQ15" s="121"/>
      <c r="AR15" s="121"/>
      <c r="AS15" s="193"/>
      <c r="AT15" s="121"/>
      <c r="AU15" s="193"/>
      <c r="AV15" s="121" t="s">
        <v>71</v>
      </c>
      <c r="AW15" s="121"/>
      <c r="AX15" s="134">
        <v>43753</v>
      </c>
      <c r="AY15" s="134">
        <v>43766</v>
      </c>
      <c r="AZ15" s="120" t="s">
        <v>88</v>
      </c>
      <c r="BA15" s="120" t="s">
        <v>78</v>
      </c>
      <c r="BB15" s="131" t="s">
        <v>2802</v>
      </c>
    </row>
    <row r="16" spans="1:122" ht="27.75" customHeight="1">
      <c r="A16" s="121"/>
      <c r="B16" s="120" t="s">
        <v>2803</v>
      </c>
      <c r="C16" s="120" t="s">
        <v>2804</v>
      </c>
      <c r="D16" s="120" t="s">
        <v>2805</v>
      </c>
      <c r="E16" s="120" t="s">
        <v>2806</v>
      </c>
      <c r="F16" s="120" t="s">
        <v>576</v>
      </c>
      <c r="G16" s="121"/>
      <c r="H16" s="141" t="s">
        <v>2807</v>
      </c>
      <c r="I16" s="121"/>
      <c r="J16" s="162">
        <v>43622</v>
      </c>
      <c r="K16" s="121"/>
      <c r="L16" s="120">
        <v>184000</v>
      </c>
      <c r="M16" s="120"/>
      <c r="N16" s="161">
        <v>0.06</v>
      </c>
      <c r="O16" s="157"/>
      <c r="P16" s="121"/>
      <c r="Q16" s="121"/>
      <c r="R16" s="121"/>
      <c r="S16" s="121"/>
      <c r="T16" s="121"/>
      <c r="U16" s="121"/>
      <c r="V16" s="121">
        <v>83600</v>
      </c>
      <c r="W16" s="121">
        <f>SUM(P16:V16)</f>
        <v>83600</v>
      </c>
      <c r="X16" s="171">
        <f>1-W16/L16</f>
        <v>0.54565217391304355</v>
      </c>
      <c r="Y16" s="121" t="s">
        <v>108</v>
      </c>
      <c r="AA16" s="121"/>
      <c r="AB16" s="121"/>
      <c r="AC16" s="120"/>
      <c r="AD16" s="121"/>
      <c r="AE16" s="121"/>
      <c r="AF16" s="121"/>
      <c r="AG16" s="121"/>
      <c r="AH16" s="120"/>
      <c r="AI16" s="120"/>
      <c r="AJ16" s="120"/>
      <c r="AK16" s="184"/>
      <c r="AL16" s="121"/>
      <c r="AM16" s="121"/>
      <c r="AN16" s="185"/>
      <c r="AO16" s="121"/>
      <c r="AP16" s="121"/>
      <c r="AQ16" s="121"/>
      <c r="AR16" s="121"/>
      <c r="AS16" s="193"/>
      <c r="AT16" s="121"/>
      <c r="AU16" s="193"/>
      <c r="AV16" s="121" t="s">
        <v>71</v>
      </c>
      <c r="AW16" s="121"/>
      <c r="AX16" s="134">
        <v>43617</v>
      </c>
      <c r="AY16" s="134">
        <v>43636</v>
      </c>
      <c r="AZ16" s="120" t="s">
        <v>88</v>
      </c>
      <c r="BA16" s="120" t="s">
        <v>78</v>
      </c>
    </row>
    <row r="17" spans="1:54" ht="27.75" customHeight="1">
      <c r="A17" s="121"/>
      <c r="B17" s="120" t="s">
        <v>2808</v>
      </c>
      <c r="C17" s="120" t="s">
        <v>2809</v>
      </c>
      <c r="D17" s="120" t="s">
        <v>2810</v>
      </c>
      <c r="E17" s="120" t="s">
        <v>2811</v>
      </c>
      <c r="F17" s="120" t="s">
        <v>249</v>
      </c>
      <c r="G17" s="120"/>
      <c r="H17" s="120" t="s">
        <v>1998</v>
      </c>
      <c r="I17" s="120" t="s">
        <v>1998</v>
      </c>
      <c r="J17" s="155">
        <v>43633</v>
      </c>
      <c r="K17" s="120" t="s">
        <v>2046</v>
      </c>
      <c r="L17" s="120">
        <f>SUM(M17:M19)</f>
        <v>82927.06</v>
      </c>
      <c r="M17" s="120">
        <v>20000</v>
      </c>
      <c r="N17" s="163">
        <v>0.06</v>
      </c>
      <c r="O17" s="121"/>
      <c r="P17" s="121"/>
      <c r="Q17" s="121"/>
      <c r="R17" s="121">
        <v>31429</v>
      </c>
      <c r="S17" s="121"/>
      <c r="T17" s="121"/>
      <c r="U17" s="121">
        <v>22059</v>
      </c>
      <c r="V17" s="121">
        <v>17000</v>
      </c>
      <c r="W17" s="121">
        <f>SUM(P17:V17)</f>
        <v>70488</v>
      </c>
      <c r="X17" s="171">
        <f>1-W17/L17</f>
        <v>0.15000001205878999</v>
      </c>
      <c r="Y17" s="121" t="s">
        <v>2812</v>
      </c>
      <c r="AA17" s="121"/>
      <c r="AB17" s="121"/>
      <c r="AC17" s="121"/>
      <c r="AD17" s="121"/>
      <c r="AE17" s="121"/>
      <c r="AF17" s="121"/>
      <c r="AG17" s="121"/>
      <c r="AH17" s="120"/>
      <c r="AI17" s="120"/>
      <c r="AJ17" s="120"/>
      <c r="AK17" s="184"/>
      <c r="AL17" s="121"/>
      <c r="AM17" s="121"/>
      <c r="AN17" s="185"/>
      <c r="AO17" s="121"/>
      <c r="AP17" s="121"/>
      <c r="AQ17" s="121"/>
      <c r="AR17" s="147"/>
      <c r="AS17" s="196"/>
      <c r="AT17" s="147"/>
      <c r="AU17" s="196"/>
      <c r="AV17" s="147" t="s">
        <v>71</v>
      </c>
      <c r="AW17" s="147"/>
      <c r="AX17" s="134">
        <v>43764</v>
      </c>
      <c r="AY17" s="134">
        <v>43764</v>
      </c>
      <c r="AZ17" s="121"/>
      <c r="BA17" s="121"/>
    </row>
    <row r="18" spans="1:54" ht="27.75" customHeight="1">
      <c r="A18" s="121"/>
      <c r="B18" s="120"/>
      <c r="C18" s="120"/>
      <c r="D18" s="121"/>
      <c r="E18" s="120"/>
      <c r="F18" s="121"/>
      <c r="G18" s="121"/>
      <c r="H18" s="120"/>
      <c r="I18" s="120"/>
      <c r="J18" s="162"/>
      <c r="K18" s="120"/>
      <c r="L18" s="120"/>
      <c r="M18" s="120">
        <v>25951.77</v>
      </c>
      <c r="N18" s="164">
        <v>0.09</v>
      </c>
      <c r="O18" s="121"/>
      <c r="P18" s="121"/>
      <c r="Q18" s="121"/>
      <c r="R18" s="121"/>
      <c r="S18" s="121"/>
      <c r="T18" s="121"/>
      <c r="U18" s="121"/>
      <c r="V18" s="121"/>
      <c r="W18" s="121"/>
      <c r="X18" s="171"/>
      <c r="Y18" s="121"/>
      <c r="AA18" s="121"/>
      <c r="AB18" s="121"/>
      <c r="AC18" s="121"/>
      <c r="AD18" s="178"/>
      <c r="AE18" s="121"/>
      <c r="AF18" s="121"/>
      <c r="AG18" s="121"/>
      <c r="AH18" s="120"/>
      <c r="AI18" s="120"/>
      <c r="AJ18" s="120"/>
      <c r="AK18" s="184"/>
      <c r="AL18" s="121"/>
      <c r="AM18" s="121"/>
      <c r="AN18" s="185"/>
      <c r="AO18" s="121"/>
      <c r="AP18" s="121"/>
      <c r="AQ18" s="184"/>
      <c r="AR18" s="121"/>
      <c r="AS18" s="193"/>
      <c r="AT18" s="121"/>
      <c r="AU18" s="193"/>
      <c r="AV18" s="121"/>
      <c r="AW18" s="121"/>
      <c r="AZ18" s="121"/>
      <c r="BA18" s="121"/>
    </row>
    <row r="19" spans="1:54" ht="27.75" customHeight="1">
      <c r="A19" s="121"/>
      <c r="B19" s="120"/>
      <c r="C19" s="121"/>
      <c r="D19" s="121"/>
      <c r="E19" s="121"/>
      <c r="F19" s="120"/>
      <c r="G19" s="121"/>
      <c r="H19" s="121"/>
      <c r="I19" s="121"/>
      <c r="J19" s="162"/>
      <c r="K19" s="121"/>
      <c r="L19" s="120"/>
      <c r="M19" s="120">
        <v>36975.29</v>
      </c>
      <c r="N19" s="165">
        <v>0.13</v>
      </c>
      <c r="O19" s="121"/>
      <c r="P19" s="121"/>
      <c r="Q19" s="121"/>
      <c r="R19" s="121"/>
      <c r="S19" s="121"/>
      <c r="T19" s="121"/>
      <c r="U19" s="121"/>
      <c r="V19" s="121"/>
      <c r="W19" s="121"/>
      <c r="X19" s="171"/>
      <c r="Y19" s="121"/>
      <c r="AA19" s="121"/>
      <c r="AB19" s="121"/>
      <c r="AC19" s="121"/>
      <c r="AD19" s="178"/>
      <c r="AE19" s="121"/>
      <c r="AF19" s="121"/>
      <c r="AG19" s="121"/>
      <c r="AH19" s="121"/>
      <c r="AI19" s="120"/>
      <c r="AJ19" s="120"/>
      <c r="AK19" s="184"/>
      <c r="AL19" s="121"/>
      <c r="AM19" s="121"/>
      <c r="AN19" s="185"/>
      <c r="AO19" s="121"/>
      <c r="AP19" s="121"/>
      <c r="AQ19" s="184"/>
      <c r="AR19" s="121"/>
      <c r="AS19" s="193"/>
      <c r="AT19" s="121"/>
      <c r="AU19" s="193"/>
      <c r="AV19" s="121"/>
      <c r="AW19" s="121"/>
      <c r="AZ19" s="121"/>
      <c r="BA19" s="121"/>
    </row>
    <row r="20" spans="1:54" ht="27.75" customHeight="1">
      <c r="A20" s="121"/>
      <c r="B20" s="120" t="s">
        <v>2813</v>
      </c>
      <c r="C20" s="120" t="s">
        <v>2814</v>
      </c>
      <c r="D20" s="120" t="s">
        <v>2815</v>
      </c>
      <c r="E20" s="120" t="s">
        <v>2816</v>
      </c>
      <c r="F20" s="120" t="s">
        <v>106</v>
      </c>
      <c r="G20" s="121"/>
      <c r="H20" s="120" t="s">
        <v>1998</v>
      </c>
      <c r="I20" s="120" t="s">
        <v>1998</v>
      </c>
      <c r="J20" s="162">
        <v>43635</v>
      </c>
      <c r="K20" s="120" t="s">
        <v>2046</v>
      </c>
      <c r="L20" s="121">
        <v>11000</v>
      </c>
      <c r="M20" s="121"/>
      <c r="N20" s="121"/>
      <c r="O20" s="161">
        <v>0.15</v>
      </c>
      <c r="P20" s="121"/>
      <c r="Q20" s="121"/>
      <c r="R20" s="121"/>
      <c r="S20" s="121"/>
      <c r="T20" s="121"/>
      <c r="U20" s="121"/>
      <c r="V20" s="121"/>
      <c r="W20" s="121">
        <v>9390</v>
      </c>
      <c r="X20" s="171"/>
      <c r="Y20" s="121" t="s">
        <v>108</v>
      </c>
      <c r="Z20" s="134">
        <v>43650</v>
      </c>
      <c r="AA20" s="121"/>
      <c r="AB20" s="121"/>
      <c r="AC20" s="121"/>
      <c r="AD20" s="178"/>
      <c r="AE20" s="121"/>
      <c r="AF20" s="121"/>
      <c r="AG20" s="121"/>
      <c r="AH20" s="121"/>
      <c r="AI20" s="120"/>
      <c r="AJ20" s="120"/>
      <c r="AK20" s="184"/>
      <c r="AL20" s="121"/>
      <c r="AM20" s="121"/>
      <c r="AN20" s="185"/>
      <c r="AO20" s="121"/>
      <c r="AP20" s="121"/>
      <c r="AQ20" s="184"/>
      <c r="AR20" s="121"/>
      <c r="AS20" s="193"/>
      <c r="AT20" s="121"/>
      <c r="AU20" s="193"/>
      <c r="AV20" s="121" t="s">
        <v>71</v>
      </c>
      <c r="AW20" s="121"/>
      <c r="AX20" s="134">
        <v>43678</v>
      </c>
      <c r="AY20" s="134">
        <v>43678</v>
      </c>
      <c r="AZ20" s="121" t="s">
        <v>88</v>
      </c>
      <c r="BA20" s="121"/>
    </row>
    <row r="21" spans="1:54" ht="27.75" customHeight="1">
      <c r="A21" s="121"/>
      <c r="B21" s="120" t="s">
        <v>2817</v>
      </c>
      <c r="C21" s="120" t="s">
        <v>2818</v>
      </c>
      <c r="D21" s="121"/>
      <c r="E21" s="120" t="s">
        <v>2819</v>
      </c>
      <c r="F21" s="120" t="s">
        <v>83</v>
      </c>
      <c r="G21" s="121"/>
      <c r="H21" s="146" t="s">
        <v>175</v>
      </c>
      <c r="I21" s="121"/>
      <c r="J21" s="162">
        <v>43647</v>
      </c>
      <c r="K21" s="121"/>
      <c r="L21" s="121">
        <v>200000</v>
      </c>
      <c r="M21" s="121"/>
      <c r="N21" s="161">
        <v>0.06</v>
      </c>
      <c r="O21" s="161">
        <v>0.15</v>
      </c>
      <c r="P21" s="121"/>
      <c r="Q21" s="121"/>
      <c r="R21" s="121"/>
      <c r="S21" s="121"/>
      <c r="T21" s="121"/>
      <c r="U21" s="121"/>
      <c r="V21" s="121">
        <v>160000</v>
      </c>
      <c r="W21" s="121">
        <f t="shared" ref="W21:W38" si="4">SUM(P21:V21)</f>
        <v>160000</v>
      </c>
      <c r="X21" s="171"/>
      <c r="Y21" s="121" t="s">
        <v>1258</v>
      </c>
      <c r="Z21" s="134">
        <v>43647</v>
      </c>
      <c r="AA21" s="121"/>
      <c r="AB21" s="121"/>
      <c r="AC21" s="121"/>
      <c r="AD21" s="178"/>
      <c r="AE21" s="121"/>
      <c r="AF21" s="121"/>
      <c r="AG21" s="121"/>
      <c r="AH21" s="121"/>
      <c r="AI21" s="120"/>
      <c r="AJ21" s="120"/>
      <c r="AK21" s="184"/>
      <c r="AL21" s="121"/>
      <c r="AM21" s="121"/>
      <c r="AN21" s="185"/>
      <c r="AO21" s="121"/>
      <c r="AP21" s="121"/>
      <c r="AQ21" s="184"/>
      <c r="AR21" s="121"/>
      <c r="AS21" s="193"/>
      <c r="AT21" s="121"/>
      <c r="AU21" s="193"/>
      <c r="AV21" s="121"/>
      <c r="AW21" s="121"/>
      <c r="AZ21" s="121" t="s">
        <v>1515</v>
      </c>
      <c r="BA21" s="121"/>
    </row>
    <row r="22" spans="1:54" ht="27.75" customHeight="1">
      <c r="A22" s="147"/>
      <c r="B22" s="120" t="s">
        <v>2820</v>
      </c>
      <c r="C22" s="148" t="s">
        <v>2821</v>
      </c>
      <c r="D22" s="147"/>
      <c r="E22" s="148" t="s">
        <v>2822</v>
      </c>
      <c r="F22" s="148" t="s">
        <v>271</v>
      </c>
      <c r="G22" s="148" t="s">
        <v>2104</v>
      </c>
      <c r="H22" s="146" t="s">
        <v>1982</v>
      </c>
      <c r="I22" s="147"/>
      <c r="J22" s="166">
        <v>43650</v>
      </c>
      <c r="K22" s="147"/>
      <c r="L22" s="147">
        <v>60000</v>
      </c>
      <c r="M22" s="147"/>
      <c r="N22" s="147"/>
      <c r="O22" s="167">
        <v>0.15</v>
      </c>
      <c r="P22" s="147"/>
      <c r="Q22" s="147"/>
      <c r="R22" s="147"/>
      <c r="S22" s="147"/>
      <c r="T22" s="172"/>
      <c r="U22" s="172">
        <v>50900</v>
      </c>
      <c r="V22" s="147">
        <v>160000</v>
      </c>
      <c r="W22" s="147">
        <f t="shared" si="4"/>
        <v>210900</v>
      </c>
      <c r="X22" s="173"/>
      <c r="Y22" s="179" t="s">
        <v>1021</v>
      </c>
      <c r="Z22" s="134">
        <v>43650</v>
      </c>
      <c r="AA22" s="121"/>
      <c r="AB22" s="121"/>
      <c r="AC22" s="121"/>
      <c r="AI22" s="148"/>
      <c r="AJ22" s="148"/>
      <c r="AL22" s="147"/>
      <c r="AM22" s="147"/>
      <c r="AN22" s="188"/>
      <c r="AO22" s="147"/>
      <c r="AR22" s="121"/>
      <c r="AS22" s="193"/>
      <c r="AT22" s="121"/>
      <c r="AU22" s="193"/>
      <c r="AV22" s="121" t="s">
        <v>71</v>
      </c>
      <c r="AW22" s="121" t="s">
        <v>2823</v>
      </c>
      <c r="AX22" s="134" t="s">
        <v>2824</v>
      </c>
      <c r="AY22" s="134">
        <v>43671</v>
      </c>
      <c r="AZ22" s="149" t="s">
        <v>88</v>
      </c>
      <c r="BA22" s="121"/>
    </row>
    <row r="23" spans="1:54" ht="27.75" customHeight="1">
      <c r="A23" s="121"/>
      <c r="B23" s="120" t="s">
        <v>2825</v>
      </c>
      <c r="C23" s="148" t="s">
        <v>2826</v>
      </c>
      <c r="D23" s="121"/>
      <c r="E23" s="148" t="s">
        <v>2827</v>
      </c>
      <c r="F23" s="121" t="s">
        <v>576</v>
      </c>
      <c r="G23" s="148" t="s">
        <v>2828</v>
      </c>
      <c r="H23" s="146" t="s">
        <v>1004</v>
      </c>
      <c r="I23" s="121"/>
      <c r="J23" s="162">
        <v>43654</v>
      </c>
      <c r="K23" s="121"/>
      <c r="L23" s="121">
        <v>30480</v>
      </c>
      <c r="M23" s="121"/>
      <c r="N23" s="161">
        <v>0.06</v>
      </c>
      <c r="O23" s="167">
        <v>0.15</v>
      </c>
      <c r="P23" s="121"/>
      <c r="Q23" s="121"/>
      <c r="R23" s="121"/>
      <c r="S23" s="121"/>
      <c r="T23" s="121"/>
      <c r="U23" s="121"/>
      <c r="V23" s="121">
        <v>25908</v>
      </c>
      <c r="W23" s="147">
        <f t="shared" si="4"/>
        <v>25908</v>
      </c>
      <c r="X23" s="171"/>
      <c r="Y23" s="121" t="s">
        <v>286</v>
      </c>
      <c r="AA23" s="121"/>
      <c r="AB23" s="121"/>
      <c r="AC23" s="121"/>
      <c r="AD23" s="178"/>
      <c r="AE23" s="121"/>
      <c r="AF23" s="121"/>
      <c r="AG23" s="121"/>
      <c r="AH23" s="121"/>
      <c r="AI23" s="121"/>
      <c r="AJ23" s="121"/>
      <c r="AK23" s="121"/>
      <c r="AL23" s="121"/>
      <c r="AM23" s="121"/>
      <c r="AN23" s="185"/>
      <c r="AO23" s="121"/>
      <c r="AP23" s="121"/>
      <c r="AQ23" s="184"/>
      <c r="AR23" s="121"/>
      <c r="AS23" s="193"/>
      <c r="AT23" s="121"/>
      <c r="AU23" s="193"/>
      <c r="AV23" s="121"/>
      <c r="AW23" s="121"/>
      <c r="AZ23" s="121" t="s">
        <v>213</v>
      </c>
      <c r="BA23" s="121"/>
    </row>
    <row r="24" spans="1:54" ht="27.75" customHeight="1">
      <c r="A24" s="121"/>
      <c r="B24" s="120" t="s">
        <v>2829</v>
      </c>
      <c r="C24" s="148" t="s">
        <v>2830</v>
      </c>
      <c r="D24" s="121"/>
      <c r="E24" s="148" t="s">
        <v>2831</v>
      </c>
      <c r="F24" s="121" t="s">
        <v>374</v>
      </c>
      <c r="G24" s="121" t="s">
        <v>1265</v>
      </c>
      <c r="H24" s="146" t="s">
        <v>175</v>
      </c>
      <c r="I24" s="121"/>
      <c r="J24" s="162">
        <v>43657</v>
      </c>
      <c r="K24" s="121"/>
      <c r="L24" s="121">
        <v>264420</v>
      </c>
      <c r="M24" s="121"/>
      <c r="N24" s="161">
        <v>0.06</v>
      </c>
      <c r="O24" s="161">
        <v>0.2</v>
      </c>
      <c r="P24" s="121"/>
      <c r="Q24" s="121"/>
      <c r="R24" s="121"/>
      <c r="S24" s="121"/>
      <c r="T24" s="121"/>
      <c r="U24" s="121"/>
      <c r="V24" s="121">
        <v>211536</v>
      </c>
      <c r="W24" s="147">
        <f t="shared" si="4"/>
        <v>211536</v>
      </c>
      <c r="X24" s="171"/>
      <c r="Y24" s="121" t="s">
        <v>77</v>
      </c>
      <c r="AA24" s="121"/>
      <c r="AB24" s="121"/>
      <c r="AC24" s="121"/>
      <c r="AD24" s="121"/>
      <c r="AE24" s="121"/>
      <c r="AF24" s="121"/>
      <c r="AG24" s="121"/>
      <c r="AH24" s="121"/>
      <c r="AI24" s="121"/>
      <c r="AJ24" s="121"/>
      <c r="AK24" s="121"/>
      <c r="AL24" s="121"/>
      <c r="AM24" s="121"/>
      <c r="AN24" s="185"/>
      <c r="AO24" s="121"/>
      <c r="AP24" s="121"/>
      <c r="AQ24" s="184"/>
      <c r="AR24" s="121"/>
      <c r="AS24" s="193"/>
      <c r="AT24" s="121"/>
      <c r="AU24" s="193"/>
      <c r="AV24" s="121" t="s">
        <v>71</v>
      </c>
      <c r="AW24" s="121"/>
      <c r="AX24" s="134" t="s">
        <v>2824</v>
      </c>
      <c r="AY24" s="134">
        <v>43713</v>
      </c>
      <c r="AZ24" s="121" t="s">
        <v>1265</v>
      </c>
      <c r="BA24" s="121"/>
    </row>
    <row r="25" spans="1:54" ht="27.75" customHeight="1">
      <c r="A25" s="121"/>
      <c r="B25" s="120" t="s">
        <v>2832</v>
      </c>
      <c r="C25" s="148" t="s">
        <v>2833</v>
      </c>
      <c r="D25" s="121"/>
      <c r="E25" s="148" t="s">
        <v>2834</v>
      </c>
      <c r="F25" s="121" t="s">
        <v>374</v>
      </c>
      <c r="G25" s="121" t="s">
        <v>1265</v>
      </c>
      <c r="H25" s="146" t="s">
        <v>175</v>
      </c>
      <c r="I25" s="121"/>
      <c r="J25" s="162">
        <v>43657</v>
      </c>
      <c r="K25" s="121"/>
      <c r="L25" s="121">
        <v>610200</v>
      </c>
      <c r="M25" s="121"/>
      <c r="N25" s="161">
        <v>0.06</v>
      </c>
      <c r="O25" s="161">
        <v>0.2</v>
      </c>
      <c r="P25" s="121"/>
      <c r="Q25" s="121"/>
      <c r="R25" s="121"/>
      <c r="S25" s="121"/>
      <c r="T25" s="121"/>
      <c r="U25" s="121"/>
      <c r="V25" s="121">
        <v>488160</v>
      </c>
      <c r="W25" s="147">
        <f t="shared" si="4"/>
        <v>488160</v>
      </c>
      <c r="X25" s="171"/>
      <c r="Y25" s="121" t="s">
        <v>77</v>
      </c>
      <c r="AA25" s="121"/>
      <c r="AB25" s="121"/>
      <c r="AC25" s="121"/>
      <c r="AD25" s="121"/>
      <c r="AE25" s="121"/>
      <c r="AF25" s="121"/>
      <c r="AG25" s="121"/>
      <c r="AH25" s="121"/>
      <c r="AI25" s="121"/>
      <c r="AJ25" s="121"/>
      <c r="AK25" s="121"/>
      <c r="AL25" s="121"/>
      <c r="AM25" s="121"/>
      <c r="AN25" s="185"/>
      <c r="AO25" s="121"/>
      <c r="AP25" s="121"/>
      <c r="AQ25" s="184"/>
      <c r="AR25" s="121"/>
      <c r="AS25" s="193"/>
      <c r="AT25" s="121"/>
      <c r="AU25" s="193"/>
      <c r="AV25" s="121"/>
      <c r="AW25" s="121"/>
      <c r="AZ25" s="121" t="s">
        <v>1265</v>
      </c>
      <c r="BA25" s="121"/>
    </row>
    <row r="26" spans="1:54" ht="27.75" customHeight="1">
      <c r="A26" s="121"/>
      <c r="B26" s="120" t="s">
        <v>2835</v>
      </c>
      <c r="C26" s="148" t="s">
        <v>2836</v>
      </c>
      <c r="D26" s="121"/>
      <c r="E26" s="148" t="s">
        <v>2837</v>
      </c>
      <c r="F26" s="121" t="s">
        <v>374</v>
      </c>
      <c r="G26" s="121" t="s">
        <v>1265</v>
      </c>
      <c r="H26" s="146" t="s">
        <v>175</v>
      </c>
      <c r="I26" s="121"/>
      <c r="J26" s="162">
        <v>43657</v>
      </c>
      <c r="K26" s="121"/>
      <c r="L26" s="121">
        <v>508500</v>
      </c>
      <c r="M26" s="121"/>
      <c r="N26" s="161">
        <v>0.06</v>
      </c>
      <c r="O26" s="161">
        <v>0.2</v>
      </c>
      <c r="P26" s="121"/>
      <c r="Q26" s="121"/>
      <c r="R26" s="121"/>
      <c r="S26" s="121"/>
      <c r="T26" s="121"/>
      <c r="U26" s="121"/>
      <c r="V26" s="121">
        <v>406800</v>
      </c>
      <c r="W26" s="147">
        <f t="shared" si="4"/>
        <v>406800</v>
      </c>
      <c r="X26" s="171"/>
      <c r="Y26" s="121" t="s">
        <v>77</v>
      </c>
      <c r="AA26" s="121"/>
      <c r="AB26" s="121"/>
      <c r="AC26" s="121"/>
      <c r="AD26" s="121"/>
      <c r="AE26" s="121"/>
      <c r="AF26" s="121"/>
      <c r="AG26" s="121"/>
      <c r="AH26" s="121"/>
      <c r="AI26" s="121"/>
      <c r="AJ26" s="121"/>
      <c r="AK26" s="121"/>
      <c r="AL26" s="121"/>
      <c r="AM26" s="121"/>
      <c r="AN26" s="185"/>
      <c r="AO26" s="121"/>
      <c r="AP26" s="121"/>
      <c r="AQ26" s="184"/>
      <c r="AR26" s="121"/>
      <c r="AS26" s="193"/>
      <c r="AT26" s="121"/>
      <c r="AU26" s="193"/>
      <c r="AV26" s="121" t="s">
        <v>71</v>
      </c>
      <c r="AW26" s="121"/>
      <c r="AX26" s="134">
        <v>43762</v>
      </c>
      <c r="AY26" s="134">
        <v>43762</v>
      </c>
      <c r="AZ26" s="121" t="s">
        <v>1265</v>
      </c>
      <c r="BA26" s="121"/>
    </row>
    <row r="27" spans="1:54" s="130" customFormat="1" ht="27.75" customHeight="1">
      <c r="A27" s="149"/>
      <c r="B27" s="120" t="s">
        <v>2838</v>
      </c>
      <c r="C27" s="150" t="s">
        <v>2839</v>
      </c>
      <c r="D27" s="150" t="s">
        <v>2840</v>
      </c>
      <c r="E27" s="150" t="s">
        <v>2841</v>
      </c>
      <c r="F27" s="150" t="s">
        <v>75</v>
      </c>
      <c r="G27" s="150" t="s">
        <v>315</v>
      </c>
      <c r="H27" s="150" t="s">
        <v>1987</v>
      </c>
      <c r="I27" s="149"/>
      <c r="J27" s="134">
        <v>43556</v>
      </c>
      <c r="K27" s="149"/>
      <c r="L27" s="150">
        <v>227800</v>
      </c>
      <c r="M27" s="149"/>
      <c r="N27" s="149"/>
      <c r="O27" s="149"/>
      <c r="P27" s="149"/>
      <c r="Q27" s="149"/>
      <c r="R27" s="149"/>
      <c r="S27" s="149"/>
      <c r="T27" s="149"/>
      <c r="U27" s="149"/>
      <c r="V27" s="149"/>
      <c r="W27" s="147">
        <f t="shared" si="4"/>
        <v>0</v>
      </c>
      <c r="X27" s="174"/>
      <c r="Y27" s="149" t="s">
        <v>114</v>
      </c>
      <c r="Z27" s="134"/>
      <c r="AA27" s="149"/>
      <c r="AB27" s="149"/>
      <c r="AC27" s="149"/>
      <c r="AD27" s="149"/>
      <c r="AE27" s="149"/>
      <c r="AF27" s="149"/>
      <c r="AG27" s="149"/>
      <c r="AH27" s="149"/>
      <c r="AI27" s="149"/>
      <c r="AJ27" s="149"/>
      <c r="AK27" s="149"/>
      <c r="AL27" s="149"/>
      <c r="AM27" s="149"/>
      <c r="AN27" s="189"/>
      <c r="AO27" s="149"/>
      <c r="AP27" s="149"/>
      <c r="AQ27" s="197"/>
      <c r="AR27" s="149"/>
      <c r="AS27" s="198"/>
      <c r="AT27" s="149"/>
      <c r="AU27" s="198"/>
      <c r="AV27" s="149" t="s">
        <v>71</v>
      </c>
      <c r="AW27" s="149"/>
      <c r="AX27" s="134">
        <v>43651</v>
      </c>
      <c r="AY27" s="134">
        <v>43666</v>
      </c>
      <c r="AZ27" s="149" t="s">
        <v>88</v>
      </c>
      <c r="BA27" s="149" t="s">
        <v>2842</v>
      </c>
    </row>
    <row r="28" spans="1:54" ht="27.75" customHeight="1">
      <c r="A28" s="121"/>
      <c r="B28" s="120" t="s">
        <v>2843</v>
      </c>
      <c r="C28" s="120" t="s">
        <v>2844</v>
      </c>
      <c r="D28" s="121"/>
      <c r="E28" s="120" t="s">
        <v>2845</v>
      </c>
      <c r="F28" s="121" t="s">
        <v>113</v>
      </c>
      <c r="G28" s="150" t="s">
        <v>2117</v>
      </c>
      <c r="H28" s="121" t="s">
        <v>1937</v>
      </c>
      <c r="I28" s="121"/>
      <c r="J28" s="134">
        <v>43664</v>
      </c>
      <c r="K28" s="121"/>
      <c r="L28" s="121">
        <v>80784</v>
      </c>
      <c r="M28" s="121"/>
      <c r="N28" s="161">
        <v>0.06</v>
      </c>
      <c r="O28" s="121"/>
      <c r="P28" s="121"/>
      <c r="Q28" s="121"/>
      <c r="R28" s="121"/>
      <c r="S28" s="121"/>
      <c r="T28" s="121"/>
      <c r="U28" s="121"/>
      <c r="V28" s="121"/>
      <c r="W28" s="147">
        <f t="shared" si="4"/>
        <v>0</v>
      </c>
      <c r="X28" s="171"/>
      <c r="Y28" s="121" t="s">
        <v>114</v>
      </c>
      <c r="AA28" s="121"/>
      <c r="AB28" s="121"/>
      <c r="AC28" s="121"/>
      <c r="AD28" s="121"/>
      <c r="AE28" s="121"/>
      <c r="AF28" s="121"/>
      <c r="AG28" s="121"/>
      <c r="AH28" s="121"/>
      <c r="AI28" s="121"/>
      <c r="AJ28" s="121"/>
      <c r="AK28" s="121"/>
      <c r="AL28" s="121"/>
      <c r="AM28" s="121"/>
      <c r="AN28" s="185"/>
      <c r="AO28" s="121"/>
      <c r="AP28" s="121"/>
      <c r="AQ28" s="184"/>
      <c r="AR28" s="121"/>
      <c r="AS28" s="193"/>
      <c r="AT28" s="121"/>
      <c r="AU28" s="193"/>
      <c r="AV28" s="121"/>
      <c r="AW28" s="121"/>
      <c r="AZ28" s="121" t="s">
        <v>213</v>
      </c>
      <c r="BA28" s="121"/>
    </row>
    <row r="29" spans="1:54" ht="27.75" customHeight="1">
      <c r="A29" s="121"/>
      <c r="B29" s="120" t="s">
        <v>2846</v>
      </c>
      <c r="C29" s="120" t="s">
        <v>2847</v>
      </c>
      <c r="D29" s="121"/>
      <c r="E29" s="120" t="s">
        <v>2848</v>
      </c>
      <c r="F29" s="121"/>
      <c r="G29" s="121" t="s">
        <v>1277</v>
      </c>
      <c r="H29" s="121" t="s">
        <v>1992</v>
      </c>
      <c r="I29" s="121"/>
      <c r="J29" s="134">
        <v>43661</v>
      </c>
      <c r="K29" s="121"/>
      <c r="L29" s="121">
        <v>1197000</v>
      </c>
      <c r="M29" s="156" t="s">
        <v>2849</v>
      </c>
      <c r="N29" s="121"/>
      <c r="O29" s="161">
        <v>0.35</v>
      </c>
      <c r="P29" s="121"/>
      <c r="Q29" s="121"/>
      <c r="R29" s="121"/>
      <c r="S29" s="121"/>
      <c r="T29" s="121"/>
      <c r="U29" s="121">
        <v>415800</v>
      </c>
      <c r="V29" s="121">
        <v>486180</v>
      </c>
      <c r="W29" s="147">
        <f t="shared" si="4"/>
        <v>901980</v>
      </c>
      <c r="X29" s="171"/>
      <c r="Y29" s="121" t="s">
        <v>2850</v>
      </c>
      <c r="AA29" s="121"/>
      <c r="AB29" s="121"/>
      <c r="AC29" s="121"/>
      <c r="AD29" s="121"/>
      <c r="AE29" s="121"/>
      <c r="AF29" s="121"/>
      <c r="AG29" s="121"/>
      <c r="AH29" s="121"/>
      <c r="AI29" s="121"/>
      <c r="AJ29" s="121"/>
      <c r="AK29" s="121"/>
      <c r="AL29" s="121"/>
      <c r="AM29" s="121"/>
      <c r="AN29" s="185"/>
      <c r="AO29" s="121"/>
      <c r="AP29" s="121"/>
      <c r="AQ29" s="184"/>
      <c r="AR29" s="121"/>
      <c r="AS29" s="193"/>
      <c r="AT29" s="121"/>
      <c r="AU29" s="193"/>
      <c r="AV29" s="121"/>
      <c r="AW29" s="121"/>
      <c r="AZ29" s="121" t="s">
        <v>1515</v>
      </c>
      <c r="BA29" s="121"/>
    </row>
    <row r="30" spans="1:54" ht="27.75" customHeight="1">
      <c r="A30" s="121"/>
      <c r="B30" s="120" t="s">
        <v>2851</v>
      </c>
      <c r="C30" s="120" t="s">
        <v>2852</v>
      </c>
      <c r="D30" s="121"/>
      <c r="E30" s="120" t="s">
        <v>2853</v>
      </c>
      <c r="F30" s="121"/>
      <c r="G30" s="121"/>
      <c r="H30" s="121"/>
      <c r="I30" s="121"/>
      <c r="J30" s="134">
        <v>43696</v>
      </c>
      <c r="K30" s="121"/>
      <c r="L30" s="121">
        <v>11100</v>
      </c>
      <c r="M30" s="121"/>
      <c r="N30" s="121"/>
      <c r="O30" s="121"/>
      <c r="P30" s="121"/>
      <c r="Q30" s="121"/>
      <c r="R30" s="121">
        <v>10100</v>
      </c>
      <c r="S30" s="121"/>
      <c r="T30" s="121"/>
      <c r="U30" s="121"/>
      <c r="V30" s="121">
        <v>765</v>
      </c>
      <c r="W30" s="147">
        <f t="shared" si="4"/>
        <v>10865</v>
      </c>
      <c r="X30" s="171"/>
      <c r="Y30" s="121" t="s">
        <v>1843</v>
      </c>
      <c r="Z30" s="134">
        <v>43696</v>
      </c>
      <c r="AA30" s="121"/>
      <c r="AB30" s="121"/>
      <c r="AC30" s="121"/>
      <c r="AD30" s="121"/>
      <c r="AE30" s="121"/>
      <c r="AF30" s="121"/>
      <c r="AG30" s="121"/>
      <c r="AH30" s="121"/>
      <c r="AI30" s="121"/>
      <c r="AJ30" s="121"/>
      <c r="AK30" s="121"/>
      <c r="AL30" s="121"/>
      <c r="AM30" s="121"/>
      <c r="AN30" s="185"/>
      <c r="AO30" s="121"/>
      <c r="AP30" s="121"/>
      <c r="AQ30" s="184"/>
      <c r="AR30" s="121"/>
      <c r="AS30" s="193"/>
      <c r="AT30" s="121"/>
      <c r="AU30" s="193"/>
      <c r="AV30" s="121"/>
      <c r="AW30" s="121"/>
      <c r="AZ30" s="121" t="s">
        <v>213</v>
      </c>
      <c r="BA30" s="121"/>
    </row>
    <row r="31" spans="1:54" ht="27.75" customHeight="1">
      <c r="A31" s="121"/>
      <c r="B31" s="120" t="s">
        <v>2854</v>
      </c>
      <c r="C31" s="108" t="s">
        <v>2855</v>
      </c>
      <c r="D31" s="108" t="s">
        <v>2856</v>
      </c>
      <c r="E31" s="108" t="s">
        <v>2857</v>
      </c>
      <c r="F31" s="121"/>
      <c r="G31" s="121"/>
      <c r="H31" s="121"/>
      <c r="I31" s="121"/>
      <c r="J31" s="134" t="s">
        <v>1804</v>
      </c>
      <c r="K31" s="121"/>
      <c r="L31" s="121"/>
      <c r="M31" s="121"/>
      <c r="N31" s="121"/>
      <c r="O31" s="121"/>
      <c r="P31" s="121"/>
      <c r="Q31" s="121"/>
      <c r="R31" s="121"/>
      <c r="S31" s="121"/>
      <c r="T31" s="121"/>
      <c r="U31" s="121"/>
      <c r="V31" s="121"/>
      <c r="W31" s="147">
        <f t="shared" si="4"/>
        <v>0</v>
      </c>
      <c r="X31" s="171"/>
      <c r="Y31" s="121" t="s">
        <v>1021</v>
      </c>
      <c r="AA31" s="121"/>
      <c r="AB31" s="121"/>
      <c r="AC31" s="121"/>
      <c r="AD31" s="121"/>
      <c r="AE31" s="121"/>
      <c r="AF31" s="121"/>
      <c r="AG31" s="121"/>
      <c r="AH31" s="121"/>
      <c r="AI31" s="121"/>
      <c r="AJ31" s="121"/>
      <c r="AK31" s="121"/>
      <c r="AL31" s="121"/>
      <c r="AM31" s="121"/>
      <c r="AN31" s="185"/>
      <c r="AO31" s="121"/>
      <c r="AP31" s="121"/>
      <c r="AQ31" s="121"/>
      <c r="AR31" s="121"/>
      <c r="AS31" s="193"/>
      <c r="AT31" s="121"/>
      <c r="AU31" s="193"/>
      <c r="AV31" s="149" t="s">
        <v>71</v>
      </c>
      <c r="AW31" s="121"/>
      <c r="AX31" s="134">
        <v>43656</v>
      </c>
      <c r="AZ31" s="121" t="s">
        <v>88</v>
      </c>
      <c r="BA31" s="121" t="s">
        <v>2858</v>
      </c>
      <c r="BB31" s="131" t="s">
        <v>2859</v>
      </c>
    </row>
    <row r="32" spans="1:54" ht="27.75" customHeight="1">
      <c r="A32" s="121"/>
      <c r="B32" s="120" t="s">
        <v>2860</v>
      </c>
      <c r="C32" s="121"/>
      <c r="D32" s="121"/>
      <c r="E32" s="108" t="s">
        <v>2861</v>
      </c>
      <c r="F32" s="121" t="s">
        <v>374</v>
      </c>
      <c r="G32" s="121" t="s">
        <v>2862</v>
      </c>
      <c r="H32" s="121"/>
      <c r="I32" s="121"/>
      <c r="J32" s="134">
        <v>43717</v>
      </c>
      <c r="K32" s="121"/>
      <c r="L32" s="121">
        <v>427140</v>
      </c>
      <c r="M32" s="121"/>
      <c r="N32" s="161">
        <v>0.06</v>
      </c>
      <c r="O32" s="161">
        <v>0.2</v>
      </c>
      <c r="P32" s="121"/>
      <c r="Q32" s="121"/>
      <c r="R32" s="121"/>
      <c r="S32" s="121"/>
      <c r="T32" s="121"/>
      <c r="U32" s="121"/>
      <c r="V32" s="121">
        <v>341712</v>
      </c>
      <c r="W32" s="147">
        <f t="shared" si="4"/>
        <v>341712</v>
      </c>
      <c r="X32" s="171"/>
      <c r="Y32" s="121" t="s">
        <v>77</v>
      </c>
      <c r="Z32" s="134">
        <v>43718</v>
      </c>
      <c r="AA32" s="121"/>
      <c r="AB32" s="121"/>
      <c r="AC32" s="121"/>
      <c r="AD32" s="121"/>
      <c r="AE32" s="121"/>
      <c r="AF32" s="121"/>
      <c r="AG32" s="121"/>
      <c r="AH32" s="121"/>
      <c r="AI32" s="121"/>
      <c r="AJ32" s="121"/>
      <c r="AK32" s="121"/>
      <c r="AL32" s="121"/>
      <c r="AM32" s="121"/>
      <c r="AN32" s="185"/>
      <c r="AO32" s="121"/>
      <c r="AP32" s="121"/>
      <c r="AQ32" s="121"/>
      <c r="AR32" s="121"/>
      <c r="AS32" s="193"/>
      <c r="AT32" s="121"/>
      <c r="AU32" s="193"/>
      <c r="AV32" s="149" t="s">
        <v>71</v>
      </c>
      <c r="AW32" s="121"/>
      <c r="AX32" s="134">
        <v>43734</v>
      </c>
      <c r="AY32" s="134">
        <v>43734</v>
      </c>
      <c r="AZ32" s="121" t="s">
        <v>1265</v>
      </c>
      <c r="BA32" s="121" t="s">
        <v>2863</v>
      </c>
    </row>
    <row r="33" spans="1:54" ht="27.75" customHeight="1">
      <c r="A33" s="121"/>
      <c r="B33" s="120" t="s">
        <v>2864</v>
      </c>
      <c r="C33" s="108" t="s">
        <v>2865</v>
      </c>
      <c r="D33" s="108"/>
      <c r="E33" s="108" t="s">
        <v>2866</v>
      </c>
      <c r="F33" s="108" t="s">
        <v>265</v>
      </c>
      <c r="G33" s="108" t="s">
        <v>2117</v>
      </c>
      <c r="H33" s="121"/>
      <c r="I33" s="121"/>
      <c r="J33" s="134">
        <v>43718</v>
      </c>
      <c r="K33" s="121"/>
      <c r="L33" s="121">
        <v>106190</v>
      </c>
      <c r="M33" s="121" t="s">
        <v>2867</v>
      </c>
      <c r="N33" s="161">
        <v>0.06</v>
      </c>
      <c r="O33" s="161">
        <v>0.15</v>
      </c>
      <c r="P33" s="121"/>
      <c r="Q33" s="121"/>
      <c r="R33" s="121"/>
      <c r="S33" s="121"/>
      <c r="T33" s="121"/>
      <c r="U33" s="121"/>
      <c r="V33" s="121">
        <v>90261.5</v>
      </c>
      <c r="W33" s="147">
        <f t="shared" si="4"/>
        <v>90261.5</v>
      </c>
      <c r="X33" s="171"/>
      <c r="Y33" s="121" t="s">
        <v>286</v>
      </c>
      <c r="Z33" s="134">
        <v>43718</v>
      </c>
      <c r="AA33" s="121"/>
      <c r="AB33" s="121"/>
      <c r="AC33" s="121"/>
      <c r="AD33" s="121"/>
      <c r="AE33" s="121"/>
      <c r="AF33" s="121"/>
      <c r="AG33" s="121"/>
      <c r="AH33" s="121"/>
      <c r="AI33" s="121"/>
      <c r="AJ33" s="121"/>
      <c r="AK33" s="121"/>
      <c r="AL33" s="121"/>
      <c r="AM33" s="121"/>
      <c r="AN33" s="185"/>
      <c r="AO33" s="121"/>
      <c r="AP33" s="121"/>
      <c r="AQ33" s="121"/>
      <c r="AR33" s="121"/>
      <c r="AS33" s="193"/>
      <c r="AT33" s="121"/>
      <c r="AU33" s="193"/>
      <c r="AV33" s="121" t="s">
        <v>71</v>
      </c>
      <c r="AW33" s="121"/>
      <c r="AX33" s="134">
        <v>43783</v>
      </c>
      <c r="AY33" s="134">
        <v>43783</v>
      </c>
      <c r="AZ33" s="121" t="s">
        <v>88</v>
      </c>
      <c r="BA33" s="162">
        <v>44148</v>
      </c>
    </row>
    <row r="34" spans="1:54" ht="27.75" customHeight="1">
      <c r="A34" s="121"/>
      <c r="B34" s="120" t="s">
        <v>2868</v>
      </c>
      <c r="C34" s="108" t="s">
        <v>2869</v>
      </c>
      <c r="D34" s="108"/>
      <c r="E34" s="108" t="s">
        <v>2870</v>
      </c>
      <c r="F34" s="108" t="s">
        <v>294</v>
      </c>
      <c r="G34" s="108" t="s">
        <v>2871</v>
      </c>
      <c r="H34" s="121"/>
      <c r="I34" s="121"/>
      <c r="J34" s="134">
        <v>43714</v>
      </c>
      <c r="K34" s="121"/>
      <c r="L34" s="121">
        <v>43000</v>
      </c>
      <c r="M34" s="121"/>
      <c r="N34" s="161">
        <v>0.06</v>
      </c>
      <c r="O34" s="161">
        <v>0.15</v>
      </c>
      <c r="P34" s="121"/>
      <c r="Q34" s="121"/>
      <c r="R34" s="121"/>
      <c r="S34" s="121"/>
      <c r="T34" s="121"/>
      <c r="U34" s="121"/>
      <c r="V34" s="121">
        <v>36550</v>
      </c>
      <c r="W34" s="147">
        <f t="shared" si="4"/>
        <v>36550</v>
      </c>
      <c r="X34" s="171"/>
      <c r="Y34" s="121" t="s">
        <v>62</v>
      </c>
      <c r="AA34" s="121"/>
      <c r="AB34" s="121"/>
      <c r="AC34" s="121"/>
      <c r="AD34" s="121"/>
      <c r="AE34" s="121"/>
      <c r="AF34" s="121"/>
      <c r="AG34" s="121"/>
      <c r="AH34" s="121"/>
      <c r="AI34" s="121"/>
      <c r="AJ34" s="121"/>
      <c r="AK34" s="121"/>
      <c r="AL34" s="121"/>
      <c r="AM34" s="121"/>
      <c r="AN34" s="185"/>
      <c r="AO34" s="121"/>
      <c r="AP34" s="121"/>
      <c r="AQ34" s="121"/>
      <c r="AR34" s="121"/>
      <c r="AS34" s="193"/>
      <c r="AT34" s="121"/>
      <c r="AU34" s="193"/>
      <c r="AV34" s="121" t="s">
        <v>71</v>
      </c>
      <c r="AW34" s="121"/>
      <c r="AX34" s="134" t="s">
        <v>2872</v>
      </c>
      <c r="AY34" s="134">
        <v>43734</v>
      </c>
      <c r="AZ34" s="121" t="s">
        <v>88</v>
      </c>
      <c r="BA34" s="121"/>
    </row>
    <row r="35" spans="1:54" ht="27.75" customHeight="1">
      <c r="A35" s="121"/>
      <c r="B35" s="120" t="s">
        <v>2873</v>
      </c>
      <c r="C35" s="108" t="s">
        <v>2874</v>
      </c>
      <c r="D35" s="108"/>
      <c r="E35" s="108" t="s">
        <v>2875</v>
      </c>
      <c r="F35" s="108" t="s">
        <v>374</v>
      </c>
      <c r="G35" s="108"/>
      <c r="H35" s="121"/>
      <c r="I35" s="121"/>
      <c r="J35" s="134">
        <v>43737</v>
      </c>
      <c r="K35" s="121"/>
      <c r="L35" s="121">
        <v>271200</v>
      </c>
      <c r="M35" s="121" t="s">
        <v>2876</v>
      </c>
      <c r="N35" s="161">
        <v>0.06</v>
      </c>
      <c r="O35" s="161">
        <v>0.15</v>
      </c>
      <c r="P35" s="121"/>
      <c r="Q35" s="121"/>
      <c r="R35" s="121"/>
      <c r="S35" s="121"/>
      <c r="T35" s="121"/>
      <c r="U35" s="121"/>
      <c r="V35" s="121">
        <v>216960</v>
      </c>
      <c r="W35" s="147">
        <f t="shared" si="4"/>
        <v>216960</v>
      </c>
      <c r="X35" s="171"/>
      <c r="Y35" s="121" t="s">
        <v>77</v>
      </c>
      <c r="Z35" s="134">
        <v>43737</v>
      </c>
      <c r="AA35" s="121"/>
      <c r="AB35" s="121"/>
      <c r="AC35" s="121"/>
      <c r="AD35" s="121"/>
      <c r="AE35" s="121"/>
      <c r="AF35" s="121"/>
      <c r="AG35" s="121"/>
      <c r="AH35" s="121"/>
      <c r="AI35" s="121"/>
      <c r="AJ35" s="121"/>
      <c r="AK35" s="121"/>
      <c r="AL35" s="121"/>
      <c r="AM35" s="121"/>
      <c r="AN35" s="185"/>
      <c r="AO35" s="121"/>
      <c r="AP35" s="121"/>
      <c r="AQ35" s="121"/>
      <c r="AR35" s="121"/>
      <c r="AS35" s="193"/>
      <c r="AT35" s="121"/>
      <c r="AU35" s="193"/>
      <c r="AV35" s="121"/>
      <c r="AW35" s="121"/>
      <c r="AZ35" s="121" t="s">
        <v>1265</v>
      </c>
      <c r="BA35" s="121"/>
    </row>
    <row r="36" spans="1:54" ht="27.75" customHeight="1">
      <c r="A36" s="121"/>
      <c r="B36" s="120" t="s">
        <v>2877</v>
      </c>
      <c r="C36" s="108" t="s">
        <v>2878</v>
      </c>
      <c r="D36" s="108"/>
      <c r="E36" s="108" t="s">
        <v>2879</v>
      </c>
      <c r="F36" s="108" t="s">
        <v>139</v>
      </c>
      <c r="G36" s="108" t="s">
        <v>2117</v>
      </c>
      <c r="H36" s="121"/>
      <c r="I36" s="121"/>
      <c r="J36" s="134"/>
      <c r="K36" s="108" t="s">
        <v>2880</v>
      </c>
      <c r="L36" s="121">
        <v>726000</v>
      </c>
      <c r="M36" s="121" t="s">
        <v>2867</v>
      </c>
      <c r="N36" s="161">
        <v>0.06</v>
      </c>
      <c r="O36" s="161">
        <v>0.15</v>
      </c>
      <c r="P36" s="121"/>
      <c r="Q36" s="121"/>
      <c r="R36" s="121"/>
      <c r="S36" s="121"/>
      <c r="T36" s="121"/>
      <c r="U36" s="121"/>
      <c r="V36" s="121">
        <v>653400</v>
      </c>
      <c r="W36" s="121">
        <f t="shared" si="4"/>
        <v>653400</v>
      </c>
      <c r="X36" s="171"/>
      <c r="Y36" s="121" t="s">
        <v>1843</v>
      </c>
      <c r="AA36" s="121"/>
      <c r="AB36" s="121"/>
      <c r="AC36" s="121"/>
      <c r="AD36" s="121"/>
      <c r="AE36" s="121"/>
      <c r="AF36" s="121"/>
      <c r="AG36" s="121"/>
      <c r="AH36" s="121"/>
      <c r="AI36" s="121"/>
      <c r="AJ36" s="121"/>
      <c r="AK36" s="121"/>
      <c r="AL36" s="121"/>
      <c r="AM36" s="121"/>
      <c r="AN36" s="185"/>
      <c r="AO36" s="121"/>
      <c r="AP36" s="121"/>
      <c r="AQ36" s="121"/>
      <c r="AR36" s="121"/>
      <c r="AS36" s="193"/>
      <c r="AT36" s="121"/>
      <c r="AU36" s="193"/>
      <c r="AV36" s="121"/>
      <c r="AW36" s="121"/>
      <c r="AZ36" s="121" t="s">
        <v>213</v>
      </c>
      <c r="BA36" s="121"/>
    </row>
    <row r="37" spans="1:54" ht="27.75" customHeight="1">
      <c r="A37" s="121"/>
      <c r="B37" s="120" t="s">
        <v>2881</v>
      </c>
      <c r="C37" s="108" t="s">
        <v>2882</v>
      </c>
      <c r="D37" s="108"/>
      <c r="E37" s="108" t="s">
        <v>2883</v>
      </c>
      <c r="F37" s="108" t="s">
        <v>83</v>
      </c>
      <c r="G37" s="108" t="s">
        <v>1277</v>
      </c>
      <c r="H37" s="108"/>
      <c r="I37" s="108"/>
      <c r="J37" s="134">
        <v>43756</v>
      </c>
      <c r="K37" s="108"/>
      <c r="L37" s="108">
        <v>840000</v>
      </c>
      <c r="M37" s="108"/>
      <c r="N37" s="161">
        <v>0.06</v>
      </c>
      <c r="O37" s="161">
        <v>0.15</v>
      </c>
      <c r="P37" s="108"/>
      <c r="Q37" s="108"/>
      <c r="R37" s="121"/>
      <c r="S37" s="121"/>
      <c r="T37" s="121"/>
      <c r="U37" s="121"/>
      <c r="V37" s="121">
        <v>714000</v>
      </c>
      <c r="W37" s="121">
        <f t="shared" si="4"/>
        <v>714000</v>
      </c>
      <c r="X37" s="171"/>
      <c r="Y37" s="121" t="s">
        <v>108</v>
      </c>
      <c r="Z37" s="134">
        <v>43763</v>
      </c>
      <c r="AA37" s="121"/>
      <c r="AB37" s="121"/>
      <c r="AC37" s="121"/>
      <c r="AD37" s="121"/>
      <c r="AE37" s="121"/>
      <c r="AF37" s="121"/>
      <c r="AG37" s="121"/>
      <c r="AH37" s="121"/>
      <c r="AI37" s="121"/>
      <c r="AJ37" s="121"/>
      <c r="AK37" s="121"/>
      <c r="AL37" s="121"/>
      <c r="AM37" s="121"/>
      <c r="AN37" s="185"/>
      <c r="AO37" s="121"/>
      <c r="AP37" s="121"/>
      <c r="AQ37" s="121"/>
      <c r="AR37" s="121"/>
      <c r="AS37" s="193"/>
      <c r="AT37" s="121"/>
      <c r="AU37" s="193"/>
      <c r="AV37" s="121"/>
      <c r="AW37" s="121"/>
      <c r="AZ37" s="121" t="s">
        <v>1515</v>
      </c>
      <c r="BA37" s="121"/>
    </row>
    <row r="38" spans="1:54" ht="27.75" customHeight="1">
      <c r="A38" s="121"/>
      <c r="B38" s="120" t="s">
        <v>2884</v>
      </c>
      <c r="C38" s="108" t="s">
        <v>2885</v>
      </c>
      <c r="D38" s="108"/>
      <c r="E38" s="108" t="s">
        <v>2886</v>
      </c>
      <c r="F38" s="108" t="s">
        <v>261</v>
      </c>
      <c r="G38" s="108" t="s">
        <v>2871</v>
      </c>
      <c r="H38" s="121"/>
      <c r="I38" s="121"/>
      <c r="J38" s="134">
        <v>43759</v>
      </c>
      <c r="K38" s="121"/>
      <c r="L38" s="108">
        <v>286500</v>
      </c>
      <c r="M38" s="108"/>
      <c r="N38" s="161">
        <v>0.06</v>
      </c>
      <c r="O38" s="161">
        <v>0.12</v>
      </c>
      <c r="P38" s="108"/>
      <c r="Q38" s="108"/>
      <c r="R38" s="108"/>
      <c r="S38" s="108"/>
      <c r="T38" s="108"/>
      <c r="U38" s="108">
        <v>392000</v>
      </c>
      <c r="V38" s="108"/>
      <c r="W38" s="121">
        <f t="shared" si="4"/>
        <v>392000</v>
      </c>
      <c r="X38" s="171"/>
      <c r="Y38" s="121" t="s">
        <v>77</v>
      </c>
      <c r="Z38" s="134">
        <v>43762</v>
      </c>
      <c r="AA38" s="121"/>
      <c r="AB38" s="121"/>
      <c r="AC38" s="121"/>
      <c r="AD38" s="121"/>
      <c r="AE38" s="121"/>
      <c r="AF38" s="121"/>
      <c r="AG38" s="121"/>
      <c r="AH38" s="121"/>
      <c r="AI38" s="121"/>
      <c r="AJ38" s="121"/>
      <c r="AK38" s="121"/>
      <c r="AL38" s="121"/>
      <c r="AM38" s="121"/>
      <c r="AN38" s="185"/>
      <c r="AO38" s="121"/>
      <c r="AP38" s="121"/>
      <c r="AQ38" s="121"/>
      <c r="AR38" s="121"/>
      <c r="AS38" s="193"/>
      <c r="AT38" s="121"/>
      <c r="AU38" s="193"/>
      <c r="AV38" s="121"/>
      <c r="AW38" s="121"/>
      <c r="AZ38" s="121" t="s">
        <v>1515</v>
      </c>
      <c r="BA38" s="121"/>
    </row>
    <row r="39" spans="1:54" ht="27.75" customHeight="1">
      <c r="A39" s="121"/>
      <c r="B39" s="120" t="s">
        <v>2887</v>
      </c>
      <c r="C39" s="108" t="s">
        <v>2888</v>
      </c>
      <c r="D39" s="108"/>
      <c r="E39" s="108" t="s">
        <v>2889</v>
      </c>
      <c r="F39" s="108" t="s">
        <v>261</v>
      </c>
      <c r="G39" s="108" t="s">
        <v>2871</v>
      </c>
      <c r="H39" s="121"/>
      <c r="I39" s="121"/>
      <c r="J39" s="134">
        <v>43759</v>
      </c>
      <c r="K39" s="121"/>
      <c r="L39" s="108">
        <v>286400</v>
      </c>
      <c r="M39" s="108"/>
      <c r="N39" s="161">
        <v>0.06</v>
      </c>
      <c r="O39" s="161">
        <v>0.12</v>
      </c>
      <c r="P39" s="108"/>
      <c r="Q39" s="108"/>
      <c r="R39" s="108"/>
      <c r="S39" s="108"/>
      <c r="T39" s="108"/>
      <c r="U39" s="108">
        <v>392000</v>
      </c>
      <c r="V39" s="108"/>
      <c r="W39" s="121">
        <f t="shared" ref="W39:W43" si="5">SUM(P39:V39)</f>
        <v>392000</v>
      </c>
      <c r="X39" s="171"/>
      <c r="Y39" s="121" t="s">
        <v>77</v>
      </c>
      <c r="Z39" s="134">
        <v>43762</v>
      </c>
      <c r="AA39" s="121"/>
      <c r="AB39" s="121"/>
      <c r="AC39" s="121"/>
      <c r="AD39" s="121"/>
      <c r="AE39" s="121"/>
      <c r="AF39" s="121"/>
      <c r="AG39" s="121"/>
      <c r="AH39" s="121"/>
      <c r="AI39" s="121"/>
      <c r="AJ39" s="121"/>
      <c r="AK39" s="121"/>
      <c r="AL39" s="121"/>
      <c r="AM39" s="121"/>
      <c r="AN39" s="185"/>
      <c r="AO39" s="121"/>
      <c r="AP39" s="121"/>
      <c r="AQ39" s="121"/>
      <c r="AR39" s="121"/>
      <c r="AS39" s="193"/>
      <c r="AT39" s="121"/>
      <c r="AU39" s="193"/>
      <c r="AV39" s="121"/>
      <c r="AW39" s="121"/>
      <c r="AZ39" s="121" t="s">
        <v>1515</v>
      </c>
      <c r="BA39" s="121"/>
    </row>
    <row r="40" spans="1:54" ht="27.75" customHeight="1">
      <c r="A40" s="121"/>
      <c r="B40" s="120" t="s">
        <v>2890</v>
      </c>
      <c r="C40" s="108" t="s">
        <v>2891</v>
      </c>
      <c r="D40" s="121"/>
      <c r="E40" s="26" t="s">
        <v>2892</v>
      </c>
      <c r="F40" s="26" t="s">
        <v>83</v>
      </c>
      <c r="G40" s="26" t="s">
        <v>1277</v>
      </c>
      <c r="H40" s="121"/>
      <c r="I40" s="121"/>
      <c r="J40" s="134">
        <v>43759</v>
      </c>
      <c r="K40" s="121"/>
      <c r="L40" s="121">
        <v>60000</v>
      </c>
      <c r="M40" s="121"/>
      <c r="N40" s="161">
        <v>0.06</v>
      </c>
      <c r="O40" s="161">
        <v>0.15</v>
      </c>
      <c r="P40" s="121"/>
      <c r="Q40" s="121"/>
      <c r="R40" s="121"/>
      <c r="S40" s="121"/>
      <c r="T40" s="121"/>
      <c r="U40" s="121"/>
      <c r="V40" s="121">
        <v>51000</v>
      </c>
      <c r="W40" s="121">
        <f t="shared" si="5"/>
        <v>51000</v>
      </c>
      <c r="X40" s="171"/>
      <c r="Y40" s="121" t="s">
        <v>455</v>
      </c>
      <c r="AA40" s="121"/>
      <c r="AB40" s="121"/>
      <c r="AC40" s="121"/>
      <c r="AD40" s="121"/>
      <c r="AE40" s="121"/>
      <c r="AF40" s="121"/>
      <c r="AG40" s="121"/>
      <c r="AH40" s="121"/>
      <c r="AI40" s="121"/>
      <c r="AJ40" s="121"/>
      <c r="AK40" s="121"/>
      <c r="AL40" s="121"/>
      <c r="AM40" s="121"/>
      <c r="AN40" s="185"/>
      <c r="AO40" s="121"/>
      <c r="AP40" s="121"/>
      <c r="AQ40" s="121"/>
      <c r="AR40" s="121"/>
      <c r="AS40" s="193"/>
      <c r="AT40" s="121"/>
      <c r="AU40" s="193"/>
      <c r="AV40" s="121"/>
      <c r="AW40" s="121"/>
      <c r="AZ40" s="121" t="s">
        <v>1515</v>
      </c>
      <c r="BA40" s="121"/>
      <c r="BB40" s="132">
        <v>43767</v>
      </c>
    </row>
    <row r="41" spans="1:54" ht="27.75" customHeight="1">
      <c r="A41" s="121"/>
      <c r="B41" s="120" t="s">
        <v>2893</v>
      </c>
      <c r="C41" s="151" t="s">
        <v>2894</v>
      </c>
      <c r="D41" s="121"/>
      <c r="E41" s="26" t="s">
        <v>2895</v>
      </c>
      <c r="F41" s="26" t="s">
        <v>75</v>
      </c>
      <c r="G41" s="26" t="s">
        <v>2117</v>
      </c>
      <c r="H41" s="121"/>
      <c r="I41" s="121"/>
      <c r="J41" s="134">
        <v>43777</v>
      </c>
      <c r="K41" s="121"/>
      <c r="L41" s="121">
        <v>40000</v>
      </c>
      <c r="M41" s="121"/>
      <c r="N41" s="161">
        <v>0.06</v>
      </c>
      <c r="O41" s="161">
        <v>0.2</v>
      </c>
      <c r="P41" s="121"/>
      <c r="Q41" s="121"/>
      <c r="R41" s="121"/>
      <c r="S41" s="121"/>
      <c r="T41" s="121"/>
      <c r="U41" s="121"/>
      <c r="V41" s="121">
        <v>31800</v>
      </c>
      <c r="W41" s="121">
        <f t="shared" si="5"/>
        <v>31800</v>
      </c>
      <c r="X41" s="171"/>
      <c r="Y41" s="121" t="s">
        <v>114</v>
      </c>
      <c r="Z41" s="134">
        <v>43777</v>
      </c>
      <c r="AA41" s="121"/>
      <c r="AB41" s="121"/>
      <c r="AC41" s="121"/>
      <c r="AD41" s="121"/>
      <c r="AE41" s="121"/>
      <c r="AF41" s="121"/>
      <c r="AG41" s="121"/>
      <c r="AH41" s="121"/>
      <c r="AI41" s="121"/>
      <c r="AJ41" s="121"/>
      <c r="AK41" s="121"/>
      <c r="AL41" s="121"/>
      <c r="AM41" s="121"/>
      <c r="AN41" s="185"/>
      <c r="AO41" s="121"/>
      <c r="AP41" s="121"/>
      <c r="AQ41" s="121"/>
      <c r="AR41" s="121"/>
      <c r="AS41" s="193"/>
      <c r="AT41" s="121"/>
      <c r="AU41" s="193"/>
      <c r="AV41" s="121"/>
      <c r="AW41" s="121"/>
      <c r="AZ41" s="121"/>
      <c r="BA41" s="121"/>
    </row>
    <row r="42" spans="1:54" ht="27.75" customHeight="1">
      <c r="A42" s="121"/>
      <c r="B42" s="121"/>
      <c r="C42" s="121"/>
      <c r="D42" s="121"/>
      <c r="E42" s="121"/>
      <c r="F42" s="121"/>
      <c r="G42" s="121"/>
      <c r="H42" s="121"/>
      <c r="I42" s="121"/>
      <c r="J42" s="162"/>
      <c r="K42" s="121"/>
      <c r="L42" s="121"/>
      <c r="M42" s="121"/>
      <c r="N42" s="121"/>
      <c r="O42" s="121"/>
      <c r="P42" s="121"/>
      <c r="Q42" s="121"/>
      <c r="R42" s="121"/>
      <c r="S42" s="121"/>
      <c r="T42" s="121"/>
      <c r="U42" s="121"/>
      <c r="V42" s="121"/>
      <c r="W42" s="121">
        <f t="shared" si="5"/>
        <v>0</v>
      </c>
      <c r="X42" s="171"/>
      <c r="Y42" s="121"/>
      <c r="AA42" s="121"/>
      <c r="AB42" s="121"/>
      <c r="AC42" s="121"/>
      <c r="AD42" s="121"/>
      <c r="AE42" s="121"/>
      <c r="AF42" s="121"/>
      <c r="AG42" s="121"/>
      <c r="AH42" s="121"/>
      <c r="AI42" s="121"/>
      <c r="AJ42" s="121"/>
      <c r="AK42" s="121"/>
      <c r="AL42" s="121"/>
      <c r="AM42" s="121"/>
      <c r="AN42" s="185"/>
      <c r="AO42" s="121"/>
      <c r="AP42" s="121"/>
      <c r="AQ42" s="121"/>
      <c r="AR42" s="121"/>
      <c r="AS42" s="193"/>
      <c r="AT42" s="121"/>
      <c r="AU42" s="193"/>
      <c r="AV42" s="121"/>
      <c r="AW42" s="121"/>
      <c r="AZ42" s="121"/>
      <c r="BA42" s="121"/>
    </row>
    <row r="43" spans="1:54" ht="27.75" customHeight="1">
      <c r="A43" s="121"/>
      <c r="B43" s="121"/>
      <c r="C43" s="121"/>
      <c r="D43" s="121"/>
      <c r="E43" s="121"/>
      <c r="F43" s="121"/>
      <c r="G43" s="121"/>
      <c r="H43" s="121"/>
      <c r="I43" s="121"/>
      <c r="J43" s="162"/>
      <c r="K43" s="121"/>
      <c r="L43" s="121"/>
      <c r="M43" s="121"/>
      <c r="N43" s="121"/>
      <c r="O43" s="121"/>
      <c r="P43" s="121"/>
      <c r="Q43" s="121"/>
      <c r="R43" s="121"/>
      <c r="S43" s="121"/>
      <c r="T43" s="121"/>
      <c r="U43" s="121"/>
      <c r="V43" s="121"/>
      <c r="W43" s="121">
        <f t="shared" si="5"/>
        <v>0</v>
      </c>
      <c r="X43" s="171"/>
      <c r="Y43" s="121"/>
      <c r="AA43" s="121"/>
      <c r="AB43" s="121"/>
      <c r="AC43" s="121"/>
      <c r="AD43" s="121"/>
      <c r="AE43" s="121"/>
      <c r="AF43" s="121"/>
      <c r="AG43" s="121"/>
      <c r="AH43" s="121"/>
      <c r="AI43" s="121"/>
      <c r="AJ43" s="121"/>
      <c r="AK43" s="121"/>
      <c r="AL43" s="121"/>
      <c r="AM43" s="121"/>
      <c r="AN43" s="185"/>
      <c r="AO43" s="121"/>
      <c r="AP43" s="121"/>
      <c r="AQ43" s="121"/>
      <c r="AR43" s="121"/>
      <c r="AS43" s="193"/>
      <c r="AT43" s="121"/>
      <c r="AU43" s="193"/>
      <c r="AV43" s="121"/>
      <c r="AW43" s="121"/>
      <c r="AZ43" s="121"/>
      <c r="BA43" s="121"/>
    </row>
    <row r="44" spans="1:54" ht="27.75" customHeight="1">
      <c r="A44" s="121"/>
      <c r="B44" s="121"/>
      <c r="C44" s="121"/>
      <c r="D44" s="121"/>
      <c r="E44" s="121"/>
      <c r="F44" s="121"/>
      <c r="G44" s="121"/>
      <c r="H44" s="121"/>
      <c r="I44" s="121"/>
      <c r="J44" s="162"/>
      <c r="K44" s="121"/>
      <c r="L44" s="121"/>
      <c r="M44" s="121"/>
      <c r="N44" s="121"/>
      <c r="O44" s="121"/>
      <c r="P44" s="121"/>
      <c r="Q44" s="121"/>
      <c r="R44" s="121"/>
      <c r="S44" s="121"/>
      <c r="T44" s="121"/>
      <c r="U44" s="121"/>
      <c r="V44" s="121"/>
      <c r="W44" s="121"/>
      <c r="X44" s="171"/>
      <c r="Y44" s="121"/>
      <c r="AA44" s="121"/>
      <c r="AB44" s="121"/>
      <c r="AC44" s="121"/>
      <c r="AD44" s="121"/>
      <c r="AE44" s="121"/>
      <c r="AF44" s="121"/>
      <c r="AG44" s="121"/>
      <c r="AH44" s="121"/>
      <c r="AI44" s="121"/>
      <c r="AJ44" s="121"/>
      <c r="AK44" s="121"/>
      <c r="AL44" s="121"/>
      <c r="AM44" s="121"/>
      <c r="AN44" s="185"/>
      <c r="AO44" s="121"/>
      <c r="AP44" s="121"/>
      <c r="AQ44" s="121"/>
      <c r="AR44" s="121"/>
      <c r="AS44" s="193"/>
      <c r="AT44" s="121"/>
      <c r="AU44" s="193"/>
      <c r="AV44" s="121"/>
      <c r="AW44" s="121"/>
      <c r="AZ44" s="121"/>
      <c r="BA44" s="121"/>
    </row>
    <row r="45" spans="1:54" ht="27.75" customHeight="1">
      <c r="A45" s="121"/>
      <c r="B45" s="121"/>
      <c r="C45" s="121"/>
      <c r="D45" s="121"/>
      <c r="E45" s="121"/>
      <c r="F45" s="121"/>
      <c r="G45" s="121"/>
      <c r="H45" s="121"/>
      <c r="I45" s="121"/>
      <c r="J45" s="162"/>
      <c r="K45" s="121"/>
      <c r="L45" s="121"/>
      <c r="M45" s="121"/>
      <c r="N45" s="121"/>
      <c r="O45" s="121"/>
      <c r="P45" s="121"/>
      <c r="Q45" s="121"/>
      <c r="R45" s="121"/>
      <c r="S45" s="121"/>
      <c r="T45" s="121"/>
      <c r="U45" s="121"/>
      <c r="V45" s="121"/>
      <c r="W45" s="121"/>
      <c r="X45" s="171"/>
      <c r="Y45" s="121"/>
      <c r="AA45" s="121"/>
      <c r="AB45" s="121"/>
      <c r="AC45" s="121"/>
      <c r="AD45" s="121"/>
      <c r="AE45" s="121"/>
      <c r="AF45" s="121"/>
      <c r="AG45" s="121"/>
      <c r="AH45" s="121"/>
      <c r="AI45" s="121"/>
      <c r="AJ45" s="121"/>
      <c r="AK45" s="121"/>
      <c r="AL45" s="121"/>
      <c r="AM45" s="121"/>
      <c r="AN45" s="185"/>
      <c r="AO45" s="121"/>
      <c r="AP45" s="121"/>
      <c r="AQ45" s="121"/>
      <c r="AR45" s="121"/>
      <c r="AS45" s="193"/>
      <c r="AT45" s="121"/>
      <c r="AU45" s="193"/>
      <c r="AV45" s="121"/>
      <c r="AW45" s="121"/>
      <c r="AZ45" s="200"/>
    </row>
    <row r="46" spans="1:54" ht="27.75" customHeight="1">
      <c r="A46" s="121"/>
      <c r="B46" s="121"/>
      <c r="C46" s="121"/>
      <c r="D46" s="121"/>
      <c r="E46" s="121"/>
      <c r="F46" s="121"/>
      <c r="G46" s="121"/>
      <c r="H46" s="121"/>
      <c r="I46" s="121"/>
      <c r="J46" s="162"/>
      <c r="K46" s="121"/>
      <c r="L46" s="121"/>
      <c r="M46" s="121"/>
      <c r="N46" s="121"/>
      <c r="O46" s="121"/>
      <c r="P46" s="121"/>
      <c r="Q46" s="121"/>
      <c r="R46" s="121"/>
      <c r="S46" s="121"/>
      <c r="T46" s="121"/>
      <c r="U46" s="121"/>
      <c r="V46" s="121"/>
      <c r="W46" s="121"/>
      <c r="X46" s="171"/>
      <c r="Y46" s="121"/>
      <c r="AA46" s="121"/>
      <c r="AB46" s="121"/>
      <c r="AC46" s="121"/>
      <c r="AD46" s="121"/>
      <c r="AE46" s="121"/>
      <c r="AF46" s="121"/>
      <c r="AG46" s="121"/>
      <c r="AH46" s="121"/>
      <c r="AI46" s="121"/>
      <c r="AJ46" s="121"/>
      <c r="AK46" s="121"/>
      <c r="AL46" s="121"/>
      <c r="AM46" s="121"/>
      <c r="AN46" s="185"/>
      <c r="AO46" s="121"/>
      <c r="AP46" s="121"/>
      <c r="AQ46" s="121"/>
      <c r="AR46" s="121"/>
      <c r="AS46" s="193"/>
      <c r="AT46" s="121"/>
      <c r="AU46" s="193"/>
      <c r="AV46" s="121"/>
      <c r="AW46" s="121"/>
      <c r="AZ46" s="121"/>
    </row>
    <row r="47" spans="1:54" ht="27.75" customHeight="1">
      <c r="A47" s="121"/>
      <c r="B47" s="121"/>
      <c r="C47" s="121"/>
      <c r="D47" s="121"/>
      <c r="E47" s="121"/>
      <c r="F47" s="121"/>
      <c r="G47" s="121"/>
      <c r="H47" s="121"/>
      <c r="I47" s="121"/>
      <c r="J47" s="162"/>
      <c r="K47" s="121"/>
      <c r="L47" s="121"/>
      <c r="M47" s="121"/>
      <c r="N47" s="121"/>
      <c r="O47" s="121"/>
      <c r="P47" s="121"/>
      <c r="Q47" s="121"/>
      <c r="R47" s="121"/>
      <c r="S47" s="121"/>
      <c r="T47" s="121"/>
      <c r="U47" s="121"/>
      <c r="V47" s="121"/>
      <c r="W47" s="121"/>
      <c r="X47" s="171"/>
      <c r="Y47" s="121"/>
      <c r="AA47" s="121"/>
      <c r="AB47" s="121"/>
      <c r="AC47" s="121"/>
      <c r="AD47" s="121"/>
      <c r="AE47" s="121"/>
      <c r="AF47" s="121"/>
      <c r="AG47" s="121"/>
      <c r="AH47" s="121"/>
      <c r="AI47" s="121"/>
      <c r="AJ47" s="121"/>
      <c r="AK47" s="121"/>
      <c r="AL47" s="121"/>
      <c r="AM47" s="121"/>
      <c r="AN47" s="185"/>
      <c r="AO47" s="121"/>
      <c r="AP47" s="121"/>
      <c r="AQ47" s="121"/>
      <c r="AR47" s="121"/>
      <c r="AS47" s="193"/>
      <c r="AT47" s="121"/>
      <c r="AU47" s="193"/>
      <c r="AV47" s="121"/>
      <c r="AW47" s="121"/>
      <c r="AZ47" s="121"/>
    </row>
    <row r="48" spans="1:54" ht="27.75" customHeight="1">
      <c r="A48" s="121"/>
      <c r="B48" s="121"/>
      <c r="C48" s="121"/>
      <c r="D48" s="121"/>
      <c r="E48" s="121"/>
      <c r="F48" s="121"/>
      <c r="G48" s="121"/>
      <c r="H48" s="121"/>
      <c r="I48" s="121"/>
      <c r="J48" s="162"/>
      <c r="K48" s="121"/>
      <c r="L48" s="121"/>
      <c r="M48" s="121"/>
      <c r="N48" s="121"/>
      <c r="O48" s="121"/>
      <c r="P48" s="121"/>
      <c r="Q48" s="121"/>
      <c r="R48" s="121"/>
      <c r="S48" s="121"/>
      <c r="T48" s="121"/>
      <c r="U48" s="121"/>
      <c r="V48" s="121"/>
      <c r="W48" s="121"/>
      <c r="X48" s="171"/>
      <c r="Y48" s="121"/>
      <c r="AA48" s="121"/>
      <c r="AB48" s="121"/>
      <c r="AC48" s="121"/>
      <c r="AD48" s="121"/>
      <c r="AE48" s="121"/>
      <c r="AF48" s="121"/>
      <c r="AG48" s="121"/>
      <c r="AH48" s="121"/>
      <c r="AI48" s="121"/>
      <c r="AJ48" s="121"/>
      <c r="AK48" s="121"/>
      <c r="AL48" s="121"/>
      <c r="AM48" s="121"/>
      <c r="AN48" s="185"/>
      <c r="AO48" s="121"/>
      <c r="AP48" s="121"/>
      <c r="AQ48" s="121"/>
      <c r="AR48" s="121"/>
      <c r="AS48" s="193"/>
      <c r="AT48" s="121"/>
      <c r="AU48" s="193"/>
      <c r="AV48" s="121"/>
      <c r="AW48" s="121"/>
      <c r="AZ48" s="121"/>
    </row>
    <row r="49" spans="1:52" ht="27.75" customHeight="1">
      <c r="A49" s="121"/>
      <c r="B49" s="121"/>
      <c r="C49" s="121"/>
      <c r="D49" s="121"/>
      <c r="E49" s="121"/>
      <c r="F49" s="121"/>
      <c r="G49" s="121"/>
      <c r="H49" s="121"/>
      <c r="I49" s="121"/>
      <c r="J49" s="162"/>
      <c r="K49" s="121"/>
      <c r="L49" s="121"/>
      <c r="M49" s="121"/>
      <c r="N49" s="121"/>
      <c r="O49" s="121"/>
      <c r="P49" s="121"/>
      <c r="Q49" s="121"/>
      <c r="R49" s="121"/>
      <c r="S49" s="121"/>
      <c r="T49" s="121"/>
      <c r="U49" s="121"/>
      <c r="V49" s="121"/>
      <c r="W49" s="121"/>
      <c r="X49" s="171"/>
      <c r="Y49" s="121"/>
      <c r="AA49" s="121"/>
      <c r="AB49" s="121"/>
      <c r="AC49" s="121"/>
      <c r="AD49" s="121"/>
      <c r="AE49" s="121"/>
      <c r="AF49" s="121"/>
      <c r="AG49" s="121"/>
      <c r="AH49" s="121"/>
      <c r="AI49" s="121"/>
      <c r="AJ49" s="121"/>
      <c r="AK49" s="121"/>
      <c r="AL49" s="121"/>
      <c r="AM49" s="121"/>
      <c r="AN49" s="185"/>
      <c r="AO49" s="121"/>
      <c r="AP49" s="121"/>
      <c r="AQ49" s="121"/>
      <c r="AR49" s="121"/>
      <c r="AS49" s="193"/>
      <c r="AT49" s="121"/>
      <c r="AU49" s="193"/>
      <c r="AV49" s="121"/>
      <c r="AW49" s="121"/>
      <c r="AZ49" s="121"/>
    </row>
    <row r="50" spans="1:52" ht="27.75" customHeight="1">
      <c r="A50" s="121"/>
      <c r="B50" s="121"/>
      <c r="C50" s="121"/>
      <c r="D50" s="121"/>
      <c r="E50" s="121"/>
      <c r="F50" s="121"/>
      <c r="G50" s="121"/>
      <c r="H50" s="121"/>
      <c r="I50" s="121"/>
      <c r="J50" s="162"/>
      <c r="K50" s="121"/>
      <c r="L50" s="121"/>
      <c r="M50" s="121"/>
      <c r="N50" s="121"/>
      <c r="O50" s="121"/>
      <c r="P50" s="121"/>
      <c r="Q50" s="121"/>
      <c r="R50" s="121"/>
      <c r="S50" s="121"/>
      <c r="T50" s="121"/>
      <c r="U50" s="121"/>
      <c r="V50" s="121"/>
      <c r="W50" s="121"/>
      <c r="X50" s="171"/>
      <c r="Y50" s="121"/>
      <c r="AA50" s="121"/>
      <c r="AB50" s="121"/>
      <c r="AC50" s="121"/>
      <c r="AD50" s="121"/>
      <c r="AE50" s="121"/>
      <c r="AF50" s="121"/>
      <c r="AG50" s="121"/>
      <c r="AH50" s="121"/>
      <c r="AI50" s="121"/>
      <c r="AJ50" s="121"/>
      <c r="AK50" s="121"/>
      <c r="AL50" s="121"/>
      <c r="AM50" s="121"/>
      <c r="AN50" s="185"/>
      <c r="AO50" s="121"/>
      <c r="AP50" s="121"/>
      <c r="AQ50" s="121"/>
      <c r="AR50" s="121"/>
      <c r="AS50" s="193"/>
      <c r="AT50" s="121"/>
      <c r="AU50" s="193"/>
      <c r="AV50" s="121"/>
      <c r="AW50" s="121"/>
      <c r="AZ50" s="121"/>
    </row>
    <row r="51" spans="1:52" ht="27.75" customHeight="1">
      <c r="A51" s="121"/>
      <c r="B51" s="121"/>
      <c r="C51" s="121"/>
      <c r="D51" s="121"/>
      <c r="E51" s="121"/>
      <c r="F51" s="121"/>
      <c r="G51" s="121"/>
      <c r="H51" s="121"/>
      <c r="I51" s="121"/>
      <c r="J51" s="162"/>
      <c r="K51" s="121"/>
      <c r="L51" s="121"/>
      <c r="M51" s="121"/>
      <c r="N51" s="121"/>
      <c r="O51" s="121"/>
      <c r="P51" s="121"/>
      <c r="Q51" s="121"/>
      <c r="R51" s="121"/>
      <c r="S51" s="121"/>
      <c r="T51" s="121"/>
      <c r="U51" s="121"/>
      <c r="V51" s="121"/>
      <c r="W51" s="121"/>
      <c r="X51" s="171"/>
      <c r="Y51" s="121"/>
      <c r="AA51" s="121"/>
      <c r="AB51" s="121"/>
      <c r="AC51" s="121"/>
      <c r="AD51" s="121"/>
      <c r="AE51" s="121"/>
      <c r="AF51" s="121"/>
      <c r="AG51" s="121"/>
      <c r="AH51" s="121"/>
      <c r="AI51" s="121"/>
      <c r="AJ51" s="121"/>
      <c r="AK51" s="121"/>
      <c r="AL51" s="121"/>
      <c r="AM51" s="121"/>
      <c r="AN51" s="185"/>
      <c r="AO51" s="121"/>
      <c r="AP51" s="121"/>
      <c r="AQ51" s="121"/>
      <c r="AR51" s="121"/>
      <c r="AS51" s="193"/>
      <c r="AT51" s="121"/>
      <c r="AU51" s="193"/>
      <c r="AV51" s="121"/>
      <c r="AW51" s="121"/>
      <c r="AZ51" s="121"/>
    </row>
    <row r="52" spans="1:52" ht="27.75" customHeight="1">
      <c r="A52" s="121"/>
      <c r="B52" s="121"/>
      <c r="C52" s="121"/>
      <c r="D52" s="121"/>
      <c r="E52" s="121"/>
      <c r="F52" s="121"/>
      <c r="G52" s="121"/>
      <c r="H52" s="121"/>
      <c r="I52" s="121"/>
      <c r="J52" s="162"/>
      <c r="K52" s="121"/>
      <c r="L52" s="121"/>
      <c r="M52" s="121"/>
      <c r="N52" s="121"/>
      <c r="O52" s="121"/>
      <c r="P52" s="121"/>
      <c r="Q52" s="121"/>
      <c r="R52" s="121"/>
      <c r="S52" s="121"/>
      <c r="T52" s="121"/>
      <c r="U52" s="121"/>
      <c r="V52" s="121"/>
      <c r="W52" s="121"/>
      <c r="X52" s="171"/>
      <c r="Y52" s="121"/>
      <c r="AA52" s="121"/>
      <c r="AB52" s="121"/>
      <c r="AC52" s="121"/>
      <c r="AD52" s="121"/>
      <c r="AE52" s="121"/>
      <c r="AF52" s="121"/>
      <c r="AG52" s="121"/>
      <c r="AH52" s="121"/>
      <c r="AI52" s="121"/>
      <c r="AJ52" s="121"/>
      <c r="AK52" s="121"/>
      <c r="AL52" s="121"/>
      <c r="AM52" s="121"/>
      <c r="AN52" s="185"/>
      <c r="AO52" s="121"/>
      <c r="AP52" s="121"/>
      <c r="AQ52" s="121"/>
      <c r="AR52" s="121"/>
      <c r="AS52" s="193"/>
      <c r="AT52" s="121"/>
      <c r="AU52" s="193"/>
      <c r="AV52" s="121"/>
      <c r="AW52" s="121"/>
      <c r="AZ52" s="121"/>
    </row>
    <row r="53" spans="1:52" ht="27.75" customHeight="1">
      <c r="A53" s="121"/>
      <c r="B53" s="121"/>
      <c r="C53" s="121"/>
      <c r="D53" s="121"/>
      <c r="E53" s="121"/>
      <c r="F53" s="121"/>
      <c r="G53" s="121"/>
      <c r="H53" s="121"/>
      <c r="I53" s="121"/>
      <c r="J53" s="162"/>
      <c r="K53" s="121"/>
      <c r="L53" s="121"/>
      <c r="M53" s="121"/>
      <c r="N53" s="121"/>
      <c r="O53" s="121"/>
      <c r="P53" s="121"/>
      <c r="Q53" s="121"/>
      <c r="R53" s="121"/>
      <c r="S53" s="121"/>
      <c r="T53" s="121"/>
      <c r="U53" s="121"/>
      <c r="V53" s="121"/>
      <c r="W53" s="121"/>
      <c r="X53" s="171"/>
      <c r="Y53" s="121"/>
      <c r="AA53" s="121"/>
      <c r="AB53" s="121"/>
      <c r="AC53" s="121"/>
      <c r="AD53" s="121"/>
      <c r="AE53" s="121"/>
      <c r="AF53" s="121"/>
      <c r="AG53" s="121"/>
      <c r="AH53" s="121"/>
      <c r="AI53" s="121"/>
      <c r="AJ53" s="121"/>
      <c r="AK53" s="121"/>
      <c r="AL53" s="121"/>
      <c r="AM53" s="121"/>
      <c r="AN53" s="185"/>
      <c r="AO53" s="121"/>
      <c r="AP53" s="121"/>
      <c r="AQ53" s="121"/>
      <c r="AR53" s="121"/>
      <c r="AS53" s="193"/>
      <c r="AT53" s="121"/>
      <c r="AU53" s="193"/>
      <c r="AV53" s="121"/>
      <c r="AW53" s="121"/>
      <c r="AZ53" s="121"/>
    </row>
    <row r="54" spans="1:52" ht="27.75" customHeight="1">
      <c r="A54" s="121"/>
      <c r="B54" s="121"/>
      <c r="C54" s="121"/>
      <c r="D54" s="121"/>
      <c r="E54" s="121"/>
      <c r="F54" s="121"/>
      <c r="G54" s="121"/>
      <c r="H54" s="121"/>
      <c r="I54" s="121"/>
      <c r="J54" s="162"/>
      <c r="K54" s="121"/>
      <c r="L54" s="121"/>
      <c r="M54" s="121"/>
      <c r="N54" s="121"/>
      <c r="O54" s="121"/>
      <c r="P54" s="121"/>
      <c r="Q54" s="121"/>
      <c r="R54" s="121"/>
      <c r="S54" s="121"/>
      <c r="T54" s="121"/>
      <c r="U54" s="121"/>
      <c r="V54" s="121"/>
      <c r="W54" s="121"/>
      <c r="X54" s="171"/>
      <c r="Y54" s="121"/>
      <c r="AA54" s="121"/>
      <c r="AB54" s="121"/>
      <c r="AC54" s="121"/>
      <c r="AD54" s="121"/>
      <c r="AE54" s="121"/>
      <c r="AF54" s="121"/>
      <c r="AG54" s="121"/>
      <c r="AH54" s="121"/>
      <c r="AI54" s="121"/>
      <c r="AJ54" s="121"/>
      <c r="AK54" s="121"/>
      <c r="AL54" s="121"/>
      <c r="AM54" s="121"/>
      <c r="AN54" s="185"/>
      <c r="AO54" s="121"/>
      <c r="AP54" s="121"/>
      <c r="AQ54" s="121"/>
      <c r="AR54" s="121"/>
      <c r="AS54" s="193"/>
      <c r="AT54" s="121"/>
      <c r="AU54" s="193"/>
      <c r="AV54" s="121"/>
      <c r="AW54" s="121"/>
      <c r="AZ54" s="121"/>
    </row>
    <row r="55" spans="1:52" ht="27.75" customHeight="1">
      <c r="A55" s="121"/>
      <c r="B55" s="121"/>
      <c r="C55" s="121"/>
      <c r="D55" s="121"/>
      <c r="E55" s="121"/>
      <c r="F55" s="121"/>
      <c r="G55" s="121"/>
      <c r="H55" s="121"/>
      <c r="I55" s="121"/>
      <c r="J55" s="162"/>
      <c r="K55" s="121"/>
      <c r="L55" s="121"/>
      <c r="M55" s="121"/>
      <c r="N55" s="121"/>
      <c r="O55" s="121"/>
      <c r="P55" s="121"/>
      <c r="Q55" s="121"/>
      <c r="R55" s="121"/>
      <c r="S55" s="121"/>
      <c r="T55" s="121"/>
      <c r="U55" s="121"/>
      <c r="V55" s="121"/>
      <c r="W55" s="121"/>
      <c r="X55" s="171"/>
      <c r="Y55" s="121"/>
      <c r="AA55" s="121"/>
      <c r="AB55" s="121"/>
      <c r="AC55" s="121"/>
      <c r="AD55" s="121"/>
      <c r="AE55" s="121"/>
      <c r="AF55" s="121"/>
      <c r="AG55" s="121"/>
      <c r="AH55" s="121"/>
      <c r="AI55" s="121"/>
      <c r="AJ55" s="121"/>
      <c r="AK55" s="121"/>
      <c r="AL55" s="121"/>
      <c r="AM55" s="121"/>
      <c r="AN55" s="185"/>
      <c r="AO55" s="121"/>
      <c r="AP55" s="121"/>
      <c r="AQ55" s="121"/>
      <c r="AR55" s="121"/>
      <c r="AS55" s="193"/>
      <c r="AT55" s="121"/>
      <c r="AU55" s="193"/>
      <c r="AV55" s="121"/>
      <c r="AW55" s="121"/>
      <c r="AZ55" s="121"/>
    </row>
    <row r="56" spans="1:52" ht="27.75" customHeight="1">
      <c r="A56" s="121"/>
      <c r="B56" s="121"/>
      <c r="C56" s="121"/>
      <c r="D56" s="121"/>
      <c r="E56" s="121"/>
      <c r="F56" s="121"/>
      <c r="G56" s="121"/>
      <c r="H56" s="121"/>
      <c r="I56" s="121"/>
      <c r="J56" s="162"/>
      <c r="K56" s="121"/>
      <c r="L56" s="121"/>
      <c r="M56" s="121"/>
      <c r="N56" s="121"/>
      <c r="O56" s="121"/>
      <c r="P56" s="121"/>
      <c r="Q56" s="121"/>
      <c r="R56" s="121"/>
      <c r="S56" s="121"/>
      <c r="T56" s="121"/>
      <c r="U56" s="121"/>
      <c r="V56" s="121"/>
      <c r="W56" s="121"/>
      <c r="X56" s="171"/>
      <c r="Y56" s="121"/>
      <c r="AA56" s="121"/>
      <c r="AB56" s="121"/>
      <c r="AC56" s="121"/>
      <c r="AD56" s="121"/>
      <c r="AE56" s="121"/>
      <c r="AF56" s="121"/>
      <c r="AG56" s="121"/>
      <c r="AH56" s="121"/>
      <c r="AI56" s="121"/>
      <c r="AJ56" s="121"/>
      <c r="AK56" s="121"/>
      <c r="AL56" s="121"/>
      <c r="AM56" s="121"/>
      <c r="AN56" s="185"/>
      <c r="AO56" s="121"/>
      <c r="AP56" s="121"/>
      <c r="AQ56" s="121"/>
      <c r="AR56" s="121"/>
      <c r="AS56" s="193"/>
      <c r="AT56" s="121"/>
      <c r="AU56" s="193"/>
      <c r="AV56" s="121"/>
      <c r="AW56" s="121"/>
      <c r="AZ56" s="121"/>
    </row>
    <row r="57" spans="1:52" ht="27.75" customHeight="1">
      <c r="A57" s="121"/>
      <c r="B57" s="121"/>
      <c r="C57" s="121"/>
      <c r="D57" s="121"/>
      <c r="E57" s="121"/>
      <c r="F57" s="121"/>
      <c r="G57" s="121"/>
      <c r="H57" s="121"/>
      <c r="I57" s="121"/>
      <c r="J57" s="162"/>
      <c r="K57" s="121"/>
      <c r="L57" s="121"/>
      <c r="M57" s="121"/>
      <c r="N57" s="121"/>
      <c r="O57" s="121"/>
      <c r="P57" s="121"/>
      <c r="Q57" s="121"/>
      <c r="R57" s="121"/>
      <c r="S57" s="121"/>
      <c r="T57" s="121"/>
      <c r="U57" s="121"/>
      <c r="V57" s="121"/>
      <c r="W57" s="121"/>
      <c r="X57" s="171"/>
      <c r="Y57" s="121"/>
      <c r="AA57" s="121"/>
      <c r="AB57" s="121"/>
      <c r="AC57" s="121"/>
      <c r="AD57" s="121"/>
      <c r="AE57" s="121"/>
      <c r="AF57" s="121"/>
      <c r="AG57" s="121"/>
      <c r="AH57" s="121"/>
      <c r="AI57" s="121"/>
      <c r="AJ57" s="121"/>
      <c r="AK57" s="121"/>
      <c r="AL57" s="121"/>
      <c r="AM57" s="121"/>
      <c r="AN57" s="185"/>
      <c r="AO57" s="121"/>
      <c r="AP57" s="121"/>
      <c r="AQ57" s="121"/>
      <c r="AR57" s="121"/>
      <c r="AS57" s="193"/>
      <c r="AT57" s="121"/>
      <c r="AU57" s="193"/>
      <c r="AV57" s="121"/>
      <c r="AW57" s="121"/>
      <c r="AZ57" s="121"/>
    </row>
    <row r="58" spans="1:52" ht="27.75" customHeight="1">
      <c r="A58" s="121"/>
      <c r="B58" s="121"/>
      <c r="C58" s="121"/>
      <c r="D58" s="121"/>
      <c r="E58" s="121"/>
      <c r="F58" s="121"/>
      <c r="G58" s="121"/>
      <c r="H58" s="121"/>
      <c r="I58" s="121"/>
      <c r="J58" s="162"/>
      <c r="K58" s="121"/>
      <c r="L58" s="121"/>
      <c r="M58" s="121"/>
      <c r="N58" s="121"/>
      <c r="O58" s="121"/>
      <c r="P58" s="121"/>
      <c r="Q58" s="121"/>
      <c r="R58" s="121"/>
      <c r="S58" s="121"/>
      <c r="T58" s="121"/>
      <c r="U58" s="121"/>
      <c r="V58" s="121"/>
      <c r="W58" s="121"/>
      <c r="X58" s="171"/>
      <c r="Y58" s="121"/>
      <c r="AA58" s="121"/>
      <c r="AB58" s="121"/>
      <c r="AC58" s="121"/>
      <c r="AD58" s="121"/>
      <c r="AE58" s="121"/>
      <c r="AF58" s="121"/>
      <c r="AG58" s="121"/>
      <c r="AH58" s="121"/>
      <c r="AI58" s="121"/>
      <c r="AJ58" s="121"/>
      <c r="AK58" s="121"/>
      <c r="AL58" s="121"/>
      <c r="AM58" s="121"/>
      <c r="AN58" s="185"/>
      <c r="AO58" s="121"/>
      <c r="AP58" s="121"/>
      <c r="AQ58" s="121"/>
      <c r="AR58" s="121"/>
      <c r="AS58" s="193"/>
      <c r="AT58" s="121"/>
      <c r="AU58" s="193"/>
      <c r="AV58" s="121"/>
      <c r="AW58" s="121"/>
      <c r="AZ58" s="121"/>
    </row>
    <row r="59" spans="1:52" ht="27.75" customHeight="1">
      <c r="A59" s="121"/>
      <c r="B59" s="121"/>
      <c r="C59" s="121"/>
      <c r="D59" s="121"/>
      <c r="E59" s="121"/>
      <c r="F59" s="121"/>
      <c r="G59" s="121"/>
      <c r="H59" s="121"/>
      <c r="I59" s="121"/>
      <c r="J59" s="162"/>
      <c r="K59" s="121"/>
      <c r="L59" s="121"/>
      <c r="M59" s="121"/>
      <c r="N59" s="121"/>
      <c r="O59" s="121"/>
      <c r="P59" s="121"/>
      <c r="Q59" s="121"/>
      <c r="R59" s="121"/>
      <c r="S59" s="121"/>
      <c r="T59" s="121"/>
      <c r="U59" s="121"/>
      <c r="V59" s="121"/>
      <c r="W59" s="121"/>
      <c r="X59" s="171"/>
      <c r="Y59" s="121"/>
      <c r="AA59" s="121"/>
      <c r="AB59" s="121"/>
      <c r="AC59" s="121"/>
      <c r="AD59" s="121"/>
      <c r="AE59" s="121"/>
      <c r="AF59" s="121"/>
      <c r="AG59" s="121"/>
      <c r="AH59" s="121"/>
      <c r="AI59" s="121"/>
      <c r="AJ59" s="121"/>
      <c r="AK59" s="121"/>
      <c r="AL59" s="121"/>
      <c r="AM59" s="121"/>
      <c r="AN59" s="185"/>
      <c r="AO59" s="121"/>
      <c r="AP59" s="121"/>
      <c r="AQ59" s="121"/>
      <c r="AR59" s="121"/>
      <c r="AS59" s="193"/>
      <c r="AT59" s="121"/>
      <c r="AU59" s="193"/>
      <c r="AV59" s="121"/>
      <c r="AW59" s="121"/>
      <c r="AZ59" s="121"/>
    </row>
    <row r="60" spans="1:52" ht="27.75" customHeight="1">
      <c r="A60" s="121"/>
      <c r="B60" s="121"/>
      <c r="C60" s="121"/>
      <c r="D60" s="121"/>
      <c r="E60" s="121"/>
      <c r="F60" s="121"/>
      <c r="G60" s="121"/>
      <c r="H60" s="121"/>
      <c r="I60" s="121"/>
      <c r="J60" s="162"/>
      <c r="K60" s="121"/>
      <c r="L60" s="121"/>
      <c r="M60" s="121"/>
      <c r="N60" s="121"/>
      <c r="O60" s="121"/>
      <c r="P60" s="121"/>
      <c r="Q60" s="121"/>
      <c r="R60" s="121"/>
      <c r="S60" s="121"/>
      <c r="T60" s="121"/>
      <c r="U60" s="121"/>
      <c r="V60" s="121"/>
      <c r="W60" s="121"/>
      <c r="X60" s="171"/>
      <c r="Y60" s="121"/>
      <c r="AA60" s="121"/>
      <c r="AB60" s="121"/>
      <c r="AC60" s="121"/>
      <c r="AD60" s="121"/>
      <c r="AE60" s="121"/>
      <c r="AF60" s="121"/>
      <c r="AG60" s="121"/>
      <c r="AH60" s="121"/>
      <c r="AI60" s="121"/>
      <c r="AJ60" s="121"/>
      <c r="AK60" s="121"/>
      <c r="AL60" s="121"/>
      <c r="AM60" s="121"/>
      <c r="AN60" s="185"/>
      <c r="AO60" s="121"/>
      <c r="AP60" s="121"/>
      <c r="AQ60" s="121"/>
      <c r="AR60" s="121"/>
      <c r="AS60" s="193"/>
      <c r="AT60" s="121"/>
      <c r="AU60" s="193"/>
      <c r="AV60" s="121"/>
      <c r="AW60" s="121"/>
      <c r="AZ60" s="121"/>
    </row>
    <row r="61" spans="1:52" ht="27.75" customHeight="1">
      <c r="A61" s="121"/>
      <c r="B61" s="121"/>
      <c r="C61" s="121"/>
      <c r="D61" s="121"/>
      <c r="E61" s="121"/>
      <c r="F61" s="121"/>
      <c r="G61" s="121"/>
      <c r="H61" s="121"/>
      <c r="I61" s="121"/>
      <c r="J61" s="162"/>
      <c r="K61" s="121"/>
      <c r="L61" s="121"/>
      <c r="M61" s="121"/>
      <c r="N61" s="121"/>
      <c r="O61" s="121"/>
      <c r="P61" s="121"/>
      <c r="Q61" s="121"/>
      <c r="R61" s="121"/>
      <c r="S61" s="121"/>
      <c r="T61" s="121"/>
      <c r="U61" s="121"/>
      <c r="V61" s="121"/>
      <c r="W61" s="121"/>
      <c r="X61" s="171"/>
      <c r="Y61" s="121"/>
      <c r="AA61" s="121"/>
      <c r="AB61" s="121"/>
      <c r="AC61" s="121"/>
      <c r="AD61" s="121"/>
      <c r="AE61" s="121"/>
      <c r="AF61" s="121"/>
      <c r="AG61" s="121"/>
      <c r="AH61" s="121"/>
      <c r="AI61" s="121"/>
      <c r="AJ61" s="121"/>
      <c r="AK61" s="121"/>
      <c r="AL61" s="121"/>
      <c r="AM61" s="121"/>
      <c r="AN61" s="185"/>
      <c r="AO61" s="121"/>
      <c r="AP61" s="121"/>
      <c r="AQ61" s="121"/>
      <c r="AR61" s="121"/>
      <c r="AS61" s="193"/>
      <c r="AT61" s="121"/>
      <c r="AU61" s="193"/>
      <c r="AV61" s="121"/>
      <c r="AW61" s="121"/>
      <c r="AZ61" s="121"/>
    </row>
    <row r="62" spans="1:52" ht="27.75" customHeight="1">
      <c r="A62" s="121"/>
      <c r="B62" s="121"/>
      <c r="C62" s="121"/>
      <c r="D62" s="121"/>
      <c r="E62" s="121"/>
      <c r="F62" s="121"/>
      <c r="G62" s="121"/>
      <c r="H62" s="121"/>
      <c r="I62" s="121"/>
      <c r="J62" s="162"/>
      <c r="K62" s="121"/>
      <c r="L62" s="121"/>
      <c r="M62" s="121"/>
      <c r="N62" s="121"/>
      <c r="O62" s="121"/>
      <c r="P62" s="121"/>
      <c r="Q62" s="121"/>
      <c r="R62" s="121"/>
      <c r="S62" s="121"/>
      <c r="T62" s="121"/>
      <c r="U62" s="121"/>
      <c r="V62" s="121"/>
      <c r="W62" s="121"/>
      <c r="X62" s="171"/>
      <c r="Y62" s="121"/>
      <c r="AA62" s="121"/>
      <c r="AB62" s="121"/>
      <c r="AC62" s="121"/>
      <c r="AD62" s="121"/>
      <c r="AE62" s="121"/>
      <c r="AF62" s="121"/>
      <c r="AG62" s="121"/>
      <c r="AH62" s="121"/>
      <c r="AI62" s="121"/>
      <c r="AJ62" s="121"/>
      <c r="AK62" s="121"/>
      <c r="AL62" s="121"/>
      <c r="AM62" s="121"/>
      <c r="AN62" s="185"/>
      <c r="AO62" s="121"/>
      <c r="AP62" s="121"/>
      <c r="AQ62" s="121"/>
      <c r="AR62" s="121"/>
      <c r="AS62" s="193"/>
      <c r="AT62" s="121"/>
      <c r="AU62" s="193"/>
      <c r="AV62" s="121"/>
      <c r="AW62" s="121"/>
      <c r="AZ62" s="121"/>
    </row>
    <row r="63" spans="1:52" ht="27.75" customHeight="1">
      <c r="A63" s="121"/>
      <c r="B63" s="121"/>
      <c r="C63" s="121"/>
      <c r="D63" s="121"/>
      <c r="E63" s="121"/>
      <c r="F63" s="121"/>
      <c r="G63" s="121"/>
      <c r="H63" s="121"/>
      <c r="I63" s="121"/>
      <c r="J63" s="162"/>
      <c r="K63" s="121"/>
      <c r="L63" s="121"/>
      <c r="M63" s="121"/>
      <c r="N63" s="121"/>
      <c r="O63" s="121"/>
      <c r="P63" s="121"/>
      <c r="Q63" s="121"/>
      <c r="R63" s="121"/>
      <c r="S63" s="121"/>
      <c r="T63" s="121"/>
      <c r="U63" s="121"/>
      <c r="V63" s="121"/>
      <c r="W63" s="121"/>
      <c r="X63" s="171"/>
      <c r="Y63" s="121"/>
      <c r="AA63" s="121"/>
      <c r="AB63" s="121"/>
      <c r="AC63" s="121"/>
      <c r="AD63" s="121"/>
      <c r="AE63" s="121"/>
      <c r="AF63" s="121"/>
      <c r="AG63" s="121"/>
      <c r="AH63" s="121"/>
      <c r="AI63" s="121"/>
      <c r="AJ63" s="121"/>
      <c r="AK63" s="121"/>
      <c r="AL63" s="121"/>
      <c r="AM63" s="121"/>
      <c r="AN63" s="185"/>
      <c r="AO63" s="121"/>
      <c r="AP63" s="121"/>
      <c r="AQ63" s="121"/>
      <c r="AR63" s="121"/>
      <c r="AS63" s="193"/>
      <c r="AT63" s="121"/>
      <c r="AU63" s="193"/>
      <c r="AV63" s="121"/>
      <c r="AW63" s="121"/>
      <c r="AZ63" s="121"/>
    </row>
    <row r="64" spans="1:52" ht="27.75" customHeight="1">
      <c r="A64" s="121"/>
      <c r="B64" s="121"/>
      <c r="C64" s="121"/>
      <c r="D64" s="121"/>
      <c r="E64" s="121"/>
      <c r="F64" s="121"/>
      <c r="G64" s="121"/>
      <c r="H64" s="121"/>
      <c r="I64" s="121"/>
      <c r="J64" s="162"/>
      <c r="K64" s="121"/>
      <c r="L64" s="121"/>
      <c r="M64" s="121"/>
      <c r="N64" s="121"/>
      <c r="O64" s="121"/>
      <c r="P64" s="121"/>
      <c r="Q64" s="121"/>
      <c r="R64" s="121"/>
      <c r="S64" s="121"/>
      <c r="T64" s="121"/>
      <c r="U64" s="121"/>
      <c r="V64" s="121"/>
      <c r="W64" s="121"/>
      <c r="X64" s="171"/>
      <c r="Y64" s="121"/>
      <c r="AA64" s="121"/>
      <c r="AB64" s="121"/>
      <c r="AC64" s="121"/>
      <c r="AD64" s="121"/>
      <c r="AE64" s="121"/>
      <c r="AF64" s="121"/>
      <c r="AG64" s="121"/>
      <c r="AH64" s="121"/>
      <c r="AI64" s="121"/>
      <c r="AJ64" s="121"/>
      <c r="AK64" s="121"/>
      <c r="AL64" s="121"/>
      <c r="AM64" s="121"/>
      <c r="AN64" s="185"/>
      <c r="AO64" s="121"/>
      <c r="AP64" s="121"/>
      <c r="AQ64" s="121"/>
      <c r="AR64" s="121"/>
      <c r="AS64" s="193"/>
      <c r="AT64" s="121"/>
      <c r="AU64" s="193"/>
      <c r="AV64" s="121"/>
      <c r="AW64" s="121"/>
      <c r="AZ64" s="121"/>
    </row>
    <row r="65" spans="1:52" ht="27.75" customHeight="1">
      <c r="A65" s="121"/>
      <c r="B65" s="121"/>
      <c r="C65" s="121"/>
      <c r="D65" s="121"/>
      <c r="E65" s="121"/>
      <c r="F65" s="121"/>
      <c r="G65" s="121"/>
      <c r="H65" s="121"/>
      <c r="I65" s="121"/>
      <c r="J65" s="162"/>
      <c r="K65" s="121"/>
      <c r="L65" s="121"/>
      <c r="M65" s="121"/>
      <c r="N65" s="121"/>
      <c r="O65" s="121"/>
      <c r="P65" s="121"/>
      <c r="Q65" s="121"/>
      <c r="R65" s="121"/>
      <c r="S65" s="121"/>
      <c r="T65" s="121"/>
      <c r="U65" s="121"/>
      <c r="V65" s="121"/>
      <c r="W65" s="121"/>
      <c r="X65" s="171"/>
      <c r="Y65" s="121"/>
      <c r="AA65" s="121"/>
      <c r="AB65" s="121"/>
      <c r="AC65" s="121"/>
      <c r="AD65" s="121"/>
      <c r="AE65" s="121"/>
      <c r="AF65" s="121"/>
      <c r="AG65" s="121"/>
      <c r="AH65" s="121"/>
      <c r="AI65" s="121"/>
      <c r="AJ65" s="121"/>
      <c r="AK65" s="121"/>
      <c r="AL65" s="121"/>
      <c r="AM65" s="121"/>
      <c r="AN65" s="185"/>
      <c r="AO65" s="121"/>
      <c r="AP65" s="121"/>
      <c r="AQ65" s="121"/>
      <c r="AR65" s="121"/>
      <c r="AS65" s="193"/>
      <c r="AT65" s="121"/>
      <c r="AU65" s="193"/>
      <c r="AV65" s="121"/>
      <c r="AW65" s="121"/>
      <c r="AZ65" s="121"/>
    </row>
    <row r="66" spans="1:52" ht="27.75" customHeight="1">
      <c r="A66" s="121"/>
      <c r="B66" s="121"/>
      <c r="C66" s="121"/>
      <c r="D66" s="121"/>
      <c r="E66" s="121"/>
      <c r="F66" s="121"/>
      <c r="G66" s="121"/>
      <c r="H66" s="121"/>
      <c r="I66" s="121"/>
      <c r="J66" s="162"/>
      <c r="K66" s="121"/>
      <c r="L66" s="121"/>
      <c r="M66" s="121"/>
      <c r="N66" s="121"/>
      <c r="O66" s="121"/>
      <c r="P66" s="121"/>
      <c r="Q66" s="121"/>
      <c r="R66" s="121"/>
      <c r="S66" s="121"/>
      <c r="T66" s="121"/>
      <c r="U66" s="121"/>
      <c r="V66" s="121"/>
      <c r="W66" s="121"/>
      <c r="X66" s="171"/>
      <c r="Y66" s="121"/>
      <c r="AA66" s="121"/>
      <c r="AB66" s="121"/>
      <c r="AC66" s="121"/>
      <c r="AD66" s="121"/>
      <c r="AE66" s="121"/>
      <c r="AF66" s="121"/>
      <c r="AG66" s="121"/>
      <c r="AH66" s="121"/>
      <c r="AI66" s="121"/>
      <c r="AJ66" s="121"/>
      <c r="AK66" s="121"/>
      <c r="AL66" s="121"/>
      <c r="AM66" s="121"/>
      <c r="AN66" s="185"/>
      <c r="AO66" s="121"/>
      <c r="AP66" s="121"/>
      <c r="AQ66" s="121"/>
      <c r="AR66" s="121"/>
      <c r="AS66" s="193"/>
      <c r="AT66" s="121"/>
      <c r="AU66" s="193"/>
      <c r="AV66" s="121"/>
      <c r="AW66" s="121"/>
      <c r="AZ66" s="121"/>
    </row>
    <row r="67" spans="1:52" ht="27.75" customHeight="1">
      <c r="A67" s="121"/>
      <c r="B67" s="121"/>
      <c r="C67" s="121"/>
      <c r="D67" s="121"/>
      <c r="E67" s="121"/>
      <c r="F67" s="121"/>
      <c r="G67" s="121"/>
      <c r="H67" s="121"/>
      <c r="I67" s="121"/>
      <c r="J67" s="162"/>
      <c r="K67" s="121"/>
      <c r="L67" s="121"/>
      <c r="M67" s="121"/>
      <c r="N67" s="121"/>
      <c r="O67" s="121"/>
      <c r="P67" s="121"/>
      <c r="Q67" s="121"/>
      <c r="R67" s="121"/>
      <c r="S67" s="121"/>
      <c r="T67" s="121"/>
      <c r="U67" s="121"/>
      <c r="V67" s="121"/>
      <c r="W67" s="121"/>
      <c r="X67" s="171"/>
      <c r="Y67" s="121"/>
      <c r="AA67" s="121"/>
      <c r="AB67" s="121"/>
      <c r="AC67" s="121"/>
      <c r="AD67" s="121"/>
      <c r="AE67" s="121"/>
      <c r="AF67" s="121"/>
      <c r="AG67" s="121"/>
      <c r="AH67" s="121"/>
      <c r="AI67" s="121"/>
      <c r="AJ67" s="121"/>
      <c r="AK67" s="121"/>
      <c r="AL67" s="121"/>
      <c r="AM67" s="121"/>
      <c r="AN67" s="185"/>
      <c r="AO67" s="121"/>
      <c r="AP67" s="121"/>
      <c r="AQ67" s="121"/>
      <c r="AR67" s="121"/>
      <c r="AS67" s="193"/>
      <c r="AT67" s="121"/>
      <c r="AU67" s="193"/>
      <c r="AV67" s="121"/>
      <c r="AW67" s="121"/>
      <c r="AZ67" s="121"/>
    </row>
    <row r="68" spans="1:52" ht="27.75" customHeight="1">
      <c r="A68" s="121"/>
      <c r="B68" s="121"/>
      <c r="C68" s="121"/>
      <c r="D68" s="121"/>
      <c r="E68" s="121"/>
      <c r="F68" s="121"/>
      <c r="G68" s="121"/>
      <c r="H68" s="121"/>
      <c r="I68" s="121"/>
      <c r="J68" s="162"/>
      <c r="K68" s="121"/>
      <c r="L68" s="121"/>
      <c r="M68" s="121"/>
      <c r="N68" s="121"/>
      <c r="O68" s="121"/>
      <c r="P68" s="121"/>
      <c r="Q68" s="121"/>
      <c r="R68" s="121"/>
      <c r="S68" s="121"/>
      <c r="T68" s="121"/>
      <c r="U68" s="121"/>
      <c r="V68" s="121"/>
      <c r="W68" s="121"/>
      <c r="X68" s="171"/>
      <c r="Y68" s="121"/>
      <c r="AA68" s="121"/>
      <c r="AB68" s="121"/>
      <c r="AC68" s="121"/>
      <c r="AD68" s="121"/>
      <c r="AE68" s="121"/>
      <c r="AF68" s="121"/>
      <c r="AG68" s="121"/>
      <c r="AH68" s="121"/>
      <c r="AI68" s="121"/>
      <c r="AJ68" s="121"/>
      <c r="AK68" s="121"/>
      <c r="AL68" s="121"/>
      <c r="AM68" s="121"/>
      <c r="AN68" s="185"/>
      <c r="AO68" s="121"/>
      <c r="AP68" s="121"/>
      <c r="AQ68" s="121"/>
      <c r="AR68" s="121"/>
      <c r="AS68" s="193"/>
      <c r="AT68" s="121"/>
      <c r="AU68" s="193"/>
      <c r="AV68" s="121"/>
      <c r="AW68" s="121"/>
      <c r="AZ68" s="121"/>
    </row>
    <row r="69" spans="1:52" ht="27.75" customHeight="1">
      <c r="A69" s="121"/>
      <c r="B69" s="121"/>
      <c r="C69" s="121"/>
      <c r="D69" s="121"/>
      <c r="E69" s="121"/>
      <c r="F69" s="121"/>
      <c r="G69" s="121"/>
      <c r="H69" s="121"/>
      <c r="I69" s="121"/>
      <c r="J69" s="162"/>
      <c r="K69" s="121"/>
      <c r="L69" s="121"/>
      <c r="M69" s="121"/>
      <c r="N69" s="121"/>
      <c r="O69" s="121"/>
      <c r="P69" s="121"/>
      <c r="Q69" s="121"/>
      <c r="R69" s="121"/>
      <c r="S69" s="121"/>
      <c r="T69" s="121"/>
      <c r="U69" s="121"/>
      <c r="V69" s="121"/>
      <c r="W69" s="121"/>
      <c r="X69" s="171"/>
      <c r="Y69" s="121"/>
      <c r="AA69" s="121"/>
      <c r="AB69" s="121"/>
      <c r="AC69" s="121"/>
      <c r="AD69" s="121"/>
      <c r="AE69" s="121"/>
      <c r="AF69" s="121"/>
      <c r="AG69" s="121"/>
      <c r="AH69" s="121"/>
      <c r="AI69" s="121"/>
      <c r="AJ69" s="121"/>
      <c r="AK69" s="121"/>
      <c r="AL69" s="121"/>
      <c r="AM69" s="121"/>
      <c r="AN69" s="185"/>
      <c r="AO69" s="121"/>
      <c r="AP69" s="121"/>
      <c r="AQ69" s="121"/>
      <c r="AR69" s="121"/>
      <c r="AS69" s="193"/>
      <c r="AT69" s="121"/>
      <c r="AU69" s="193"/>
      <c r="AV69" s="121"/>
      <c r="AW69" s="121"/>
      <c r="AZ69" s="121"/>
    </row>
    <row r="70" spans="1:52" ht="27.75" customHeight="1">
      <c r="A70" s="121"/>
      <c r="B70" s="121"/>
      <c r="C70" s="121"/>
      <c r="D70" s="121"/>
      <c r="E70" s="121"/>
      <c r="F70" s="121"/>
      <c r="G70" s="121"/>
      <c r="H70" s="121"/>
      <c r="I70" s="121"/>
      <c r="J70" s="162"/>
      <c r="K70" s="121"/>
      <c r="L70" s="121"/>
      <c r="M70" s="121"/>
      <c r="N70" s="121"/>
      <c r="O70" s="121"/>
      <c r="P70" s="121"/>
      <c r="Q70" s="121"/>
      <c r="R70" s="121"/>
      <c r="S70" s="121"/>
      <c r="T70" s="121"/>
      <c r="U70" s="121"/>
      <c r="V70" s="121"/>
      <c r="W70" s="121"/>
      <c r="X70" s="171"/>
      <c r="Y70" s="121"/>
      <c r="AA70" s="121"/>
      <c r="AB70" s="121"/>
      <c r="AC70" s="121"/>
      <c r="AD70" s="121"/>
      <c r="AE70" s="121"/>
      <c r="AF70" s="121"/>
      <c r="AG70" s="121"/>
      <c r="AH70" s="121"/>
      <c r="AI70" s="121"/>
      <c r="AJ70" s="121"/>
      <c r="AK70" s="121"/>
      <c r="AL70" s="121"/>
      <c r="AM70" s="121"/>
      <c r="AN70" s="185"/>
      <c r="AO70" s="121"/>
      <c r="AP70" s="121"/>
      <c r="AQ70" s="121"/>
      <c r="AR70" s="121"/>
      <c r="AS70" s="193"/>
      <c r="AT70" s="121"/>
      <c r="AU70" s="193"/>
      <c r="AV70" s="121"/>
      <c r="AW70" s="121"/>
      <c r="AZ70" s="121"/>
    </row>
    <row r="71" spans="1:52" ht="27.75" customHeight="1">
      <c r="A71" s="121"/>
      <c r="B71" s="121"/>
      <c r="C71" s="121"/>
      <c r="D71" s="121"/>
      <c r="E71" s="121"/>
      <c r="F71" s="121"/>
      <c r="G71" s="121"/>
      <c r="H71" s="121"/>
      <c r="I71" s="121"/>
      <c r="J71" s="162"/>
      <c r="K71" s="121"/>
      <c r="L71" s="121"/>
      <c r="M71" s="121"/>
      <c r="N71" s="121"/>
      <c r="O71" s="121"/>
      <c r="P71" s="121"/>
      <c r="Q71" s="121"/>
      <c r="R71" s="121"/>
      <c r="S71" s="121"/>
      <c r="T71" s="121"/>
      <c r="U71" s="121"/>
      <c r="V71" s="121"/>
      <c r="W71" s="121"/>
      <c r="X71" s="171"/>
      <c r="Y71" s="121"/>
      <c r="AA71" s="121"/>
      <c r="AB71" s="121"/>
      <c r="AC71" s="121"/>
      <c r="AD71" s="121"/>
      <c r="AE71" s="121"/>
      <c r="AF71" s="121"/>
      <c r="AG71" s="121"/>
      <c r="AH71" s="121"/>
      <c r="AI71" s="121"/>
      <c r="AJ71" s="121"/>
      <c r="AK71" s="121"/>
      <c r="AL71" s="121"/>
      <c r="AM71" s="121"/>
      <c r="AN71" s="185"/>
      <c r="AO71" s="121"/>
      <c r="AP71" s="121"/>
      <c r="AQ71" s="121"/>
      <c r="AR71" s="121"/>
      <c r="AS71" s="193"/>
      <c r="AT71" s="121"/>
      <c r="AU71" s="193"/>
      <c r="AV71" s="121"/>
      <c r="AW71" s="121"/>
      <c r="AZ71" s="121"/>
    </row>
    <row r="72" spans="1:52" ht="27.75" customHeight="1">
      <c r="A72" s="121"/>
      <c r="B72" s="121"/>
      <c r="C72" s="121"/>
      <c r="D72" s="121"/>
      <c r="E72" s="121"/>
      <c r="F72" s="121"/>
      <c r="G72" s="121"/>
      <c r="H72" s="121"/>
      <c r="I72" s="121"/>
      <c r="J72" s="162"/>
      <c r="K72" s="121"/>
      <c r="L72" s="121"/>
      <c r="M72" s="121"/>
      <c r="N72" s="121"/>
      <c r="O72" s="121"/>
      <c r="P72" s="121"/>
      <c r="Q72" s="121"/>
      <c r="R72" s="121"/>
      <c r="S72" s="121"/>
      <c r="T72" s="121"/>
      <c r="U72" s="121"/>
      <c r="V72" s="121"/>
      <c r="W72" s="121"/>
      <c r="X72" s="171"/>
      <c r="Y72" s="121"/>
      <c r="AA72" s="121"/>
      <c r="AB72" s="121"/>
      <c r="AC72" s="121"/>
      <c r="AD72" s="121"/>
      <c r="AE72" s="121"/>
      <c r="AF72" s="121"/>
      <c r="AG72" s="121"/>
      <c r="AH72" s="121"/>
      <c r="AI72" s="121"/>
      <c r="AJ72" s="121"/>
      <c r="AK72" s="121"/>
      <c r="AL72" s="121"/>
      <c r="AM72" s="121"/>
      <c r="AN72" s="185"/>
      <c r="AO72" s="121"/>
      <c r="AP72" s="121"/>
      <c r="AQ72" s="121"/>
      <c r="AR72" s="121"/>
      <c r="AS72" s="193"/>
      <c r="AT72" s="121"/>
      <c r="AU72" s="193"/>
      <c r="AV72" s="121"/>
      <c r="AW72" s="121"/>
      <c r="AZ72" s="121"/>
    </row>
    <row r="73" spans="1:52" ht="27.75" customHeight="1">
      <c r="A73" s="121"/>
      <c r="B73" s="121"/>
      <c r="C73" s="121"/>
      <c r="D73" s="121"/>
      <c r="E73" s="121"/>
      <c r="F73" s="121"/>
      <c r="G73" s="121"/>
      <c r="H73" s="121"/>
      <c r="I73" s="121"/>
      <c r="J73" s="162"/>
      <c r="K73" s="121"/>
      <c r="L73" s="121"/>
      <c r="M73" s="121"/>
      <c r="N73" s="121"/>
      <c r="O73" s="121"/>
      <c r="P73" s="121"/>
      <c r="Q73" s="121"/>
      <c r="R73" s="121"/>
      <c r="S73" s="121"/>
      <c r="T73" s="121"/>
      <c r="U73" s="121"/>
      <c r="V73" s="121"/>
      <c r="W73" s="121"/>
      <c r="X73" s="171"/>
      <c r="Y73" s="121"/>
      <c r="AA73" s="121"/>
      <c r="AB73" s="121"/>
      <c r="AC73" s="121"/>
      <c r="AD73" s="121"/>
      <c r="AE73" s="121"/>
      <c r="AF73" s="121"/>
      <c r="AG73" s="121"/>
      <c r="AH73" s="121"/>
      <c r="AI73" s="121"/>
      <c r="AJ73" s="121"/>
      <c r="AK73" s="121"/>
      <c r="AL73" s="121"/>
      <c r="AM73" s="121"/>
      <c r="AN73" s="185"/>
      <c r="AO73" s="121"/>
      <c r="AP73" s="121"/>
      <c r="AQ73" s="121"/>
      <c r="AR73" s="121"/>
      <c r="AS73" s="193"/>
      <c r="AT73" s="121"/>
      <c r="AU73" s="193"/>
      <c r="AV73" s="121"/>
      <c r="AW73" s="121"/>
      <c r="AZ73" s="121"/>
    </row>
    <row r="74" spans="1:52" ht="27.75" customHeight="1">
      <c r="A74" s="121"/>
      <c r="B74" s="121"/>
      <c r="C74" s="121"/>
      <c r="D74" s="121"/>
      <c r="E74" s="121"/>
      <c r="F74" s="121"/>
      <c r="G74" s="121"/>
      <c r="H74" s="121"/>
      <c r="I74" s="121"/>
      <c r="J74" s="162"/>
      <c r="K74" s="121"/>
      <c r="L74" s="121"/>
      <c r="M74" s="121"/>
      <c r="N74" s="121"/>
      <c r="O74" s="121"/>
      <c r="P74" s="121"/>
      <c r="Q74" s="121"/>
      <c r="R74" s="121"/>
      <c r="S74" s="121"/>
      <c r="T74" s="121"/>
      <c r="U74" s="121"/>
      <c r="V74" s="121"/>
      <c r="W74" s="121"/>
      <c r="X74" s="171"/>
      <c r="Y74" s="121"/>
      <c r="AA74" s="121"/>
      <c r="AB74" s="121"/>
      <c r="AC74" s="121"/>
      <c r="AD74" s="121"/>
      <c r="AE74" s="121"/>
      <c r="AF74" s="121"/>
      <c r="AG74" s="121"/>
      <c r="AH74" s="121"/>
      <c r="AI74" s="121"/>
      <c r="AJ74" s="121"/>
      <c r="AK74" s="121"/>
      <c r="AL74" s="121"/>
      <c r="AM74" s="121"/>
      <c r="AN74" s="185"/>
      <c r="AO74" s="121"/>
      <c r="AP74" s="121"/>
      <c r="AQ74" s="121"/>
      <c r="AR74" s="121"/>
      <c r="AS74" s="193"/>
      <c r="AT74" s="121"/>
      <c r="AU74" s="193"/>
      <c r="AV74" s="121"/>
      <c r="AW74" s="121"/>
      <c r="AZ74" s="121"/>
    </row>
    <row r="75" spans="1:52" ht="27.75" customHeight="1">
      <c r="A75" s="121"/>
      <c r="B75" s="121"/>
      <c r="C75" s="121"/>
      <c r="D75" s="121"/>
      <c r="E75" s="121"/>
      <c r="F75" s="121"/>
      <c r="G75" s="121"/>
      <c r="H75" s="121"/>
      <c r="I75" s="121"/>
      <c r="J75" s="162"/>
      <c r="K75" s="121"/>
      <c r="L75" s="121"/>
      <c r="M75" s="121"/>
      <c r="N75" s="121"/>
      <c r="O75" s="121"/>
      <c r="P75" s="121"/>
      <c r="Q75" s="121"/>
      <c r="R75" s="121"/>
      <c r="S75" s="121"/>
      <c r="T75" s="121"/>
      <c r="U75" s="121"/>
      <c r="V75" s="121"/>
      <c r="W75" s="121"/>
      <c r="X75" s="171"/>
      <c r="Y75" s="121"/>
      <c r="AA75" s="121"/>
      <c r="AB75" s="121"/>
      <c r="AC75" s="121"/>
      <c r="AD75" s="121"/>
      <c r="AE75" s="121"/>
      <c r="AF75" s="121"/>
      <c r="AG75" s="121"/>
      <c r="AH75" s="121"/>
      <c r="AI75" s="121"/>
      <c r="AJ75" s="121"/>
      <c r="AK75" s="121"/>
      <c r="AL75" s="121"/>
      <c r="AM75" s="121"/>
      <c r="AN75" s="185"/>
      <c r="AO75" s="121"/>
      <c r="AP75" s="121"/>
      <c r="AQ75" s="121"/>
      <c r="AR75" s="121"/>
      <c r="AS75" s="193"/>
      <c r="AT75" s="121"/>
      <c r="AU75" s="193"/>
      <c r="AV75" s="121"/>
      <c r="AW75" s="121"/>
      <c r="AZ75" s="121"/>
    </row>
  </sheetData>
  <autoFilter ref="A1:DR75" xr:uid="{00000000-0009-0000-0000-000002000000}"/>
  <phoneticPr fontId="5" type="noConversion"/>
  <dataValidations count="1">
    <dataValidation type="list" allowBlank="1" showInputMessage="1" showErrorMessage="1" sqref="N1:N3" xr:uid="{00000000-0002-0000-0200-000000000000}">
      <formula1>$N$2:$N$2</formula1>
    </dataValidation>
  </dataValidations>
  <pageMargins left="0.24" right="0.17" top="0.74803149606299202" bottom="0.74803149606299202" header="0.31496062992126" footer="0.31496062992126"/>
  <pageSetup paperSize="9"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48455"/>
  <sheetViews>
    <sheetView topLeftCell="A76" workbookViewId="0">
      <selection activeCell="G83" sqref="G83"/>
    </sheetView>
  </sheetViews>
  <sheetFormatPr defaultColWidth="9" defaultRowHeight="27" customHeight="1"/>
  <cols>
    <col min="1" max="1" width="5.21875" style="46" customWidth="1"/>
    <col min="2" max="2" width="8.21875" style="1" customWidth="1"/>
    <col min="3" max="3" width="11.44140625" style="1" customWidth="1"/>
    <col min="4" max="4" width="37.21875" style="1" customWidth="1"/>
    <col min="5" max="5" width="9" style="1"/>
    <col min="6" max="6" width="10.109375" style="1" customWidth="1"/>
    <col min="7" max="7" width="13.21875" style="94" customWidth="1"/>
    <col min="8" max="8" width="42.109375" style="95" customWidth="1"/>
  </cols>
  <sheetData>
    <row r="1" spans="1:8" ht="27" customHeight="1">
      <c r="A1" s="47" t="s">
        <v>2896</v>
      </c>
      <c r="B1" s="96" t="s">
        <v>39</v>
      </c>
      <c r="C1" s="97" t="s">
        <v>10</v>
      </c>
      <c r="D1" s="97" t="s">
        <v>11</v>
      </c>
      <c r="E1" s="97" t="s">
        <v>12</v>
      </c>
      <c r="F1" s="25" t="s">
        <v>1261</v>
      </c>
      <c r="G1" s="98" t="s">
        <v>18</v>
      </c>
      <c r="H1" s="31" t="s">
        <v>2897</v>
      </c>
    </row>
    <row r="2" spans="1:8" ht="27" customHeight="1">
      <c r="A2" s="99">
        <v>1</v>
      </c>
      <c r="B2" s="100" t="s">
        <v>93</v>
      </c>
      <c r="C2" s="101" t="s">
        <v>1669</v>
      </c>
      <c r="D2" s="100" t="s">
        <v>1671</v>
      </c>
      <c r="E2" s="100"/>
      <c r="F2" s="102" t="s">
        <v>315</v>
      </c>
      <c r="G2" s="102">
        <v>155403</v>
      </c>
      <c r="H2" s="102"/>
    </row>
    <row r="3" spans="1:8" ht="27" customHeight="1">
      <c r="A3" s="99">
        <v>2</v>
      </c>
      <c r="B3" s="102" t="s">
        <v>93</v>
      </c>
      <c r="C3" s="102" t="s">
        <v>969</v>
      </c>
      <c r="D3" s="102" t="s">
        <v>970</v>
      </c>
      <c r="E3" s="102" t="s">
        <v>126</v>
      </c>
      <c r="F3" s="102" t="s">
        <v>1277</v>
      </c>
      <c r="G3" s="102">
        <v>147323</v>
      </c>
      <c r="H3" s="102" t="s">
        <v>1758</v>
      </c>
    </row>
    <row r="4" spans="1:8" ht="27" customHeight="1">
      <c r="A4" s="99">
        <v>3</v>
      </c>
      <c r="B4" s="102" t="s">
        <v>93</v>
      </c>
      <c r="C4" s="103" t="s">
        <v>1881</v>
      </c>
      <c r="D4" s="102" t="s">
        <v>1883</v>
      </c>
      <c r="E4" s="102" t="s">
        <v>294</v>
      </c>
      <c r="F4" s="102" t="s">
        <v>315</v>
      </c>
      <c r="G4" s="102">
        <v>622000</v>
      </c>
      <c r="H4" s="102" t="s">
        <v>2898</v>
      </c>
    </row>
    <row r="5" spans="1:8" ht="27" customHeight="1">
      <c r="A5" s="99">
        <v>4</v>
      </c>
      <c r="B5" s="102" t="s">
        <v>93</v>
      </c>
      <c r="C5" s="102" t="s">
        <v>2007</v>
      </c>
      <c r="D5" s="102" t="s">
        <v>2009</v>
      </c>
      <c r="E5" s="102" t="s">
        <v>92</v>
      </c>
      <c r="F5" s="102" t="s">
        <v>1350</v>
      </c>
      <c r="G5" s="102">
        <v>154000</v>
      </c>
      <c r="H5" s="102" t="s">
        <v>2898</v>
      </c>
    </row>
    <row r="6" spans="1:8" ht="27" customHeight="1">
      <c r="A6" s="99">
        <v>5</v>
      </c>
      <c r="B6" s="102" t="s">
        <v>93</v>
      </c>
      <c r="C6" s="102" t="s">
        <v>969</v>
      </c>
      <c r="D6" s="102" t="s">
        <v>2487</v>
      </c>
      <c r="E6" s="102" t="s">
        <v>1093</v>
      </c>
      <c r="F6" s="102" t="s">
        <v>2488</v>
      </c>
      <c r="G6" s="102">
        <v>147323</v>
      </c>
      <c r="H6" s="102" t="s">
        <v>1758</v>
      </c>
    </row>
    <row r="7" spans="1:8" ht="27" customHeight="1">
      <c r="A7" s="99">
        <v>6</v>
      </c>
      <c r="B7" s="102" t="s">
        <v>93</v>
      </c>
      <c r="C7" s="102"/>
      <c r="D7" s="102" t="s">
        <v>2899</v>
      </c>
      <c r="E7" s="102"/>
      <c r="F7" s="102"/>
      <c r="G7" s="102"/>
      <c r="H7" s="102"/>
    </row>
    <row r="8" spans="1:8" ht="27" customHeight="1">
      <c r="A8" s="99">
        <v>7</v>
      </c>
      <c r="B8" s="100" t="s">
        <v>93</v>
      </c>
      <c r="C8" s="100" t="s">
        <v>1002</v>
      </c>
      <c r="D8" s="100" t="s">
        <v>2900</v>
      </c>
      <c r="E8" s="100"/>
      <c r="F8" s="100"/>
      <c r="G8" s="102"/>
      <c r="H8" s="102" t="s">
        <v>2898</v>
      </c>
    </row>
    <row r="9" spans="1:8" ht="27" customHeight="1">
      <c r="A9" s="99">
        <v>8</v>
      </c>
      <c r="B9" s="100" t="s">
        <v>93</v>
      </c>
      <c r="C9" s="100" t="s">
        <v>1123</v>
      </c>
      <c r="D9" s="100" t="s">
        <v>2901</v>
      </c>
      <c r="E9" s="100"/>
      <c r="F9" s="100"/>
      <c r="G9" s="102"/>
      <c r="H9" s="102" t="s">
        <v>2898</v>
      </c>
    </row>
    <row r="10" spans="1:8" ht="27" customHeight="1">
      <c r="A10" s="99">
        <v>9</v>
      </c>
      <c r="B10" s="104" t="s">
        <v>93</v>
      </c>
      <c r="C10" s="100" t="s">
        <v>1594</v>
      </c>
      <c r="D10" s="100" t="s">
        <v>1596</v>
      </c>
      <c r="E10" s="104"/>
      <c r="F10" s="102"/>
      <c r="G10" s="102"/>
      <c r="H10" s="102" t="s">
        <v>2898</v>
      </c>
    </row>
    <row r="11" spans="1:8" ht="27" customHeight="1">
      <c r="A11" s="105">
        <v>1</v>
      </c>
      <c r="B11" s="18" t="s">
        <v>108</v>
      </c>
      <c r="C11" s="18" t="s">
        <v>1546</v>
      </c>
      <c r="D11" s="24" t="s">
        <v>1548</v>
      </c>
      <c r="E11" s="25" t="s">
        <v>271</v>
      </c>
      <c r="F11" s="25" t="s">
        <v>315</v>
      </c>
      <c r="G11" s="25"/>
      <c r="H11" s="25"/>
    </row>
    <row r="12" spans="1:8" ht="27" customHeight="1">
      <c r="A12" s="105">
        <v>2</v>
      </c>
      <c r="B12" s="25" t="s">
        <v>108</v>
      </c>
      <c r="C12" s="25" t="s">
        <v>810</v>
      </c>
      <c r="D12" s="25" t="s">
        <v>811</v>
      </c>
      <c r="E12" s="25" t="s">
        <v>271</v>
      </c>
      <c r="F12" s="25" t="s">
        <v>1801</v>
      </c>
      <c r="G12" s="25">
        <v>9810000</v>
      </c>
      <c r="H12" s="25" t="s">
        <v>2898</v>
      </c>
    </row>
    <row r="13" spans="1:8" ht="27" customHeight="1">
      <c r="A13" s="105">
        <v>3</v>
      </c>
      <c r="B13" s="25" t="s">
        <v>108</v>
      </c>
      <c r="C13" s="40" t="s">
        <v>955</v>
      </c>
      <c r="D13" s="25" t="s">
        <v>956</v>
      </c>
      <c r="E13" s="25" t="s">
        <v>106</v>
      </c>
      <c r="F13" s="25" t="s">
        <v>1277</v>
      </c>
      <c r="G13" s="25">
        <v>670805</v>
      </c>
      <c r="H13" s="25" t="s">
        <v>1758</v>
      </c>
    </row>
    <row r="14" spans="1:8" ht="27" customHeight="1">
      <c r="A14" s="105">
        <v>4</v>
      </c>
      <c r="B14" s="25" t="s">
        <v>108</v>
      </c>
      <c r="C14" s="25" t="s">
        <v>1055</v>
      </c>
      <c r="D14" s="25" t="s">
        <v>1056</v>
      </c>
      <c r="E14" s="25" t="s">
        <v>126</v>
      </c>
      <c r="F14" s="25" t="s">
        <v>1277</v>
      </c>
      <c r="G14" s="25">
        <v>189000</v>
      </c>
      <c r="H14" s="25" t="s">
        <v>1758</v>
      </c>
    </row>
    <row r="15" spans="1:8" ht="27" customHeight="1">
      <c r="A15" s="105">
        <v>5</v>
      </c>
      <c r="B15" s="25" t="s">
        <v>108</v>
      </c>
      <c r="C15" s="25" t="s">
        <v>1160</v>
      </c>
      <c r="D15" s="25" t="s">
        <v>1161</v>
      </c>
      <c r="E15" s="25" t="s">
        <v>714</v>
      </c>
      <c r="F15" s="25" t="s">
        <v>196</v>
      </c>
      <c r="G15" s="106">
        <v>66480</v>
      </c>
      <c r="H15" s="25" t="s">
        <v>2902</v>
      </c>
    </row>
    <row r="16" spans="1:8" ht="27" customHeight="1">
      <c r="A16" s="105">
        <v>6</v>
      </c>
      <c r="B16" s="25" t="s">
        <v>108</v>
      </c>
      <c r="C16" s="25" t="s">
        <v>2028</v>
      </c>
      <c r="D16" s="25" t="s">
        <v>2030</v>
      </c>
      <c r="E16" s="25" t="s">
        <v>106</v>
      </c>
      <c r="F16" s="25" t="s">
        <v>315</v>
      </c>
      <c r="G16" s="25">
        <v>400000</v>
      </c>
      <c r="H16" s="25" t="s">
        <v>2903</v>
      </c>
    </row>
    <row r="17" spans="1:8" ht="27" customHeight="1">
      <c r="A17" s="105">
        <v>7</v>
      </c>
      <c r="B17" s="25" t="s">
        <v>108</v>
      </c>
      <c r="C17" s="43" t="s">
        <v>2075</v>
      </c>
      <c r="D17" s="25" t="s">
        <v>2077</v>
      </c>
      <c r="E17" s="25" t="s">
        <v>576</v>
      </c>
      <c r="F17" s="25" t="s">
        <v>315</v>
      </c>
      <c r="G17" s="25">
        <v>11626488</v>
      </c>
      <c r="H17" s="25" t="s">
        <v>2904</v>
      </c>
    </row>
    <row r="18" spans="1:8" ht="27" customHeight="1">
      <c r="A18" s="105">
        <v>8</v>
      </c>
      <c r="B18" s="25" t="s">
        <v>108</v>
      </c>
      <c r="C18" s="25" t="s">
        <v>2106</v>
      </c>
      <c r="D18" s="25" t="s">
        <v>2108</v>
      </c>
      <c r="E18" s="25" t="s">
        <v>249</v>
      </c>
      <c r="F18" s="25" t="s">
        <v>2104</v>
      </c>
      <c r="G18" s="25">
        <v>32718</v>
      </c>
      <c r="H18" s="25"/>
    </row>
    <row r="19" spans="1:8" ht="27" customHeight="1">
      <c r="A19" s="105">
        <v>9</v>
      </c>
      <c r="B19" s="25" t="s">
        <v>108</v>
      </c>
      <c r="C19" s="25" t="s">
        <v>2453</v>
      </c>
      <c r="D19" s="25" t="s">
        <v>2455</v>
      </c>
      <c r="E19" s="25" t="s">
        <v>106</v>
      </c>
      <c r="F19" s="25" t="s">
        <v>2104</v>
      </c>
      <c r="G19" s="25">
        <v>1360</v>
      </c>
      <c r="H19" s="25" t="s">
        <v>2905</v>
      </c>
    </row>
    <row r="20" spans="1:8" ht="27" customHeight="1">
      <c r="A20" s="105">
        <v>10</v>
      </c>
      <c r="B20" s="25" t="s">
        <v>108</v>
      </c>
      <c r="C20" s="25" t="s">
        <v>2490</v>
      </c>
      <c r="D20" s="25" t="s">
        <v>2492</v>
      </c>
      <c r="E20" s="25" t="s">
        <v>106</v>
      </c>
      <c r="F20" s="25" t="s">
        <v>2104</v>
      </c>
      <c r="G20" s="25">
        <v>39930</v>
      </c>
      <c r="H20" s="25" t="s">
        <v>2905</v>
      </c>
    </row>
    <row r="21" spans="1:8" ht="27" customHeight="1">
      <c r="A21" s="105">
        <v>11</v>
      </c>
      <c r="B21" s="107" t="s">
        <v>108</v>
      </c>
      <c r="C21" s="25" t="s">
        <v>2906</v>
      </c>
      <c r="D21" s="108" t="s">
        <v>2883</v>
      </c>
      <c r="E21" s="108" t="s">
        <v>83</v>
      </c>
      <c r="F21" s="108" t="s">
        <v>1277</v>
      </c>
      <c r="G21" s="108">
        <v>840000</v>
      </c>
      <c r="H21" s="107" t="s">
        <v>1515</v>
      </c>
    </row>
    <row r="22" spans="1:8" ht="27" customHeight="1">
      <c r="A22" s="105">
        <v>12</v>
      </c>
      <c r="B22" s="107" t="s">
        <v>108</v>
      </c>
      <c r="C22" s="25"/>
      <c r="D22" s="108" t="s">
        <v>2907</v>
      </c>
      <c r="E22" s="108"/>
      <c r="F22" s="108"/>
      <c r="G22" s="108"/>
      <c r="H22" s="107"/>
    </row>
    <row r="23" spans="1:8" ht="27" customHeight="1">
      <c r="A23" s="105">
        <v>13</v>
      </c>
      <c r="B23" s="24" t="s">
        <v>108</v>
      </c>
      <c r="C23" s="24" t="s">
        <v>2908</v>
      </c>
      <c r="D23" s="24" t="s">
        <v>2909</v>
      </c>
      <c r="E23" s="24"/>
      <c r="F23" s="24"/>
      <c r="G23" s="25"/>
      <c r="H23" s="31" t="s">
        <v>2898</v>
      </c>
    </row>
    <row r="24" spans="1:8" ht="27" customHeight="1">
      <c r="A24" s="105">
        <v>14</v>
      </c>
      <c r="B24" s="24" t="s">
        <v>108</v>
      </c>
      <c r="C24" s="24" t="s">
        <v>799</v>
      </c>
      <c r="D24" s="24" t="s">
        <v>2910</v>
      </c>
      <c r="E24" s="24"/>
      <c r="F24" s="24"/>
      <c r="G24" s="25"/>
      <c r="H24" s="31" t="s">
        <v>2898</v>
      </c>
    </row>
    <row r="25" spans="1:8" ht="27" customHeight="1">
      <c r="A25" s="105">
        <v>15</v>
      </c>
      <c r="B25" s="24" t="s">
        <v>108</v>
      </c>
      <c r="C25" s="24" t="s">
        <v>632</v>
      </c>
      <c r="D25" s="24" t="s">
        <v>633</v>
      </c>
      <c r="E25" s="24"/>
      <c r="F25" s="24"/>
      <c r="G25" s="25"/>
      <c r="H25" s="31" t="s">
        <v>2898</v>
      </c>
    </row>
    <row r="26" spans="1:8" ht="27" customHeight="1">
      <c r="A26" s="105">
        <v>16</v>
      </c>
      <c r="B26" s="24" t="s">
        <v>108</v>
      </c>
      <c r="C26" s="24" t="s">
        <v>2000</v>
      </c>
      <c r="D26" s="24" t="s">
        <v>2911</v>
      </c>
      <c r="E26" s="24"/>
      <c r="F26" s="24"/>
      <c r="G26" s="25"/>
      <c r="H26" s="31" t="s">
        <v>2898</v>
      </c>
    </row>
    <row r="27" spans="1:8" ht="27" customHeight="1">
      <c r="A27" s="105">
        <v>17</v>
      </c>
      <c r="B27" s="24" t="s">
        <v>108</v>
      </c>
      <c r="C27" s="24" t="s">
        <v>2131</v>
      </c>
      <c r="D27" s="24" t="s">
        <v>2912</v>
      </c>
      <c r="E27" s="24"/>
      <c r="F27" s="24"/>
      <c r="G27" s="25"/>
      <c r="H27" s="31" t="s">
        <v>2898</v>
      </c>
    </row>
    <row r="28" spans="1:8" ht="27" customHeight="1">
      <c r="A28" s="105">
        <v>18</v>
      </c>
      <c r="B28" s="62" t="s">
        <v>108</v>
      </c>
      <c r="C28" s="24" t="s">
        <v>899</v>
      </c>
      <c r="D28" s="24" t="s">
        <v>2913</v>
      </c>
      <c r="E28" s="62"/>
      <c r="F28" s="31"/>
      <c r="G28" s="25"/>
      <c r="H28" s="31" t="s">
        <v>2898</v>
      </c>
    </row>
    <row r="29" spans="1:8" ht="27" customHeight="1">
      <c r="A29" s="105">
        <v>19</v>
      </c>
      <c r="B29" s="62" t="s">
        <v>108</v>
      </c>
      <c r="C29" s="24" t="s">
        <v>1331</v>
      </c>
      <c r="D29" s="24" t="s">
        <v>1333</v>
      </c>
      <c r="E29" s="62"/>
      <c r="F29" s="31"/>
      <c r="G29" s="25"/>
      <c r="H29" s="31" t="s">
        <v>2898</v>
      </c>
    </row>
    <row r="30" spans="1:8" ht="27" customHeight="1">
      <c r="A30" s="105">
        <v>20</v>
      </c>
      <c r="B30" s="62" t="s">
        <v>108</v>
      </c>
      <c r="C30" s="24" t="s">
        <v>2032</v>
      </c>
      <c r="D30" s="24" t="s">
        <v>2914</v>
      </c>
      <c r="E30" s="62"/>
      <c r="F30" s="31"/>
      <c r="G30" s="25"/>
      <c r="H30" s="31" t="s">
        <v>2898</v>
      </c>
    </row>
    <row r="31" spans="1:8" ht="27" customHeight="1">
      <c r="A31" s="105">
        <v>21</v>
      </c>
      <c r="B31" s="31" t="s">
        <v>1287</v>
      </c>
      <c r="C31" s="18" t="s">
        <v>1629</v>
      </c>
      <c r="D31" s="24" t="s">
        <v>1631</v>
      </c>
      <c r="E31" s="25"/>
      <c r="F31" s="25" t="s">
        <v>315</v>
      </c>
      <c r="G31" s="25">
        <v>112000</v>
      </c>
      <c r="H31" s="25" t="s">
        <v>2898</v>
      </c>
    </row>
    <row r="32" spans="1:8" ht="27" customHeight="1">
      <c r="A32" s="105">
        <v>22</v>
      </c>
      <c r="B32" s="31" t="s">
        <v>1287</v>
      </c>
      <c r="C32" s="18" t="s">
        <v>1655</v>
      </c>
      <c r="D32" s="24" t="s">
        <v>1657</v>
      </c>
      <c r="E32" s="24" t="s">
        <v>576</v>
      </c>
      <c r="F32" s="7" t="s">
        <v>1637</v>
      </c>
      <c r="G32" s="25">
        <v>183640</v>
      </c>
      <c r="H32" s="25"/>
    </row>
    <row r="33" spans="1:8" ht="27" customHeight="1">
      <c r="A33" s="99">
        <v>1</v>
      </c>
      <c r="B33" s="102" t="s">
        <v>455</v>
      </c>
      <c r="C33" s="102" t="s">
        <v>452</v>
      </c>
      <c r="D33" s="102" t="s">
        <v>453</v>
      </c>
      <c r="E33" s="102" t="s">
        <v>261</v>
      </c>
      <c r="F33" s="102" t="s">
        <v>190</v>
      </c>
      <c r="G33" s="109">
        <v>15700000</v>
      </c>
      <c r="H33" s="102" t="s">
        <v>2898</v>
      </c>
    </row>
    <row r="34" spans="1:8" ht="27" customHeight="1">
      <c r="A34" s="99">
        <v>2</v>
      </c>
      <c r="B34" s="110" t="s">
        <v>455</v>
      </c>
      <c r="C34" s="102" t="s">
        <v>2906</v>
      </c>
      <c r="D34" s="111" t="s">
        <v>2892</v>
      </c>
      <c r="E34" s="112" t="s">
        <v>83</v>
      </c>
      <c r="F34" s="112" t="s">
        <v>1277</v>
      </c>
      <c r="G34" s="112">
        <v>60000</v>
      </c>
      <c r="H34" s="110"/>
    </row>
    <row r="35" spans="1:8" ht="27" customHeight="1">
      <c r="A35" s="99">
        <v>3</v>
      </c>
      <c r="B35" s="104" t="s">
        <v>455</v>
      </c>
      <c r="C35" s="100" t="s">
        <v>721</v>
      </c>
      <c r="D35" s="100" t="s">
        <v>722</v>
      </c>
      <c r="E35" s="104"/>
      <c r="F35" s="102"/>
      <c r="G35" s="102"/>
      <c r="H35" s="102" t="s">
        <v>2898</v>
      </c>
    </row>
    <row r="36" spans="1:8" ht="27" customHeight="1">
      <c r="A36" s="47">
        <v>1</v>
      </c>
      <c r="B36" s="31" t="s">
        <v>62</v>
      </c>
      <c r="C36" s="31" t="s">
        <v>646</v>
      </c>
      <c r="D36" s="31" t="s">
        <v>647</v>
      </c>
      <c r="E36" s="31" t="s">
        <v>60</v>
      </c>
      <c r="F36" s="31" t="s">
        <v>315</v>
      </c>
      <c r="G36" s="25">
        <v>336939</v>
      </c>
      <c r="H36" s="25"/>
    </row>
    <row r="37" spans="1:8" ht="27" customHeight="1">
      <c r="A37" s="47">
        <v>2</v>
      </c>
      <c r="B37" s="25" t="s">
        <v>62</v>
      </c>
      <c r="C37" s="25" t="s">
        <v>439</v>
      </c>
      <c r="D37" s="25" t="s">
        <v>440</v>
      </c>
      <c r="E37" s="25" t="s">
        <v>168</v>
      </c>
      <c r="F37" s="25" t="s">
        <v>1277</v>
      </c>
      <c r="G37" s="29">
        <v>25200</v>
      </c>
      <c r="H37" s="25" t="s">
        <v>2915</v>
      </c>
    </row>
    <row r="38" spans="1:8" ht="27" customHeight="1">
      <c r="A38" s="47">
        <v>3</v>
      </c>
      <c r="B38" s="25" t="s">
        <v>62</v>
      </c>
      <c r="C38" s="25" t="s">
        <v>446</v>
      </c>
      <c r="D38" s="25" t="s">
        <v>440</v>
      </c>
      <c r="E38" s="25" t="s">
        <v>168</v>
      </c>
      <c r="F38" s="25" t="s">
        <v>1277</v>
      </c>
      <c r="G38" s="29">
        <v>73200</v>
      </c>
      <c r="H38" s="25" t="s">
        <v>2915</v>
      </c>
    </row>
    <row r="39" spans="1:8" ht="27" customHeight="1">
      <c r="A39" s="47">
        <v>4</v>
      </c>
      <c r="B39" s="25" t="s">
        <v>62</v>
      </c>
      <c r="C39" s="25" t="s">
        <v>449</v>
      </c>
      <c r="D39" s="25" t="s">
        <v>440</v>
      </c>
      <c r="E39" s="25" t="s">
        <v>168</v>
      </c>
      <c r="F39" s="25" t="s">
        <v>1277</v>
      </c>
      <c r="G39" s="29">
        <v>325200</v>
      </c>
      <c r="H39" s="25" t="s">
        <v>2915</v>
      </c>
    </row>
    <row r="40" spans="1:8" ht="27" customHeight="1">
      <c r="A40" s="47">
        <v>5</v>
      </c>
      <c r="B40" s="25" t="s">
        <v>62</v>
      </c>
      <c r="C40" s="25" t="s">
        <v>690</v>
      </c>
      <c r="D40" s="25" t="s">
        <v>440</v>
      </c>
      <c r="E40" s="25" t="s">
        <v>168</v>
      </c>
      <c r="F40" s="25" t="s">
        <v>1277</v>
      </c>
      <c r="G40" s="25">
        <v>79200</v>
      </c>
      <c r="H40" s="25" t="s">
        <v>2915</v>
      </c>
    </row>
    <row r="41" spans="1:8" ht="27" customHeight="1">
      <c r="A41" s="47">
        <v>6</v>
      </c>
      <c r="B41" s="25" t="s">
        <v>62</v>
      </c>
      <c r="C41" s="25" t="s">
        <v>685</v>
      </c>
      <c r="D41" s="25" t="s">
        <v>440</v>
      </c>
      <c r="E41" s="25" t="s">
        <v>168</v>
      </c>
      <c r="F41" s="25" t="s">
        <v>1277</v>
      </c>
      <c r="G41" s="25">
        <v>79200</v>
      </c>
      <c r="H41" s="25" t="s">
        <v>2915</v>
      </c>
    </row>
    <row r="42" spans="1:8" ht="27" customHeight="1">
      <c r="A42" s="47">
        <v>7</v>
      </c>
      <c r="B42" s="25" t="s">
        <v>62</v>
      </c>
      <c r="C42" s="25" t="s">
        <v>837</v>
      </c>
      <c r="D42" s="25" t="s">
        <v>838</v>
      </c>
      <c r="E42" s="25" t="s">
        <v>249</v>
      </c>
      <c r="F42" s="25" t="s">
        <v>315</v>
      </c>
      <c r="G42" s="25">
        <v>65818</v>
      </c>
      <c r="H42" s="25" t="s">
        <v>213</v>
      </c>
    </row>
    <row r="43" spans="1:8" ht="27" customHeight="1">
      <c r="A43" s="47">
        <v>8</v>
      </c>
      <c r="B43" s="25" t="s">
        <v>62</v>
      </c>
      <c r="C43" s="113" t="s">
        <v>1077</v>
      </c>
      <c r="D43" s="25" t="s">
        <v>1078</v>
      </c>
      <c r="E43" s="25" t="s">
        <v>883</v>
      </c>
      <c r="F43" s="25" t="s">
        <v>315</v>
      </c>
      <c r="G43" s="106">
        <v>800000</v>
      </c>
      <c r="H43" s="25" t="s">
        <v>2916</v>
      </c>
    </row>
    <row r="44" spans="1:8" ht="27" customHeight="1">
      <c r="A44" s="47">
        <v>9</v>
      </c>
      <c r="B44" s="25" t="s">
        <v>62</v>
      </c>
      <c r="C44" s="113" t="s">
        <v>1081</v>
      </c>
      <c r="D44" s="25" t="s">
        <v>1078</v>
      </c>
      <c r="E44" s="25" t="s">
        <v>294</v>
      </c>
      <c r="F44" s="25" t="s">
        <v>315</v>
      </c>
      <c r="G44" s="106">
        <v>7203936</v>
      </c>
      <c r="H44" s="25" t="s">
        <v>2916</v>
      </c>
    </row>
    <row r="45" spans="1:8" ht="27" customHeight="1">
      <c r="A45" s="47">
        <v>10</v>
      </c>
      <c r="B45" s="25" t="s">
        <v>62</v>
      </c>
      <c r="C45" s="25" t="s">
        <v>2327</v>
      </c>
      <c r="D45" s="25" t="s">
        <v>2329</v>
      </c>
      <c r="E45" s="25" t="s">
        <v>249</v>
      </c>
      <c r="F45" s="25" t="s">
        <v>2117</v>
      </c>
      <c r="G45" s="25">
        <v>90000</v>
      </c>
      <c r="H45" s="25" t="s">
        <v>2917</v>
      </c>
    </row>
    <row r="46" spans="1:8" ht="27" customHeight="1">
      <c r="A46" s="47">
        <v>11</v>
      </c>
      <c r="B46" s="25" t="s">
        <v>62</v>
      </c>
      <c r="C46" s="25" t="s">
        <v>2331</v>
      </c>
      <c r="D46" s="25" t="s">
        <v>2333</v>
      </c>
      <c r="E46" s="25" t="s">
        <v>249</v>
      </c>
      <c r="F46" s="25" t="s">
        <v>2104</v>
      </c>
      <c r="G46" s="25">
        <v>99430</v>
      </c>
      <c r="H46" s="25" t="s">
        <v>2917</v>
      </c>
    </row>
    <row r="47" spans="1:8" ht="27" customHeight="1">
      <c r="A47" s="47">
        <v>12</v>
      </c>
      <c r="B47" s="25" t="s">
        <v>62</v>
      </c>
      <c r="C47" s="25" t="s">
        <v>2344</v>
      </c>
      <c r="D47" s="25" t="s">
        <v>2346</v>
      </c>
      <c r="E47" s="25" t="s">
        <v>60</v>
      </c>
      <c r="F47" s="25" t="s">
        <v>315</v>
      </c>
      <c r="G47" s="25">
        <v>3676510</v>
      </c>
      <c r="H47" s="25" t="s">
        <v>2918</v>
      </c>
    </row>
    <row r="48" spans="1:8" ht="27" customHeight="1">
      <c r="A48" s="47">
        <v>13</v>
      </c>
      <c r="B48" s="25" t="s">
        <v>62</v>
      </c>
      <c r="C48" s="25" t="s">
        <v>2605</v>
      </c>
      <c r="D48" s="25" t="s">
        <v>2607</v>
      </c>
      <c r="E48" s="25" t="s">
        <v>249</v>
      </c>
      <c r="F48" s="25" t="s">
        <v>315</v>
      </c>
      <c r="G48" s="25">
        <v>34645</v>
      </c>
      <c r="H48" s="25" t="s">
        <v>2919</v>
      </c>
    </row>
    <row r="49" spans="1:8" ht="27" customHeight="1">
      <c r="A49" s="47">
        <v>14</v>
      </c>
      <c r="B49" s="25" t="s">
        <v>62</v>
      </c>
      <c r="C49" s="25"/>
      <c r="D49" s="25" t="s">
        <v>2920</v>
      </c>
      <c r="E49" s="25"/>
      <c r="F49" s="25"/>
      <c r="G49" s="25"/>
      <c r="H49" s="25"/>
    </row>
    <row r="50" spans="1:8" ht="27" customHeight="1">
      <c r="A50" s="47">
        <v>15</v>
      </c>
      <c r="B50" s="24" t="s">
        <v>62</v>
      </c>
      <c r="C50" s="24" t="s">
        <v>876</v>
      </c>
      <c r="D50" s="24" t="s">
        <v>877</v>
      </c>
      <c r="E50" s="24"/>
      <c r="F50" s="24"/>
      <c r="G50" s="25"/>
      <c r="H50" s="31" t="s">
        <v>2898</v>
      </c>
    </row>
    <row r="51" spans="1:8" ht="27" customHeight="1">
      <c r="A51" s="47">
        <v>16</v>
      </c>
      <c r="B51" s="24" t="s">
        <v>62</v>
      </c>
      <c r="C51" s="24" t="s">
        <v>2921</v>
      </c>
      <c r="D51" s="24" t="s">
        <v>2922</v>
      </c>
      <c r="E51" s="24"/>
      <c r="F51" s="24"/>
      <c r="G51" s="25"/>
      <c r="H51" s="31" t="s">
        <v>2898</v>
      </c>
    </row>
    <row r="52" spans="1:8" ht="27" customHeight="1">
      <c r="A52" s="47">
        <v>17</v>
      </c>
      <c r="B52" s="62" t="s">
        <v>62</v>
      </c>
      <c r="C52" s="24" t="s">
        <v>391</v>
      </c>
      <c r="D52" s="24" t="s">
        <v>392</v>
      </c>
      <c r="E52" s="62"/>
      <c r="F52" s="31"/>
      <c r="G52" s="25"/>
      <c r="H52" s="31" t="s">
        <v>2898</v>
      </c>
    </row>
    <row r="53" spans="1:8" ht="27" customHeight="1">
      <c r="A53" s="99">
        <v>1</v>
      </c>
      <c r="B53" s="102" t="s">
        <v>1276</v>
      </c>
      <c r="C53" s="101" t="s">
        <v>1572</v>
      </c>
      <c r="D53" s="100" t="s">
        <v>1574</v>
      </c>
      <c r="E53" s="102" t="s">
        <v>1093</v>
      </c>
      <c r="F53" s="102" t="s">
        <v>315</v>
      </c>
      <c r="G53" s="102">
        <v>141372.20000000001</v>
      </c>
      <c r="H53" s="102"/>
    </row>
    <row r="54" spans="1:8" ht="27" customHeight="1">
      <c r="A54" s="99">
        <v>2</v>
      </c>
      <c r="B54" s="102" t="s">
        <v>286</v>
      </c>
      <c r="C54" s="102" t="s">
        <v>1908</v>
      </c>
      <c r="D54" s="103" t="s">
        <v>1910</v>
      </c>
      <c r="E54" s="102" t="s">
        <v>1093</v>
      </c>
      <c r="F54" s="102" t="s">
        <v>196</v>
      </c>
      <c r="G54" s="114">
        <v>2389528</v>
      </c>
      <c r="H54" s="102" t="s">
        <v>2923</v>
      </c>
    </row>
    <row r="55" spans="1:8" ht="27" customHeight="1">
      <c r="A55" s="99">
        <v>3</v>
      </c>
      <c r="B55" s="102" t="s">
        <v>286</v>
      </c>
      <c r="C55" s="102" t="s">
        <v>1913</v>
      </c>
      <c r="D55" s="103" t="s">
        <v>1915</v>
      </c>
      <c r="E55" s="102" t="s">
        <v>1093</v>
      </c>
      <c r="F55" s="102" t="s">
        <v>1277</v>
      </c>
      <c r="G55" s="114">
        <v>1190000</v>
      </c>
      <c r="H55" s="102" t="s">
        <v>2898</v>
      </c>
    </row>
    <row r="56" spans="1:8" ht="27" customHeight="1">
      <c r="A56" s="99">
        <v>4</v>
      </c>
      <c r="B56" s="102" t="s">
        <v>286</v>
      </c>
      <c r="C56" s="102" t="s">
        <v>1930</v>
      </c>
      <c r="D56" s="102" t="s">
        <v>1932</v>
      </c>
      <c r="E56" s="102" t="s">
        <v>1093</v>
      </c>
      <c r="F56" s="102" t="s">
        <v>1277</v>
      </c>
      <c r="G56" s="102">
        <v>200000</v>
      </c>
      <c r="H56" s="102" t="s">
        <v>2898</v>
      </c>
    </row>
    <row r="57" spans="1:8" ht="27" customHeight="1">
      <c r="A57" s="99">
        <v>5</v>
      </c>
      <c r="B57" s="102" t="s">
        <v>286</v>
      </c>
      <c r="C57" s="102" t="s">
        <v>2063</v>
      </c>
      <c r="D57" s="102" t="s">
        <v>2065</v>
      </c>
      <c r="E57" s="102" t="s">
        <v>1093</v>
      </c>
      <c r="F57" s="102" t="s">
        <v>315</v>
      </c>
      <c r="G57" s="102">
        <v>965188.88</v>
      </c>
      <c r="H57" s="102" t="s">
        <v>2924</v>
      </c>
    </row>
    <row r="58" spans="1:8" ht="27" customHeight="1">
      <c r="A58" s="99">
        <v>6</v>
      </c>
      <c r="B58" s="102" t="s">
        <v>286</v>
      </c>
      <c r="C58" s="102" t="s">
        <v>2081</v>
      </c>
      <c r="D58" s="102" t="s">
        <v>2083</v>
      </c>
      <c r="E58" s="102" t="s">
        <v>576</v>
      </c>
      <c r="F58" s="102" t="s">
        <v>315</v>
      </c>
      <c r="G58" s="102">
        <v>62805.8</v>
      </c>
      <c r="H58" s="102" t="s">
        <v>2925</v>
      </c>
    </row>
    <row r="59" spans="1:8" ht="27" customHeight="1">
      <c r="A59" s="99">
        <v>7</v>
      </c>
      <c r="B59" s="102" t="s">
        <v>286</v>
      </c>
      <c r="C59" s="102" t="s">
        <v>2089</v>
      </c>
      <c r="D59" s="102" t="s">
        <v>2091</v>
      </c>
      <c r="E59" s="102" t="s">
        <v>265</v>
      </c>
      <c r="F59" s="102" t="s">
        <v>1350</v>
      </c>
      <c r="G59" s="102">
        <v>20000</v>
      </c>
      <c r="H59" s="102" t="s">
        <v>2926</v>
      </c>
    </row>
    <row r="60" spans="1:8" ht="27" customHeight="1">
      <c r="A60" s="99">
        <v>9</v>
      </c>
      <c r="B60" s="102" t="s">
        <v>286</v>
      </c>
      <c r="C60" s="102" t="s">
        <v>2190</v>
      </c>
      <c r="D60" s="102" t="s">
        <v>2192</v>
      </c>
      <c r="E60" s="102" t="s">
        <v>576</v>
      </c>
      <c r="F60" s="102" t="s">
        <v>1277</v>
      </c>
      <c r="G60" s="102">
        <v>959000</v>
      </c>
      <c r="H60" s="102" t="s">
        <v>2927</v>
      </c>
    </row>
    <row r="61" spans="1:8" ht="27" customHeight="1">
      <c r="A61" s="99">
        <v>10</v>
      </c>
      <c r="B61" s="102" t="s">
        <v>286</v>
      </c>
      <c r="C61" s="102" t="s">
        <v>2202</v>
      </c>
      <c r="D61" s="102" t="s">
        <v>2204</v>
      </c>
      <c r="E61" s="102" t="s">
        <v>1093</v>
      </c>
      <c r="F61" s="102" t="s">
        <v>1277</v>
      </c>
      <c r="G61" s="102">
        <v>37200</v>
      </c>
      <c r="H61" s="102" t="s">
        <v>2928</v>
      </c>
    </row>
    <row r="62" spans="1:8" ht="27" customHeight="1">
      <c r="A62" s="99">
        <v>11</v>
      </c>
      <c r="B62" s="102" t="s">
        <v>286</v>
      </c>
      <c r="C62" s="102" t="s">
        <v>2278</v>
      </c>
      <c r="D62" s="102" t="s">
        <v>2280</v>
      </c>
      <c r="E62" s="102" t="s">
        <v>1093</v>
      </c>
      <c r="F62" s="102" t="s">
        <v>2104</v>
      </c>
      <c r="G62" s="102">
        <v>15480</v>
      </c>
      <c r="H62" s="102" t="s">
        <v>2929</v>
      </c>
    </row>
    <row r="63" spans="1:8" ht="27" customHeight="1">
      <c r="A63" s="99">
        <v>12</v>
      </c>
      <c r="B63" s="102" t="s">
        <v>286</v>
      </c>
      <c r="C63" s="102" t="s">
        <v>2335</v>
      </c>
      <c r="D63" s="102" t="s">
        <v>2337</v>
      </c>
      <c r="E63" s="102" t="s">
        <v>1093</v>
      </c>
      <c r="F63" s="102" t="s">
        <v>1277</v>
      </c>
      <c r="G63" s="102">
        <v>459123</v>
      </c>
      <c r="H63" s="102" t="s">
        <v>2926</v>
      </c>
    </row>
    <row r="64" spans="1:8" ht="27" customHeight="1">
      <c r="A64" s="99">
        <v>13</v>
      </c>
      <c r="B64" s="102" t="s">
        <v>286</v>
      </c>
      <c r="C64" s="102" t="s">
        <v>2278</v>
      </c>
      <c r="D64" s="102" t="s">
        <v>2280</v>
      </c>
      <c r="E64" s="102" t="s">
        <v>1093</v>
      </c>
      <c r="F64" s="102" t="s">
        <v>2104</v>
      </c>
      <c r="G64" s="102">
        <v>15480</v>
      </c>
      <c r="H64" s="102" t="s">
        <v>2929</v>
      </c>
    </row>
    <row r="65" spans="1:8" ht="27" customHeight="1">
      <c r="A65" s="99">
        <v>14</v>
      </c>
      <c r="B65" s="102" t="s">
        <v>286</v>
      </c>
      <c r="C65" s="102" t="s">
        <v>2906</v>
      </c>
      <c r="D65" s="102" t="s">
        <v>2439</v>
      </c>
      <c r="E65" s="102" t="s">
        <v>1093</v>
      </c>
      <c r="F65" s="102" t="s">
        <v>2104</v>
      </c>
      <c r="G65" s="102">
        <v>29822.54</v>
      </c>
      <c r="H65" s="102"/>
    </row>
    <row r="66" spans="1:8" ht="27" customHeight="1">
      <c r="A66" s="99">
        <v>15</v>
      </c>
      <c r="B66" s="102" t="s">
        <v>286</v>
      </c>
      <c r="C66" s="102" t="s">
        <v>2457</v>
      </c>
      <c r="D66" s="102" t="s">
        <v>2459</v>
      </c>
      <c r="E66" s="102" t="s">
        <v>106</v>
      </c>
      <c r="F66" s="102" t="s">
        <v>1277</v>
      </c>
      <c r="G66" s="102">
        <v>4088</v>
      </c>
      <c r="H66" s="102" t="s">
        <v>2930</v>
      </c>
    </row>
    <row r="67" spans="1:8" ht="27" customHeight="1">
      <c r="A67" s="99">
        <v>16</v>
      </c>
      <c r="B67" s="102" t="s">
        <v>286</v>
      </c>
      <c r="C67" s="102" t="s">
        <v>2469</v>
      </c>
      <c r="D67" s="102" t="s">
        <v>2471</v>
      </c>
      <c r="E67" s="102" t="s">
        <v>265</v>
      </c>
      <c r="F67" s="102" t="s">
        <v>1277</v>
      </c>
      <c r="G67" s="102">
        <v>36199</v>
      </c>
      <c r="H67" s="102" t="s">
        <v>2931</v>
      </c>
    </row>
    <row r="68" spans="1:8" ht="27" customHeight="1">
      <c r="A68" s="99">
        <v>17</v>
      </c>
      <c r="B68" s="102" t="s">
        <v>286</v>
      </c>
      <c r="C68" s="102" t="s">
        <v>2507</v>
      </c>
      <c r="D68" s="102" t="s">
        <v>2509</v>
      </c>
      <c r="E68" s="102" t="s">
        <v>265</v>
      </c>
      <c r="F68" s="102" t="s">
        <v>315</v>
      </c>
      <c r="G68" s="102">
        <v>2225468</v>
      </c>
      <c r="H68" s="102"/>
    </row>
    <row r="69" spans="1:8" ht="27" customHeight="1">
      <c r="A69" s="99">
        <v>18</v>
      </c>
      <c r="B69" s="102" t="s">
        <v>286</v>
      </c>
      <c r="C69" s="102" t="s">
        <v>2511</v>
      </c>
      <c r="D69" s="102" t="s">
        <v>2513</v>
      </c>
      <c r="E69" s="102" t="s">
        <v>83</v>
      </c>
      <c r="F69" s="102" t="s">
        <v>315</v>
      </c>
      <c r="G69" s="102">
        <v>10110</v>
      </c>
      <c r="H69" s="102" t="s">
        <v>2932</v>
      </c>
    </row>
    <row r="70" spans="1:8" ht="27" customHeight="1">
      <c r="A70" s="99">
        <v>19</v>
      </c>
      <c r="B70" s="102" t="s">
        <v>286</v>
      </c>
      <c r="C70" s="102" t="s">
        <v>2601</v>
      </c>
      <c r="D70" s="102" t="s">
        <v>2603</v>
      </c>
      <c r="E70" s="102" t="s">
        <v>83</v>
      </c>
      <c r="F70" s="102" t="s">
        <v>2104</v>
      </c>
      <c r="G70" s="102">
        <v>390628</v>
      </c>
      <c r="H70" s="102"/>
    </row>
    <row r="71" spans="1:8" ht="27" customHeight="1">
      <c r="A71" s="99">
        <v>20</v>
      </c>
      <c r="B71" s="110" t="s">
        <v>286</v>
      </c>
      <c r="C71" s="102" t="s">
        <v>2906</v>
      </c>
      <c r="D71" s="115" t="s">
        <v>2827</v>
      </c>
      <c r="E71" s="112" t="s">
        <v>576</v>
      </c>
      <c r="F71" s="115" t="s">
        <v>2828</v>
      </c>
      <c r="G71" s="112">
        <v>30480</v>
      </c>
      <c r="H71" s="110" t="s">
        <v>213</v>
      </c>
    </row>
    <row r="72" spans="1:8" ht="27" customHeight="1">
      <c r="A72" s="99">
        <v>21</v>
      </c>
      <c r="B72" s="110" t="s">
        <v>286</v>
      </c>
      <c r="C72" s="102" t="s">
        <v>2906</v>
      </c>
      <c r="D72" s="111" t="s">
        <v>2866</v>
      </c>
      <c r="E72" s="111" t="s">
        <v>265</v>
      </c>
      <c r="F72" s="111" t="s">
        <v>2117</v>
      </c>
      <c r="G72" s="112">
        <v>106190</v>
      </c>
      <c r="H72" s="110" t="s">
        <v>213</v>
      </c>
    </row>
    <row r="73" spans="1:8" ht="27" customHeight="1">
      <c r="A73" s="99">
        <v>22</v>
      </c>
      <c r="B73" s="100" t="s">
        <v>286</v>
      </c>
      <c r="C73" s="100" t="s">
        <v>2933</v>
      </c>
      <c r="D73" s="100" t="s">
        <v>2091</v>
      </c>
      <c r="E73" s="100"/>
      <c r="F73" s="100"/>
      <c r="G73" s="102"/>
      <c r="H73" s="102" t="s">
        <v>2898</v>
      </c>
    </row>
    <row r="74" spans="1:8" ht="27" customHeight="1">
      <c r="A74" s="99">
        <v>23</v>
      </c>
      <c r="B74" s="100" t="s">
        <v>286</v>
      </c>
      <c r="C74" s="100" t="s">
        <v>2516</v>
      </c>
      <c r="D74" s="116" t="s">
        <v>2934</v>
      </c>
      <c r="E74" s="100"/>
      <c r="F74" s="100"/>
      <c r="G74" s="102"/>
      <c r="H74" s="102" t="s">
        <v>2898</v>
      </c>
    </row>
    <row r="75" spans="1:8" ht="27" customHeight="1">
      <c r="A75" s="99">
        <v>24</v>
      </c>
      <c r="B75" s="102" t="s">
        <v>1497</v>
      </c>
      <c r="C75" s="101" t="s">
        <v>1687</v>
      </c>
      <c r="D75" s="100" t="s">
        <v>1689</v>
      </c>
      <c r="E75" s="102" t="s">
        <v>1093</v>
      </c>
      <c r="F75" s="102" t="s">
        <v>315</v>
      </c>
      <c r="G75" s="102">
        <v>1638574.25</v>
      </c>
      <c r="H75" s="102"/>
    </row>
    <row r="76" spans="1:8" ht="27" customHeight="1">
      <c r="A76" s="99">
        <v>25</v>
      </c>
      <c r="B76" s="102" t="s">
        <v>1497</v>
      </c>
      <c r="C76" s="117" t="s">
        <v>124</v>
      </c>
      <c r="D76" s="117" t="s">
        <v>125</v>
      </c>
      <c r="E76" s="118" t="s">
        <v>126</v>
      </c>
      <c r="F76" s="102" t="s">
        <v>315</v>
      </c>
      <c r="G76" s="109">
        <v>5656755.0499999998</v>
      </c>
      <c r="H76" s="102" t="s">
        <v>134</v>
      </c>
    </row>
    <row r="77" spans="1:8" ht="27" customHeight="1">
      <c r="A77" s="47">
        <v>1</v>
      </c>
      <c r="B77" s="25" t="s">
        <v>1258</v>
      </c>
      <c r="C77" s="25" t="s">
        <v>1925</v>
      </c>
      <c r="D77" s="25" t="s">
        <v>1927</v>
      </c>
      <c r="E77" s="25" t="s">
        <v>83</v>
      </c>
      <c r="F77" s="25" t="s">
        <v>315</v>
      </c>
      <c r="G77" s="25">
        <v>898711</v>
      </c>
      <c r="H77" s="25" t="s">
        <v>2935</v>
      </c>
    </row>
    <row r="78" spans="1:8" ht="27" customHeight="1">
      <c r="A78" s="47">
        <v>2</v>
      </c>
      <c r="B78" s="25" t="s">
        <v>1258</v>
      </c>
      <c r="C78" s="25" t="s">
        <v>1979</v>
      </c>
      <c r="D78" s="25" t="s">
        <v>1981</v>
      </c>
      <c r="E78" s="119" t="s">
        <v>249</v>
      </c>
      <c r="F78" s="25" t="s">
        <v>1277</v>
      </c>
      <c r="G78" s="25">
        <v>500000</v>
      </c>
      <c r="H78" s="25" t="s">
        <v>2898</v>
      </c>
    </row>
    <row r="79" spans="1:8" ht="27" customHeight="1">
      <c r="A79" s="47">
        <v>3</v>
      </c>
      <c r="B79" s="25" t="s">
        <v>1258</v>
      </c>
      <c r="C79" s="25" t="s">
        <v>2015</v>
      </c>
      <c r="D79" s="25" t="s">
        <v>2017</v>
      </c>
      <c r="E79" s="25" t="s">
        <v>224</v>
      </c>
      <c r="F79" s="25" t="s">
        <v>315</v>
      </c>
      <c r="G79" s="25">
        <v>1000000</v>
      </c>
      <c r="H79" s="25" t="s">
        <v>2898</v>
      </c>
    </row>
    <row r="80" spans="1:8" ht="27" customHeight="1">
      <c r="A80" s="47">
        <v>4</v>
      </c>
      <c r="B80" s="25" t="s">
        <v>1258</v>
      </c>
      <c r="C80" s="25" t="s">
        <v>2024</v>
      </c>
      <c r="D80" s="25" t="s">
        <v>2026</v>
      </c>
      <c r="E80" s="25" t="s">
        <v>106</v>
      </c>
      <c r="F80" s="25" t="s">
        <v>315</v>
      </c>
      <c r="G80" s="25">
        <v>637200</v>
      </c>
      <c r="H80" s="25" t="s">
        <v>2898</v>
      </c>
    </row>
    <row r="81" spans="1:8" ht="27" customHeight="1">
      <c r="A81" s="47">
        <v>5</v>
      </c>
      <c r="B81" s="25" t="s">
        <v>1258</v>
      </c>
      <c r="C81" s="25" t="s">
        <v>2038</v>
      </c>
      <c r="D81" s="25" t="s">
        <v>2040</v>
      </c>
      <c r="E81" s="25" t="s">
        <v>168</v>
      </c>
      <c r="F81" s="25" t="s">
        <v>315</v>
      </c>
      <c r="G81" s="25">
        <v>3456260</v>
      </c>
      <c r="H81" s="25" t="s">
        <v>2936</v>
      </c>
    </row>
    <row r="82" spans="1:8" ht="27" customHeight="1">
      <c r="A82" s="47">
        <v>6</v>
      </c>
      <c r="B82" s="25" t="s">
        <v>1258</v>
      </c>
      <c r="C82" s="25" t="s">
        <v>2137</v>
      </c>
      <c r="D82" s="25" t="s">
        <v>2139</v>
      </c>
      <c r="E82" s="25" t="s">
        <v>168</v>
      </c>
      <c r="F82" s="25" t="s">
        <v>1277</v>
      </c>
      <c r="G82" s="25">
        <v>1818306</v>
      </c>
      <c r="H82" s="25" t="s">
        <v>2937</v>
      </c>
    </row>
    <row r="83" spans="1:8" ht="27" customHeight="1">
      <c r="A83" s="47">
        <v>7</v>
      </c>
      <c r="B83" s="25" t="s">
        <v>1258</v>
      </c>
      <c r="C83" s="25" t="s">
        <v>2182</v>
      </c>
      <c r="D83" s="25" t="s">
        <v>2184</v>
      </c>
      <c r="E83" s="25" t="s">
        <v>156</v>
      </c>
      <c r="F83" s="25" t="s">
        <v>2117</v>
      </c>
      <c r="G83" s="25">
        <v>248000</v>
      </c>
      <c r="H83" s="25" t="s">
        <v>2938</v>
      </c>
    </row>
    <row r="84" spans="1:8" ht="27" customHeight="1">
      <c r="A84" s="47">
        <v>8</v>
      </c>
      <c r="B84" s="25" t="s">
        <v>1258</v>
      </c>
      <c r="C84" s="25" t="s">
        <v>2211</v>
      </c>
      <c r="D84" s="25" t="s">
        <v>2213</v>
      </c>
      <c r="E84" s="25" t="s">
        <v>83</v>
      </c>
      <c r="F84" s="25" t="s">
        <v>1277</v>
      </c>
      <c r="G84" s="25">
        <v>99680</v>
      </c>
      <c r="H84" s="25" t="s">
        <v>2929</v>
      </c>
    </row>
    <row r="85" spans="1:8" ht="27" customHeight="1">
      <c r="A85" s="47">
        <v>9</v>
      </c>
      <c r="B85" s="25" t="s">
        <v>1258</v>
      </c>
      <c r="C85" s="25" t="s">
        <v>2258</v>
      </c>
      <c r="D85" s="25" t="s">
        <v>2260</v>
      </c>
      <c r="E85" s="25" t="s">
        <v>168</v>
      </c>
      <c r="F85" s="25" t="s">
        <v>2117</v>
      </c>
      <c r="G85" s="25">
        <v>1363057.68</v>
      </c>
      <c r="H85" s="25" t="s">
        <v>2939</v>
      </c>
    </row>
    <row r="86" spans="1:8" ht="27" customHeight="1">
      <c r="A86" s="47">
        <v>10</v>
      </c>
      <c r="B86" s="25" t="s">
        <v>1258</v>
      </c>
      <c r="C86" s="25" t="s">
        <v>2137</v>
      </c>
      <c r="D86" s="25" t="s">
        <v>2364</v>
      </c>
      <c r="E86" s="25" t="s">
        <v>168</v>
      </c>
      <c r="F86" s="25" t="s">
        <v>1277</v>
      </c>
      <c r="G86" s="25">
        <v>1603000</v>
      </c>
      <c r="H86" s="25" t="s">
        <v>2937</v>
      </c>
    </row>
    <row r="87" spans="1:8" ht="27" customHeight="1">
      <c r="A87" s="47">
        <v>11</v>
      </c>
      <c r="B87" s="25" t="s">
        <v>1258</v>
      </c>
      <c r="C87" s="25" t="s">
        <v>2445</v>
      </c>
      <c r="D87" s="25" t="s">
        <v>2447</v>
      </c>
      <c r="E87" s="25" t="s">
        <v>83</v>
      </c>
      <c r="F87" s="25" t="s">
        <v>315</v>
      </c>
      <c r="G87" s="25">
        <v>33771</v>
      </c>
      <c r="H87" s="25" t="s">
        <v>2940</v>
      </c>
    </row>
    <row r="88" spans="1:8" ht="27" customHeight="1">
      <c r="A88" s="47">
        <v>12</v>
      </c>
      <c r="B88" s="25" t="s">
        <v>1258</v>
      </c>
      <c r="C88" s="25" t="s">
        <v>2478</v>
      </c>
      <c r="D88" s="25" t="s">
        <v>2480</v>
      </c>
      <c r="E88" s="25" t="s">
        <v>83</v>
      </c>
      <c r="F88" s="25" t="s">
        <v>2104</v>
      </c>
      <c r="G88" s="25">
        <v>148800</v>
      </c>
      <c r="H88" s="25" t="s">
        <v>2919</v>
      </c>
    </row>
    <row r="89" spans="1:8" ht="27" customHeight="1">
      <c r="A89" s="47">
        <v>13</v>
      </c>
      <c r="B89" s="25" t="s">
        <v>1258</v>
      </c>
      <c r="C89" s="25" t="s">
        <v>2503</v>
      </c>
      <c r="D89" s="25" t="s">
        <v>2505</v>
      </c>
      <c r="E89" s="25" t="s">
        <v>224</v>
      </c>
      <c r="F89" s="25" t="s">
        <v>1277</v>
      </c>
      <c r="G89" s="25">
        <v>520000</v>
      </c>
      <c r="H89" s="25" t="s">
        <v>2919</v>
      </c>
    </row>
    <row r="90" spans="1:8" ht="27" customHeight="1">
      <c r="A90" s="47">
        <v>14</v>
      </c>
      <c r="B90" s="25" t="s">
        <v>1258</v>
      </c>
      <c r="C90" s="25" t="s">
        <v>2520</v>
      </c>
      <c r="D90" s="25" t="s">
        <v>2522</v>
      </c>
      <c r="E90" s="25" t="s">
        <v>83</v>
      </c>
      <c r="F90" s="25" t="s">
        <v>2523</v>
      </c>
      <c r="G90" s="25">
        <v>440000</v>
      </c>
      <c r="H90" s="25" t="s">
        <v>2523</v>
      </c>
    </row>
    <row r="91" spans="1:8" ht="27" customHeight="1">
      <c r="A91" s="47">
        <v>15</v>
      </c>
      <c r="B91" s="107" t="s">
        <v>1258</v>
      </c>
      <c r="C91" s="25" t="s">
        <v>2906</v>
      </c>
      <c r="D91" s="120" t="s">
        <v>2819</v>
      </c>
      <c r="E91" s="120" t="s">
        <v>83</v>
      </c>
      <c r="F91" s="121"/>
      <c r="G91" s="121">
        <v>200000</v>
      </c>
      <c r="H91" s="107" t="s">
        <v>2941</v>
      </c>
    </row>
    <row r="92" spans="1:8" ht="27" customHeight="1">
      <c r="A92" s="47">
        <v>16</v>
      </c>
      <c r="B92" s="24" t="s">
        <v>1258</v>
      </c>
      <c r="C92" s="24" t="s">
        <v>1088</v>
      </c>
      <c r="D92" s="24" t="s">
        <v>2942</v>
      </c>
      <c r="E92" s="24"/>
      <c r="F92" s="24"/>
      <c r="G92" s="25"/>
      <c r="H92" s="31" t="s">
        <v>2898</v>
      </c>
    </row>
    <row r="93" spans="1:8" ht="27" customHeight="1">
      <c r="A93" s="47">
        <v>17</v>
      </c>
      <c r="B93" s="31" t="s">
        <v>1308</v>
      </c>
      <c r="C93" s="18" t="s">
        <v>1624</v>
      </c>
      <c r="D93" s="24" t="s">
        <v>1626</v>
      </c>
      <c r="E93" s="24" t="s">
        <v>83</v>
      </c>
      <c r="F93" s="31" t="s">
        <v>315</v>
      </c>
      <c r="G93" s="25">
        <v>2752.8</v>
      </c>
      <c r="H93" s="25"/>
    </row>
    <row r="94" spans="1:8" ht="27" customHeight="1">
      <c r="A94" s="99">
        <v>1</v>
      </c>
      <c r="B94" s="101" t="s">
        <v>77</v>
      </c>
      <c r="C94" s="101" t="s">
        <v>1358</v>
      </c>
      <c r="D94" s="100" t="s">
        <v>1360</v>
      </c>
      <c r="E94" s="102" t="s">
        <v>1356</v>
      </c>
      <c r="F94" s="102" t="s">
        <v>315</v>
      </c>
      <c r="G94" s="102">
        <v>58000</v>
      </c>
      <c r="H94" s="102"/>
    </row>
    <row r="95" spans="1:8" ht="27" customHeight="1">
      <c r="A95" s="99">
        <v>2</v>
      </c>
      <c r="B95" s="100" t="s">
        <v>77</v>
      </c>
      <c r="C95" s="101" t="s">
        <v>1691</v>
      </c>
      <c r="D95" s="100" t="s">
        <v>1693</v>
      </c>
      <c r="E95" s="102"/>
      <c r="F95" s="100" t="s">
        <v>1637</v>
      </c>
      <c r="G95" s="102">
        <v>10000000</v>
      </c>
      <c r="H95" s="102" t="s">
        <v>2943</v>
      </c>
    </row>
    <row r="96" spans="1:8" ht="27" customHeight="1">
      <c r="A96" s="99">
        <v>3</v>
      </c>
      <c r="B96" s="100" t="s">
        <v>77</v>
      </c>
      <c r="C96" s="101" t="s">
        <v>1740</v>
      </c>
      <c r="D96" s="100" t="s">
        <v>1742</v>
      </c>
      <c r="E96" s="100" t="s">
        <v>1356</v>
      </c>
      <c r="F96" s="102" t="s">
        <v>315</v>
      </c>
      <c r="G96" s="102">
        <v>198800</v>
      </c>
      <c r="H96" s="102"/>
    </row>
    <row r="97" spans="1:8" ht="27" customHeight="1">
      <c r="A97" s="99">
        <v>4</v>
      </c>
      <c r="B97" s="102" t="s">
        <v>77</v>
      </c>
      <c r="C97" s="102" t="s">
        <v>779</v>
      </c>
      <c r="D97" s="102" t="s">
        <v>780</v>
      </c>
      <c r="E97" s="102" t="s">
        <v>374</v>
      </c>
      <c r="F97" s="102" t="s">
        <v>315</v>
      </c>
      <c r="G97" s="102">
        <v>1020000</v>
      </c>
      <c r="H97" s="102" t="s">
        <v>2944</v>
      </c>
    </row>
    <row r="98" spans="1:8" ht="27" customHeight="1">
      <c r="A98" s="99">
        <v>5</v>
      </c>
      <c r="B98" s="102" t="s">
        <v>77</v>
      </c>
      <c r="C98" s="102" t="s">
        <v>1240</v>
      </c>
      <c r="D98" s="102" t="s">
        <v>1241</v>
      </c>
      <c r="E98" s="102" t="s">
        <v>261</v>
      </c>
      <c r="F98" s="102" t="s">
        <v>315</v>
      </c>
      <c r="G98" s="114">
        <v>9220000</v>
      </c>
      <c r="H98" s="102" t="s">
        <v>2898</v>
      </c>
    </row>
    <row r="99" spans="1:8" ht="27" customHeight="1">
      <c r="A99" s="99">
        <v>6</v>
      </c>
      <c r="B99" s="102" t="s">
        <v>77</v>
      </c>
      <c r="C99" s="102" t="s">
        <v>1947</v>
      </c>
      <c r="D99" s="102" t="s">
        <v>1949</v>
      </c>
      <c r="E99" s="102" t="s">
        <v>261</v>
      </c>
      <c r="F99" s="102" t="s">
        <v>1950</v>
      </c>
      <c r="G99" s="102">
        <v>4175100</v>
      </c>
      <c r="H99" s="102" t="s">
        <v>2898</v>
      </c>
    </row>
    <row r="100" spans="1:8" ht="27" customHeight="1">
      <c r="A100" s="99">
        <v>7</v>
      </c>
      <c r="B100" s="102" t="s">
        <v>77</v>
      </c>
      <c r="C100" s="102" t="s">
        <v>2144</v>
      </c>
      <c r="D100" s="102" t="s">
        <v>2146</v>
      </c>
      <c r="E100" s="102" t="s">
        <v>261</v>
      </c>
      <c r="F100" s="102" t="s">
        <v>1277</v>
      </c>
      <c r="G100" s="102">
        <v>1396412</v>
      </c>
      <c r="H100" s="102" t="s">
        <v>2945</v>
      </c>
    </row>
    <row r="101" spans="1:8" ht="27" customHeight="1">
      <c r="A101" s="99">
        <v>8</v>
      </c>
      <c r="B101" s="102" t="s">
        <v>77</v>
      </c>
      <c r="C101" s="102" t="s">
        <v>2339</v>
      </c>
      <c r="D101" s="102" t="s">
        <v>2341</v>
      </c>
      <c r="E101" s="102" t="s">
        <v>261</v>
      </c>
      <c r="F101" s="102" t="s">
        <v>2104</v>
      </c>
      <c r="G101" s="102">
        <v>2857100</v>
      </c>
      <c r="H101" s="102"/>
    </row>
    <row r="102" spans="1:8" ht="27" customHeight="1">
      <c r="A102" s="99">
        <v>9</v>
      </c>
      <c r="B102" s="102" t="s">
        <v>77</v>
      </c>
      <c r="C102" s="102" t="s">
        <v>2357</v>
      </c>
      <c r="D102" s="102" t="s">
        <v>2359</v>
      </c>
      <c r="E102" s="102" t="s">
        <v>261</v>
      </c>
      <c r="F102" s="102" t="s">
        <v>2104</v>
      </c>
      <c r="G102" s="102">
        <v>110000</v>
      </c>
      <c r="H102" s="102" t="s">
        <v>2946</v>
      </c>
    </row>
    <row r="103" spans="1:8" ht="27" customHeight="1">
      <c r="A103" s="99">
        <v>10</v>
      </c>
      <c r="B103" s="102" t="s">
        <v>77</v>
      </c>
      <c r="C103" s="102" t="s">
        <v>2401</v>
      </c>
      <c r="D103" s="102" t="s">
        <v>2403</v>
      </c>
      <c r="E103" s="102" t="s">
        <v>92</v>
      </c>
      <c r="F103" s="102" t="s">
        <v>315</v>
      </c>
      <c r="G103" s="102">
        <v>307800</v>
      </c>
      <c r="H103" s="102" t="s">
        <v>2945</v>
      </c>
    </row>
    <row r="104" spans="1:8" ht="27" customHeight="1">
      <c r="A104" s="99">
        <v>11</v>
      </c>
      <c r="B104" s="102" t="s">
        <v>77</v>
      </c>
      <c r="C104" s="102" t="s">
        <v>2409</v>
      </c>
      <c r="D104" s="102" t="s">
        <v>2411</v>
      </c>
      <c r="E104" s="102" t="s">
        <v>261</v>
      </c>
      <c r="F104" s="102" t="s">
        <v>1277</v>
      </c>
      <c r="G104" s="102">
        <v>6558412.5</v>
      </c>
      <c r="H104" s="102" t="s">
        <v>2947</v>
      </c>
    </row>
    <row r="105" spans="1:8" ht="27" customHeight="1">
      <c r="A105" s="99">
        <v>12</v>
      </c>
      <c r="B105" s="102" t="s">
        <v>77</v>
      </c>
      <c r="C105" s="102" t="s">
        <v>2417</v>
      </c>
      <c r="D105" s="102" t="s">
        <v>2419</v>
      </c>
      <c r="E105" s="102" t="s">
        <v>261</v>
      </c>
      <c r="F105" s="102" t="s">
        <v>1277</v>
      </c>
      <c r="G105" s="102">
        <v>2010616</v>
      </c>
      <c r="H105" s="102" t="s">
        <v>2947</v>
      </c>
    </row>
    <row r="106" spans="1:8" ht="27" customHeight="1">
      <c r="A106" s="99">
        <v>13</v>
      </c>
      <c r="B106" s="102" t="s">
        <v>77</v>
      </c>
      <c r="C106" s="102" t="s">
        <v>2421</v>
      </c>
      <c r="D106" s="102" t="s">
        <v>2423</v>
      </c>
      <c r="E106" s="102" t="s">
        <v>261</v>
      </c>
      <c r="F106" s="102" t="s">
        <v>1277</v>
      </c>
      <c r="G106" s="102">
        <v>342895</v>
      </c>
      <c r="H106" s="102" t="s">
        <v>2947</v>
      </c>
    </row>
    <row r="107" spans="1:8" ht="27" customHeight="1">
      <c r="A107" s="99">
        <v>14</v>
      </c>
      <c r="B107" s="102" t="s">
        <v>77</v>
      </c>
      <c r="C107" s="102" t="s">
        <v>2425</v>
      </c>
      <c r="D107" s="102" t="s">
        <v>2427</v>
      </c>
      <c r="E107" s="102" t="s">
        <v>261</v>
      </c>
      <c r="F107" s="102" t="s">
        <v>1277</v>
      </c>
      <c r="G107" s="102">
        <v>1044108</v>
      </c>
      <c r="H107" s="102" t="s">
        <v>2947</v>
      </c>
    </row>
    <row r="108" spans="1:8" ht="27" customHeight="1">
      <c r="A108" s="99">
        <v>15</v>
      </c>
      <c r="B108" s="102" t="s">
        <v>77</v>
      </c>
      <c r="C108" s="102" t="s">
        <v>2474</v>
      </c>
      <c r="D108" s="102" t="s">
        <v>2476</v>
      </c>
      <c r="E108" s="102" t="s">
        <v>374</v>
      </c>
      <c r="F108" s="102" t="s">
        <v>315</v>
      </c>
      <c r="G108" s="102">
        <v>1850838</v>
      </c>
      <c r="H108" s="102"/>
    </row>
    <row r="109" spans="1:8" ht="27" customHeight="1">
      <c r="A109" s="99">
        <v>16</v>
      </c>
      <c r="B109" s="102" t="s">
        <v>77</v>
      </c>
      <c r="C109" s="102" t="s">
        <v>2538</v>
      </c>
      <c r="D109" s="102" t="s">
        <v>2540</v>
      </c>
      <c r="E109" s="102" t="s">
        <v>374</v>
      </c>
      <c r="F109" s="102" t="s">
        <v>2117</v>
      </c>
      <c r="G109" s="102">
        <v>22900</v>
      </c>
      <c r="H109" s="102"/>
    </row>
    <row r="110" spans="1:8" ht="27" customHeight="1">
      <c r="A110" s="99">
        <v>17</v>
      </c>
      <c r="B110" s="110" t="s">
        <v>77</v>
      </c>
      <c r="C110" s="102" t="s">
        <v>2906</v>
      </c>
      <c r="D110" s="115" t="s">
        <v>2834</v>
      </c>
      <c r="E110" s="112" t="s">
        <v>374</v>
      </c>
      <c r="F110" s="112" t="s">
        <v>1265</v>
      </c>
      <c r="G110" s="112">
        <v>610200</v>
      </c>
      <c r="H110" s="110" t="s">
        <v>1265</v>
      </c>
    </row>
    <row r="111" spans="1:8" ht="27" customHeight="1">
      <c r="A111" s="99">
        <v>18</v>
      </c>
      <c r="B111" s="110" t="s">
        <v>77</v>
      </c>
      <c r="C111" s="102" t="s">
        <v>2906</v>
      </c>
      <c r="D111" s="111" t="s">
        <v>2875</v>
      </c>
      <c r="E111" s="111" t="s">
        <v>374</v>
      </c>
      <c r="F111" s="111"/>
      <c r="G111" s="112">
        <v>271200</v>
      </c>
      <c r="H111" s="110" t="s">
        <v>1265</v>
      </c>
    </row>
    <row r="112" spans="1:8" ht="27" customHeight="1">
      <c r="A112" s="99">
        <v>19</v>
      </c>
      <c r="B112" s="110" t="s">
        <v>77</v>
      </c>
      <c r="C112" s="102" t="s">
        <v>2906</v>
      </c>
      <c r="D112" s="111" t="s">
        <v>2886</v>
      </c>
      <c r="E112" s="111" t="s">
        <v>261</v>
      </c>
      <c r="F112" s="111" t="s">
        <v>2871</v>
      </c>
      <c r="G112" s="111">
        <v>286500</v>
      </c>
      <c r="H112" s="102" t="s">
        <v>2926</v>
      </c>
    </row>
    <row r="113" spans="1:8" ht="27" customHeight="1">
      <c r="A113" s="99">
        <v>20</v>
      </c>
      <c r="B113" s="110" t="s">
        <v>77</v>
      </c>
      <c r="C113" s="102" t="s">
        <v>2906</v>
      </c>
      <c r="D113" s="111" t="s">
        <v>2889</v>
      </c>
      <c r="E113" s="111" t="s">
        <v>261</v>
      </c>
      <c r="F113" s="111" t="s">
        <v>2871</v>
      </c>
      <c r="G113" s="111">
        <v>286400</v>
      </c>
      <c r="H113" s="102" t="s">
        <v>2926</v>
      </c>
    </row>
    <row r="114" spans="1:8" ht="27" customHeight="1">
      <c r="A114" s="99">
        <v>21</v>
      </c>
      <c r="B114" s="100" t="s">
        <v>77</v>
      </c>
      <c r="C114" s="100" t="s">
        <v>2948</v>
      </c>
      <c r="D114" s="100" t="s">
        <v>2949</v>
      </c>
      <c r="E114" s="100"/>
      <c r="F114" s="100"/>
      <c r="G114" s="102"/>
      <c r="H114" s="102" t="s">
        <v>2898</v>
      </c>
    </row>
    <row r="115" spans="1:8" ht="27" customHeight="1">
      <c r="A115" s="99">
        <v>22</v>
      </c>
      <c r="B115" s="100" t="s">
        <v>77</v>
      </c>
      <c r="C115" s="100" t="s">
        <v>938</v>
      </c>
      <c r="D115" s="100" t="s">
        <v>1723</v>
      </c>
      <c r="E115" s="100"/>
      <c r="F115" s="100"/>
      <c r="G115" s="102"/>
      <c r="H115" s="102" t="s">
        <v>2898</v>
      </c>
    </row>
    <row r="116" spans="1:8" ht="27" customHeight="1">
      <c r="A116" s="99">
        <v>23</v>
      </c>
      <c r="B116" s="100" t="s">
        <v>77</v>
      </c>
      <c r="C116" s="100" t="s">
        <v>788</v>
      </c>
      <c r="D116" s="100" t="s">
        <v>789</v>
      </c>
      <c r="E116" s="100"/>
      <c r="F116" s="100"/>
      <c r="G116" s="102"/>
      <c r="H116" s="102" t="s">
        <v>2898</v>
      </c>
    </row>
    <row r="117" spans="1:8" ht="27" customHeight="1">
      <c r="A117" s="99">
        <v>24</v>
      </c>
      <c r="B117" s="104" t="s">
        <v>77</v>
      </c>
      <c r="C117" s="100" t="s">
        <v>372</v>
      </c>
      <c r="D117" s="100" t="s">
        <v>373</v>
      </c>
      <c r="E117" s="104"/>
      <c r="F117" s="102"/>
      <c r="G117" s="102"/>
      <c r="H117" s="102" t="s">
        <v>2898</v>
      </c>
    </row>
    <row r="118" spans="1:8" ht="27" customHeight="1">
      <c r="A118" s="99">
        <v>25</v>
      </c>
      <c r="B118" s="104" t="s">
        <v>77</v>
      </c>
      <c r="C118" s="100" t="s">
        <v>1069</v>
      </c>
      <c r="D118" s="100" t="s">
        <v>1070</v>
      </c>
      <c r="E118" s="104"/>
      <c r="F118" s="102"/>
      <c r="G118" s="102"/>
      <c r="H118" s="102" t="s">
        <v>2898</v>
      </c>
    </row>
    <row r="119" spans="1:8" ht="27" customHeight="1">
      <c r="A119" s="99">
        <v>26</v>
      </c>
      <c r="B119" s="102" t="s">
        <v>2209</v>
      </c>
      <c r="C119" s="102" t="s">
        <v>2206</v>
      </c>
      <c r="D119" s="102" t="s">
        <v>2208</v>
      </c>
      <c r="E119" s="102" t="s">
        <v>261</v>
      </c>
      <c r="F119" s="102" t="s">
        <v>1277</v>
      </c>
      <c r="G119" s="102">
        <v>2399100</v>
      </c>
      <c r="H119" s="102" t="s">
        <v>2898</v>
      </c>
    </row>
    <row r="120" spans="1:8" ht="27" customHeight="1">
      <c r="A120" s="99">
        <v>27</v>
      </c>
      <c r="B120" s="102" t="s">
        <v>2209</v>
      </c>
      <c r="C120" s="102"/>
      <c r="D120" s="102" t="s">
        <v>2950</v>
      </c>
      <c r="E120" s="102"/>
      <c r="F120" s="102"/>
      <c r="G120" s="102"/>
      <c r="H120" s="102"/>
    </row>
    <row r="121" spans="1:8" ht="27" customHeight="1">
      <c r="A121" s="47">
        <v>1</v>
      </c>
      <c r="B121" s="25" t="s">
        <v>1843</v>
      </c>
      <c r="C121" s="25" t="s">
        <v>1989</v>
      </c>
      <c r="D121" s="25" t="s">
        <v>1991</v>
      </c>
      <c r="E121" s="25" t="s">
        <v>576</v>
      </c>
      <c r="F121" s="25" t="s">
        <v>1277</v>
      </c>
      <c r="G121" s="25">
        <v>1520004</v>
      </c>
      <c r="H121" s="25" t="s">
        <v>2951</v>
      </c>
    </row>
    <row r="122" spans="1:8" ht="27" customHeight="1">
      <c r="A122" s="47">
        <v>2</v>
      </c>
      <c r="B122" s="25" t="s">
        <v>1843</v>
      </c>
      <c r="C122" s="25" t="s">
        <v>2164</v>
      </c>
      <c r="D122" s="25" t="s">
        <v>2166</v>
      </c>
      <c r="E122" s="25" t="s">
        <v>139</v>
      </c>
      <c r="F122" s="25" t="s">
        <v>315</v>
      </c>
      <c r="G122" s="25">
        <v>64503880</v>
      </c>
      <c r="H122" s="25" t="s">
        <v>2952</v>
      </c>
    </row>
    <row r="123" spans="1:8" ht="27" customHeight="1">
      <c r="A123" s="47">
        <v>3</v>
      </c>
      <c r="B123" s="25" t="s">
        <v>1843</v>
      </c>
      <c r="C123" s="25" t="s">
        <v>2311</v>
      </c>
      <c r="D123" s="25" t="s">
        <v>2313</v>
      </c>
      <c r="E123" s="25" t="s">
        <v>92</v>
      </c>
      <c r="F123" s="25" t="s">
        <v>315</v>
      </c>
      <c r="G123" s="25">
        <v>120000</v>
      </c>
      <c r="H123" s="25" t="s">
        <v>2898</v>
      </c>
    </row>
    <row r="124" spans="1:8" ht="27" customHeight="1">
      <c r="A124" s="47">
        <v>4</v>
      </c>
      <c r="B124" s="25" t="s">
        <v>1843</v>
      </c>
      <c r="C124" s="25" t="s">
        <v>2348</v>
      </c>
      <c r="D124" s="25" t="s">
        <v>2350</v>
      </c>
      <c r="E124" s="25" t="s">
        <v>139</v>
      </c>
      <c r="F124" s="25" t="s">
        <v>2117</v>
      </c>
      <c r="G124" s="25">
        <v>1827840</v>
      </c>
      <c r="H124" s="25" t="s">
        <v>2945</v>
      </c>
    </row>
    <row r="125" spans="1:8" ht="27" customHeight="1">
      <c r="A125" s="47">
        <v>5</v>
      </c>
      <c r="B125" s="25" t="s">
        <v>1843</v>
      </c>
      <c r="C125" s="25" t="s">
        <v>2413</v>
      </c>
      <c r="D125" s="25" t="s">
        <v>2415</v>
      </c>
      <c r="E125" s="25" t="s">
        <v>261</v>
      </c>
      <c r="F125" s="25" t="s">
        <v>1277</v>
      </c>
      <c r="G125" s="25">
        <v>2450008</v>
      </c>
      <c r="H125" s="25"/>
    </row>
    <row r="126" spans="1:8" ht="27" customHeight="1">
      <c r="A126" s="47">
        <v>6</v>
      </c>
      <c r="B126" s="25" t="s">
        <v>1843</v>
      </c>
      <c r="C126" s="25" t="s">
        <v>2433</v>
      </c>
      <c r="D126" s="25" t="s">
        <v>2435</v>
      </c>
      <c r="E126" s="25" t="s">
        <v>261</v>
      </c>
      <c r="F126" s="25" t="s">
        <v>315</v>
      </c>
      <c r="G126" s="25">
        <v>619200</v>
      </c>
      <c r="H126" s="25" t="s">
        <v>2898</v>
      </c>
    </row>
    <row r="127" spans="1:8" ht="27" customHeight="1">
      <c r="A127" s="47">
        <v>7</v>
      </c>
      <c r="B127" s="25" t="s">
        <v>1843</v>
      </c>
      <c r="C127" s="25" t="s">
        <v>2482</v>
      </c>
      <c r="D127" s="25" t="s">
        <v>2484</v>
      </c>
      <c r="E127" s="25" t="s">
        <v>92</v>
      </c>
      <c r="F127" s="25" t="s">
        <v>2104</v>
      </c>
      <c r="G127" s="25">
        <v>149910</v>
      </c>
      <c r="H127" s="25" t="s">
        <v>2945</v>
      </c>
    </row>
    <row r="128" spans="1:8" ht="27" customHeight="1">
      <c r="A128" s="47">
        <v>8</v>
      </c>
      <c r="B128" s="25" t="s">
        <v>1843</v>
      </c>
      <c r="C128" s="25" t="s">
        <v>2530</v>
      </c>
      <c r="D128" s="25" t="s">
        <v>2532</v>
      </c>
      <c r="E128" s="25" t="s">
        <v>92</v>
      </c>
      <c r="F128" s="25" t="s">
        <v>315</v>
      </c>
      <c r="G128" s="25">
        <v>9847</v>
      </c>
      <c r="H128" s="25"/>
    </row>
    <row r="129" spans="1:8" ht="27" customHeight="1">
      <c r="A129" s="47">
        <v>9</v>
      </c>
      <c r="B129" s="25" t="s">
        <v>1843</v>
      </c>
      <c r="C129" s="25" t="s">
        <v>2534</v>
      </c>
      <c r="D129" s="25" t="s">
        <v>2536</v>
      </c>
      <c r="E129" s="25" t="s">
        <v>576</v>
      </c>
      <c r="F129" s="25" t="s">
        <v>2117</v>
      </c>
      <c r="G129" s="25">
        <v>50000</v>
      </c>
      <c r="H129" s="25"/>
    </row>
    <row r="130" spans="1:8" ht="27" customHeight="1">
      <c r="A130" s="47">
        <v>10</v>
      </c>
      <c r="B130" s="25" t="s">
        <v>1843</v>
      </c>
      <c r="C130" s="25" t="s">
        <v>2542</v>
      </c>
      <c r="D130" s="25" t="s">
        <v>2544</v>
      </c>
      <c r="E130" s="25" t="s">
        <v>92</v>
      </c>
      <c r="F130" s="25" t="s">
        <v>2104</v>
      </c>
      <c r="G130" s="25">
        <v>248982.75</v>
      </c>
      <c r="H130" s="25"/>
    </row>
    <row r="131" spans="1:8" ht="27" customHeight="1">
      <c r="A131" s="47">
        <v>11</v>
      </c>
      <c r="B131" s="107" t="s">
        <v>1843</v>
      </c>
      <c r="C131" s="25" t="s">
        <v>2906</v>
      </c>
      <c r="D131" s="120" t="s">
        <v>2853</v>
      </c>
      <c r="E131" s="121"/>
      <c r="F131" s="121"/>
      <c r="G131" s="121">
        <v>11100</v>
      </c>
      <c r="H131" s="107"/>
    </row>
    <row r="132" spans="1:8" ht="27" customHeight="1">
      <c r="A132" s="47">
        <v>12</v>
      </c>
      <c r="B132" s="107" t="s">
        <v>1843</v>
      </c>
      <c r="C132" s="25" t="s">
        <v>2906</v>
      </c>
      <c r="D132" s="108" t="s">
        <v>2879</v>
      </c>
      <c r="E132" s="108" t="s">
        <v>139</v>
      </c>
      <c r="F132" s="108" t="s">
        <v>2117</v>
      </c>
      <c r="G132" s="121">
        <v>726000</v>
      </c>
      <c r="H132" s="107"/>
    </row>
    <row r="133" spans="1:8" ht="27" customHeight="1">
      <c r="A133" s="47">
        <v>13</v>
      </c>
      <c r="B133" s="24" t="s">
        <v>1843</v>
      </c>
      <c r="C133" s="24" t="s">
        <v>2953</v>
      </c>
      <c r="D133" s="24" t="s">
        <v>2954</v>
      </c>
      <c r="E133" s="24"/>
      <c r="F133" s="24"/>
      <c r="G133" s="25"/>
      <c r="H133" s="31" t="s">
        <v>2898</v>
      </c>
    </row>
    <row r="134" spans="1:8" ht="27" customHeight="1">
      <c r="A134" s="99">
        <v>1</v>
      </c>
      <c r="B134" s="102" t="s">
        <v>114</v>
      </c>
      <c r="C134" s="102" t="s">
        <v>926</v>
      </c>
      <c r="D134" s="102" t="s">
        <v>927</v>
      </c>
      <c r="E134" s="102" t="s">
        <v>576</v>
      </c>
      <c r="F134" s="102" t="s">
        <v>315</v>
      </c>
      <c r="G134" s="102">
        <v>118579</v>
      </c>
      <c r="H134" s="102"/>
    </row>
    <row r="135" spans="1:8" ht="27" customHeight="1">
      <c r="A135" s="99">
        <v>2</v>
      </c>
      <c r="B135" s="102" t="s">
        <v>114</v>
      </c>
      <c r="C135" s="102" t="s">
        <v>693</v>
      </c>
      <c r="D135" s="102" t="s">
        <v>694</v>
      </c>
      <c r="E135" s="102" t="s">
        <v>75</v>
      </c>
      <c r="F135" s="102" t="s">
        <v>315</v>
      </c>
      <c r="G135" s="102">
        <v>215773</v>
      </c>
      <c r="H135" s="102"/>
    </row>
    <row r="136" spans="1:8" ht="27" customHeight="1">
      <c r="A136" s="99">
        <v>3</v>
      </c>
      <c r="B136" s="102" t="s">
        <v>114</v>
      </c>
      <c r="C136" s="102" t="s">
        <v>2085</v>
      </c>
      <c r="D136" s="102" t="s">
        <v>2087</v>
      </c>
      <c r="E136" s="102" t="s">
        <v>75</v>
      </c>
      <c r="F136" s="102" t="s">
        <v>196</v>
      </c>
      <c r="G136" s="102">
        <v>109350</v>
      </c>
      <c r="H136" s="102" t="s">
        <v>197</v>
      </c>
    </row>
    <row r="137" spans="1:8" ht="27" customHeight="1">
      <c r="A137" s="99">
        <v>4</v>
      </c>
      <c r="B137" s="102" t="s">
        <v>114</v>
      </c>
      <c r="C137" s="102" t="s">
        <v>2231</v>
      </c>
      <c r="D137" s="102" t="s">
        <v>2233</v>
      </c>
      <c r="E137" s="102" t="s">
        <v>75</v>
      </c>
      <c r="F137" s="102" t="s">
        <v>315</v>
      </c>
      <c r="G137" s="102">
        <v>23510</v>
      </c>
      <c r="H137" s="102" t="s">
        <v>2929</v>
      </c>
    </row>
    <row r="138" spans="1:8" ht="27" customHeight="1">
      <c r="A138" s="99">
        <v>5</v>
      </c>
      <c r="B138" s="102" t="s">
        <v>114</v>
      </c>
      <c r="C138" s="102" t="s">
        <v>2283</v>
      </c>
      <c r="D138" s="102" t="s">
        <v>2285</v>
      </c>
      <c r="E138" s="102" t="s">
        <v>75</v>
      </c>
      <c r="F138" s="102" t="s">
        <v>315</v>
      </c>
      <c r="G138" s="102">
        <v>1580000</v>
      </c>
      <c r="H138" s="102" t="s">
        <v>2955</v>
      </c>
    </row>
    <row r="139" spans="1:8" ht="27" customHeight="1">
      <c r="A139" s="99">
        <v>6</v>
      </c>
      <c r="B139" s="102" t="s">
        <v>114</v>
      </c>
      <c r="C139" s="102" t="s">
        <v>2461</v>
      </c>
      <c r="D139" s="102" t="s">
        <v>2463</v>
      </c>
      <c r="E139" s="102" t="s">
        <v>156</v>
      </c>
      <c r="F139" s="102" t="s">
        <v>315</v>
      </c>
      <c r="G139" s="102">
        <v>137698.07999999999</v>
      </c>
      <c r="H139" s="102" t="s">
        <v>2905</v>
      </c>
    </row>
    <row r="140" spans="1:8" ht="27" customHeight="1">
      <c r="A140" s="99">
        <v>7</v>
      </c>
      <c r="B140" s="122" t="s">
        <v>114</v>
      </c>
      <c r="C140" s="102" t="s">
        <v>2906</v>
      </c>
      <c r="D140" s="115" t="s">
        <v>2784</v>
      </c>
      <c r="E140" s="115" t="s">
        <v>156</v>
      </c>
      <c r="F140" s="112" t="s">
        <v>2715</v>
      </c>
      <c r="G140" s="115">
        <v>900000</v>
      </c>
      <c r="H140" s="110" t="s">
        <v>2941</v>
      </c>
    </row>
    <row r="141" spans="1:8" ht="27" customHeight="1">
      <c r="A141" s="99">
        <v>8</v>
      </c>
      <c r="B141" s="110" t="s">
        <v>114</v>
      </c>
      <c r="C141" s="102" t="s">
        <v>2906</v>
      </c>
      <c r="D141" s="115" t="s">
        <v>2845</v>
      </c>
      <c r="E141" s="112" t="s">
        <v>113</v>
      </c>
      <c r="F141" s="115" t="s">
        <v>2117</v>
      </c>
      <c r="G141" s="112">
        <v>80784</v>
      </c>
      <c r="H141" s="110" t="s">
        <v>213</v>
      </c>
    </row>
    <row r="142" spans="1:8" ht="27" customHeight="1">
      <c r="A142" s="99">
        <v>9</v>
      </c>
      <c r="B142" s="110" t="s">
        <v>114</v>
      </c>
      <c r="C142" s="102"/>
      <c r="D142" s="115" t="s">
        <v>2956</v>
      </c>
      <c r="E142" s="112"/>
      <c r="F142" s="115"/>
      <c r="G142" s="112"/>
      <c r="H142" s="110"/>
    </row>
    <row r="143" spans="1:8" ht="27" customHeight="1">
      <c r="A143" s="99">
        <v>10</v>
      </c>
      <c r="B143" s="100" t="s">
        <v>114</v>
      </c>
      <c r="C143" s="100" t="s">
        <v>929</v>
      </c>
      <c r="D143" s="100" t="s">
        <v>2957</v>
      </c>
      <c r="E143" s="100"/>
      <c r="F143" s="100"/>
      <c r="G143" s="102"/>
      <c r="H143" s="102" t="s">
        <v>2898</v>
      </c>
    </row>
    <row r="144" spans="1:8" ht="27" customHeight="1">
      <c r="A144" s="99">
        <v>11</v>
      </c>
      <c r="B144" s="104" t="s">
        <v>114</v>
      </c>
      <c r="C144" s="100" t="s">
        <v>2958</v>
      </c>
      <c r="D144" s="102" t="s">
        <v>2959</v>
      </c>
      <c r="E144" s="104"/>
      <c r="F144" s="102"/>
      <c r="G144" s="102"/>
      <c r="H144" s="102" t="s">
        <v>2898</v>
      </c>
    </row>
    <row r="145" spans="1:8" ht="27" customHeight="1">
      <c r="A145" s="99">
        <v>12</v>
      </c>
      <c r="B145" s="102" t="s">
        <v>1274</v>
      </c>
      <c r="C145" s="101" t="s">
        <v>1343</v>
      </c>
      <c r="D145" s="100" t="s">
        <v>1345</v>
      </c>
      <c r="E145" s="102" t="s">
        <v>113</v>
      </c>
      <c r="F145" s="100" t="s">
        <v>315</v>
      </c>
      <c r="G145" s="102">
        <v>545000</v>
      </c>
      <c r="H145" s="102"/>
    </row>
    <row r="146" spans="1:8" ht="27" customHeight="1">
      <c r="A146" s="99">
        <v>13</v>
      </c>
      <c r="B146" s="102" t="s">
        <v>1274</v>
      </c>
      <c r="C146" s="101" t="s">
        <v>1391</v>
      </c>
      <c r="D146" s="100" t="s">
        <v>1393</v>
      </c>
      <c r="E146" s="102" t="s">
        <v>1356</v>
      </c>
      <c r="F146" s="102" t="s">
        <v>315</v>
      </c>
      <c r="G146" s="102">
        <v>133800</v>
      </c>
      <c r="H146" s="102"/>
    </row>
    <row r="147" spans="1:8" ht="27" customHeight="1">
      <c r="A147" s="99">
        <v>14</v>
      </c>
      <c r="B147" s="102" t="s">
        <v>1274</v>
      </c>
      <c r="C147" s="101" t="s">
        <v>1395</v>
      </c>
      <c r="D147" s="100" t="s">
        <v>1397</v>
      </c>
      <c r="E147" s="102" t="s">
        <v>113</v>
      </c>
      <c r="F147" s="102" t="s">
        <v>315</v>
      </c>
      <c r="G147" s="102">
        <v>140493.6</v>
      </c>
      <c r="H147" s="102"/>
    </row>
    <row r="148" spans="1:8" ht="27" customHeight="1">
      <c r="A148" s="99">
        <v>15</v>
      </c>
      <c r="B148" s="102" t="s">
        <v>1274</v>
      </c>
      <c r="C148" s="101" t="s">
        <v>1512</v>
      </c>
      <c r="D148" s="100" t="s">
        <v>1514</v>
      </c>
      <c r="E148" s="102" t="s">
        <v>75</v>
      </c>
      <c r="F148" s="102" t="s">
        <v>196</v>
      </c>
      <c r="G148" s="102">
        <v>4896948</v>
      </c>
      <c r="H148" s="102" t="s">
        <v>1515</v>
      </c>
    </row>
    <row r="149" spans="1:8" ht="27" customHeight="1">
      <c r="A149" s="99">
        <v>16</v>
      </c>
      <c r="B149" s="102" t="s">
        <v>1274</v>
      </c>
      <c r="C149" s="101" t="s">
        <v>1612</v>
      </c>
      <c r="D149" s="100" t="s">
        <v>1614</v>
      </c>
      <c r="E149" s="100" t="s">
        <v>75</v>
      </c>
      <c r="F149" s="100" t="s">
        <v>196</v>
      </c>
      <c r="G149" s="102">
        <v>460000</v>
      </c>
      <c r="H149" s="102"/>
    </row>
    <row r="150" spans="1:8" ht="27" customHeight="1">
      <c r="A150" s="99">
        <v>17</v>
      </c>
      <c r="B150" s="102" t="s">
        <v>1274</v>
      </c>
      <c r="C150" s="101" t="s">
        <v>1616</v>
      </c>
      <c r="D150" s="100" t="s">
        <v>1618</v>
      </c>
      <c r="E150" s="100" t="s">
        <v>75</v>
      </c>
      <c r="F150" s="100" t="s">
        <v>196</v>
      </c>
      <c r="G150" s="102">
        <v>894976</v>
      </c>
      <c r="H150" s="102"/>
    </row>
    <row r="151" spans="1:8" ht="27" customHeight="1">
      <c r="A151" s="99">
        <v>18</v>
      </c>
      <c r="B151" s="102" t="s">
        <v>1274</v>
      </c>
      <c r="C151" s="123" t="s">
        <v>208</v>
      </c>
      <c r="D151" s="102" t="s">
        <v>209</v>
      </c>
      <c r="E151" s="102" t="s">
        <v>75</v>
      </c>
      <c r="F151" s="102" t="s">
        <v>315</v>
      </c>
      <c r="G151" s="109">
        <v>6800000</v>
      </c>
      <c r="H151" s="102" t="s">
        <v>2960</v>
      </c>
    </row>
    <row r="152" spans="1:8" ht="27" customHeight="1">
      <c r="A152" s="99">
        <v>19</v>
      </c>
      <c r="B152" s="102" t="s">
        <v>1274</v>
      </c>
      <c r="C152" s="102" t="s">
        <v>298</v>
      </c>
      <c r="D152" s="102" t="s">
        <v>299</v>
      </c>
      <c r="E152" s="102" t="s">
        <v>75</v>
      </c>
      <c r="F152" s="102" t="s">
        <v>1277</v>
      </c>
      <c r="G152" s="109">
        <v>6130597</v>
      </c>
      <c r="H152" s="102" t="s">
        <v>2961</v>
      </c>
    </row>
    <row r="153" spans="1:8" ht="27" customHeight="1">
      <c r="A153" s="99">
        <v>1</v>
      </c>
      <c r="B153" s="102" t="s">
        <v>1021</v>
      </c>
      <c r="C153" s="102" t="s">
        <v>1016</v>
      </c>
      <c r="D153" s="102" t="s">
        <v>1017</v>
      </c>
      <c r="E153" s="102" t="s">
        <v>1018</v>
      </c>
      <c r="F153" s="102" t="s">
        <v>315</v>
      </c>
      <c r="G153" s="102">
        <v>1698450</v>
      </c>
      <c r="H153" s="102" t="s">
        <v>2962</v>
      </c>
    </row>
    <row r="154" spans="1:8" ht="27" customHeight="1">
      <c r="A154" s="99">
        <v>2</v>
      </c>
      <c r="B154" s="102" t="s">
        <v>1021</v>
      </c>
      <c r="C154" s="102" t="s">
        <v>946</v>
      </c>
      <c r="D154" s="102" t="s">
        <v>947</v>
      </c>
      <c r="E154" s="102" t="s">
        <v>83</v>
      </c>
      <c r="F154" s="102" t="s">
        <v>315</v>
      </c>
      <c r="G154" s="102">
        <v>629800</v>
      </c>
      <c r="H154" s="102" t="s">
        <v>2963</v>
      </c>
    </row>
    <row r="155" spans="1:8" ht="27" customHeight="1">
      <c r="A155" s="99">
        <v>3</v>
      </c>
      <c r="B155" s="102" t="s">
        <v>1021</v>
      </c>
      <c r="C155" s="102" t="s">
        <v>1063</v>
      </c>
      <c r="D155" s="102" t="s">
        <v>1064</v>
      </c>
      <c r="E155" s="102" t="s">
        <v>83</v>
      </c>
      <c r="F155" s="102" t="s">
        <v>315</v>
      </c>
      <c r="G155" s="102">
        <v>2611304</v>
      </c>
      <c r="H155" s="102" t="s">
        <v>2964</v>
      </c>
    </row>
    <row r="156" spans="1:8" ht="27" customHeight="1">
      <c r="A156" s="99">
        <v>4</v>
      </c>
      <c r="B156" s="102" t="s">
        <v>1021</v>
      </c>
      <c r="C156" s="103" t="s">
        <v>1864</v>
      </c>
      <c r="D156" s="103" t="s">
        <v>1866</v>
      </c>
      <c r="E156" s="102"/>
      <c r="F156" s="102" t="s">
        <v>1277</v>
      </c>
      <c r="G156" s="102">
        <v>156750</v>
      </c>
      <c r="H156" s="102" t="s">
        <v>1758</v>
      </c>
    </row>
    <row r="157" spans="1:8" ht="27" customHeight="1">
      <c r="A157" s="99">
        <v>5</v>
      </c>
      <c r="B157" s="102" t="s">
        <v>1021</v>
      </c>
      <c r="C157" s="124" t="s">
        <v>1897</v>
      </c>
      <c r="D157" s="125" t="s">
        <v>1899</v>
      </c>
      <c r="E157" s="125" t="s">
        <v>139</v>
      </c>
      <c r="F157" s="102" t="s">
        <v>1350</v>
      </c>
      <c r="G157" s="114">
        <v>1480000</v>
      </c>
      <c r="H157" s="102" t="s">
        <v>2898</v>
      </c>
    </row>
    <row r="158" spans="1:8" ht="27" customHeight="1">
      <c r="A158" s="99">
        <v>6</v>
      </c>
      <c r="B158" s="102" t="s">
        <v>1021</v>
      </c>
      <c r="C158" s="102" t="s">
        <v>1921</v>
      </c>
      <c r="D158" s="102" t="s">
        <v>1922</v>
      </c>
      <c r="E158" s="102" t="s">
        <v>139</v>
      </c>
      <c r="F158" s="102" t="s">
        <v>315</v>
      </c>
      <c r="G158" s="114">
        <v>6462022</v>
      </c>
      <c r="H158" s="102" t="s">
        <v>2965</v>
      </c>
    </row>
    <row r="159" spans="1:8" ht="27" customHeight="1">
      <c r="A159" s="99">
        <v>7</v>
      </c>
      <c r="B159" s="102" t="s">
        <v>1021</v>
      </c>
      <c r="C159" s="102" t="s">
        <v>2384</v>
      </c>
      <c r="D159" s="102" t="s">
        <v>2386</v>
      </c>
      <c r="E159" s="102" t="s">
        <v>271</v>
      </c>
      <c r="F159" s="102" t="s">
        <v>2104</v>
      </c>
      <c r="G159" s="102">
        <v>1537940</v>
      </c>
      <c r="H159" s="102" t="s">
        <v>2945</v>
      </c>
    </row>
    <row r="160" spans="1:8" ht="27" customHeight="1">
      <c r="A160" s="99">
        <v>8</v>
      </c>
      <c r="B160" s="102" t="s">
        <v>1021</v>
      </c>
      <c r="C160" s="103" t="s">
        <v>1140</v>
      </c>
      <c r="D160" s="103" t="s">
        <v>1141</v>
      </c>
      <c r="E160" s="102" t="s">
        <v>1142</v>
      </c>
      <c r="F160" s="102" t="s">
        <v>315</v>
      </c>
      <c r="G160" s="114">
        <v>710000</v>
      </c>
      <c r="H160" s="102" t="s">
        <v>2963</v>
      </c>
    </row>
    <row r="161" spans="1:8" ht="27" customHeight="1">
      <c r="A161" s="99">
        <v>9</v>
      </c>
      <c r="B161" s="100" t="s">
        <v>1021</v>
      </c>
      <c r="C161" s="100" t="s">
        <v>1847</v>
      </c>
      <c r="D161" s="100" t="s">
        <v>1849</v>
      </c>
      <c r="E161" s="100"/>
      <c r="F161" s="100"/>
      <c r="G161" s="102"/>
      <c r="H161" s="102" t="s">
        <v>2898</v>
      </c>
    </row>
    <row r="162" spans="1:8" ht="27" customHeight="1">
      <c r="A162" s="99">
        <v>10</v>
      </c>
      <c r="B162" s="104" t="s">
        <v>1021</v>
      </c>
      <c r="C162" s="100" t="s">
        <v>1973</v>
      </c>
      <c r="D162" s="100" t="s">
        <v>1975</v>
      </c>
      <c r="E162" s="104"/>
      <c r="F162" s="102"/>
      <c r="G162" s="102"/>
      <c r="H162" s="102" t="s">
        <v>2898</v>
      </c>
    </row>
    <row r="163" spans="1:8" ht="27" customHeight="1">
      <c r="A163" s="99">
        <v>11</v>
      </c>
      <c r="B163" s="110" t="s">
        <v>2850</v>
      </c>
      <c r="C163" s="102" t="s">
        <v>2906</v>
      </c>
      <c r="D163" s="115" t="s">
        <v>2848</v>
      </c>
      <c r="E163" s="112"/>
      <c r="F163" s="112" t="s">
        <v>1277</v>
      </c>
      <c r="G163" s="112">
        <v>1197000</v>
      </c>
      <c r="H163" s="110" t="s">
        <v>2941</v>
      </c>
    </row>
    <row r="164" spans="1:8" ht="27" customHeight="1">
      <c r="A164" s="47">
        <v>1</v>
      </c>
      <c r="B164" s="25" t="s">
        <v>442</v>
      </c>
      <c r="C164" s="25" t="s">
        <v>725</v>
      </c>
      <c r="D164" s="25" t="s">
        <v>726</v>
      </c>
      <c r="E164" s="25" t="s">
        <v>106</v>
      </c>
      <c r="F164" s="25" t="s">
        <v>1277</v>
      </c>
      <c r="G164" s="25">
        <v>300000</v>
      </c>
      <c r="H164" s="25" t="s">
        <v>2898</v>
      </c>
    </row>
    <row r="165" spans="1:8" ht="27" customHeight="1">
      <c r="A165" s="47"/>
      <c r="B165" s="126" t="s">
        <v>2966</v>
      </c>
      <c r="C165" s="25" t="s">
        <v>2906</v>
      </c>
      <c r="D165" s="120" t="s">
        <v>2742</v>
      </c>
      <c r="E165" s="120" t="s">
        <v>83</v>
      </c>
      <c r="F165" s="126" t="s">
        <v>2715</v>
      </c>
      <c r="G165" s="127">
        <v>180000</v>
      </c>
      <c r="H165" s="126"/>
    </row>
    <row r="1048049" spans="2:8" ht="27" customHeight="1">
      <c r="B1048049" s="46"/>
      <c r="C1048049" s="46"/>
      <c r="D1048049" s="46"/>
      <c r="E1048049" s="46"/>
      <c r="F1048049" s="46"/>
      <c r="G1048049" s="46"/>
      <c r="H1048049" s="46"/>
    </row>
    <row r="1048050" spans="2:8" ht="27" customHeight="1">
      <c r="B1048050" s="46"/>
      <c r="C1048050" s="46"/>
      <c r="D1048050" s="46"/>
      <c r="E1048050" s="46"/>
      <c r="F1048050" s="46"/>
      <c r="G1048050" s="46"/>
      <c r="H1048050" s="46"/>
    </row>
    <row r="1048051" spans="2:8" ht="27" customHeight="1">
      <c r="B1048051" s="46"/>
      <c r="C1048051" s="46"/>
      <c r="D1048051" s="46"/>
      <c r="E1048051" s="46"/>
      <c r="F1048051" s="46"/>
      <c r="G1048051" s="46"/>
      <c r="H1048051" s="46"/>
    </row>
    <row r="1048052" spans="2:8" ht="27" customHeight="1">
      <c r="B1048052" s="46"/>
      <c r="C1048052" s="46"/>
      <c r="D1048052" s="46"/>
      <c r="E1048052" s="46"/>
      <c r="F1048052" s="46"/>
      <c r="G1048052" s="46"/>
      <c r="H1048052" s="46"/>
    </row>
    <row r="1048053" spans="2:8" ht="27" customHeight="1">
      <c r="B1048053" s="46"/>
      <c r="C1048053" s="46"/>
      <c r="D1048053" s="46"/>
      <c r="E1048053" s="46"/>
      <c r="F1048053" s="46"/>
      <c r="G1048053" s="46"/>
      <c r="H1048053" s="46"/>
    </row>
    <row r="1048054" spans="2:8" ht="27" customHeight="1">
      <c r="B1048054" s="46"/>
      <c r="C1048054" s="46"/>
      <c r="D1048054" s="46"/>
      <c r="E1048054" s="46"/>
      <c r="F1048054" s="46"/>
      <c r="G1048054" s="46"/>
      <c r="H1048054" s="46"/>
    </row>
    <row r="1048055" spans="2:8" ht="27" customHeight="1">
      <c r="B1048055" s="46"/>
      <c r="C1048055" s="46"/>
      <c r="D1048055" s="46"/>
      <c r="E1048055" s="46"/>
      <c r="F1048055" s="46"/>
      <c r="G1048055" s="46"/>
      <c r="H1048055" s="46"/>
    </row>
    <row r="1048056" spans="2:8" ht="27" customHeight="1">
      <c r="B1048056" s="46"/>
      <c r="C1048056" s="46"/>
      <c r="D1048056" s="46"/>
      <c r="E1048056" s="46"/>
      <c r="F1048056" s="46"/>
      <c r="G1048056" s="46"/>
      <c r="H1048056" s="46"/>
    </row>
    <row r="1048057" spans="2:8" ht="27" customHeight="1">
      <c r="B1048057" s="46"/>
      <c r="C1048057" s="46"/>
      <c r="D1048057" s="46"/>
      <c r="E1048057" s="46"/>
      <c r="F1048057" s="46"/>
      <c r="G1048057" s="46"/>
      <c r="H1048057" s="46"/>
    </row>
    <row r="1048058" spans="2:8" ht="27" customHeight="1">
      <c r="B1048058" s="46"/>
      <c r="C1048058" s="46"/>
      <c r="D1048058" s="46"/>
      <c r="E1048058" s="46"/>
      <c r="F1048058" s="46"/>
      <c r="G1048058" s="46"/>
      <c r="H1048058" s="46"/>
    </row>
    <row r="1048059" spans="2:8" ht="27" customHeight="1">
      <c r="B1048059" s="46"/>
      <c r="C1048059" s="46"/>
      <c r="D1048059" s="46"/>
      <c r="E1048059" s="46"/>
      <c r="F1048059" s="46"/>
      <c r="G1048059" s="46"/>
      <c r="H1048059" s="46"/>
    </row>
    <row r="1048060" spans="2:8" ht="27" customHeight="1">
      <c r="B1048060" s="46"/>
      <c r="C1048060" s="46"/>
      <c r="D1048060" s="46"/>
      <c r="E1048060" s="46"/>
      <c r="F1048060" s="46"/>
      <c r="G1048060" s="46"/>
      <c r="H1048060" s="46"/>
    </row>
    <row r="1048061" spans="2:8" ht="27" customHeight="1">
      <c r="B1048061" s="46"/>
      <c r="C1048061" s="46"/>
      <c r="D1048061" s="46"/>
      <c r="E1048061" s="46"/>
      <c r="F1048061" s="46"/>
      <c r="G1048061" s="46"/>
      <c r="H1048061" s="46"/>
    </row>
    <row r="1048062" spans="2:8" ht="27" customHeight="1">
      <c r="B1048062" s="46"/>
      <c r="C1048062" s="46"/>
      <c r="D1048062" s="46"/>
      <c r="E1048062" s="46"/>
      <c r="F1048062" s="46"/>
      <c r="G1048062" s="46"/>
      <c r="H1048062" s="46"/>
    </row>
    <row r="1048063" spans="2:8" ht="27" customHeight="1">
      <c r="B1048063" s="46"/>
      <c r="C1048063" s="46"/>
      <c r="D1048063" s="46"/>
      <c r="E1048063" s="46"/>
      <c r="F1048063" s="46"/>
      <c r="G1048063" s="46"/>
      <c r="H1048063" s="46"/>
    </row>
    <row r="1048064" spans="2:8" ht="27" customHeight="1">
      <c r="B1048064" s="46"/>
      <c r="C1048064" s="46"/>
      <c r="D1048064" s="46"/>
      <c r="E1048064" s="46"/>
      <c r="F1048064" s="46"/>
      <c r="G1048064" s="46"/>
      <c r="H1048064" s="46"/>
    </row>
    <row r="1048065" spans="2:8" ht="27" customHeight="1">
      <c r="B1048065" s="46"/>
      <c r="C1048065" s="46"/>
      <c r="D1048065" s="46"/>
      <c r="E1048065" s="46"/>
      <c r="F1048065" s="46"/>
      <c r="G1048065" s="46"/>
      <c r="H1048065" s="46"/>
    </row>
    <row r="1048066" spans="2:8" ht="27" customHeight="1">
      <c r="B1048066" s="46"/>
      <c r="C1048066" s="46"/>
      <c r="D1048066" s="46"/>
      <c r="E1048066" s="46"/>
      <c r="F1048066" s="46"/>
      <c r="G1048066" s="46"/>
      <c r="H1048066" s="46"/>
    </row>
    <row r="1048067" spans="2:8" ht="27" customHeight="1">
      <c r="B1048067" s="46"/>
      <c r="C1048067" s="46"/>
      <c r="D1048067" s="46"/>
      <c r="E1048067" s="46"/>
      <c r="F1048067" s="46"/>
      <c r="G1048067" s="46"/>
      <c r="H1048067" s="46"/>
    </row>
    <row r="1048068" spans="2:8" ht="27" customHeight="1">
      <c r="B1048068" s="46"/>
      <c r="C1048068" s="46"/>
      <c r="D1048068" s="46"/>
      <c r="E1048068" s="46"/>
      <c r="F1048068" s="46"/>
      <c r="G1048068" s="46"/>
      <c r="H1048068" s="46"/>
    </row>
    <row r="1048069" spans="2:8" ht="27" customHeight="1">
      <c r="B1048069" s="46"/>
      <c r="C1048069" s="46"/>
      <c r="D1048069" s="46"/>
      <c r="E1048069" s="46"/>
      <c r="F1048069" s="46"/>
      <c r="G1048069" s="46"/>
      <c r="H1048069" s="46"/>
    </row>
    <row r="1048070" spans="2:8" ht="27" customHeight="1">
      <c r="B1048070" s="46"/>
      <c r="C1048070" s="46"/>
      <c r="D1048070" s="46"/>
      <c r="E1048070" s="46"/>
      <c r="F1048070" s="46"/>
      <c r="G1048070" s="46"/>
      <c r="H1048070" s="46"/>
    </row>
    <row r="1048071" spans="2:8" ht="27" customHeight="1">
      <c r="B1048071" s="46"/>
      <c r="C1048071" s="46"/>
      <c r="D1048071" s="46"/>
      <c r="E1048071" s="46"/>
      <c r="F1048071" s="46"/>
      <c r="G1048071" s="46"/>
      <c r="H1048071" s="46"/>
    </row>
    <row r="1048072" spans="2:8" ht="27" customHeight="1">
      <c r="B1048072" s="46"/>
      <c r="C1048072" s="46"/>
      <c r="D1048072" s="46"/>
      <c r="E1048072" s="46"/>
      <c r="F1048072" s="46"/>
      <c r="G1048072" s="46"/>
      <c r="H1048072" s="46"/>
    </row>
    <row r="1048073" spans="2:8" ht="27" customHeight="1">
      <c r="B1048073" s="46"/>
      <c r="C1048073" s="46"/>
      <c r="D1048073" s="46"/>
      <c r="E1048073" s="46"/>
      <c r="F1048073" s="46"/>
      <c r="G1048073" s="46"/>
      <c r="H1048073" s="46"/>
    </row>
    <row r="1048074" spans="2:8" ht="27" customHeight="1">
      <c r="B1048074" s="46"/>
      <c r="C1048074" s="46"/>
      <c r="D1048074" s="46"/>
      <c r="E1048074" s="46"/>
      <c r="F1048074" s="46"/>
      <c r="G1048074" s="46"/>
      <c r="H1048074" s="46"/>
    </row>
    <row r="1048075" spans="2:8" ht="27" customHeight="1">
      <c r="B1048075" s="46"/>
      <c r="C1048075" s="46"/>
      <c r="D1048075" s="46"/>
      <c r="E1048075" s="46"/>
      <c r="F1048075" s="46"/>
      <c r="G1048075" s="46"/>
      <c r="H1048075" s="46"/>
    </row>
    <row r="1048076" spans="2:8" ht="27" customHeight="1">
      <c r="B1048076" s="46"/>
      <c r="C1048076" s="46"/>
      <c r="D1048076" s="46"/>
      <c r="E1048076" s="46"/>
      <c r="F1048076" s="46"/>
      <c r="G1048076" s="46"/>
      <c r="H1048076" s="46"/>
    </row>
    <row r="1048077" spans="2:8" ht="27" customHeight="1">
      <c r="B1048077" s="46"/>
      <c r="C1048077" s="46"/>
      <c r="D1048077" s="46"/>
      <c r="E1048077" s="46"/>
      <c r="F1048077" s="46"/>
      <c r="G1048077" s="46"/>
      <c r="H1048077" s="46"/>
    </row>
    <row r="1048078" spans="2:8" ht="27" customHeight="1">
      <c r="B1048078" s="46"/>
      <c r="C1048078" s="46"/>
      <c r="D1048078" s="46"/>
      <c r="E1048078" s="46"/>
      <c r="F1048078" s="46"/>
      <c r="G1048078" s="46"/>
      <c r="H1048078" s="46"/>
    </row>
    <row r="1048079" spans="2:8" ht="27" customHeight="1">
      <c r="B1048079" s="46"/>
      <c r="C1048079" s="46"/>
      <c r="D1048079" s="46"/>
      <c r="E1048079" s="46"/>
      <c r="F1048079" s="46"/>
      <c r="G1048079" s="46"/>
      <c r="H1048079" s="46"/>
    </row>
    <row r="1048080" spans="2:8" ht="27" customHeight="1">
      <c r="B1048080" s="46"/>
      <c r="C1048080" s="46"/>
      <c r="D1048080" s="46"/>
      <c r="E1048080" s="46"/>
      <c r="F1048080" s="46"/>
      <c r="G1048080" s="46"/>
      <c r="H1048080" s="46"/>
    </row>
    <row r="1048081" spans="2:8" ht="27" customHeight="1">
      <c r="B1048081" s="46"/>
      <c r="C1048081" s="46"/>
      <c r="D1048081" s="46"/>
      <c r="E1048081" s="46"/>
      <c r="F1048081" s="46"/>
      <c r="G1048081" s="46"/>
      <c r="H1048081" s="46"/>
    </row>
    <row r="1048082" spans="2:8" ht="27" customHeight="1">
      <c r="B1048082" s="46"/>
      <c r="C1048082" s="46"/>
      <c r="D1048082" s="46"/>
      <c r="E1048082" s="46"/>
      <c r="F1048082" s="46"/>
      <c r="G1048082" s="46"/>
      <c r="H1048082" s="46"/>
    </row>
    <row r="1048083" spans="2:8" ht="27" customHeight="1">
      <c r="B1048083" s="46"/>
      <c r="C1048083" s="46"/>
      <c r="D1048083" s="46"/>
      <c r="E1048083" s="46"/>
      <c r="F1048083" s="46"/>
      <c r="G1048083" s="46"/>
      <c r="H1048083" s="46"/>
    </row>
    <row r="1048084" spans="2:8" ht="27" customHeight="1">
      <c r="B1048084" s="46"/>
      <c r="C1048084" s="46"/>
      <c r="D1048084" s="46"/>
      <c r="E1048084" s="46"/>
      <c r="F1048084" s="46"/>
      <c r="G1048084" s="46"/>
      <c r="H1048084" s="46"/>
    </row>
    <row r="1048085" spans="2:8" ht="27" customHeight="1">
      <c r="B1048085" s="46"/>
      <c r="C1048085" s="46"/>
      <c r="D1048085" s="46"/>
      <c r="E1048085" s="46"/>
      <c r="F1048085" s="46"/>
      <c r="G1048085" s="46"/>
      <c r="H1048085" s="46"/>
    </row>
    <row r="1048086" spans="2:8" ht="27" customHeight="1">
      <c r="B1048086" s="46"/>
      <c r="C1048086" s="46"/>
      <c r="D1048086" s="46"/>
      <c r="E1048086" s="46"/>
      <c r="F1048086" s="46"/>
      <c r="G1048086" s="46"/>
      <c r="H1048086" s="46"/>
    </row>
    <row r="1048087" spans="2:8" ht="27" customHeight="1">
      <c r="B1048087" s="46"/>
      <c r="C1048087" s="46"/>
      <c r="D1048087" s="46"/>
      <c r="E1048087" s="46"/>
      <c r="F1048087" s="46"/>
      <c r="G1048087" s="46"/>
      <c r="H1048087" s="46"/>
    </row>
    <row r="1048088" spans="2:8" ht="27" customHeight="1">
      <c r="B1048088" s="46"/>
      <c r="C1048088" s="46"/>
      <c r="D1048088" s="46"/>
      <c r="E1048088" s="46"/>
      <c r="F1048088" s="46"/>
      <c r="G1048088" s="46"/>
      <c r="H1048088" s="46"/>
    </row>
    <row r="1048089" spans="2:8" ht="27" customHeight="1">
      <c r="B1048089" s="46"/>
      <c r="C1048089" s="46"/>
      <c r="D1048089" s="46"/>
      <c r="E1048089" s="46"/>
      <c r="F1048089" s="46"/>
      <c r="G1048089" s="46"/>
      <c r="H1048089" s="46"/>
    </row>
    <row r="1048090" spans="2:8" ht="27" customHeight="1">
      <c r="B1048090" s="46"/>
      <c r="C1048090" s="46"/>
      <c r="D1048090" s="46"/>
      <c r="E1048090" s="46"/>
      <c r="F1048090" s="46"/>
      <c r="G1048090" s="46"/>
      <c r="H1048090" s="46"/>
    </row>
    <row r="1048091" spans="2:8" ht="27" customHeight="1">
      <c r="B1048091" s="46"/>
      <c r="C1048091" s="46"/>
      <c r="D1048091" s="46"/>
      <c r="E1048091" s="46"/>
      <c r="F1048091" s="46"/>
      <c r="G1048091" s="46"/>
      <c r="H1048091" s="46"/>
    </row>
    <row r="1048092" spans="2:8" ht="27" customHeight="1">
      <c r="B1048092" s="46"/>
      <c r="C1048092" s="46"/>
      <c r="D1048092" s="46"/>
      <c r="E1048092" s="46"/>
      <c r="F1048092" s="46"/>
      <c r="G1048092" s="46"/>
      <c r="H1048092" s="46"/>
    </row>
    <row r="1048093" spans="2:8" ht="27" customHeight="1">
      <c r="B1048093" s="46"/>
      <c r="C1048093" s="46"/>
      <c r="D1048093" s="46"/>
      <c r="E1048093" s="46"/>
      <c r="F1048093" s="46"/>
      <c r="G1048093" s="46"/>
      <c r="H1048093" s="46"/>
    </row>
    <row r="1048094" spans="2:8" ht="27" customHeight="1">
      <c r="B1048094" s="46"/>
      <c r="C1048094" s="46"/>
      <c r="D1048094" s="46"/>
      <c r="E1048094" s="46"/>
      <c r="F1048094" s="46"/>
      <c r="G1048094" s="46"/>
      <c r="H1048094" s="46"/>
    </row>
    <row r="1048095" spans="2:8" ht="27" customHeight="1">
      <c r="B1048095" s="46"/>
      <c r="C1048095" s="46"/>
      <c r="D1048095" s="46"/>
      <c r="E1048095" s="46"/>
      <c r="F1048095" s="46"/>
      <c r="G1048095" s="46"/>
      <c r="H1048095" s="46"/>
    </row>
    <row r="1048096" spans="2:8" ht="27" customHeight="1">
      <c r="B1048096" s="46"/>
      <c r="C1048096" s="46"/>
      <c r="D1048096" s="46"/>
      <c r="E1048096" s="46"/>
      <c r="F1048096" s="46"/>
      <c r="G1048096" s="46"/>
      <c r="H1048096" s="46"/>
    </row>
    <row r="1048097" spans="2:8" ht="27" customHeight="1">
      <c r="B1048097" s="46"/>
      <c r="C1048097" s="46"/>
      <c r="D1048097" s="46"/>
      <c r="E1048097" s="46"/>
      <c r="F1048097" s="46"/>
      <c r="G1048097" s="46"/>
      <c r="H1048097" s="46"/>
    </row>
    <row r="1048098" spans="2:8" ht="27" customHeight="1">
      <c r="B1048098" s="46"/>
      <c r="C1048098" s="46"/>
      <c r="D1048098" s="46"/>
      <c r="E1048098" s="46"/>
      <c r="F1048098" s="46"/>
      <c r="G1048098" s="46"/>
      <c r="H1048098" s="46"/>
    </row>
    <row r="1048099" spans="2:8" ht="27" customHeight="1">
      <c r="B1048099" s="46"/>
      <c r="C1048099" s="46"/>
      <c r="D1048099" s="46"/>
      <c r="E1048099" s="46"/>
      <c r="F1048099" s="46"/>
      <c r="G1048099" s="46"/>
      <c r="H1048099" s="46"/>
    </row>
    <row r="1048100" spans="2:8" ht="27" customHeight="1">
      <c r="B1048100" s="46"/>
      <c r="C1048100" s="46"/>
      <c r="D1048100" s="46"/>
      <c r="E1048100" s="46"/>
      <c r="F1048100" s="46"/>
      <c r="G1048100" s="46"/>
      <c r="H1048100" s="46"/>
    </row>
    <row r="1048101" spans="2:8" ht="27" customHeight="1">
      <c r="B1048101" s="46"/>
      <c r="C1048101" s="46"/>
      <c r="D1048101" s="46"/>
      <c r="E1048101" s="46"/>
      <c r="F1048101" s="46"/>
      <c r="G1048101" s="46"/>
      <c r="H1048101" s="46"/>
    </row>
    <row r="1048102" spans="2:8" ht="27" customHeight="1">
      <c r="B1048102" s="46"/>
      <c r="C1048102" s="46"/>
      <c r="D1048102" s="46"/>
      <c r="E1048102" s="46"/>
      <c r="F1048102" s="46"/>
      <c r="G1048102" s="46"/>
      <c r="H1048102" s="46"/>
    </row>
    <row r="1048103" spans="2:8" ht="27" customHeight="1">
      <c r="B1048103" s="46"/>
      <c r="C1048103" s="46"/>
      <c r="D1048103" s="46"/>
      <c r="E1048103" s="46"/>
      <c r="F1048103" s="46"/>
      <c r="G1048103" s="46"/>
      <c r="H1048103" s="46"/>
    </row>
    <row r="1048104" spans="2:8" ht="27" customHeight="1">
      <c r="B1048104" s="46"/>
      <c r="C1048104" s="46"/>
      <c r="D1048104" s="46"/>
      <c r="E1048104" s="46"/>
      <c r="F1048104" s="46"/>
      <c r="G1048104" s="46"/>
      <c r="H1048104" s="46"/>
    </row>
    <row r="1048105" spans="2:8" ht="27" customHeight="1">
      <c r="B1048105" s="46"/>
      <c r="C1048105" s="46"/>
      <c r="D1048105" s="46"/>
      <c r="E1048105" s="46"/>
      <c r="F1048105" s="46"/>
      <c r="G1048105" s="46"/>
      <c r="H1048105" s="46"/>
    </row>
    <row r="1048106" spans="2:8" ht="27" customHeight="1">
      <c r="B1048106" s="46"/>
      <c r="C1048106" s="46"/>
      <c r="D1048106" s="46"/>
      <c r="E1048106" s="46"/>
      <c r="F1048106" s="46"/>
      <c r="G1048106" s="46"/>
      <c r="H1048106" s="46"/>
    </row>
    <row r="1048107" spans="2:8" ht="27" customHeight="1">
      <c r="B1048107" s="46"/>
      <c r="C1048107" s="46"/>
      <c r="D1048107" s="46"/>
      <c r="E1048107" s="46"/>
      <c r="F1048107" s="46"/>
      <c r="G1048107" s="46"/>
      <c r="H1048107" s="46"/>
    </row>
    <row r="1048108" spans="2:8" ht="27" customHeight="1">
      <c r="B1048108" s="46"/>
      <c r="C1048108" s="46"/>
      <c r="D1048108" s="46"/>
      <c r="E1048108" s="46"/>
      <c r="F1048108" s="46"/>
      <c r="G1048108" s="46"/>
      <c r="H1048108" s="46"/>
    </row>
    <row r="1048109" spans="2:8" ht="27" customHeight="1">
      <c r="B1048109" s="46"/>
      <c r="C1048109" s="46"/>
      <c r="D1048109" s="46"/>
      <c r="E1048109" s="46"/>
      <c r="F1048109" s="46"/>
      <c r="G1048109" s="46"/>
      <c r="H1048109" s="46"/>
    </row>
    <row r="1048110" spans="2:8" ht="27" customHeight="1">
      <c r="B1048110" s="46"/>
      <c r="C1048110" s="46"/>
      <c r="D1048110" s="46"/>
      <c r="E1048110" s="46"/>
      <c r="F1048110" s="46"/>
      <c r="G1048110" s="46"/>
      <c r="H1048110" s="46"/>
    </row>
    <row r="1048111" spans="2:8" ht="27" customHeight="1">
      <c r="B1048111" s="46"/>
      <c r="C1048111" s="46"/>
      <c r="D1048111" s="46"/>
      <c r="E1048111" s="46"/>
      <c r="F1048111" s="46"/>
      <c r="G1048111" s="46"/>
      <c r="H1048111" s="46"/>
    </row>
    <row r="1048112" spans="2:8" ht="27" customHeight="1">
      <c r="B1048112" s="46"/>
      <c r="C1048112" s="46"/>
      <c r="D1048112" s="46"/>
      <c r="E1048112" s="46"/>
      <c r="F1048112" s="46"/>
      <c r="G1048112" s="46"/>
      <c r="H1048112" s="46"/>
    </row>
    <row r="1048113" spans="2:8" ht="27" customHeight="1">
      <c r="B1048113" s="46"/>
      <c r="C1048113" s="46"/>
      <c r="D1048113" s="46"/>
      <c r="E1048113" s="46"/>
      <c r="F1048113" s="46"/>
      <c r="G1048113" s="46"/>
      <c r="H1048113" s="46"/>
    </row>
    <row r="1048114" spans="2:8" ht="27" customHeight="1">
      <c r="B1048114" s="46"/>
      <c r="C1048114" s="46"/>
      <c r="D1048114" s="46"/>
      <c r="E1048114" s="46"/>
      <c r="F1048114" s="46"/>
      <c r="G1048114" s="46"/>
      <c r="H1048114" s="46"/>
    </row>
    <row r="1048115" spans="2:8" ht="27" customHeight="1">
      <c r="B1048115" s="46"/>
      <c r="C1048115" s="46"/>
      <c r="D1048115" s="46"/>
      <c r="E1048115" s="46"/>
      <c r="F1048115" s="46"/>
      <c r="G1048115" s="46"/>
      <c r="H1048115" s="46"/>
    </row>
    <row r="1048116" spans="2:8" ht="27" customHeight="1">
      <c r="B1048116" s="46"/>
      <c r="C1048116" s="46"/>
      <c r="D1048116" s="46"/>
      <c r="E1048116" s="46"/>
      <c r="F1048116" s="46"/>
      <c r="G1048116" s="46"/>
      <c r="H1048116" s="46"/>
    </row>
    <row r="1048117" spans="2:8" ht="27" customHeight="1">
      <c r="B1048117" s="46"/>
      <c r="C1048117" s="46"/>
      <c r="D1048117" s="46"/>
      <c r="E1048117" s="46"/>
      <c r="F1048117" s="46"/>
      <c r="G1048117" s="46"/>
      <c r="H1048117" s="46"/>
    </row>
    <row r="1048118" spans="2:8" ht="27" customHeight="1">
      <c r="B1048118" s="46"/>
      <c r="C1048118" s="46"/>
      <c r="D1048118" s="46"/>
      <c r="E1048118" s="46"/>
      <c r="F1048118" s="46"/>
      <c r="G1048118" s="46"/>
      <c r="H1048118" s="46"/>
    </row>
    <row r="1048119" spans="2:8" ht="27" customHeight="1">
      <c r="B1048119" s="46"/>
      <c r="C1048119" s="46"/>
      <c r="D1048119" s="46"/>
      <c r="E1048119" s="46"/>
      <c r="F1048119" s="46"/>
      <c r="G1048119" s="46"/>
      <c r="H1048119" s="46"/>
    </row>
    <row r="1048120" spans="2:8" ht="27" customHeight="1">
      <c r="B1048120" s="46"/>
      <c r="C1048120" s="46"/>
      <c r="D1048120" s="46"/>
      <c r="E1048120" s="46"/>
      <c r="F1048120" s="46"/>
      <c r="G1048120" s="46"/>
      <c r="H1048120" s="46"/>
    </row>
    <row r="1048121" spans="2:8" ht="27" customHeight="1">
      <c r="B1048121" s="46"/>
      <c r="C1048121" s="46"/>
      <c r="D1048121" s="46"/>
      <c r="E1048121" s="46"/>
      <c r="F1048121" s="46"/>
      <c r="G1048121" s="46"/>
      <c r="H1048121" s="46"/>
    </row>
    <row r="1048122" spans="2:8" ht="27" customHeight="1">
      <c r="B1048122" s="46"/>
      <c r="C1048122" s="46"/>
      <c r="D1048122" s="46"/>
      <c r="E1048122" s="46"/>
      <c r="F1048122" s="46"/>
      <c r="G1048122" s="46"/>
      <c r="H1048122" s="46"/>
    </row>
    <row r="1048123" spans="2:8" ht="27" customHeight="1">
      <c r="B1048123" s="46"/>
      <c r="C1048123" s="46"/>
      <c r="D1048123" s="46"/>
      <c r="E1048123" s="46"/>
      <c r="F1048123" s="46"/>
      <c r="G1048123" s="46"/>
      <c r="H1048123" s="46"/>
    </row>
    <row r="1048124" spans="2:8" ht="27" customHeight="1">
      <c r="B1048124" s="46"/>
      <c r="C1048124" s="46"/>
      <c r="D1048124" s="46"/>
      <c r="E1048124" s="46"/>
      <c r="F1048124" s="46"/>
      <c r="G1048124" s="46"/>
      <c r="H1048124" s="46"/>
    </row>
    <row r="1048125" spans="2:8" ht="27" customHeight="1">
      <c r="B1048125" s="46"/>
      <c r="C1048125" s="46"/>
      <c r="D1048125" s="46"/>
      <c r="E1048125" s="46"/>
      <c r="F1048125" s="46"/>
      <c r="G1048125" s="46"/>
      <c r="H1048125" s="46"/>
    </row>
    <row r="1048126" spans="2:8" ht="27" customHeight="1">
      <c r="B1048126" s="46"/>
      <c r="C1048126" s="46"/>
      <c r="D1048126" s="46"/>
      <c r="E1048126" s="46"/>
      <c r="F1048126" s="46"/>
      <c r="G1048126" s="46"/>
      <c r="H1048126" s="46"/>
    </row>
    <row r="1048127" spans="2:8" ht="27" customHeight="1">
      <c r="B1048127" s="46"/>
      <c r="C1048127" s="46"/>
      <c r="D1048127" s="46"/>
      <c r="E1048127" s="46"/>
      <c r="F1048127" s="46"/>
      <c r="G1048127" s="46"/>
      <c r="H1048127" s="46"/>
    </row>
    <row r="1048128" spans="2:8" ht="27" customHeight="1">
      <c r="B1048128" s="46"/>
      <c r="C1048128" s="46"/>
      <c r="D1048128" s="46"/>
      <c r="E1048128" s="46"/>
      <c r="F1048128" s="46"/>
      <c r="G1048128" s="46"/>
      <c r="H1048128" s="46"/>
    </row>
    <row r="1048129" spans="2:8" ht="27" customHeight="1">
      <c r="B1048129" s="46"/>
      <c r="C1048129" s="46"/>
      <c r="D1048129" s="46"/>
      <c r="E1048129" s="46"/>
      <c r="F1048129" s="46"/>
      <c r="G1048129" s="46"/>
      <c r="H1048129" s="46"/>
    </row>
    <row r="1048130" spans="2:8" ht="27" customHeight="1">
      <c r="B1048130" s="46"/>
      <c r="C1048130" s="46"/>
      <c r="D1048130" s="46"/>
      <c r="E1048130" s="46"/>
      <c r="F1048130" s="46"/>
      <c r="G1048130" s="46"/>
      <c r="H1048130" s="46"/>
    </row>
    <row r="1048131" spans="2:8" ht="27" customHeight="1">
      <c r="B1048131" s="46"/>
      <c r="C1048131" s="46"/>
      <c r="D1048131" s="46"/>
      <c r="E1048131" s="46"/>
      <c r="F1048131" s="46"/>
      <c r="G1048131" s="46"/>
      <c r="H1048131" s="46"/>
    </row>
    <row r="1048132" spans="2:8" ht="27" customHeight="1">
      <c r="B1048132" s="46"/>
      <c r="C1048132" s="46"/>
      <c r="D1048132" s="46"/>
      <c r="E1048132" s="46"/>
      <c r="F1048132" s="46"/>
      <c r="G1048132" s="46"/>
      <c r="H1048132" s="46"/>
    </row>
    <row r="1048133" spans="2:8" ht="27" customHeight="1">
      <c r="B1048133" s="46"/>
      <c r="C1048133" s="46"/>
      <c r="D1048133" s="46"/>
      <c r="E1048133" s="46"/>
      <c r="F1048133" s="46"/>
      <c r="G1048133" s="46"/>
      <c r="H1048133" s="46"/>
    </row>
    <row r="1048134" spans="2:8" ht="27" customHeight="1">
      <c r="B1048134" s="46"/>
      <c r="C1048134" s="46"/>
      <c r="D1048134" s="46"/>
      <c r="E1048134" s="46"/>
      <c r="F1048134" s="46"/>
      <c r="G1048134" s="46"/>
      <c r="H1048134" s="46"/>
    </row>
    <row r="1048135" spans="2:8" ht="27" customHeight="1">
      <c r="B1048135" s="46"/>
      <c r="C1048135" s="46"/>
      <c r="D1048135" s="46"/>
      <c r="E1048135" s="46"/>
      <c r="F1048135" s="46"/>
      <c r="G1048135" s="46"/>
      <c r="H1048135" s="46"/>
    </row>
    <row r="1048136" spans="2:8" ht="27" customHeight="1">
      <c r="B1048136" s="46"/>
      <c r="C1048136" s="46"/>
      <c r="D1048136" s="46"/>
      <c r="E1048136" s="46"/>
      <c r="F1048136" s="46"/>
      <c r="G1048136" s="46"/>
      <c r="H1048136" s="46"/>
    </row>
    <row r="1048137" spans="2:8" ht="27" customHeight="1">
      <c r="B1048137" s="46"/>
      <c r="C1048137" s="46"/>
      <c r="D1048137" s="46"/>
      <c r="E1048137" s="46"/>
      <c r="F1048137" s="46"/>
      <c r="G1048137" s="46"/>
      <c r="H1048137" s="46"/>
    </row>
    <row r="1048138" spans="2:8" ht="27" customHeight="1">
      <c r="B1048138" s="46"/>
      <c r="C1048138" s="46"/>
      <c r="D1048138" s="46"/>
      <c r="E1048138" s="46"/>
      <c r="F1048138" s="46"/>
      <c r="G1048138" s="46"/>
      <c r="H1048138" s="46"/>
    </row>
    <row r="1048139" spans="2:8" ht="27" customHeight="1">
      <c r="B1048139" s="46"/>
      <c r="C1048139" s="46"/>
      <c r="D1048139" s="46"/>
      <c r="E1048139" s="46"/>
      <c r="F1048139" s="46"/>
      <c r="G1048139" s="46"/>
      <c r="H1048139" s="46"/>
    </row>
    <row r="1048140" spans="2:8" ht="27" customHeight="1">
      <c r="B1048140" s="46"/>
      <c r="C1048140" s="46"/>
      <c r="D1048140" s="46"/>
      <c r="E1048140" s="46"/>
      <c r="F1048140" s="46"/>
      <c r="G1048140" s="46"/>
      <c r="H1048140" s="46"/>
    </row>
    <row r="1048141" spans="2:8" ht="27" customHeight="1">
      <c r="B1048141" s="46"/>
      <c r="C1048141" s="46"/>
      <c r="D1048141" s="46"/>
      <c r="E1048141" s="46"/>
      <c r="F1048141" s="46"/>
      <c r="G1048141" s="46"/>
      <c r="H1048141" s="46"/>
    </row>
    <row r="1048142" spans="2:8" ht="27" customHeight="1">
      <c r="B1048142" s="46"/>
      <c r="C1048142" s="46"/>
      <c r="D1048142" s="46"/>
      <c r="E1048142" s="46"/>
      <c r="F1048142" s="46"/>
      <c r="G1048142" s="46"/>
      <c r="H1048142" s="46"/>
    </row>
    <row r="1048143" spans="2:8" ht="27" customHeight="1">
      <c r="B1048143" s="46"/>
      <c r="C1048143" s="46"/>
      <c r="D1048143" s="46"/>
      <c r="E1048143" s="46"/>
      <c r="F1048143" s="46"/>
      <c r="G1048143" s="46"/>
      <c r="H1048143" s="46"/>
    </row>
    <row r="1048144" spans="2:8" ht="27" customHeight="1">
      <c r="B1048144" s="46"/>
      <c r="C1048144" s="46"/>
      <c r="D1048144" s="46"/>
      <c r="E1048144" s="46"/>
      <c r="F1048144" s="46"/>
      <c r="G1048144" s="46"/>
      <c r="H1048144" s="46"/>
    </row>
    <row r="1048145" spans="2:8" ht="27" customHeight="1">
      <c r="B1048145" s="46"/>
      <c r="C1048145" s="46"/>
      <c r="D1048145" s="46"/>
      <c r="E1048145" s="46"/>
      <c r="F1048145" s="46"/>
      <c r="G1048145" s="46"/>
      <c r="H1048145" s="46"/>
    </row>
    <row r="1048146" spans="2:8" ht="27" customHeight="1">
      <c r="B1048146" s="46"/>
      <c r="C1048146" s="46"/>
      <c r="D1048146" s="46"/>
      <c r="E1048146" s="46"/>
      <c r="F1048146" s="46"/>
      <c r="G1048146" s="46"/>
      <c r="H1048146" s="46"/>
    </row>
    <row r="1048147" spans="2:8" ht="27" customHeight="1">
      <c r="B1048147" s="46"/>
      <c r="C1048147" s="46"/>
      <c r="D1048147" s="46"/>
      <c r="E1048147" s="46"/>
      <c r="F1048147" s="46"/>
      <c r="G1048147" s="46"/>
      <c r="H1048147" s="46"/>
    </row>
    <row r="1048148" spans="2:8" ht="27" customHeight="1">
      <c r="B1048148" s="46"/>
      <c r="C1048148" s="46"/>
      <c r="D1048148" s="46"/>
      <c r="E1048148" s="46"/>
      <c r="F1048148" s="46"/>
      <c r="G1048148" s="46"/>
      <c r="H1048148" s="46"/>
    </row>
    <row r="1048149" spans="2:8" ht="27" customHeight="1">
      <c r="B1048149" s="46"/>
      <c r="C1048149" s="46"/>
      <c r="D1048149" s="46"/>
      <c r="E1048149" s="46"/>
      <c r="F1048149" s="46"/>
      <c r="G1048149" s="46"/>
      <c r="H1048149" s="46"/>
    </row>
    <row r="1048150" spans="2:8" ht="27" customHeight="1">
      <c r="B1048150" s="46"/>
      <c r="C1048150" s="46"/>
      <c r="D1048150" s="46"/>
      <c r="E1048150" s="46"/>
      <c r="F1048150" s="46"/>
      <c r="G1048150" s="46"/>
      <c r="H1048150" s="46"/>
    </row>
    <row r="1048151" spans="2:8" ht="27" customHeight="1">
      <c r="B1048151" s="46"/>
      <c r="C1048151" s="46"/>
      <c r="D1048151" s="46"/>
      <c r="E1048151" s="46"/>
      <c r="F1048151" s="46"/>
      <c r="G1048151" s="46"/>
      <c r="H1048151" s="46"/>
    </row>
    <row r="1048152" spans="2:8" ht="27" customHeight="1">
      <c r="B1048152" s="46"/>
      <c r="C1048152" s="46"/>
      <c r="D1048152" s="46"/>
      <c r="E1048152" s="46"/>
      <c r="F1048152" s="46"/>
      <c r="G1048152" s="46"/>
      <c r="H1048152" s="46"/>
    </row>
    <row r="1048153" spans="2:8" ht="27" customHeight="1">
      <c r="B1048153" s="46"/>
      <c r="C1048153" s="46"/>
      <c r="D1048153" s="46"/>
      <c r="E1048153" s="46"/>
      <c r="F1048153" s="46"/>
      <c r="G1048153" s="46"/>
      <c r="H1048153" s="46"/>
    </row>
    <row r="1048154" spans="2:8" ht="27" customHeight="1">
      <c r="B1048154" s="46"/>
      <c r="C1048154" s="46"/>
      <c r="D1048154" s="46"/>
      <c r="E1048154" s="46"/>
      <c r="F1048154" s="46"/>
      <c r="G1048154" s="46"/>
      <c r="H1048154" s="46"/>
    </row>
    <row r="1048155" spans="2:8" ht="27" customHeight="1">
      <c r="B1048155" s="46"/>
      <c r="C1048155" s="46"/>
      <c r="D1048155" s="46"/>
      <c r="E1048155" s="46"/>
      <c r="F1048155" s="46"/>
      <c r="G1048155" s="46"/>
      <c r="H1048155" s="46"/>
    </row>
    <row r="1048156" spans="2:8" ht="27" customHeight="1">
      <c r="B1048156" s="46"/>
      <c r="C1048156" s="46"/>
      <c r="D1048156" s="46"/>
      <c r="E1048156" s="46"/>
      <c r="F1048156" s="46"/>
      <c r="G1048156" s="46"/>
      <c r="H1048156" s="46"/>
    </row>
    <row r="1048157" spans="2:8" ht="27" customHeight="1">
      <c r="B1048157" s="46"/>
      <c r="C1048157" s="46"/>
      <c r="D1048157" s="46"/>
      <c r="E1048157" s="46"/>
      <c r="F1048157" s="46"/>
      <c r="G1048157" s="46"/>
      <c r="H1048157" s="46"/>
    </row>
    <row r="1048158" spans="2:8" ht="27" customHeight="1">
      <c r="B1048158" s="46"/>
      <c r="C1048158" s="46"/>
      <c r="D1048158" s="46"/>
      <c r="E1048158" s="46"/>
      <c r="F1048158" s="46"/>
      <c r="G1048158" s="46"/>
      <c r="H1048158" s="46"/>
    </row>
    <row r="1048159" spans="2:8" ht="27" customHeight="1">
      <c r="B1048159" s="46"/>
      <c r="C1048159" s="46"/>
      <c r="D1048159" s="46"/>
      <c r="E1048159" s="46"/>
      <c r="F1048159" s="46"/>
      <c r="G1048159" s="46"/>
      <c r="H1048159" s="46"/>
    </row>
    <row r="1048160" spans="2:8" ht="27" customHeight="1">
      <c r="B1048160" s="46"/>
      <c r="C1048160" s="46"/>
      <c r="D1048160" s="46"/>
      <c r="E1048160" s="46"/>
      <c r="F1048160" s="46"/>
      <c r="G1048160" s="46"/>
      <c r="H1048160" s="46"/>
    </row>
    <row r="1048161" spans="2:8" ht="27" customHeight="1">
      <c r="B1048161" s="46"/>
      <c r="C1048161" s="46"/>
      <c r="D1048161" s="46"/>
      <c r="E1048161" s="46"/>
      <c r="F1048161" s="46"/>
      <c r="G1048161" s="46"/>
      <c r="H1048161" s="46"/>
    </row>
    <row r="1048162" spans="2:8" ht="27" customHeight="1">
      <c r="B1048162" s="46"/>
      <c r="C1048162" s="46"/>
      <c r="D1048162" s="46"/>
      <c r="E1048162" s="46"/>
      <c r="F1048162" s="46"/>
      <c r="G1048162" s="46"/>
      <c r="H1048162" s="46"/>
    </row>
    <row r="1048163" spans="2:8" ht="27" customHeight="1">
      <c r="B1048163" s="46"/>
      <c r="C1048163" s="46"/>
      <c r="D1048163" s="46"/>
      <c r="E1048163" s="46"/>
      <c r="F1048163" s="46"/>
      <c r="G1048163" s="46"/>
      <c r="H1048163" s="46"/>
    </row>
    <row r="1048164" spans="2:8" ht="27" customHeight="1">
      <c r="B1048164" s="46"/>
      <c r="C1048164" s="46"/>
      <c r="D1048164" s="46"/>
      <c r="E1048164" s="46"/>
      <c r="F1048164" s="46"/>
      <c r="G1048164" s="46"/>
      <c r="H1048164" s="46"/>
    </row>
    <row r="1048165" spans="2:8" ht="27" customHeight="1">
      <c r="B1048165" s="46"/>
      <c r="C1048165" s="46"/>
      <c r="D1048165" s="46"/>
      <c r="E1048165" s="46"/>
      <c r="F1048165" s="46"/>
      <c r="G1048165" s="46"/>
      <c r="H1048165" s="46"/>
    </row>
    <row r="1048166" spans="2:8" ht="27" customHeight="1">
      <c r="B1048166" s="46"/>
      <c r="C1048166" s="46"/>
      <c r="D1048166" s="46"/>
      <c r="E1048166" s="46"/>
      <c r="F1048166" s="46"/>
      <c r="G1048166" s="46"/>
      <c r="H1048166" s="46"/>
    </row>
    <row r="1048167" spans="2:8" ht="27" customHeight="1">
      <c r="B1048167" s="46"/>
      <c r="C1048167" s="46"/>
      <c r="D1048167" s="46"/>
      <c r="E1048167" s="46"/>
      <c r="F1048167" s="46"/>
      <c r="G1048167" s="46"/>
      <c r="H1048167" s="46"/>
    </row>
    <row r="1048168" spans="2:8" ht="27" customHeight="1">
      <c r="B1048168" s="46"/>
      <c r="C1048168" s="46"/>
      <c r="D1048168" s="46"/>
      <c r="E1048168" s="46"/>
      <c r="F1048168" s="46"/>
      <c r="G1048168" s="46"/>
      <c r="H1048168" s="46"/>
    </row>
    <row r="1048169" spans="2:8" ht="27" customHeight="1">
      <c r="B1048169" s="46"/>
      <c r="C1048169" s="46"/>
      <c r="D1048169" s="46"/>
      <c r="E1048169" s="46"/>
      <c r="F1048169" s="46"/>
      <c r="G1048169" s="46"/>
      <c r="H1048169" s="46"/>
    </row>
    <row r="1048170" spans="2:8" ht="27" customHeight="1">
      <c r="B1048170" s="46"/>
      <c r="C1048170" s="46"/>
      <c r="D1048170" s="46"/>
      <c r="E1048170" s="46"/>
      <c r="F1048170" s="46"/>
      <c r="G1048170" s="46"/>
      <c r="H1048170" s="46"/>
    </row>
    <row r="1048171" spans="2:8" ht="27" customHeight="1">
      <c r="B1048171" s="46"/>
      <c r="C1048171" s="46"/>
      <c r="D1048171" s="46"/>
      <c r="E1048171" s="46"/>
      <c r="F1048171" s="46"/>
      <c r="G1048171" s="46"/>
      <c r="H1048171" s="46"/>
    </row>
    <row r="1048172" spans="2:8" ht="27" customHeight="1">
      <c r="B1048172" s="46"/>
      <c r="C1048172" s="46"/>
      <c r="D1048172" s="46"/>
      <c r="E1048172" s="46"/>
      <c r="F1048172" s="46"/>
      <c r="G1048172" s="46"/>
      <c r="H1048172" s="46"/>
    </row>
    <row r="1048173" spans="2:8" ht="27" customHeight="1">
      <c r="B1048173" s="46"/>
      <c r="C1048173" s="46"/>
      <c r="D1048173" s="46"/>
      <c r="E1048173" s="46"/>
      <c r="F1048173" s="46"/>
      <c r="G1048173" s="46"/>
      <c r="H1048173" s="46"/>
    </row>
    <row r="1048174" spans="2:8" ht="27" customHeight="1">
      <c r="B1048174" s="46"/>
      <c r="C1048174" s="46"/>
      <c r="D1048174" s="46"/>
      <c r="E1048174" s="46"/>
      <c r="F1048174" s="46"/>
      <c r="G1048174" s="46"/>
      <c r="H1048174" s="46"/>
    </row>
    <row r="1048175" spans="2:8" ht="27" customHeight="1">
      <c r="B1048175" s="46"/>
      <c r="C1048175" s="46"/>
      <c r="D1048175" s="46"/>
      <c r="E1048175" s="46"/>
      <c r="F1048175" s="46"/>
      <c r="G1048175" s="46"/>
      <c r="H1048175" s="46"/>
    </row>
    <row r="1048176" spans="2:8" ht="27" customHeight="1">
      <c r="B1048176" s="46"/>
      <c r="C1048176" s="46"/>
      <c r="D1048176" s="46"/>
      <c r="E1048176" s="46"/>
      <c r="F1048176" s="46"/>
      <c r="G1048176" s="46"/>
      <c r="H1048176" s="46"/>
    </row>
    <row r="1048177" spans="2:8" ht="27" customHeight="1">
      <c r="B1048177" s="46"/>
      <c r="C1048177" s="46"/>
      <c r="D1048177" s="46"/>
      <c r="E1048177" s="46"/>
      <c r="F1048177" s="46"/>
      <c r="G1048177" s="46"/>
      <c r="H1048177" s="46"/>
    </row>
    <row r="1048178" spans="2:8" ht="27" customHeight="1">
      <c r="B1048178" s="46"/>
      <c r="C1048178" s="46"/>
      <c r="D1048178" s="46"/>
      <c r="E1048178" s="46"/>
      <c r="F1048178" s="46"/>
      <c r="G1048178" s="46"/>
      <c r="H1048178" s="46"/>
    </row>
    <row r="1048179" spans="2:8" ht="27" customHeight="1">
      <c r="B1048179" s="46"/>
      <c r="C1048179" s="46"/>
      <c r="D1048179" s="46"/>
      <c r="E1048179" s="46"/>
      <c r="F1048179" s="46"/>
      <c r="G1048179" s="46"/>
      <c r="H1048179" s="46"/>
    </row>
    <row r="1048180" spans="2:8" ht="27" customHeight="1">
      <c r="B1048180" s="46"/>
      <c r="C1048180" s="46"/>
      <c r="D1048180" s="46"/>
      <c r="E1048180" s="46"/>
      <c r="F1048180" s="46"/>
      <c r="G1048180" s="46"/>
      <c r="H1048180" s="46"/>
    </row>
    <row r="1048181" spans="2:8" ht="27" customHeight="1">
      <c r="B1048181" s="46"/>
      <c r="C1048181" s="46"/>
      <c r="D1048181" s="46"/>
      <c r="E1048181" s="46"/>
      <c r="F1048181" s="46"/>
      <c r="G1048181" s="46"/>
      <c r="H1048181" s="46"/>
    </row>
    <row r="1048182" spans="2:8" ht="27" customHeight="1">
      <c r="B1048182" s="46"/>
      <c r="C1048182" s="46"/>
      <c r="D1048182" s="46"/>
      <c r="E1048182" s="46"/>
      <c r="F1048182" s="46"/>
      <c r="G1048182" s="46"/>
      <c r="H1048182" s="46"/>
    </row>
    <row r="1048183" spans="2:8" ht="27" customHeight="1">
      <c r="B1048183" s="46"/>
      <c r="C1048183" s="46"/>
      <c r="D1048183" s="46"/>
      <c r="E1048183" s="46"/>
      <c r="F1048183" s="46"/>
      <c r="G1048183" s="46"/>
      <c r="H1048183" s="46"/>
    </row>
    <row r="1048184" spans="2:8" ht="27" customHeight="1">
      <c r="B1048184" s="46"/>
      <c r="C1048184" s="46"/>
      <c r="D1048184" s="46"/>
      <c r="E1048184" s="46"/>
      <c r="F1048184" s="46"/>
      <c r="G1048184" s="46"/>
      <c r="H1048184" s="46"/>
    </row>
    <row r="1048185" spans="2:8" ht="27" customHeight="1">
      <c r="B1048185" s="46"/>
      <c r="C1048185" s="46"/>
      <c r="D1048185" s="46"/>
      <c r="E1048185" s="46"/>
      <c r="F1048185" s="46"/>
      <c r="G1048185" s="46"/>
      <c r="H1048185" s="46"/>
    </row>
    <row r="1048186" spans="2:8" ht="27" customHeight="1">
      <c r="B1048186" s="46"/>
      <c r="C1048186" s="46"/>
      <c r="D1048186" s="46"/>
      <c r="E1048186" s="46"/>
      <c r="F1048186" s="46"/>
      <c r="G1048186" s="46"/>
      <c r="H1048186" s="46"/>
    </row>
    <row r="1048187" spans="2:8" ht="27" customHeight="1">
      <c r="B1048187" s="46"/>
      <c r="C1048187" s="46"/>
      <c r="D1048187" s="46"/>
      <c r="E1048187" s="46"/>
      <c r="F1048187" s="46"/>
      <c r="G1048187" s="46"/>
      <c r="H1048187" s="46"/>
    </row>
    <row r="1048188" spans="2:8" ht="27" customHeight="1">
      <c r="B1048188" s="46"/>
      <c r="C1048188" s="46"/>
      <c r="D1048188" s="46"/>
      <c r="E1048188" s="46"/>
      <c r="F1048188" s="46"/>
      <c r="G1048188" s="46"/>
      <c r="H1048188" s="46"/>
    </row>
    <row r="1048189" spans="2:8" ht="27" customHeight="1">
      <c r="B1048189" s="46"/>
      <c r="C1048189" s="46"/>
      <c r="D1048189" s="46"/>
      <c r="E1048189" s="46"/>
      <c r="F1048189" s="46"/>
      <c r="G1048189" s="46"/>
      <c r="H1048189" s="46"/>
    </row>
    <row r="1048190" spans="2:8" ht="27" customHeight="1">
      <c r="B1048190" s="46"/>
      <c r="C1048190" s="46"/>
      <c r="D1048190" s="46"/>
      <c r="E1048190" s="46"/>
      <c r="F1048190" s="46"/>
      <c r="G1048190" s="46"/>
      <c r="H1048190" s="46"/>
    </row>
    <row r="1048191" spans="2:8" ht="27" customHeight="1">
      <c r="B1048191" s="46"/>
      <c r="C1048191" s="46"/>
      <c r="D1048191" s="46"/>
      <c r="E1048191" s="46"/>
      <c r="F1048191" s="46"/>
      <c r="G1048191" s="46"/>
      <c r="H1048191" s="46"/>
    </row>
    <row r="1048192" spans="2:8" ht="27" customHeight="1">
      <c r="B1048192" s="46"/>
      <c r="C1048192" s="46"/>
      <c r="D1048192" s="46"/>
      <c r="E1048192" s="46"/>
      <c r="F1048192" s="46"/>
      <c r="G1048192" s="46"/>
      <c r="H1048192" s="46"/>
    </row>
    <row r="1048193" spans="2:8" ht="27" customHeight="1">
      <c r="B1048193" s="46"/>
      <c r="C1048193" s="46"/>
      <c r="D1048193" s="46"/>
      <c r="E1048193" s="46"/>
      <c r="F1048193" s="46"/>
      <c r="G1048193" s="46"/>
      <c r="H1048193" s="46"/>
    </row>
    <row r="1048194" spans="2:8" ht="27" customHeight="1">
      <c r="B1048194" s="46"/>
      <c r="C1048194" s="46"/>
      <c r="D1048194" s="46"/>
      <c r="E1048194" s="46"/>
      <c r="F1048194" s="46"/>
      <c r="G1048194" s="46"/>
      <c r="H1048194" s="46"/>
    </row>
    <row r="1048195" spans="2:8" ht="27" customHeight="1">
      <c r="B1048195" s="46"/>
      <c r="C1048195" s="46"/>
      <c r="D1048195" s="46"/>
      <c r="E1048195" s="46"/>
      <c r="F1048195" s="46"/>
      <c r="G1048195" s="46"/>
      <c r="H1048195" s="46"/>
    </row>
    <row r="1048196" spans="2:8" ht="27" customHeight="1">
      <c r="B1048196" s="46"/>
      <c r="C1048196" s="46"/>
      <c r="D1048196" s="46"/>
      <c r="E1048196" s="46"/>
      <c r="F1048196" s="46"/>
      <c r="G1048196" s="46"/>
      <c r="H1048196" s="46"/>
    </row>
    <row r="1048197" spans="2:8" ht="27" customHeight="1">
      <c r="B1048197" s="46"/>
      <c r="C1048197" s="46"/>
      <c r="D1048197" s="46"/>
      <c r="E1048197" s="46"/>
      <c r="F1048197" s="46"/>
      <c r="G1048197" s="46"/>
      <c r="H1048197" s="46"/>
    </row>
    <row r="1048198" spans="2:8" ht="27" customHeight="1">
      <c r="B1048198" s="46"/>
      <c r="C1048198" s="46"/>
      <c r="D1048198" s="46"/>
      <c r="E1048198" s="46"/>
      <c r="F1048198" s="46"/>
      <c r="G1048198" s="46"/>
      <c r="H1048198" s="46"/>
    </row>
    <row r="1048199" spans="2:8" ht="27" customHeight="1">
      <c r="B1048199" s="46"/>
      <c r="C1048199" s="46"/>
      <c r="D1048199" s="46"/>
      <c r="E1048199" s="46"/>
      <c r="F1048199" s="46"/>
      <c r="G1048199" s="46"/>
      <c r="H1048199" s="46"/>
    </row>
    <row r="1048200" spans="2:8" ht="27" customHeight="1">
      <c r="B1048200" s="46"/>
      <c r="C1048200" s="46"/>
      <c r="D1048200" s="46"/>
      <c r="E1048200" s="46"/>
      <c r="F1048200" s="46"/>
      <c r="G1048200" s="46"/>
      <c r="H1048200" s="46"/>
    </row>
    <row r="1048201" spans="2:8" ht="27" customHeight="1">
      <c r="B1048201" s="46"/>
      <c r="C1048201" s="46"/>
      <c r="D1048201" s="46"/>
      <c r="E1048201" s="46"/>
      <c r="F1048201" s="46"/>
      <c r="G1048201" s="46"/>
      <c r="H1048201" s="46"/>
    </row>
    <row r="1048202" spans="2:8" ht="27" customHeight="1">
      <c r="B1048202" s="46"/>
      <c r="C1048202" s="46"/>
      <c r="D1048202" s="46"/>
      <c r="E1048202" s="46"/>
      <c r="F1048202" s="46"/>
      <c r="G1048202" s="46"/>
      <c r="H1048202" s="46"/>
    </row>
    <row r="1048203" spans="2:8" ht="27" customHeight="1">
      <c r="B1048203" s="46"/>
      <c r="C1048203" s="46"/>
      <c r="D1048203" s="46"/>
      <c r="E1048203" s="46"/>
      <c r="F1048203" s="46"/>
      <c r="G1048203" s="46"/>
      <c r="H1048203" s="46"/>
    </row>
    <row r="1048204" spans="2:8" ht="27" customHeight="1">
      <c r="B1048204" s="46"/>
      <c r="C1048204" s="46"/>
      <c r="D1048204" s="46"/>
      <c r="E1048204" s="46"/>
      <c r="F1048204" s="46"/>
      <c r="G1048204" s="46"/>
      <c r="H1048204" s="46"/>
    </row>
    <row r="1048205" spans="2:8" ht="27" customHeight="1">
      <c r="B1048205" s="46"/>
      <c r="C1048205" s="46"/>
      <c r="D1048205" s="46"/>
      <c r="E1048205" s="46"/>
      <c r="F1048205" s="46"/>
      <c r="G1048205" s="46"/>
      <c r="H1048205" s="46"/>
    </row>
    <row r="1048206" spans="2:8" ht="27" customHeight="1">
      <c r="B1048206" s="46"/>
      <c r="C1048206" s="46"/>
      <c r="D1048206" s="46"/>
      <c r="E1048206" s="46"/>
      <c r="F1048206" s="46"/>
      <c r="G1048206" s="46"/>
      <c r="H1048206" s="46"/>
    </row>
    <row r="1048207" spans="2:8" ht="27" customHeight="1">
      <c r="B1048207" s="46"/>
      <c r="C1048207" s="46"/>
      <c r="D1048207" s="46"/>
      <c r="E1048207" s="46"/>
      <c r="F1048207" s="46"/>
      <c r="G1048207" s="46"/>
      <c r="H1048207" s="46"/>
    </row>
    <row r="1048208" spans="2:8" ht="27" customHeight="1">
      <c r="B1048208" s="46"/>
      <c r="C1048208" s="46"/>
      <c r="D1048208" s="46"/>
      <c r="E1048208" s="46"/>
      <c r="F1048208" s="46"/>
      <c r="G1048208" s="46"/>
      <c r="H1048208" s="46"/>
    </row>
    <row r="1048209" spans="2:8" ht="27" customHeight="1">
      <c r="B1048209" s="46"/>
      <c r="C1048209" s="46"/>
      <c r="D1048209" s="46"/>
      <c r="E1048209" s="46"/>
      <c r="F1048209" s="46"/>
      <c r="G1048209" s="46"/>
      <c r="H1048209" s="46"/>
    </row>
    <row r="1048210" spans="2:8" ht="27" customHeight="1">
      <c r="B1048210" s="46"/>
      <c r="C1048210" s="46"/>
      <c r="D1048210" s="46"/>
      <c r="E1048210" s="46"/>
      <c r="F1048210" s="46"/>
      <c r="G1048210" s="46"/>
      <c r="H1048210" s="46"/>
    </row>
    <row r="1048211" spans="2:8" ht="27" customHeight="1">
      <c r="B1048211" s="46"/>
      <c r="C1048211" s="46"/>
      <c r="D1048211" s="46"/>
      <c r="E1048211" s="46"/>
      <c r="F1048211" s="46"/>
      <c r="G1048211" s="46"/>
      <c r="H1048211" s="46"/>
    </row>
    <row r="1048212" spans="2:8" ht="27" customHeight="1">
      <c r="B1048212" s="46"/>
      <c r="C1048212" s="46"/>
      <c r="D1048212" s="46"/>
      <c r="E1048212" s="46"/>
      <c r="F1048212" s="46"/>
      <c r="G1048212" s="46"/>
      <c r="H1048212" s="46"/>
    </row>
    <row r="1048213" spans="2:8" ht="27" customHeight="1">
      <c r="B1048213" s="46"/>
      <c r="C1048213" s="46"/>
      <c r="D1048213" s="46"/>
      <c r="E1048213" s="46"/>
      <c r="F1048213" s="46"/>
      <c r="G1048213" s="46"/>
      <c r="H1048213" s="46"/>
    </row>
    <row r="1048214" spans="2:8" ht="27" customHeight="1">
      <c r="B1048214" s="46"/>
      <c r="C1048214" s="46"/>
      <c r="D1048214" s="46"/>
      <c r="E1048214" s="46"/>
      <c r="F1048214" s="46"/>
      <c r="G1048214" s="46"/>
      <c r="H1048214" s="46"/>
    </row>
    <row r="1048215" spans="2:8" ht="27" customHeight="1">
      <c r="B1048215" s="46"/>
      <c r="C1048215" s="46"/>
      <c r="D1048215" s="46"/>
      <c r="E1048215" s="46"/>
      <c r="F1048215" s="46"/>
      <c r="G1048215" s="46"/>
      <c r="H1048215" s="46"/>
    </row>
    <row r="1048216" spans="2:8" ht="27" customHeight="1">
      <c r="B1048216" s="46"/>
      <c r="C1048216" s="46"/>
      <c r="D1048216" s="46"/>
      <c r="E1048216" s="46"/>
      <c r="F1048216" s="46"/>
      <c r="G1048216" s="46"/>
      <c r="H1048216" s="46"/>
    </row>
    <row r="1048217" spans="2:8" ht="27" customHeight="1">
      <c r="B1048217" s="46"/>
      <c r="C1048217" s="46"/>
      <c r="D1048217" s="46"/>
      <c r="E1048217" s="46"/>
      <c r="F1048217" s="46"/>
      <c r="G1048217" s="46"/>
      <c r="H1048217" s="46"/>
    </row>
    <row r="1048218" spans="2:8" ht="27" customHeight="1">
      <c r="B1048218" s="46"/>
      <c r="C1048218" s="46"/>
      <c r="D1048218" s="46"/>
      <c r="E1048218" s="46"/>
      <c r="F1048218" s="46"/>
      <c r="G1048218" s="46"/>
      <c r="H1048218" s="46"/>
    </row>
    <row r="1048219" spans="2:8" ht="27" customHeight="1">
      <c r="B1048219" s="46"/>
      <c r="C1048219" s="46"/>
      <c r="D1048219" s="46"/>
      <c r="E1048219" s="46"/>
      <c r="F1048219" s="46"/>
      <c r="G1048219" s="46"/>
      <c r="H1048219" s="46"/>
    </row>
    <row r="1048220" spans="2:8" ht="27" customHeight="1">
      <c r="B1048220" s="46"/>
      <c r="C1048220" s="46"/>
      <c r="D1048220" s="46"/>
      <c r="E1048220" s="46"/>
      <c r="F1048220" s="46"/>
      <c r="G1048220" s="46"/>
      <c r="H1048220" s="46"/>
    </row>
    <row r="1048221" spans="2:8" ht="27" customHeight="1">
      <c r="B1048221" s="46"/>
      <c r="C1048221" s="46"/>
      <c r="D1048221" s="46"/>
      <c r="E1048221" s="46"/>
      <c r="F1048221" s="46"/>
      <c r="G1048221" s="46"/>
      <c r="H1048221" s="46"/>
    </row>
    <row r="1048222" spans="2:8" ht="27" customHeight="1">
      <c r="B1048222" s="46"/>
      <c r="C1048222" s="46"/>
      <c r="D1048222" s="46"/>
      <c r="E1048222" s="46"/>
      <c r="F1048222" s="46"/>
      <c r="G1048222" s="46"/>
      <c r="H1048222" s="46"/>
    </row>
    <row r="1048223" spans="2:8" ht="27" customHeight="1">
      <c r="B1048223" s="46"/>
      <c r="C1048223" s="46"/>
      <c r="D1048223" s="46"/>
      <c r="E1048223" s="46"/>
      <c r="F1048223" s="46"/>
      <c r="G1048223" s="46"/>
      <c r="H1048223" s="46"/>
    </row>
    <row r="1048224" spans="2:8" ht="27" customHeight="1">
      <c r="B1048224" s="46"/>
      <c r="C1048224" s="46"/>
      <c r="D1048224" s="46"/>
      <c r="E1048224" s="46"/>
      <c r="F1048224" s="46"/>
      <c r="G1048224" s="46"/>
      <c r="H1048224" s="46"/>
    </row>
    <row r="1048225" spans="2:8" ht="27" customHeight="1">
      <c r="B1048225" s="46"/>
      <c r="C1048225" s="46"/>
      <c r="D1048225" s="46"/>
      <c r="E1048225" s="46"/>
      <c r="F1048225" s="46"/>
      <c r="G1048225" s="46"/>
      <c r="H1048225" s="46"/>
    </row>
    <row r="1048226" spans="2:8" ht="27" customHeight="1">
      <c r="B1048226" s="46"/>
      <c r="C1048226" s="46"/>
      <c r="D1048226" s="46"/>
      <c r="E1048226" s="46"/>
      <c r="F1048226" s="46"/>
      <c r="G1048226" s="46"/>
      <c r="H1048226" s="46"/>
    </row>
    <row r="1048227" spans="2:8" ht="27" customHeight="1">
      <c r="B1048227" s="46"/>
      <c r="C1048227" s="46"/>
      <c r="D1048227" s="46"/>
      <c r="E1048227" s="46"/>
      <c r="F1048227" s="46"/>
      <c r="G1048227" s="46"/>
      <c r="H1048227" s="46"/>
    </row>
    <row r="1048228" spans="2:8" ht="27" customHeight="1">
      <c r="B1048228" s="46"/>
      <c r="C1048228" s="46"/>
      <c r="D1048228" s="46"/>
      <c r="E1048228" s="46"/>
      <c r="F1048228" s="46"/>
      <c r="G1048228" s="46"/>
      <c r="H1048228" s="46"/>
    </row>
    <row r="1048229" spans="2:8" ht="27" customHeight="1">
      <c r="B1048229" s="46"/>
      <c r="C1048229" s="46"/>
      <c r="D1048229" s="46"/>
      <c r="E1048229" s="46"/>
      <c r="F1048229" s="46"/>
      <c r="G1048229" s="46"/>
      <c r="H1048229" s="46"/>
    </row>
    <row r="1048230" spans="2:8" ht="27" customHeight="1">
      <c r="B1048230" s="46"/>
      <c r="C1048230" s="46"/>
      <c r="D1048230" s="46"/>
      <c r="E1048230" s="46"/>
      <c r="F1048230" s="46"/>
      <c r="G1048230" s="46"/>
      <c r="H1048230" s="46"/>
    </row>
    <row r="1048231" spans="2:8" ht="27" customHeight="1">
      <c r="B1048231" s="46"/>
      <c r="C1048231" s="46"/>
      <c r="D1048231" s="46"/>
      <c r="E1048231" s="46"/>
      <c r="F1048231" s="46"/>
      <c r="G1048231" s="46"/>
      <c r="H1048231" s="46"/>
    </row>
    <row r="1048232" spans="2:8" ht="27" customHeight="1">
      <c r="B1048232" s="46"/>
      <c r="C1048232" s="46"/>
      <c r="D1048232" s="46"/>
      <c r="E1048232" s="46"/>
      <c r="F1048232" s="46"/>
      <c r="G1048232" s="46"/>
      <c r="H1048232" s="46"/>
    </row>
    <row r="1048233" spans="2:8" ht="27" customHeight="1">
      <c r="B1048233" s="46"/>
      <c r="C1048233" s="46"/>
      <c r="D1048233" s="46"/>
      <c r="E1048233" s="46"/>
      <c r="F1048233" s="46"/>
      <c r="G1048233" s="46"/>
      <c r="H1048233" s="46"/>
    </row>
    <row r="1048234" spans="2:8" ht="27" customHeight="1">
      <c r="B1048234" s="46"/>
      <c r="C1048234" s="46"/>
      <c r="D1048234" s="46"/>
      <c r="E1048234" s="46"/>
      <c r="F1048234" s="46"/>
      <c r="G1048234" s="46"/>
      <c r="H1048234" s="46"/>
    </row>
    <row r="1048235" spans="2:8" ht="27" customHeight="1">
      <c r="B1048235" s="46"/>
      <c r="C1048235" s="46"/>
      <c r="D1048235" s="46"/>
      <c r="E1048235" s="46"/>
      <c r="F1048235" s="46"/>
      <c r="G1048235" s="46"/>
      <c r="H1048235" s="46"/>
    </row>
    <row r="1048236" spans="2:8" ht="27" customHeight="1">
      <c r="B1048236" s="46"/>
      <c r="C1048236" s="46"/>
      <c r="D1048236" s="46"/>
      <c r="E1048236" s="46"/>
      <c r="F1048236" s="46"/>
      <c r="G1048236" s="46"/>
      <c r="H1048236" s="46"/>
    </row>
    <row r="1048237" spans="2:8" ht="27" customHeight="1">
      <c r="B1048237" s="46"/>
      <c r="C1048237" s="46"/>
      <c r="D1048237" s="46"/>
      <c r="E1048237" s="46"/>
      <c r="F1048237" s="46"/>
      <c r="G1048237" s="46"/>
      <c r="H1048237" s="46"/>
    </row>
    <row r="1048238" spans="2:8" ht="27" customHeight="1">
      <c r="B1048238" s="46"/>
      <c r="C1048238" s="46"/>
      <c r="D1048238" s="46"/>
      <c r="E1048238" s="46"/>
      <c r="F1048238" s="46"/>
      <c r="G1048238" s="46"/>
      <c r="H1048238" s="46"/>
    </row>
    <row r="1048239" spans="2:8" ht="27" customHeight="1">
      <c r="B1048239" s="46"/>
      <c r="C1048239" s="46"/>
      <c r="D1048239" s="46"/>
      <c r="E1048239" s="46"/>
      <c r="F1048239" s="46"/>
      <c r="G1048239" s="46"/>
      <c r="H1048239" s="46"/>
    </row>
    <row r="1048240" spans="2:8" ht="27" customHeight="1">
      <c r="B1048240" s="46"/>
      <c r="C1048240" s="46"/>
      <c r="D1048240" s="46"/>
      <c r="E1048240" s="46"/>
      <c r="F1048240" s="46"/>
      <c r="G1048240" s="46"/>
      <c r="H1048240" s="46"/>
    </row>
    <row r="1048241" spans="2:8" ht="27" customHeight="1">
      <c r="B1048241" s="46"/>
      <c r="C1048241" s="46"/>
      <c r="D1048241" s="46"/>
      <c r="E1048241" s="46"/>
      <c r="F1048241" s="46"/>
      <c r="G1048241" s="46"/>
      <c r="H1048241" s="46"/>
    </row>
    <row r="1048242" spans="2:8" ht="27" customHeight="1">
      <c r="B1048242" s="46"/>
      <c r="C1048242" s="46"/>
      <c r="D1048242" s="46"/>
      <c r="E1048242" s="46"/>
      <c r="F1048242" s="46"/>
      <c r="G1048242" s="46"/>
      <c r="H1048242" s="46"/>
    </row>
    <row r="1048243" spans="2:8" ht="27" customHeight="1">
      <c r="B1048243" s="46"/>
      <c r="C1048243" s="46"/>
      <c r="D1048243" s="46"/>
      <c r="E1048243" s="46"/>
      <c r="F1048243" s="46"/>
      <c r="G1048243" s="46"/>
      <c r="H1048243" s="46"/>
    </row>
    <row r="1048244" spans="2:8" ht="27" customHeight="1">
      <c r="B1048244" s="46"/>
      <c r="C1048244" s="46"/>
      <c r="D1048244" s="46"/>
      <c r="E1048244" s="46"/>
      <c r="F1048244" s="46"/>
      <c r="G1048244" s="46"/>
      <c r="H1048244" s="46"/>
    </row>
    <row r="1048245" spans="2:8" ht="27" customHeight="1">
      <c r="B1048245" s="46"/>
      <c r="C1048245" s="46"/>
      <c r="D1048245" s="46"/>
      <c r="E1048245" s="46"/>
      <c r="F1048245" s="46"/>
      <c r="G1048245" s="46"/>
      <c r="H1048245" s="46"/>
    </row>
    <row r="1048246" spans="2:8" ht="27" customHeight="1">
      <c r="B1048246" s="46"/>
      <c r="C1048246" s="46"/>
      <c r="D1048246" s="46"/>
      <c r="E1048246" s="46"/>
      <c r="F1048246" s="46"/>
      <c r="G1048246" s="46"/>
      <c r="H1048246" s="46"/>
    </row>
    <row r="1048247" spans="2:8" ht="27" customHeight="1">
      <c r="B1048247" s="46"/>
      <c r="C1048247" s="46"/>
      <c r="D1048247" s="46"/>
      <c r="E1048247" s="46"/>
      <c r="F1048247" s="46"/>
      <c r="G1048247" s="46"/>
      <c r="H1048247" s="46"/>
    </row>
    <row r="1048248" spans="2:8" ht="27" customHeight="1">
      <c r="B1048248" s="46"/>
      <c r="C1048248" s="46"/>
      <c r="D1048248" s="46"/>
      <c r="E1048248" s="46"/>
      <c r="F1048248" s="46"/>
      <c r="G1048248" s="46"/>
      <c r="H1048248" s="46"/>
    </row>
    <row r="1048249" spans="2:8" ht="27" customHeight="1">
      <c r="B1048249" s="46"/>
      <c r="C1048249" s="46"/>
      <c r="D1048249" s="46"/>
      <c r="E1048249" s="46"/>
      <c r="F1048249" s="46"/>
      <c r="G1048249" s="46"/>
      <c r="H1048249" s="46"/>
    </row>
    <row r="1048250" spans="2:8" ht="27" customHeight="1">
      <c r="B1048250" s="46"/>
      <c r="C1048250" s="46"/>
      <c r="D1048250" s="46"/>
      <c r="E1048250" s="46"/>
      <c r="F1048250" s="46"/>
      <c r="G1048250" s="46"/>
      <c r="H1048250" s="46"/>
    </row>
    <row r="1048251" spans="2:8" ht="27" customHeight="1">
      <c r="B1048251" s="46"/>
      <c r="C1048251" s="46"/>
      <c r="D1048251" s="46"/>
      <c r="E1048251" s="46"/>
      <c r="F1048251" s="46"/>
      <c r="G1048251" s="46"/>
      <c r="H1048251" s="46"/>
    </row>
    <row r="1048252" spans="2:8" ht="27" customHeight="1">
      <c r="B1048252" s="46"/>
      <c r="C1048252" s="46"/>
      <c r="D1048252" s="46"/>
      <c r="E1048252" s="46"/>
      <c r="F1048252" s="46"/>
      <c r="G1048252" s="46"/>
      <c r="H1048252" s="46"/>
    </row>
    <row r="1048253" spans="2:8" ht="27" customHeight="1">
      <c r="B1048253" s="46"/>
      <c r="C1048253" s="46"/>
      <c r="D1048253" s="46"/>
      <c r="E1048253" s="46"/>
      <c r="F1048253" s="46"/>
      <c r="G1048253" s="46"/>
      <c r="H1048253" s="46"/>
    </row>
    <row r="1048254" spans="2:8" ht="27" customHeight="1">
      <c r="B1048254" s="46"/>
      <c r="C1048254" s="46"/>
      <c r="D1048254" s="46"/>
      <c r="E1048254" s="46"/>
      <c r="F1048254" s="46"/>
      <c r="G1048254" s="46"/>
      <c r="H1048254" s="46"/>
    </row>
    <row r="1048255" spans="2:8" ht="27" customHeight="1">
      <c r="B1048255" s="46"/>
      <c r="C1048255" s="46"/>
      <c r="D1048255" s="46"/>
      <c r="E1048255" s="46"/>
      <c r="F1048255" s="46"/>
      <c r="G1048255" s="46"/>
      <c r="H1048255" s="46"/>
    </row>
    <row r="1048256" spans="2:8" ht="27" customHeight="1">
      <c r="B1048256" s="46"/>
      <c r="C1048256" s="46"/>
      <c r="D1048256" s="46"/>
      <c r="E1048256" s="46"/>
      <c r="F1048256" s="46"/>
      <c r="G1048256" s="46"/>
      <c r="H1048256" s="46"/>
    </row>
    <row r="1048257" spans="2:8" ht="27" customHeight="1">
      <c r="B1048257" s="46"/>
      <c r="C1048257" s="46"/>
      <c r="D1048257" s="46"/>
      <c r="E1048257" s="46"/>
      <c r="F1048257" s="46"/>
      <c r="G1048257" s="46"/>
      <c r="H1048257" s="46"/>
    </row>
    <row r="1048258" spans="2:8" ht="27" customHeight="1">
      <c r="B1048258" s="46"/>
      <c r="C1048258" s="46"/>
      <c r="D1048258" s="46"/>
      <c r="E1048258" s="46"/>
      <c r="F1048258" s="46"/>
      <c r="G1048258" s="46"/>
      <c r="H1048258" s="46"/>
    </row>
    <row r="1048259" spans="2:8" ht="27" customHeight="1">
      <c r="B1048259" s="46"/>
      <c r="C1048259" s="46"/>
      <c r="D1048259" s="46"/>
      <c r="E1048259" s="46"/>
      <c r="F1048259" s="46"/>
      <c r="G1048259" s="46"/>
      <c r="H1048259" s="46"/>
    </row>
    <row r="1048260" spans="2:8" ht="27" customHeight="1">
      <c r="B1048260" s="46"/>
      <c r="C1048260" s="46"/>
      <c r="D1048260" s="46"/>
      <c r="E1048260" s="46"/>
      <c r="F1048260" s="46"/>
      <c r="G1048260" s="46"/>
      <c r="H1048260" s="46"/>
    </row>
    <row r="1048261" spans="2:8" ht="27" customHeight="1">
      <c r="B1048261" s="46"/>
      <c r="C1048261" s="46"/>
      <c r="D1048261" s="46"/>
      <c r="E1048261" s="46"/>
      <c r="F1048261" s="46"/>
      <c r="G1048261" s="46"/>
      <c r="H1048261" s="46"/>
    </row>
    <row r="1048262" spans="2:8" ht="27" customHeight="1">
      <c r="B1048262" s="46"/>
      <c r="C1048262" s="46"/>
      <c r="D1048262" s="46"/>
      <c r="E1048262" s="46"/>
      <c r="F1048262" s="46"/>
      <c r="G1048262" s="46"/>
      <c r="H1048262" s="46"/>
    </row>
    <row r="1048263" spans="2:8" ht="27" customHeight="1">
      <c r="B1048263" s="46"/>
      <c r="C1048263" s="46"/>
      <c r="D1048263" s="46"/>
      <c r="E1048263" s="46"/>
      <c r="F1048263" s="46"/>
      <c r="G1048263" s="46"/>
      <c r="H1048263" s="46"/>
    </row>
    <row r="1048264" spans="2:8" ht="27" customHeight="1">
      <c r="B1048264" s="46"/>
      <c r="C1048264" s="46"/>
      <c r="D1048264" s="46"/>
      <c r="E1048264" s="46"/>
      <c r="F1048264" s="46"/>
      <c r="G1048264" s="46"/>
      <c r="H1048264" s="46"/>
    </row>
    <row r="1048265" spans="2:8" ht="27" customHeight="1">
      <c r="B1048265" s="46"/>
      <c r="C1048265" s="46"/>
      <c r="D1048265" s="46"/>
      <c r="E1048265" s="46"/>
      <c r="F1048265" s="46"/>
      <c r="G1048265" s="46"/>
      <c r="H1048265" s="46"/>
    </row>
    <row r="1048266" spans="2:8" ht="27" customHeight="1">
      <c r="B1048266" s="46"/>
      <c r="C1048266" s="46"/>
      <c r="D1048266" s="46"/>
      <c r="E1048266" s="46"/>
      <c r="F1048266" s="46"/>
      <c r="G1048266" s="46"/>
      <c r="H1048266" s="46"/>
    </row>
    <row r="1048267" spans="2:8" ht="27" customHeight="1">
      <c r="B1048267" s="46"/>
      <c r="C1048267" s="46"/>
      <c r="D1048267" s="46"/>
      <c r="E1048267" s="46"/>
      <c r="F1048267" s="46"/>
      <c r="G1048267" s="46"/>
      <c r="H1048267" s="46"/>
    </row>
    <row r="1048268" spans="2:8" ht="27" customHeight="1">
      <c r="B1048268" s="46"/>
      <c r="C1048268" s="46"/>
      <c r="D1048268" s="46"/>
      <c r="E1048268" s="46"/>
      <c r="F1048268" s="46"/>
      <c r="G1048268" s="46"/>
      <c r="H1048268" s="46"/>
    </row>
    <row r="1048269" spans="2:8" ht="27" customHeight="1">
      <c r="B1048269" s="46"/>
      <c r="C1048269" s="46"/>
      <c r="D1048269" s="46"/>
      <c r="E1048269" s="46"/>
      <c r="F1048269" s="46"/>
      <c r="G1048269" s="46"/>
      <c r="H1048269" s="46"/>
    </row>
    <row r="1048270" spans="2:8" ht="27" customHeight="1">
      <c r="B1048270" s="46"/>
      <c r="C1048270" s="46"/>
      <c r="D1048270" s="46"/>
      <c r="E1048270" s="46"/>
      <c r="F1048270" s="46"/>
      <c r="G1048270" s="46"/>
      <c r="H1048270" s="46"/>
    </row>
    <row r="1048271" spans="2:8" ht="27" customHeight="1">
      <c r="B1048271" s="46"/>
      <c r="C1048271" s="46"/>
      <c r="D1048271" s="46"/>
      <c r="E1048271" s="46"/>
      <c r="F1048271" s="46"/>
      <c r="G1048271" s="46"/>
      <c r="H1048271" s="46"/>
    </row>
    <row r="1048272" spans="2:8" ht="27" customHeight="1">
      <c r="B1048272" s="46"/>
      <c r="C1048272" s="46"/>
      <c r="D1048272" s="46"/>
      <c r="E1048272" s="46"/>
      <c r="F1048272" s="46"/>
      <c r="G1048272" s="46"/>
      <c r="H1048272" s="46"/>
    </row>
    <row r="1048273" spans="2:8" ht="27" customHeight="1">
      <c r="B1048273" s="46"/>
      <c r="C1048273" s="46"/>
      <c r="D1048273" s="46"/>
      <c r="E1048273" s="46"/>
      <c r="F1048273" s="46"/>
      <c r="G1048273" s="46"/>
      <c r="H1048273" s="46"/>
    </row>
    <row r="1048274" spans="2:8" ht="27" customHeight="1">
      <c r="B1048274" s="46"/>
      <c r="C1048274" s="46"/>
      <c r="D1048274" s="46"/>
      <c r="E1048274" s="46"/>
      <c r="F1048274" s="46"/>
      <c r="G1048274" s="46"/>
      <c r="H1048274" s="46"/>
    </row>
    <row r="1048275" spans="2:8" ht="27" customHeight="1">
      <c r="B1048275" s="46"/>
      <c r="C1048275" s="46"/>
      <c r="D1048275" s="46"/>
      <c r="E1048275" s="46"/>
      <c r="F1048275" s="46"/>
      <c r="G1048275" s="46"/>
      <c r="H1048275" s="46"/>
    </row>
    <row r="1048276" spans="2:8" ht="27" customHeight="1">
      <c r="B1048276" s="46"/>
      <c r="C1048276" s="46"/>
      <c r="D1048276" s="46"/>
      <c r="E1048276" s="46"/>
      <c r="F1048276" s="46"/>
      <c r="G1048276" s="46"/>
      <c r="H1048276" s="46"/>
    </row>
    <row r="1048277" spans="2:8" ht="27" customHeight="1">
      <c r="B1048277" s="46"/>
      <c r="C1048277" s="46"/>
      <c r="D1048277" s="46"/>
      <c r="E1048277" s="46"/>
      <c r="F1048277" s="46"/>
      <c r="G1048277" s="46"/>
      <c r="H1048277" s="46"/>
    </row>
    <row r="1048278" spans="2:8" ht="27" customHeight="1">
      <c r="B1048278" s="46"/>
      <c r="C1048278" s="46"/>
      <c r="D1048278" s="46"/>
      <c r="E1048278" s="46"/>
      <c r="F1048278" s="46"/>
      <c r="G1048278" s="46"/>
      <c r="H1048278" s="46"/>
    </row>
    <row r="1048279" spans="2:8" ht="27" customHeight="1">
      <c r="B1048279" s="46"/>
      <c r="C1048279" s="46"/>
      <c r="D1048279" s="46"/>
      <c r="E1048279" s="46"/>
      <c r="F1048279" s="46"/>
      <c r="G1048279" s="46"/>
      <c r="H1048279" s="46"/>
    </row>
    <row r="1048280" spans="2:8" ht="27" customHeight="1">
      <c r="B1048280" s="46"/>
      <c r="C1048280" s="46"/>
      <c r="D1048280" s="46"/>
      <c r="E1048280" s="46"/>
      <c r="F1048280" s="46"/>
      <c r="G1048280" s="46"/>
      <c r="H1048280" s="46"/>
    </row>
    <row r="1048281" spans="2:8" ht="27" customHeight="1">
      <c r="B1048281" s="46"/>
      <c r="C1048281" s="46"/>
      <c r="D1048281" s="46"/>
      <c r="E1048281" s="46"/>
      <c r="F1048281" s="46"/>
      <c r="G1048281" s="46"/>
      <c r="H1048281" s="46"/>
    </row>
    <row r="1048282" spans="2:8" ht="27" customHeight="1">
      <c r="B1048282" s="46"/>
      <c r="C1048282" s="46"/>
      <c r="D1048282" s="46"/>
      <c r="E1048282" s="46"/>
      <c r="F1048282" s="46"/>
      <c r="G1048282" s="46"/>
      <c r="H1048282" s="46"/>
    </row>
    <row r="1048283" spans="2:8" ht="27" customHeight="1">
      <c r="B1048283" s="46"/>
      <c r="C1048283" s="46"/>
      <c r="D1048283" s="46"/>
      <c r="E1048283" s="46"/>
      <c r="F1048283" s="46"/>
      <c r="G1048283" s="46"/>
      <c r="H1048283" s="46"/>
    </row>
    <row r="1048284" spans="2:8" ht="27" customHeight="1">
      <c r="B1048284" s="46"/>
      <c r="C1048284" s="46"/>
      <c r="D1048284" s="46"/>
      <c r="E1048284" s="46"/>
      <c r="F1048284" s="46"/>
      <c r="G1048284" s="46"/>
      <c r="H1048284" s="46"/>
    </row>
    <row r="1048285" spans="2:8" ht="27" customHeight="1">
      <c r="B1048285" s="46"/>
      <c r="C1048285" s="46"/>
      <c r="D1048285" s="46"/>
      <c r="E1048285" s="46"/>
      <c r="F1048285" s="46"/>
      <c r="G1048285" s="46"/>
      <c r="H1048285" s="46"/>
    </row>
    <row r="1048286" spans="2:8" ht="27" customHeight="1">
      <c r="B1048286" s="46"/>
      <c r="C1048286" s="46"/>
      <c r="D1048286" s="46"/>
      <c r="E1048286" s="46"/>
      <c r="F1048286" s="46"/>
      <c r="G1048286" s="46"/>
      <c r="H1048286" s="46"/>
    </row>
    <row r="1048287" spans="2:8" ht="27" customHeight="1">
      <c r="B1048287" s="46"/>
      <c r="C1048287" s="46"/>
      <c r="D1048287" s="46"/>
      <c r="E1048287" s="46"/>
      <c r="F1048287" s="46"/>
      <c r="G1048287" s="46"/>
      <c r="H1048287" s="46"/>
    </row>
    <row r="1048288" spans="2:8" ht="27" customHeight="1">
      <c r="B1048288" s="46"/>
      <c r="C1048288" s="46"/>
      <c r="D1048288" s="46"/>
      <c r="E1048288" s="46"/>
      <c r="F1048288" s="46"/>
      <c r="G1048288" s="46"/>
      <c r="H1048288" s="46"/>
    </row>
    <row r="1048289" spans="2:8" ht="27" customHeight="1">
      <c r="B1048289" s="46"/>
      <c r="C1048289" s="46"/>
      <c r="D1048289" s="46"/>
      <c r="E1048289" s="46"/>
      <c r="F1048289" s="46"/>
      <c r="G1048289" s="46"/>
      <c r="H1048289" s="46"/>
    </row>
    <row r="1048290" spans="2:8" ht="27" customHeight="1">
      <c r="B1048290" s="46"/>
      <c r="C1048290" s="46"/>
      <c r="D1048290" s="46"/>
      <c r="E1048290" s="46"/>
      <c r="F1048290" s="46"/>
      <c r="G1048290" s="46"/>
      <c r="H1048290" s="46"/>
    </row>
    <row r="1048291" spans="2:8" ht="27" customHeight="1">
      <c r="B1048291" s="46"/>
      <c r="C1048291" s="46"/>
      <c r="D1048291" s="46"/>
      <c r="E1048291" s="46"/>
      <c r="F1048291" s="46"/>
      <c r="G1048291" s="46"/>
      <c r="H1048291" s="46"/>
    </row>
    <row r="1048292" spans="2:8" ht="27" customHeight="1">
      <c r="B1048292" s="46"/>
      <c r="C1048292" s="46"/>
      <c r="D1048292" s="46"/>
      <c r="E1048292" s="46"/>
      <c r="F1048292" s="46"/>
      <c r="G1048292" s="46"/>
      <c r="H1048292" s="46"/>
    </row>
    <row r="1048293" spans="2:8" ht="27" customHeight="1">
      <c r="B1048293" s="46"/>
      <c r="C1048293" s="46"/>
      <c r="D1048293" s="46"/>
      <c r="E1048293" s="46"/>
      <c r="F1048293" s="46"/>
      <c r="G1048293" s="46"/>
      <c r="H1048293" s="46"/>
    </row>
    <row r="1048294" spans="2:8" ht="27" customHeight="1">
      <c r="B1048294" s="46"/>
      <c r="C1048294" s="46"/>
      <c r="D1048294" s="46"/>
      <c r="E1048294" s="46"/>
      <c r="F1048294" s="46"/>
      <c r="G1048294" s="46"/>
      <c r="H1048294" s="46"/>
    </row>
    <row r="1048295" spans="2:8" ht="27" customHeight="1">
      <c r="B1048295" s="46"/>
      <c r="C1048295" s="46"/>
      <c r="D1048295" s="46"/>
      <c r="E1048295" s="46"/>
      <c r="F1048295" s="46"/>
      <c r="G1048295" s="46"/>
      <c r="H1048295" s="46"/>
    </row>
    <row r="1048296" spans="2:8" ht="27" customHeight="1">
      <c r="B1048296" s="46"/>
      <c r="C1048296" s="46"/>
      <c r="D1048296" s="46"/>
      <c r="E1048296" s="46"/>
      <c r="F1048296" s="46"/>
      <c r="G1048296" s="46"/>
      <c r="H1048296" s="46"/>
    </row>
    <row r="1048297" spans="2:8" ht="27" customHeight="1">
      <c r="B1048297" s="46"/>
      <c r="C1048297" s="46"/>
      <c r="D1048297" s="46"/>
      <c r="E1048297" s="46"/>
      <c r="F1048297" s="46"/>
      <c r="G1048297" s="46"/>
      <c r="H1048297" s="46"/>
    </row>
    <row r="1048298" spans="2:8" ht="27" customHeight="1">
      <c r="B1048298" s="46"/>
      <c r="C1048298" s="46"/>
      <c r="D1048298" s="46"/>
      <c r="E1048298" s="46"/>
      <c r="F1048298" s="46"/>
      <c r="G1048298" s="46"/>
      <c r="H1048298" s="46"/>
    </row>
    <row r="1048299" spans="2:8" ht="27" customHeight="1">
      <c r="B1048299" s="46"/>
      <c r="C1048299" s="46"/>
      <c r="D1048299" s="46"/>
      <c r="E1048299" s="46"/>
      <c r="F1048299" s="46"/>
      <c r="G1048299" s="46"/>
      <c r="H1048299" s="46"/>
    </row>
    <row r="1048300" spans="2:8" ht="27" customHeight="1">
      <c r="B1048300" s="46"/>
      <c r="C1048300" s="46"/>
      <c r="D1048300" s="46"/>
      <c r="E1048300" s="46"/>
      <c r="F1048300" s="46"/>
      <c r="G1048300" s="46"/>
      <c r="H1048300" s="46"/>
    </row>
    <row r="1048301" spans="2:8" ht="27" customHeight="1">
      <c r="B1048301" s="46"/>
      <c r="C1048301" s="46"/>
      <c r="D1048301" s="46"/>
      <c r="E1048301" s="46"/>
      <c r="F1048301" s="46"/>
      <c r="G1048301" s="46"/>
      <c r="H1048301" s="46"/>
    </row>
    <row r="1048302" spans="2:8" ht="27" customHeight="1">
      <c r="B1048302" s="46"/>
      <c r="C1048302" s="46"/>
      <c r="D1048302" s="46"/>
      <c r="E1048302" s="46"/>
      <c r="F1048302" s="46"/>
      <c r="G1048302" s="46"/>
      <c r="H1048302" s="46"/>
    </row>
    <row r="1048303" spans="2:8" ht="27" customHeight="1">
      <c r="B1048303" s="46"/>
      <c r="C1048303" s="46"/>
      <c r="D1048303" s="46"/>
      <c r="E1048303" s="46"/>
      <c r="F1048303" s="46"/>
      <c r="G1048303" s="46"/>
      <c r="H1048303" s="46"/>
    </row>
    <row r="1048304" spans="2:8" ht="27" customHeight="1">
      <c r="B1048304" s="46"/>
      <c r="C1048304" s="46"/>
      <c r="D1048304" s="46"/>
      <c r="E1048304" s="46"/>
      <c r="F1048304" s="46"/>
      <c r="G1048304" s="46"/>
      <c r="H1048304" s="46"/>
    </row>
    <row r="1048305" spans="2:8" ht="27" customHeight="1">
      <c r="B1048305" s="46"/>
      <c r="C1048305" s="46"/>
      <c r="D1048305" s="46"/>
      <c r="E1048305" s="46"/>
      <c r="F1048305" s="46"/>
      <c r="G1048305" s="46"/>
      <c r="H1048305" s="46"/>
    </row>
    <row r="1048306" spans="2:8" ht="27" customHeight="1">
      <c r="B1048306" s="46"/>
      <c r="C1048306" s="46"/>
      <c r="D1048306" s="46"/>
      <c r="E1048306" s="46"/>
      <c r="F1048306" s="46"/>
      <c r="G1048306" s="46"/>
      <c r="H1048306" s="46"/>
    </row>
    <row r="1048307" spans="2:8" ht="27" customHeight="1">
      <c r="B1048307" s="46"/>
      <c r="C1048307" s="46"/>
      <c r="D1048307" s="46"/>
      <c r="E1048307" s="46"/>
      <c r="F1048307" s="46"/>
      <c r="G1048307" s="46"/>
      <c r="H1048307" s="46"/>
    </row>
    <row r="1048308" spans="2:8" ht="27" customHeight="1">
      <c r="B1048308" s="46"/>
      <c r="C1048308" s="46"/>
      <c r="D1048308" s="46"/>
      <c r="E1048308" s="46"/>
      <c r="F1048308" s="46"/>
      <c r="G1048308" s="46"/>
      <c r="H1048308" s="46"/>
    </row>
    <row r="1048309" spans="2:8" ht="27" customHeight="1">
      <c r="B1048309" s="46"/>
      <c r="C1048309" s="46"/>
      <c r="D1048309" s="46"/>
      <c r="E1048309" s="46"/>
      <c r="F1048309" s="46"/>
      <c r="G1048309" s="46"/>
      <c r="H1048309" s="46"/>
    </row>
    <row r="1048310" spans="2:8" ht="27" customHeight="1">
      <c r="B1048310" s="46"/>
      <c r="C1048310" s="46"/>
      <c r="D1048310" s="46"/>
      <c r="E1048310" s="46"/>
      <c r="F1048310" s="46"/>
      <c r="G1048310" s="46"/>
      <c r="H1048310" s="46"/>
    </row>
    <row r="1048311" spans="2:8" ht="27" customHeight="1">
      <c r="B1048311" s="46"/>
      <c r="C1048311" s="46"/>
      <c r="D1048311" s="46"/>
      <c r="E1048311" s="46"/>
      <c r="F1048311" s="46"/>
      <c r="G1048311" s="46"/>
      <c r="H1048311" s="46"/>
    </row>
    <row r="1048312" spans="2:8" ht="27" customHeight="1">
      <c r="B1048312" s="46"/>
      <c r="C1048312" s="46"/>
      <c r="D1048312" s="46"/>
      <c r="E1048312" s="46"/>
      <c r="F1048312" s="46"/>
      <c r="G1048312" s="46"/>
      <c r="H1048312" s="46"/>
    </row>
    <row r="1048313" spans="2:8" ht="27" customHeight="1">
      <c r="B1048313" s="46"/>
      <c r="C1048313" s="46"/>
      <c r="D1048313" s="46"/>
      <c r="E1048313" s="46"/>
      <c r="F1048313" s="46"/>
      <c r="G1048313" s="46"/>
      <c r="H1048313" s="46"/>
    </row>
    <row r="1048314" spans="2:8" ht="27" customHeight="1">
      <c r="B1048314" s="46"/>
      <c r="C1048314" s="46"/>
      <c r="D1048314" s="46"/>
      <c r="E1048314" s="46"/>
      <c r="F1048314" s="46"/>
      <c r="G1048314" s="46"/>
      <c r="H1048314" s="46"/>
    </row>
    <row r="1048315" spans="2:8" ht="27" customHeight="1">
      <c r="B1048315" s="46"/>
      <c r="C1048315" s="46"/>
      <c r="D1048315" s="46"/>
      <c r="E1048315" s="46"/>
      <c r="F1048315" s="46"/>
      <c r="G1048315" s="46"/>
      <c r="H1048315" s="46"/>
    </row>
    <row r="1048316" spans="2:8" ht="27" customHeight="1">
      <c r="B1048316" s="46"/>
      <c r="C1048316" s="46"/>
      <c r="D1048316" s="46"/>
      <c r="E1048316" s="46"/>
      <c r="F1048316" s="46"/>
      <c r="G1048316" s="46"/>
      <c r="H1048316" s="46"/>
    </row>
    <row r="1048317" spans="2:8" ht="27" customHeight="1">
      <c r="B1048317" s="46"/>
      <c r="C1048317" s="46"/>
      <c r="D1048317" s="46"/>
      <c r="E1048317" s="46"/>
      <c r="F1048317" s="46"/>
      <c r="G1048317" s="46"/>
      <c r="H1048317" s="46"/>
    </row>
    <row r="1048318" spans="2:8" ht="27" customHeight="1">
      <c r="B1048318" s="46"/>
      <c r="C1048318" s="46"/>
      <c r="D1048318" s="46"/>
      <c r="E1048318" s="46"/>
      <c r="F1048318" s="46"/>
      <c r="G1048318" s="46"/>
      <c r="H1048318" s="46"/>
    </row>
    <row r="1048319" spans="2:8" ht="27" customHeight="1">
      <c r="B1048319" s="46"/>
      <c r="C1048319" s="46"/>
      <c r="D1048319" s="46"/>
      <c r="E1048319" s="46"/>
      <c r="F1048319" s="46"/>
      <c r="G1048319" s="46"/>
      <c r="H1048319" s="46"/>
    </row>
    <row r="1048320" spans="2:8" ht="27" customHeight="1">
      <c r="B1048320" s="46"/>
      <c r="C1048320" s="46"/>
      <c r="D1048320" s="46"/>
      <c r="E1048320" s="46"/>
      <c r="F1048320" s="46"/>
      <c r="G1048320" s="46"/>
      <c r="H1048320" s="46"/>
    </row>
    <row r="1048321" spans="2:8" ht="27" customHeight="1">
      <c r="B1048321" s="46"/>
      <c r="C1048321" s="46"/>
      <c r="D1048321" s="46"/>
      <c r="E1048321" s="46"/>
      <c r="F1048321" s="46"/>
      <c r="G1048321" s="46"/>
      <c r="H1048321" s="46"/>
    </row>
    <row r="1048322" spans="2:8" ht="27" customHeight="1">
      <c r="B1048322" s="46"/>
      <c r="C1048322" s="46"/>
      <c r="D1048322" s="46"/>
      <c r="E1048322" s="46"/>
      <c r="F1048322" s="46"/>
      <c r="G1048322" s="46"/>
      <c r="H1048322" s="46"/>
    </row>
    <row r="1048323" spans="2:8" ht="27" customHeight="1">
      <c r="B1048323" s="46"/>
      <c r="C1048323" s="46"/>
      <c r="D1048323" s="46"/>
      <c r="E1048323" s="46"/>
      <c r="F1048323" s="46"/>
      <c r="G1048323" s="46"/>
      <c r="H1048323" s="46"/>
    </row>
    <row r="1048324" spans="2:8" ht="27" customHeight="1">
      <c r="B1048324" s="46"/>
      <c r="C1048324" s="46"/>
      <c r="D1048324" s="46"/>
      <c r="E1048324" s="46"/>
      <c r="F1048324" s="46"/>
      <c r="G1048324" s="46"/>
      <c r="H1048324" s="46"/>
    </row>
    <row r="1048325" spans="2:8" ht="27" customHeight="1">
      <c r="B1048325" s="46"/>
      <c r="C1048325" s="46"/>
      <c r="D1048325" s="46"/>
      <c r="E1048325" s="46"/>
      <c r="F1048325" s="46"/>
      <c r="G1048325" s="46"/>
      <c r="H1048325" s="46"/>
    </row>
    <row r="1048326" spans="2:8" ht="27" customHeight="1">
      <c r="B1048326" s="46"/>
      <c r="C1048326" s="46"/>
      <c r="D1048326" s="46"/>
      <c r="E1048326" s="46"/>
      <c r="F1048326" s="46"/>
      <c r="G1048326" s="46"/>
      <c r="H1048326" s="46"/>
    </row>
    <row r="1048327" spans="2:8" ht="27" customHeight="1">
      <c r="B1048327" s="46"/>
      <c r="C1048327" s="46"/>
      <c r="D1048327" s="46"/>
      <c r="E1048327" s="46"/>
      <c r="F1048327" s="46"/>
      <c r="G1048327" s="46"/>
      <c r="H1048327" s="46"/>
    </row>
    <row r="1048328" spans="2:8" ht="27" customHeight="1">
      <c r="B1048328" s="46"/>
      <c r="C1048328" s="46"/>
      <c r="D1048328" s="46"/>
      <c r="E1048328" s="46"/>
      <c r="F1048328" s="46"/>
      <c r="G1048328" s="46"/>
      <c r="H1048328" s="46"/>
    </row>
    <row r="1048329" spans="2:8" ht="27" customHeight="1">
      <c r="B1048329" s="46"/>
      <c r="C1048329" s="46"/>
      <c r="D1048329" s="46"/>
      <c r="E1048329" s="46"/>
      <c r="F1048329" s="46"/>
      <c r="G1048329" s="46"/>
      <c r="H1048329" s="46"/>
    </row>
    <row r="1048330" spans="2:8" ht="27" customHeight="1">
      <c r="B1048330" s="46"/>
      <c r="C1048330" s="46"/>
      <c r="D1048330" s="46"/>
      <c r="E1048330" s="46"/>
      <c r="F1048330" s="46"/>
      <c r="G1048330" s="46"/>
      <c r="H1048330" s="46"/>
    </row>
    <row r="1048331" spans="2:8" ht="27" customHeight="1">
      <c r="B1048331" s="46"/>
      <c r="C1048331" s="46"/>
      <c r="D1048331" s="46"/>
      <c r="E1048331" s="46"/>
      <c r="F1048331" s="46"/>
      <c r="G1048331" s="46"/>
      <c r="H1048331" s="46"/>
    </row>
    <row r="1048332" spans="2:8" ht="27" customHeight="1">
      <c r="B1048332" s="46"/>
      <c r="C1048332" s="46"/>
      <c r="D1048332" s="46"/>
      <c r="E1048332" s="46"/>
      <c r="F1048332" s="46"/>
      <c r="G1048332" s="46"/>
      <c r="H1048332" s="46"/>
    </row>
    <row r="1048333" spans="2:8" ht="27" customHeight="1">
      <c r="B1048333" s="46"/>
      <c r="C1048333" s="46"/>
      <c r="D1048333" s="46"/>
      <c r="E1048333" s="46"/>
      <c r="F1048333" s="46"/>
      <c r="G1048333" s="46"/>
      <c r="H1048333" s="46"/>
    </row>
    <row r="1048334" spans="2:8" ht="27" customHeight="1">
      <c r="B1048334" s="46"/>
      <c r="C1048334" s="46"/>
      <c r="D1048334" s="46"/>
      <c r="E1048334" s="46"/>
      <c r="F1048334" s="46"/>
      <c r="G1048334" s="46"/>
      <c r="H1048334" s="46"/>
    </row>
    <row r="1048335" spans="2:8" ht="27" customHeight="1">
      <c r="B1048335" s="46"/>
      <c r="C1048335" s="46"/>
      <c r="D1048335" s="46"/>
      <c r="E1048335" s="46"/>
      <c r="F1048335" s="46"/>
      <c r="G1048335" s="46"/>
      <c r="H1048335" s="46"/>
    </row>
    <row r="1048336" spans="2:8" ht="27" customHeight="1">
      <c r="B1048336" s="46"/>
      <c r="C1048336" s="46"/>
      <c r="D1048336" s="46"/>
      <c r="E1048336" s="46"/>
      <c r="F1048336" s="46"/>
      <c r="G1048336" s="46"/>
      <c r="H1048336" s="46"/>
    </row>
    <row r="1048337" spans="2:8" ht="27" customHeight="1">
      <c r="B1048337" s="46"/>
      <c r="C1048337" s="46"/>
      <c r="D1048337" s="46"/>
      <c r="E1048337" s="46"/>
      <c r="F1048337" s="46"/>
      <c r="G1048337" s="46"/>
      <c r="H1048337" s="46"/>
    </row>
    <row r="1048338" spans="2:8" ht="27" customHeight="1">
      <c r="B1048338" s="46"/>
      <c r="C1048338" s="46"/>
      <c r="D1048338" s="46"/>
      <c r="E1048338" s="46"/>
      <c r="F1048338" s="46"/>
      <c r="G1048338" s="46"/>
      <c r="H1048338" s="46"/>
    </row>
    <row r="1048339" spans="2:8" ht="27" customHeight="1">
      <c r="B1048339" s="46"/>
      <c r="C1048339" s="46"/>
      <c r="D1048339" s="46"/>
      <c r="E1048339" s="46"/>
      <c r="F1048339" s="46"/>
      <c r="G1048339" s="46"/>
      <c r="H1048339" s="46"/>
    </row>
    <row r="1048340" spans="2:8" ht="27" customHeight="1">
      <c r="B1048340" s="46"/>
      <c r="C1048340" s="46"/>
      <c r="D1048340" s="46"/>
      <c r="E1048340" s="46"/>
      <c r="F1048340" s="46"/>
      <c r="G1048340" s="46"/>
      <c r="H1048340" s="46"/>
    </row>
    <row r="1048341" spans="2:8" ht="27" customHeight="1">
      <c r="B1048341" s="46"/>
      <c r="C1048341" s="46"/>
      <c r="D1048341" s="46"/>
      <c r="E1048341" s="46"/>
      <c r="F1048341" s="46"/>
      <c r="G1048341" s="46"/>
      <c r="H1048341" s="46"/>
    </row>
    <row r="1048342" spans="2:8" ht="27" customHeight="1">
      <c r="B1048342" s="46"/>
      <c r="C1048342" s="46"/>
      <c r="D1048342" s="46"/>
      <c r="E1048342" s="46"/>
      <c r="F1048342" s="46"/>
      <c r="G1048342" s="46"/>
      <c r="H1048342" s="46"/>
    </row>
    <row r="1048343" spans="2:8" ht="27" customHeight="1">
      <c r="B1048343" s="46"/>
      <c r="C1048343" s="46"/>
      <c r="D1048343" s="46"/>
      <c r="E1048343" s="46"/>
      <c r="F1048343" s="46"/>
      <c r="G1048343" s="46"/>
      <c r="H1048343" s="46"/>
    </row>
    <row r="1048344" spans="2:8" ht="27" customHeight="1">
      <c r="B1048344" s="46"/>
      <c r="C1048344" s="46"/>
      <c r="D1048344" s="46"/>
      <c r="E1048344" s="46"/>
      <c r="F1048344" s="46"/>
      <c r="G1048344" s="46"/>
      <c r="H1048344" s="46"/>
    </row>
    <row r="1048345" spans="2:8" ht="27" customHeight="1">
      <c r="B1048345" s="46"/>
      <c r="C1048345" s="46"/>
      <c r="D1048345" s="46"/>
      <c r="E1048345" s="46"/>
      <c r="F1048345" s="46"/>
      <c r="G1048345" s="46"/>
      <c r="H1048345" s="46"/>
    </row>
    <row r="1048346" spans="2:8" ht="27" customHeight="1">
      <c r="B1048346" s="46"/>
      <c r="C1048346" s="46"/>
      <c r="D1048346" s="46"/>
      <c r="E1048346" s="46"/>
      <c r="F1048346" s="46"/>
      <c r="G1048346" s="46"/>
      <c r="H1048346" s="46"/>
    </row>
    <row r="1048347" spans="2:8" ht="27" customHeight="1">
      <c r="B1048347" s="46"/>
      <c r="C1048347" s="46"/>
      <c r="D1048347" s="46"/>
      <c r="E1048347" s="46"/>
      <c r="F1048347" s="46"/>
      <c r="G1048347" s="46"/>
      <c r="H1048347" s="46"/>
    </row>
    <row r="1048348" spans="2:8" ht="27" customHeight="1">
      <c r="B1048348" s="46"/>
      <c r="C1048348" s="46"/>
      <c r="D1048348" s="46"/>
      <c r="E1048348" s="46"/>
      <c r="F1048348" s="46"/>
      <c r="G1048348" s="46"/>
      <c r="H1048348" s="46"/>
    </row>
    <row r="1048349" spans="2:8" ht="27" customHeight="1">
      <c r="B1048349" s="46"/>
      <c r="C1048349" s="46"/>
      <c r="D1048349" s="46"/>
      <c r="E1048349" s="46"/>
      <c r="F1048349" s="46"/>
      <c r="G1048349" s="46"/>
      <c r="H1048349" s="46"/>
    </row>
    <row r="1048350" spans="2:8" ht="27" customHeight="1">
      <c r="B1048350" s="46"/>
      <c r="C1048350" s="46"/>
      <c r="D1048350" s="46"/>
      <c r="E1048350" s="46"/>
      <c r="F1048350" s="46"/>
      <c r="G1048350" s="46"/>
      <c r="H1048350" s="46"/>
    </row>
    <row r="1048351" spans="2:8" ht="27" customHeight="1">
      <c r="B1048351" s="46"/>
      <c r="C1048351" s="46"/>
      <c r="D1048351" s="46"/>
      <c r="E1048351" s="46"/>
      <c r="F1048351" s="46"/>
      <c r="G1048351" s="46"/>
      <c r="H1048351" s="46"/>
    </row>
    <row r="1048352" spans="2:8" ht="27" customHeight="1">
      <c r="B1048352" s="46"/>
      <c r="C1048352" s="46"/>
      <c r="D1048352" s="46"/>
      <c r="E1048352" s="46"/>
      <c r="F1048352" s="46"/>
      <c r="G1048352" s="46"/>
      <c r="H1048352" s="46"/>
    </row>
    <row r="1048353" spans="2:8" ht="27" customHeight="1">
      <c r="B1048353" s="46"/>
      <c r="C1048353" s="46"/>
      <c r="D1048353" s="46"/>
      <c r="E1048353" s="46"/>
      <c r="F1048353" s="46"/>
      <c r="G1048353" s="46"/>
      <c r="H1048353" s="46"/>
    </row>
    <row r="1048354" spans="2:8" ht="27" customHeight="1">
      <c r="B1048354" s="46"/>
      <c r="C1048354" s="46"/>
      <c r="D1048354" s="46"/>
      <c r="E1048354" s="46"/>
      <c r="F1048354" s="46"/>
      <c r="G1048354" s="46"/>
      <c r="H1048354" s="46"/>
    </row>
    <row r="1048355" spans="2:8" ht="27" customHeight="1">
      <c r="B1048355" s="46"/>
      <c r="C1048355" s="46"/>
      <c r="D1048355" s="46"/>
      <c r="E1048355" s="46"/>
      <c r="F1048355" s="46"/>
      <c r="G1048355" s="46"/>
      <c r="H1048355" s="46"/>
    </row>
    <row r="1048356" spans="2:8" ht="27" customHeight="1">
      <c r="B1048356" s="46"/>
      <c r="C1048356" s="46"/>
      <c r="D1048356" s="46"/>
      <c r="E1048356" s="46"/>
      <c r="F1048356" s="46"/>
      <c r="G1048356" s="46"/>
      <c r="H1048356" s="46"/>
    </row>
    <row r="1048357" spans="2:8" ht="27" customHeight="1">
      <c r="B1048357" s="46"/>
      <c r="C1048357" s="46"/>
      <c r="D1048357" s="46"/>
      <c r="E1048357" s="46"/>
      <c r="F1048357" s="46"/>
      <c r="G1048357" s="46"/>
      <c r="H1048357" s="46"/>
    </row>
    <row r="1048358" spans="2:8" ht="27" customHeight="1">
      <c r="B1048358" s="46"/>
      <c r="C1048358" s="46"/>
      <c r="D1048358" s="46"/>
      <c r="E1048358" s="46"/>
      <c r="F1048358" s="46"/>
      <c r="G1048358" s="46"/>
      <c r="H1048358" s="46"/>
    </row>
    <row r="1048359" spans="2:8" ht="27" customHeight="1">
      <c r="B1048359" s="46"/>
      <c r="C1048359" s="46"/>
      <c r="D1048359" s="46"/>
      <c r="E1048359" s="46"/>
      <c r="F1048359" s="46"/>
      <c r="G1048359" s="46"/>
      <c r="H1048359" s="46"/>
    </row>
    <row r="1048360" spans="2:8" ht="27" customHeight="1">
      <c r="B1048360" s="46"/>
      <c r="C1048360" s="46"/>
      <c r="D1048360" s="46"/>
      <c r="E1048360" s="46"/>
      <c r="F1048360" s="46"/>
      <c r="G1048360" s="46"/>
      <c r="H1048360" s="46"/>
    </row>
    <row r="1048361" spans="2:8" ht="27" customHeight="1">
      <c r="B1048361" s="46"/>
      <c r="C1048361" s="46"/>
      <c r="D1048361" s="46"/>
      <c r="E1048361" s="46"/>
      <c r="F1048361" s="46"/>
      <c r="G1048361" s="46"/>
      <c r="H1048361" s="46"/>
    </row>
    <row r="1048362" spans="2:8" ht="27" customHeight="1">
      <c r="B1048362" s="46"/>
      <c r="C1048362" s="46"/>
      <c r="D1048362" s="46"/>
      <c r="E1048362" s="46"/>
      <c r="F1048362" s="46"/>
      <c r="G1048362" s="46"/>
      <c r="H1048362" s="46"/>
    </row>
    <row r="1048363" spans="2:8" ht="27" customHeight="1">
      <c r="B1048363" s="46"/>
      <c r="C1048363" s="46"/>
      <c r="D1048363" s="46"/>
      <c r="E1048363" s="46"/>
      <c r="F1048363" s="46"/>
      <c r="G1048363" s="46"/>
      <c r="H1048363" s="46"/>
    </row>
    <row r="1048364" spans="2:8" ht="27" customHeight="1">
      <c r="B1048364" s="46"/>
      <c r="C1048364" s="46"/>
      <c r="D1048364" s="46"/>
      <c r="E1048364" s="46"/>
      <c r="F1048364" s="46"/>
      <c r="G1048364" s="46"/>
      <c r="H1048364" s="46"/>
    </row>
    <row r="1048365" spans="2:8" ht="27" customHeight="1">
      <c r="B1048365" s="46"/>
      <c r="C1048365" s="46"/>
      <c r="D1048365" s="46"/>
      <c r="E1048365" s="46"/>
      <c r="F1048365" s="46"/>
      <c r="G1048365" s="46"/>
      <c r="H1048365" s="46"/>
    </row>
    <row r="1048366" spans="2:8" ht="27" customHeight="1">
      <c r="B1048366" s="46"/>
      <c r="C1048366" s="46"/>
      <c r="D1048366" s="46"/>
      <c r="E1048366" s="46"/>
      <c r="F1048366" s="46"/>
      <c r="G1048366" s="46"/>
      <c r="H1048366" s="46"/>
    </row>
    <row r="1048367" spans="2:8" ht="27" customHeight="1">
      <c r="B1048367" s="46"/>
      <c r="C1048367" s="46"/>
      <c r="D1048367" s="46"/>
      <c r="E1048367" s="46"/>
      <c r="F1048367" s="46"/>
      <c r="G1048367" s="46"/>
      <c r="H1048367" s="46"/>
    </row>
    <row r="1048368" spans="2:8" ht="27" customHeight="1">
      <c r="B1048368" s="46"/>
      <c r="C1048368" s="46"/>
      <c r="D1048368" s="46"/>
      <c r="E1048368" s="46"/>
      <c r="F1048368" s="46"/>
      <c r="G1048368" s="46"/>
      <c r="H1048368" s="46"/>
    </row>
    <row r="1048369" spans="2:8" ht="27" customHeight="1">
      <c r="B1048369" s="46"/>
      <c r="C1048369" s="46"/>
      <c r="D1048369" s="46"/>
      <c r="E1048369" s="46"/>
      <c r="F1048369" s="46"/>
      <c r="G1048369" s="46"/>
      <c r="H1048369" s="46"/>
    </row>
    <row r="1048370" spans="2:8" ht="27" customHeight="1">
      <c r="B1048370" s="46"/>
      <c r="C1048370" s="46"/>
      <c r="D1048370" s="46"/>
      <c r="E1048370" s="46"/>
      <c r="F1048370" s="46"/>
      <c r="G1048370" s="46"/>
      <c r="H1048370" s="46"/>
    </row>
    <row r="1048371" spans="2:8" ht="27" customHeight="1">
      <c r="B1048371" s="46"/>
      <c r="C1048371" s="46"/>
      <c r="D1048371" s="46"/>
      <c r="E1048371" s="46"/>
      <c r="F1048371" s="46"/>
      <c r="G1048371" s="46"/>
      <c r="H1048371" s="46"/>
    </row>
    <row r="1048372" spans="2:8" ht="27" customHeight="1">
      <c r="B1048372" s="46"/>
      <c r="C1048372" s="46"/>
      <c r="D1048372" s="46"/>
      <c r="E1048372" s="46"/>
      <c r="F1048372" s="46"/>
      <c r="G1048372" s="46"/>
      <c r="H1048372" s="46"/>
    </row>
    <row r="1048373" spans="2:8" ht="27" customHeight="1">
      <c r="B1048373" s="46"/>
      <c r="C1048373" s="46"/>
      <c r="D1048373" s="46"/>
      <c r="E1048373" s="46"/>
      <c r="F1048373" s="46"/>
      <c r="G1048373" s="46"/>
      <c r="H1048373" s="46"/>
    </row>
    <row r="1048374" spans="2:8" ht="27" customHeight="1">
      <c r="B1048374" s="46"/>
      <c r="C1048374" s="46"/>
      <c r="D1048374" s="46"/>
      <c r="E1048374" s="46"/>
      <c r="F1048374" s="46"/>
      <c r="G1048374" s="46"/>
      <c r="H1048374" s="46"/>
    </row>
    <row r="1048375" spans="2:8" ht="27" customHeight="1">
      <c r="B1048375" s="46"/>
      <c r="C1048375" s="46"/>
      <c r="D1048375" s="46"/>
      <c r="E1048375" s="46"/>
      <c r="F1048375" s="46"/>
      <c r="G1048375" s="46"/>
      <c r="H1048375" s="46"/>
    </row>
    <row r="1048376" spans="2:8" ht="27" customHeight="1">
      <c r="B1048376" s="46"/>
      <c r="C1048376" s="46"/>
      <c r="D1048376" s="46"/>
      <c r="E1048376" s="46"/>
      <c r="F1048376" s="46"/>
      <c r="G1048376" s="46"/>
      <c r="H1048376" s="46"/>
    </row>
    <row r="1048377" spans="2:8" ht="27" customHeight="1">
      <c r="B1048377" s="46"/>
      <c r="C1048377" s="46"/>
      <c r="D1048377" s="46"/>
      <c r="E1048377" s="46"/>
      <c r="F1048377" s="46"/>
      <c r="G1048377" s="46"/>
      <c r="H1048377" s="46"/>
    </row>
    <row r="1048378" spans="2:8" ht="27" customHeight="1">
      <c r="B1048378" s="46"/>
      <c r="C1048378" s="46"/>
      <c r="D1048378" s="46"/>
      <c r="E1048378" s="46"/>
      <c r="F1048378" s="46"/>
      <c r="G1048378" s="46"/>
      <c r="H1048378" s="46"/>
    </row>
    <row r="1048379" spans="2:8" ht="27" customHeight="1">
      <c r="B1048379" s="46"/>
      <c r="C1048379" s="46"/>
      <c r="D1048379" s="46"/>
      <c r="E1048379" s="46"/>
      <c r="F1048379" s="46"/>
      <c r="G1048379" s="46"/>
      <c r="H1048379" s="46"/>
    </row>
    <row r="1048380" spans="2:8" ht="27" customHeight="1">
      <c r="B1048380" s="46"/>
      <c r="C1048380" s="46"/>
      <c r="D1048380" s="46"/>
      <c r="E1048380" s="46"/>
      <c r="F1048380" s="46"/>
      <c r="G1048380" s="46"/>
      <c r="H1048380" s="46"/>
    </row>
    <row r="1048381" spans="2:8" ht="27" customHeight="1">
      <c r="B1048381" s="46"/>
      <c r="C1048381" s="46"/>
      <c r="D1048381" s="46"/>
      <c r="E1048381" s="46"/>
      <c r="F1048381" s="46"/>
      <c r="G1048381" s="46"/>
      <c r="H1048381" s="46"/>
    </row>
    <row r="1048382" spans="2:8" ht="27" customHeight="1">
      <c r="B1048382" s="46"/>
      <c r="C1048382" s="46"/>
      <c r="D1048382" s="46"/>
      <c r="E1048382" s="46"/>
      <c r="F1048382" s="46"/>
      <c r="G1048382" s="46"/>
      <c r="H1048382" s="46"/>
    </row>
    <row r="1048383" spans="2:8" ht="27" customHeight="1">
      <c r="B1048383" s="46"/>
      <c r="C1048383" s="46"/>
      <c r="D1048383" s="46"/>
      <c r="E1048383" s="46"/>
      <c r="F1048383" s="46"/>
      <c r="G1048383" s="46"/>
      <c r="H1048383" s="46"/>
    </row>
    <row r="1048384" spans="2:8" ht="27" customHeight="1">
      <c r="B1048384" s="46"/>
      <c r="C1048384" s="46"/>
      <c r="D1048384" s="46"/>
      <c r="E1048384" s="46"/>
      <c r="F1048384" s="46"/>
      <c r="G1048384" s="46"/>
      <c r="H1048384" s="46"/>
    </row>
    <row r="1048385" spans="2:8" ht="27" customHeight="1">
      <c r="B1048385" s="46"/>
      <c r="C1048385" s="46"/>
      <c r="D1048385" s="46"/>
      <c r="E1048385" s="46"/>
      <c r="F1048385" s="46"/>
      <c r="G1048385" s="46"/>
      <c r="H1048385" s="46"/>
    </row>
    <row r="1048386" spans="2:8" ht="27" customHeight="1">
      <c r="B1048386" s="46"/>
      <c r="C1048386" s="46"/>
      <c r="D1048386" s="46"/>
      <c r="E1048386" s="46"/>
      <c r="F1048386" s="46"/>
      <c r="G1048386" s="46"/>
      <c r="H1048386" s="46"/>
    </row>
    <row r="1048387" spans="2:8" ht="27" customHeight="1">
      <c r="B1048387" s="46"/>
      <c r="C1048387" s="46"/>
      <c r="D1048387" s="46"/>
      <c r="E1048387" s="46"/>
      <c r="F1048387" s="46"/>
      <c r="G1048387" s="46"/>
      <c r="H1048387" s="46"/>
    </row>
    <row r="1048388" spans="2:8" ht="27" customHeight="1">
      <c r="B1048388" s="46"/>
      <c r="C1048388" s="46"/>
      <c r="D1048388" s="46"/>
      <c r="E1048388" s="46"/>
      <c r="F1048388" s="46"/>
      <c r="G1048388" s="46"/>
      <c r="H1048388" s="46"/>
    </row>
    <row r="1048389" spans="2:8" ht="27" customHeight="1">
      <c r="B1048389" s="46"/>
      <c r="C1048389" s="46"/>
      <c r="D1048389" s="46"/>
      <c r="E1048389" s="46"/>
      <c r="F1048389" s="46"/>
      <c r="G1048389" s="46"/>
      <c r="H1048389" s="46"/>
    </row>
    <row r="1048390" spans="2:8" ht="27" customHeight="1">
      <c r="B1048390" s="46"/>
      <c r="C1048390" s="46"/>
      <c r="D1048390" s="46"/>
      <c r="E1048390" s="46"/>
      <c r="F1048390" s="46"/>
      <c r="G1048390" s="46"/>
      <c r="H1048390" s="46"/>
    </row>
    <row r="1048391" spans="2:8" ht="27" customHeight="1">
      <c r="B1048391" s="46"/>
      <c r="C1048391" s="46"/>
      <c r="D1048391" s="46"/>
      <c r="E1048391" s="46"/>
      <c r="F1048391" s="46"/>
      <c r="G1048391" s="46"/>
      <c r="H1048391" s="46"/>
    </row>
    <row r="1048392" spans="2:8" ht="27" customHeight="1">
      <c r="B1048392" s="46"/>
      <c r="C1048392" s="46"/>
      <c r="D1048392" s="46"/>
      <c r="E1048392" s="46"/>
      <c r="F1048392" s="46"/>
      <c r="G1048392" s="46"/>
      <c r="H1048392" s="46"/>
    </row>
    <row r="1048393" spans="2:8" ht="27" customHeight="1">
      <c r="B1048393" s="46"/>
      <c r="C1048393" s="46"/>
      <c r="D1048393" s="46"/>
      <c r="E1048393" s="46"/>
      <c r="F1048393" s="46"/>
      <c r="G1048393" s="46"/>
      <c r="H1048393" s="46"/>
    </row>
    <row r="1048394" spans="2:8" ht="27" customHeight="1">
      <c r="B1048394" s="46"/>
      <c r="C1048394" s="46"/>
      <c r="D1048394" s="46"/>
      <c r="E1048394" s="46"/>
      <c r="F1048394" s="46"/>
      <c r="G1048394" s="46"/>
      <c r="H1048394" s="46"/>
    </row>
    <row r="1048395" spans="2:8" ht="27" customHeight="1">
      <c r="B1048395" s="46"/>
      <c r="C1048395" s="46"/>
      <c r="D1048395" s="46"/>
      <c r="E1048395" s="46"/>
      <c r="F1048395" s="46"/>
      <c r="G1048395" s="46"/>
      <c r="H1048395" s="46"/>
    </row>
    <row r="1048396" spans="2:8" ht="27" customHeight="1">
      <c r="B1048396" s="46"/>
      <c r="C1048396" s="46"/>
      <c r="D1048396" s="46"/>
      <c r="E1048396" s="46"/>
      <c r="F1048396" s="46"/>
      <c r="G1048396" s="46"/>
      <c r="H1048396" s="46"/>
    </row>
    <row r="1048397" spans="2:8" ht="27" customHeight="1">
      <c r="B1048397" s="46"/>
      <c r="C1048397" s="46"/>
      <c r="D1048397" s="46"/>
      <c r="E1048397" s="46"/>
      <c r="F1048397" s="46"/>
      <c r="G1048397" s="46"/>
      <c r="H1048397" s="46"/>
    </row>
    <row r="1048398" spans="2:8" ht="27" customHeight="1">
      <c r="B1048398" s="46"/>
      <c r="C1048398" s="46"/>
      <c r="D1048398" s="46"/>
      <c r="E1048398" s="46"/>
      <c r="F1048398" s="46"/>
      <c r="G1048398" s="46"/>
      <c r="H1048398" s="46"/>
    </row>
    <row r="1048399" spans="2:8" ht="27" customHeight="1">
      <c r="B1048399" s="46"/>
      <c r="C1048399" s="46"/>
      <c r="D1048399" s="46"/>
      <c r="E1048399" s="46"/>
      <c r="F1048399" s="46"/>
      <c r="G1048399" s="46"/>
      <c r="H1048399" s="46"/>
    </row>
    <row r="1048400" spans="2:8" ht="27" customHeight="1">
      <c r="B1048400" s="46"/>
      <c r="C1048400" s="46"/>
      <c r="D1048400" s="46"/>
      <c r="E1048400" s="46"/>
      <c r="F1048400" s="46"/>
      <c r="G1048400" s="46"/>
      <c r="H1048400" s="46"/>
    </row>
    <row r="1048401" spans="2:8" ht="27" customHeight="1">
      <c r="B1048401" s="46"/>
      <c r="C1048401" s="46"/>
      <c r="D1048401" s="46"/>
      <c r="E1048401" s="46"/>
      <c r="F1048401" s="46"/>
      <c r="G1048401" s="46"/>
      <c r="H1048401" s="46"/>
    </row>
    <row r="1048402" spans="2:8" ht="27" customHeight="1">
      <c r="B1048402" s="46"/>
      <c r="C1048402" s="46"/>
      <c r="D1048402" s="46"/>
      <c r="E1048402" s="46"/>
      <c r="F1048402" s="46"/>
      <c r="G1048402" s="46"/>
      <c r="H1048402" s="46"/>
    </row>
    <row r="1048403" spans="2:8" ht="27" customHeight="1">
      <c r="B1048403" s="46"/>
      <c r="C1048403" s="46"/>
      <c r="D1048403" s="46"/>
      <c r="E1048403" s="46"/>
      <c r="F1048403" s="46"/>
      <c r="G1048403" s="46"/>
      <c r="H1048403" s="46"/>
    </row>
    <row r="1048404" spans="2:8" ht="27" customHeight="1">
      <c r="B1048404" s="46"/>
      <c r="C1048404" s="46"/>
      <c r="D1048404" s="46"/>
      <c r="E1048404" s="46"/>
      <c r="F1048404" s="46"/>
      <c r="G1048404" s="46"/>
      <c r="H1048404" s="46"/>
    </row>
    <row r="1048405" spans="2:8" ht="27" customHeight="1">
      <c r="B1048405" s="46"/>
      <c r="C1048405" s="46"/>
      <c r="D1048405" s="46"/>
      <c r="E1048405" s="46"/>
      <c r="F1048405" s="46"/>
      <c r="G1048405" s="46"/>
      <c r="H1048405" s="46"/>
    </row>
    <row r="1048406" spans="2:8" ht="27" customHeight="1">
      <c r="B1048406" s="46"/>
      <c r="C1048406" s="46"/>
      <c r="D1048406" s="46"/>
      <c r="E1048406" s="46"/>
      <c r="F1048406" s="46"/>
      <c r="G1048406" s="46"/>
      <c r="H1048406" s="46"/>
    </row>
    <row r="1048407" spans="2:8" ht="27" customHeight="1">
      <c r="B1048407" s="46"/>
      <c r="C1048407" s="46"/>
      <c r="D1048407" s="46"/>
      <c r="E1048407" s="46"/>
      <c r="F1048407" s="46"/>
      <c r="G1048407" s="46"/>
      <c r="H1048407" s="46"/>
    </row>
    <row r="1048408" spans="2:8" ht="27" customHeight="1">
      <c r="B1048408" s="46"/>
      <c r="C1048408" s="46"/>
      <c r="D1048408" s="46"/>
      <c r="E1048408" s="46"/>
      <c r="F1048408" s="46"/>
      <c r="G1048408" s="46"/>
      <c r="H1048408" s="46"/>
    </row>
    <row r="1048409" spans="2:8" ht="27" customHeight="1">
      <c r="B1048409" s="46"/>
      <c r="C1048409" s="46"/>
      <c r="D1048409" s="46"/>
      <c r="E1048409" s="46"/>
      <c r="F1048409" s="46"/>
      <c r="G1048409" s="46"/>
      <c r="H1048409" s="46"/>
    </row>
    <row r="1048410" spans="2:8" ht="27" customHeight="1">
      <c r="B1048410" s="46"/>
      <c r="C1048410" s="46"/>
      <c r="D1048410" s="46"/>
      <c r="E1048410" s="46"/>
      <c r="F1048410" s="46"/>
      <c r="G1048410" s="46"/>
      <c r="H1048410" s="46"/>
    </row>
    <row r="1048411" spans="2:8" ht="27" customHeight="1">
      <c r="B1048411" s="46"/>
      <c r="C1048411" s="46"/>
      <c r="D1048411" s="46"/>
      <c r="E1048411" s="46"/>
      <c r="F1048411" s="46"/>
      <c r="G1048411" s="46"/>
      <c r="H1048411" s="46"/>
    </row>
    <row r="1048412" spans="2:8" ht="27" customHeight="1">
      <c r="B1048412" s="46"/>
      <c r="C1048412" s="46"/>
      <c r="D1048412" s="46"/>
      <c r="E1048412" s="46"/>
      <c r="F1048412" s="46"/>
      <c r="G1048412" s="46"/>
      <c r="H1048412" s="46"/>
    </row>
    <row r="1048413" spans="2:8" ht="27" customHeight="1">
      <c r="B1048413" s="46"/>
      <c r="C1048413" s="46"/>
      <c r="D1048413" s="46"/>
      <c r="E1048413" s="46"/>
      <c r="F1048413" s="46"/>
      <c r="G1048413" s="46"/>
      <c r="H1048413" s="46"/>
    </row>
    <row r="1048414" spans="2:8" ht="27" customHeight="1">
      <c r="B1048414" s="46"/>
      <c r="C1048414" s="46"/>
      <c r="D1048414" s="46"/>
      <c r="E1048414" s="46"/>
      <c r="F1048414" s="46"/>
      <c r="G1048414" s="46"/>
      <c r="H1048414" s="46"/>
    </row>
    <row r="1048415" spans="2:8" ht="27" customHeight="1">
      <c r="B1048415" s="46"/>
      <c r="C1048415" s="46"/>
      <c r="D1048415" s="46"/>
      <c r="E1048415" s="46"/>
      <c r="F1048415" s="46"/>
      <c r="G1048415" s="46"/>
      <c r="H1048415" s="46"/>
    </row>
    <row r="1048416" spans="2:8" ht="27" customHeight="1">
      <c r="B1048416" s="46"/>
      <c r="C1048416" s="46"/>
      <c r="D1048416" s="46"/>
      <c r="E1048416" s="46"/>
      <c r="F1048416" s="46"/>
      <c r="G1048416" s="46"/>
      <c r="H1048416" s="46"/>
    </row>
    <row r="1048417" spans="2:8" ht="27" customHeight="1">
      <c r="B1048417" s="46"/>
      <c r="C1048417" s="46"/>
      <c r="D1048417" s="46"/>
      <c r="E1048417" s="46"/>
      <c r="F1048417" s="46"/>
      <c r="G1048417" s="46"/>
      <c r="H1048417" s="46"/>
    </row>
    <row r="1048418" spans="2:8" ht="27" customHeight="1">
      <c r="B1048418" s="46"/>
      <c r="C1048418" s="46"/>
      <c r="D1048418" s="46"/>
      <c r="E1048418" s="46"/>
      <c r="F1048418" s="46"/>
      <c r="G1048418" s="46"/>
      <c r="H1048418" s="46"/>
    </row>
    <row r="1048419" spans="2:8" ht="27" customHeight="1">
      <c r="B1048419" s="46"/>
      <c r="C1048419" s="46"/>
      <c r="D1048419" s="46"/>
      <c r="E1048419" s="46"/>
      <c r="F1048419" s="46"/>
      <c r="G1048419" s="46"/>
      <c r="H1048419" s="46"/>
    </row>
    <row r="1048420" spans="2:8" ht="27" customHeight="1">
      <c r="B1048420" s="46"/>
      <c r="C1048420" s="46"/>
      <c r="D1048420" s="46"/>
      <c r="E1048420" s="46"/>
      <c r="F1048420" s="46"/>
      <c r="G1048420" s="46"/>
      <c r="H1048420" s="46"/>
    </row>
    <row r="1048421" spans="2:8" ht="27" customHeight="1">
      <c r="B1048421" s="46"/>
      <c r="C1048421" s="46"/>
      <c r="D1048421" s="46"/>
      <c r="E1048421" s="46"/>
      <c r="F1048421" s="46"/>
      <c r="G1048421" s="46"/>
      <c r="H1048421" s="46"/>
    </row>
    <row r="1048422" spans="2:8" ht="27" customHeight="1">
      <c r="B1048422" s="46"/>
      <c r="C1048422" s="46"/>
      <c r="D1048422" s="46"/>
      <c r="E1048422" s="46"/>
      <c r="F1048422" s="46"/>
      <c r="G1048422" s="46"/>
      <c r="H1048422" s="46"/>
    </row>
    <row r="1048423" spans="2:8" ht="27" customHeight="1">
      <c r="B1048423" s="46"/>
      <c r="C1048423" s="46"/>
      <c r="D1048423" s="46"/>
      <c r="E1048423" s="46"/>
      <c r="F1048423" s="46"/>
      <c r="G1048423" s="46"/>
      <c r="H1048423" s="46"/>
    </row>
    <row r="1048424" spans="2:8" ht="27" customHeight="1">
      <c r="B1048424" s="46"/>
      <c r="C1048424" s="46"/>
      <c r="D1048424" s="46"/>
      <c r="E1048424" s="46"/>
      <c r="F1048424" s="46"/>
      <c r="G1048424" s="46"/>
      <c r="H1048424" s="46"/>
    </row>
    <row r="1048425" spans="2:8" ht="27" customHeight="1">
      <c r="B1048425" s="46"/>
      <c r="C1048425" s="46"/>
      <c r="D1048425" s="46"/>
      <c r="E1048425" s="46"/>
      <c r="F1048425" s="46"/>
      <c r="G1048425" s="46"/>
      <c r="H1048425" s="46"/>
    </row>
    <row r="1048426" spans="2:8" ht="27" customHeight="1">
      <c r="B1048426" s="46"/>
      <c r="C1048426" s="46"/>
      <c r="D1048426" s="46"/>
      <c r="E1048426" s="46"/>
      <c r="F1048426" s="46"/>
      <c r="G1048426" s="46"/>
      <c r="H1048426" s="46"/>
    </row>
    <row r="1048427" spans="2:8" ht="27" customHeight="1">
      <c r="B1048427" s="46"/>
      <c r="C1048427" s="46"/>
      <c r="D1048427" s="46"/>
      <c r="E1048427" s="46"/>
      <c r="F1048427" s="46"/>
      <c r="G1048427" s="46"/>
      <c r="H1048427" s="46"/>
    </row>
    <row r="1048428" spans="2:8" ht="27" customHeight="1">
      <c r="B1048428" s="46"/>
      <c r="C1048428" s="46"/>
      <c r="D1048428" s="46"/>
      <c r="E1048428" s="46"/>
      <c r="F1048428" s="46"/>
      <c r="G1048428" s="46"/>
      <c r="H1048428" s="46"/>
    </row>
    <row r="1048429" spans="2:8" ht="27" customHeight="1">
      <c r="B1048429" s="46"/>
      <c r="C1048429" s="46"/>
      <c r="D1048429" s="46"/>
      <c r="E1048429" s="46"/>
      <c r="F1048429" s="46"/>
      <c r="G1048429" s="46"/>
      <c r="H1048429" s="46"/>
    </row>
    <row r="1048430" spans="2:8" ht="27" customHeight="1">
      <c r="B1048430" s="46"/>
      <c r="C1048430" s="46"/>
      <c r="D1048430" s="46"/>
      <c r="E1048430" s="46"/>
      <c r="F1048430" s="46"/>
      <c r="G1048430" s="46"/>
      <c r="H1048430" s="46"/>
    </row>
    <row r="1048431" spans="2:8" ht="27" customHeight="1">
      <c r="B1048431" s="46"/>
      <c r="C1048431" s="46"/>
      <c r="D1048431" s="46"/>
      <c r="E1048431" s="46"/>
      <c r="F1048431" s="46"/>
      <c r="G1048431" s="46"/>
      <c r="H1048431" s="46"/>
    </row>
    <row r="1048432" spans="2:8" ht="27" customHeight="1">
      <c r="B1048432" s="46"/>
      <c r="C1048432" s="46"/>
      <c r="D1048432" s="46"/>
      <c r="E1048432" s="46"/>
      <c r="F1048432" s="46"/>
      <c r="G1048432" s="46"/>
      <c r="H1048432" s="46"/>
    </row>
    <row r="1048433" spans="2:8" ht="27" customHeight="1">
      <c r="B1048433" s="46"/>
      <c r="C1048433" s="46"/>
      <c r="D1048433" s="46"/>
      <c r="E1048433" s="46"/>
      <c r="F1048433" s="46"/>
      <c r="G1048433" s="46"/>
      <c r="H1048433" s="46"/>
    </row>
    <row r="1048434" spans="2:8" ht="27" customHeight="1">
      <c r="B1048434" s="46"/>
      <c r="C1048434" s="46"/>
      <c r="D1048434" s="46"/>
      <c r="E1048434" s="46"/>
      <c r="F1048434" s="46"/>
      <c r="G1048434" s="46"/>
      <c r="H1048434" s="46"/>
    </row>
    <row r="1048435" spans="2:8" ht="27" customHeight="1">
      <c r="B1048435" s="46"/>
      <c r="C1048435" s="46"/>
      <c r="D1048435" s="46"/>
      <c r="E1048435" s="46"/>
      <c r="F1048435" s="46"/>
      <c r="G1048435" s="46"/>
      <c r="H1048435" s="46"/>
    </row>
    <row r="1048436" spans="2:8" ht="27" customHeight="1">
      <c r="B1048436" s="46"/>
      <c r="C1048436" s="46"/>
      <c r="D1048436" s="46"/>
      <c r="E1048436" s="46"/>
      <c r="F1048436" s="46"/>
      <c r="G1048436" s="46"/>
      <c r="H1048436" s="46"/>
    </row>
    <row r="1048437" spans="2:8" ht="27" customHeight="1">
      <c r="B1048437" s="46"/>
      <c r="C1048437" s="46"/>
      <c r="D1048437" s="46"/>
      <c r="E1048437" s="46"/>
      <c r="F1048437" s="46"/>
      <c r="G1048437" s="46"/>
      <c r="H1048437" s="46"/>
    </row>
    <row r="1048438" spans="2:8" ht="27" customHeight="1">
      <c r="B1048438" s="46"/>
      <c r="C1048438" s="46"/>
      <c r="D1048438" s="46"/>
      <c r="E1048438" s="46"/>
      <c r="F1048438" s="46"/>
      <c r="G1048438" s="46"/>
      <c r="H1048438" s="46"/>
    </row>
    <row r="1048439" spans="2:8" ht="27" customHeight="1">
      <c r="B1048439" s="46"/>
      <c r="C1048439" s="46"/>
      <c r="D1048439" s="46"/>
      <c r="E1048439" s="46"/>
      <c r="F1048439" s="46"/>
      <c r="G1048439" s="46"/>
      <c r="H1048439" s="46"/>
    </row>
    <row r="1048440" spans="2:8" ht="27" customHeight="1">
      <c r="B1048440" s="46"/>
      <c r="C1048440" s="46"/>
      <c r="D1048440" s="46"/>
      <c r="E1048440" s="46"/>
      <c r="F1048440" s="46"/>
      <c r="G1048440" s="46"/>
      <c r="H1048440" s="46"/>
    </row>
    <row r="1048441" spans="2:8" ht="27" customHeight="1">
      <c r="B1048441" s="46"/>
      <c r="C1048441" s="46"/>
      <c r="D1048441" s="46"/>
      <c r="E1048441" s="46"/>
      <c r="F1048441" s="46"/>
      <c r="G1048441" s="46"/>
      <c r="H1048441" s="46"/>
    </row>
    <row r="1048442" spans="2:8" ht="27" customHeight="1">
      <c r="B1048442" s="46"/>
      <c r="C1048442" s="46"/>
      <c r="D1048442" s="46"/>
      <c r="E1048442" s="46"/>
      <c r="F1048442" s="46"/>
      <c r="G1048442" s="46"/>
      <c r="H1048442" s="46"/>
    </row>
    <row r="1048443" spans="2:8" ht="27" customHeight="1">
      <c r="B1048443" s="46"/>
      <c r="C1048443" s="46"/>
      <c r="D1048443" s="46"/>
      <c r="E1048443" s="46"/>
      <c r="F1048443" s="46"/>
      <c r="G1048443" s="46"/>
      <c r="H1048443" s="46"/>
    </row>
    <row r="1048444" spans="2:8" ht="27" customHeight="1">
      <c r="B1048444" s="46"/>
      <c r="C1048444" s="46"/>
      <c r="D1048444" s="46"/>
      <c r="E1048444" s="46"/>
      <c r="F1048444" s="46"/>
      <c r="G1048444" s="46"/>
      <c r="H1048444" s="46"/>
    </row>
    <row r="1048445" spans="2:8" ht="27" customHeight="1">
      <c r="B1048445" s="46"/>
      <c r="C1048445" s="46"/>
      <c r="D1048445" s="46"/>
      <c r="E1048445" s="46"/>
      <c r="F1048445" s="46"/>
      <c r="G1048445" s="46"/>
      <c r="H1048445" s="46"/>
    </row>
    <row r="1048446" spans="2:8" ht="27" customHeight="1">
      <c r="B1048446" s="46"/>
      <c r="C1048446" s="46"/>
      <c r="D1048446" s="46"/>
      <c r="E1048446" s="46"/>
      <c r="F1048446" s="46"/>
      <c r="G1048446" s="46"/>
      <c r="H1048446" s="46"/>
    </row>
    <row r="1048447" spans="2:8" ht="27" customHeight="1">
      <c r="B1048447" s="46"/>
      <c r="C1048447" s="46"/>
      <c r="D1048447" s="46"/>
      <c r="E1048447" s="46"/>
      <c r="F1048447" s="46"/>
      <c r="G1048447" s="46"/>
      <c r="H1048447" s="46"/>
    </row>
    <row r="1048448" spans="2:8" ht="27" customHeight="1">
      <c r="B1048448" s="46"/>
      <c r="C1048448" s="46"/>
      <c r="D1048448" s="46"/>
      <c r="E1048448" s="46"/>
      <c r="F1048448" s="46"/>
      <c r="G1048448" s="46"/>
      <c r="H1048448" s="46"/>
    </row>
    <row r="1048449" spans="2:8" ht="27" customHeight="1">
      <c r="B1048449" s="46"/>
      <c r="C1048449" s="46"/>
      <c r="D1048449" s="46"/>
      <c r="E1048449" s="46"/>
      <c r="F1048449" s="46"/>
      <c r="G1048449" s="46"/>
      <c r="H1048449" s="46"/>
    </row>
    <row r="1048450" spans="2:8" ht="27" customHeight="1">
      <c r="B1048450" s="46"/>
      <c r="C1048450" s="46"/>
      <c r="D1048450" s="46"/>
      <c r="E1048450" s="46"/>
      <c r="F1048450" s="46"/>
      <c r="G1048450" s="46"/>
      <c r="H1048450" s="46"/>
    </row>
    <row r="1048451" spans="2:8" ht="27" customHeight="1">
      <c r="B1048451" s="46"/>
      <c r="C1048451" s="46"/>
      <c r="D1048451" s="46"/>
      <c r="E1048451" s="46"/>
      <c r="F1048451" s="46"/>
      <c r="G1048451" s="46"/>
      <c r="H1048451" s="46"/>
    </row>
    <row r="1048452" spans="2:8" ht="27" customHeight="1">
      <c r="B1048452" s="46"/>
      <c r="C1048452" s="46"/>
      <c r="D1048452" s="46"/>
      <c r="E1048452" s="46"/>
      <c r="F1048452" s="46"/>
      <c r="G1048452" s="46"/>
      <c r="H1048452" s="46"/>
    </row>
    <row r="1048453" spans="2:8" ht="27" customHeight="1">
      <c r="B1048453" s="46"/>
      <c r="C1048453" s="46"/>
      <c r="D1048453" s="46"/>
      <c r="E1048453" s="46"/>
      <c r="F1048453" s="46"/>
      <c r="G1048453" s="46"/>
      <c r="H1048453" s="46"/>
    </row>
    <row r="1048454" spans="2:8" ht="27" customHeight="1">
      <c r="B1048454" s="46"/>
      <c r="C1048454" s="46"/>
      <c r="D1048454" s="46"/>
      <c r="E1048454" s="46"/>
      <c r="F1048454" s="46"/>
      <c r="G1048454" s="46"/>
      <c r="H1048454" s="46"/>
    </row>
    <row r="1048455" spans="2:8" ht="27" customHeight="1">
      <c r="B1048455" s="46"/>
      <c r="C1048455" s="46"/>
      <c r="D1048455" s="46"/>
      <c r="E1048455" s="46"/>
      <c r="F1048455" s="46"/>
      <c r="G1048455" s="46"/>
      <c r="H1048455" s="46"/>
    </row>
  </sheetData>
  <autoFilter ref="B1:H1048455" xr:uid="{00000000-0009-0000-0000-000003000000}"/>
  <sortState ref="A2:H166">
    <sortCondition ref="B2:B166"/>
  </sortState>
  <phoneticPr fontId="5" type="noConversion"/>
  <conditionalFormatting sqref="C42">
    <cfRule type="duplicateValues" dxfId="2" priority="2"/>
  </conditionalFormatting>
  <conditionalFormatting sqref="C59">
    <cfRule type="duplicateValues" dxfId="1" priority="1"/>
  </conditionalFormatting>
  <dataValidations count="1">
    <dataValidation type="list" allowBlank="1" showInputMessage="1" showErrorMessage="1" sqref="F2 F3 F4 F9 F10 F11 F13 F15 F16 F40 F82 F109 F111 F119 F120 F135 F153 F156 F157 F158 F161 F162 F163 F154:F155 F159:F160 F166:F1048048" xr:uid="{00000000-0002-0000-0300-000000000000}">
      <formula1>#REF!</formula1>
    </dataValidation>
  </dataValidations>
  <pageMargins left="0.51180555555555596" right="0.27500000000000002" top="0.27500000000000002" bottom="0.43263888888888902" header="0.156944444444444" footer="0.31458333333333299"/>
  <pageSetup paperSize="9" orientation="landscape"/>
  <rowBreaks count="10" manualBreakCount="10">
    <brk id="10" max="16383" man="1"/>
    <brk id="32" max="16383" man="1"/>
    <brk id="35" max="16383" man="1"/>
    <brk id="52" max="16383" man="1"/>
    <brk id="76" max="16383" man="1"/>
    <brk id="93" max="16383" man="1"/>
    <brk id="120" max="16383" man="1"/>
    <brk id="133" max="16383" man="1"/>
    <brk id="152" max="16383" man="1"/>
    <brk id="165" max="16383" man="1"/>
  </rowBreak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35"/>
  <sheetViews>
    <sheetView workbookViewId="0">
      <pane ySplit="1" topLeftCell="A2" activePane="bottomLeft" state="frozen"/>
      <selection pane="bottomLeft" activeCell="E1" sqref="E1:H1"/>
    </sheetView>
  </sheetViews>
  <sheetFormatPr defaultColWidth="9" defaultRowHeight="22.5" customHeight="1"/>
  <cols>
    <col min="1" max="1" width="14.21875" style="2" customWidth="1"/>
    <col min="2" max="2" width="9.33203125" style="2" customWidth="1"/>
    <col min="3" max="3" width="12.77734375" style="2" customWidth="1"/>
    <col min="4" max="4" width="40.44140625" style="2" customWidth="1"/>
    <col min="5" max="5" width="9" style="2" customWidth="1"/>
    <col min="6" max="6" width="8" style="2" customWidth="1"/>
    <col min="7" max="7" width="10.44140625" style="2" customWidth="1"/>
    <col min="8" max="8" width="11.33203125" style="2" customWidth="1"/>
    <col min="9" max="9" width="8" style="2" customWidth="1"/>
    <col min="10" max="10" width="18" style="64" customWidth="1"/>
    <col min="11" max="11" width="23.88671875" style="2" customWidth="1"/>
    <col min="12" max="13" width="8" style="2" customWidth="1"/>
    <col min="14" max="14" width="27.21875" style="65" customWidth="1"/>
    <col min="15" max="15" width="13.88671875" style="64" customWidth="1"/>
    <col min="16" max="16" width="7.109375" style="66" customWidth="1"/>
    <col min="17" max="17" width="12.6640625" style="66" customWidth="1"/>
    <col min="18" max="18" width="10.88671875" style="67" customWidth="1"/>
    <col min="19" max="16384" width="9" style="2"/>
  </cols>
  <sheetData>
    <row r="1" spans="1:22" ht="22.5" customHeight="1">
      <c r="A1" s="49" t="str">
        <f>自2017年7月及其他重点工程!A2</f>
        <v>系统合同号</v>
      </c>
      <c r="B1" s="49" t="str">
        <f>自2017年7月及其他重点工程!B2</f>
        <v>项目编号</v>
      </c>
      <c r="C1" s="49" t="str">
        <f>自2017年7月及其他重点工程!C2</f>
        <v>ERP编号</v>
      </c>
      <c r="D1" s="49" t="str">
        <f>自2017年7月及其他重点工程!D2</f>
        <v>项目名称</v>
      </c>
      <c r="E1" s="49" t="str">
        <f>自2017年7月及其他重点工程!E2</f>
        <v>所属分公司</v>
      </c>
      <c r="F1" s="50" t="str">
        <f>自2017年7月及其他重点工程!G2</f>
        <v>客户经理</v>
      </c>
      <c r="G1" s="49" t="str">
        <f>自2017年7月及其他重点工程!AF2</f>
        <v>项目经理</v>
      </c>
      <c r="H1" s="49" t="str">
        <f>自2017年7月及其他重点工程!K2</f>
        <v>收入合同总额</v>
      </c>
      <c r="I1" s="56" t="str">
        <f>自2017年7月及其他重点工程!V2</f>
        <v>委托书标注利润率</v>
      </c>
      <c r="J1" s="57" t="str">
        <f>自2017年7月及其他重点工程!I2</f>
        <v>下建维部委托时间</v>
      </c>
      <c r="K1" s="49" t="e">
        <f>自2017年7月及其他重点工程!#REF!</f>
        <v>#REF!</v>
      </c>
      <c r="L1" s="49" t="str">
        <f>自2017年7月及其他重点工程!AW2</f>
        <v>是否下采购委托</v>
      </c>
      <c r="M1" s="49" t="str">
        <f>自2017年7月及其他重点工程!AX2</f>
        <v>采购委托下达时间</v>
      </c>
      <c r="N1" s="69" t="str">
        <f>自2017年7月及其他重点工程!AV2</f>
        <v>当前项目情况</v>
      </c>
      <c r="O1" s="58" t="str">
        <f>自2017年7月及其他重点工程!AQ2</f>
        <v>验收时间</v>
      </c>
      <c r="P1" s="70" t="str">
        <f>自2017年7月及其他重点工程!AS2</f>
        <v>质保/维保期</v>
      </c>
      <c r="Q1" s="70" t="str">
        <f>自2017年7月及其他重点工程!AU2</f>
        <v>项目运行模式</v>
      </c>
      <c r="R1" s="70" t="str">
        <f>自2017年7月及其他重点工程!AT2</f>
        <v>项目终止时间</v>
      </c>
    </row>
    <row r="2" spans="1:22" ht="22.5" customHeight="1">
      <c r="A2" s="5">
        <v>0</v>
      </c>
      <c r="B2" s="5" t="s">
        <v>2967</v>
      </c>
      <c r="C2" s="5" t="s">
        <v>58</v>
      </c>
      <c r="D2" s="5" t="s">
        <v>59</v>
      </c>
      <c r="E2" s="5" t="s">
        <v>60</v>
      </c>
      <c r="F2" s="68" t="s">
        <v>62</v>
      </c>
      <c r="G2" s="5" t="s">
        <v>62</v>
      </c>
      <c r="H2" s="5">
        <v>101989004</v>
      </c>
      <c r="I2" s="71">
        <v>0.12</v>
      </c>
      <c r="J2" s="60" t="s">
        <v>64</v>
      </c>
      <c r="K2" s="5" t="s">
        <v>653</v>
      </c>
      <c r="L2" s="5" t="s">
        <v>71</v>
      </c>
      <c r="M2" s="5">
        <v>0</v>
      </c>
      <c r="N2" s="72" t="s">
        <v>66</v>
      </c>
      <c r="O2" s="73">
        <v>43038</v>
      </c>
      <c r="P2" s="74" t="s">
        <v>69</v>
      </c>
      <c r="Q2" s="74" t="s">
        <v>70</v>
      </c>
      <c r="R2" s="78">
        <v>44837</v>
      </c>
    </row>
    <row r="3" spans="1:22" ht="22.5" customHeight="1">
      <c r="A3" s="5">
        <v>0</v>
      </c>
      <c r="B3" s="5" t="s">
        <v>2968</v>
      </c>
      <c r="C3" s="5" t="s">
        <v>73</v>
      </c>
      <c r="D3" s="5" t="s">
        <v>74</v>
      </c>
      <c r="E3" s="5" t="s">
        <v>75</v>
      </c>
      <c r="F3" s="68" t="s">
        <v>76</v>
      </c>
      <c r="G3" s="5" t="s">
        <v>77</v>
      </c>
      <c r="H3" s="5">
        <v>11460000</v>
      </c>
      <c r="I3" s="71">
        <v>0.15</v>
      </c>
      <c r="J3" s="60" t="s">
        <v>64</v>
      </c>
      <c r="K3" s="5" t="s">
        <v>71</v>
      </c>
      <c r="L3" s="5" t="s">
        <v>71</v>
      </c>
      <c r="M3" s="5">
        <v>0</v>
      </c>
      <c r="N3" s="72" t="s">
        <v>66</v>
      </c>
      <c r="O3" s="75"/>
      <c r="P3" s="74" t="s">
        <v>78</v>
      </c>
      <c r="Q3" s="74" t="s">
        <v>79</v>
      </c>
      <c r="R3" s="79">
        <v>43525</v>
      </c>
    </row>
    <row r="4" spans="1:22" ht="22.5" customHeight="1">
      <c r="A4" s="5">
        <v>0</v>
      </c>
      <c r="B4" s="5" t="s">
        <v>2969</v>
      </c>
      <c r="C4" s="5" t="s">
        <v>81</v>
      </c>
      <c r="D4" s="5" t="s">
        <v>82</v>
      </c>
      <c r="E4" s="5" t="s">
        <v>83</v>
      </c>
      <c r="F4" s="68" t="s">
        <v>76</v>
      </c>
      <c r="G4" s="5" t="s">
        <v>85</v>
      </c>
      <c r="H4" s="5">
        <v>29900000</v>
      </c>
      <c r="I4" s="71">
        <v>0.15</v>
      </c>
      <c r="J4" s="60" t="s">
        <v>64</v>
      </c>
      <c r="K4" s="5" t="s">
        <v>653</v>
      </c>
      <c r="L4" s="5" t="s">
        <v>71</v>
      </c>
      <c r="M4" s="5">
        <v>0</v>
      </c>
      <c r="N4" s="72" t="s">
        <v>66</v>
      </c>
      <c r="O4" s="75">
        <v>42979</v>
      </c>
      <c r="P4" s="74" t="s">
        <v>87</v>
      </c>
      <c r="Q4" s="74" t="s">
        <v>88</v>
      </c>
      <c r="R4" s="79">
        <v>44075</v>
      </c>
    </row>
    <row r="5" spans="1:22" ht="22.5" customHeight="1">
      <c r="A5" s="5">
        <v>0</v>
      </c>
      <c r="B5" s="5" t="s">
        <v>2970</v>
      </c>
      <c r="C5" s="5" t="s">
        <v>90</v>
      </c>
      <c r="D5" s="5" t="s">
        <v>2971</v>
      </c>
      <c r="E5" s="5" t="s">
        <v>92</v>
      </c>
      <c r="F5" s="68" t="s">
        <v>93</v>
      </c>
      <c r="G5" s="5" t="s">
        <v>93</v>
      </c>
      <c r="H5" s="5">
        <v>61128700</v>
      </c>
      <c r="I5" s="71">
        <v>0.1</v>
      </c>
      <c r="J5" s="60" t="s">
        <v>64</v>
      </c>
      <c r="K5" s="5" t="s">
        <v>71</v>
      </c>
      <c r="L5" s="5" t="s">
        <v>71</v>
      </c>
      <c r="M5" s="5">
        <v>0</v>
      </c>
      <c r="N5" s="72" t="s">
        <v>66</v>
      </c>
      <c r="O5" s="73">
        <v>43073</v>
      </c>
      <c r="P5" s="74" t="s">
        <v>69</v>
      </c>
      <c r="Q5" s="74" t="s">
        <v>70</v>
      </c>
      <c r="R5" s="79">
        <v>44899</v>
      </c>
      <c r="U5" s="64">
        <v>43081</v>
      </c>
      <c r="V5" s="2">
        <f>MONTH(U5)</f>
        <v>12</v>
      </c>
    </row>
    <row r="6" spans="1:22" ht="22.5" customHeight="1">
      <c r="A6" s="5">
        <v>0</v>
      </c>
      <c r="B6" s="5" t="s">
        <v>2972</v>
      </c>
      <c r="C6" s="5" t="s">
        <v>95</v>
      </c>
      <c r="D6" s="5" t="s">
        <v>2973</v>
      </c>
      <c r="E6" s="5" t="s">
        <v>261</v>
      </c>
      <c r="F6" s="68" t="s">
        <v>77</v>
      </c>
      <c r="G6" s="5" t="s">
        <v>77</v>
      </c>
      <c r="H6" s="5">
        <v>29324502.920000002</v>
      </c>
      <c r="I6" s="71">
        <v>0.15</v>
      </c>
      <c r="J6" s="60" t="s">
        <v>64</v>
      </c>
      <c r="K6" s="5" t="s">
        <v>71</v>
      </c>
      <c r="L6" s="5" t="s">
        <v>71</v>
      </c>
      <c r="M6" s="5">
        <v>0</v>
      </c>
      <c r="N6" s="72" t="s">
        <v>66</v>
      </c>
      <c r="O6" s="73">
        <v>43041</v>
      </c>
      <c r="P6" s="74" t="s">
        <v>87</v>
      </c>
      <c r="Q6" s="74" t="s">
        <v>79</v>
      </c>
      <c r="R6" s="79">
        <v>40484</v>
      </c>
      <c r="U6" s="64">
        <v>43102</v>
      </c>
    </row>
    <row r="7" spans="1:22" ht="22.5" customHeight="1">
      <c r="A7" s="5" t="s">
        <v>1597</v>
      </c>
      <c r="B7" s="5" t="s">
        <v>2974</v>
      </c>
      <c r="C7" s="5" t="s">
        <v>101</v>
      </c>
      <c r="D7" s="5" t="s">
        <v>102</v>
      </c>
      <c r="E7" s="5" t="s">
        <v>261</v>
      </c>
      <c r="F7" s="68" t="s">
        <v>77</v>
      </c>
      <c r="G7" s="5" t="s">
        <v>77</v>
      </c>
      <c r="H7" s="5">
        <v>35004700</v>
      </c>
      <c r="I7" s="71">
        <v>0</v>
      </c>
      <c r="J7" s="60" t="s">
        <v>64</v>
      </c>
      <c r="K7" s="5" t="s">
        <v>71</v>
      </c>
      <c r="L7" s="5" t="s">
        <v>71</v>
      </c>
      <c r="M7" s="5">
        <v>0</v>
      </c>
      <c r="N7" s="72" t="s">
        <v>66</v>
      </c>
      <c r="O7" s="73">
        <v>43041</v>
      </c>
      <c r="P7" s="74" t="s">
        <v>87</v>
      </c>
      <c r="Q7" s="74" t="s">
        <v>70</v>
      </c>
      <c r="R7" s="79">
        <v>40484</v>
      </c>
    </row>
    <row r="8" spans="1:22" ht="22.5" customHeight="1">
      <c r="A8" s="5" t="s">
        <v>109</v>
      </c>
      <c r="B8" s="5" t="s">
        <v>2975</v>
      </c>
      <c r="C8" s="5" t="s">
        <v>111</v>
      </c>
      <c r="D8" s="5" t="s">
        <v>112</v>
      </c>
      <c r="E8" s="5" t="s">
        <v>113</v>
      </c>
      <c r="F8" s="68" t="s">
        <v>114</v>
      </c>
      <c r="G8" s="5" t="s">
        <v>114</v>
      </c>
      <c r="H8" s="5">
        <v>118000000</v>
      </c>
      <c r="I8" s="71">
        <v>0</v>
      </c>
      <c r="J8" s="60" t="s">
        <v>64</v>
      </c>
      <c r="K8" s="5" t="s">
        <v>653</v>
      </c>
      <c r="L8" s="5" t="s">
        <v>71</v>
      </c>
      <c r="M8" s="5">
        <v>0</v>
      </c>
      <c r="N8" s="72" t="s">
        <v>66</v>
      </c>
      <c r="O8" s="73">
        <v>43181</v>
      </c>
      <c r="P8" s="74" t="s">
        <v>69</v>
      </c>
      <c r="Q8" s="74" t="s">
        <v>70</v>
      </c>
      <c r="R8" s="79">
        <v>45007</v>
      </c>
    </row>
    <row r="9" spans="1:22" ht="22.5" customHeight="1">
      <c r="A9" s="5">
        <v>0</v>
      </c>
      <c r="B9" s="5" t="s">
        <v>115</v>
      </c>
      <c r="C9" s="5" t="s">
        <v>116</v>
      </c>
      <c r="D9" s="5" t="s">
        <v>117</v>
      </c>
      <c r="E9" s="5" t="s">
        <v>83</v>
      </c>
      <c r="F9" s="68" t="s">
        <v>118</v>
      </c>
      <c r="G9" s="5" t="s">
        <v>120</v>
      </c>
      <c r="H9" s="5">
        <v>27903800</v>
      </c>
      <c r="I9" s="71">
        <v>0.1</v>
      </c>
      <c r="J9" s="60" t="s">
        <v>119</v>
      </c>
      <c r="K9" s="5">
        <v>0</v>
      </c>
      <c r="L9" s="5" t="s">
        <v>71</v>
      </c>
      <c r="M9" s="5">
        <v>0</v>
      </c>
      <c r="N9" s="72" t="s">
        <v>66</v>
      </c>
      <c r="O9" s="73">
        <v>42987</v>
      </c>
      <c r="P9" s="74"/>
      <c r="Q9" s="74" t="s">
        <v>122</v>
      </c>
      <c r="R9" s="79">
        <v>43352</v>
      </c>
    </row>
    <row r="10" spans="1:22" ht="22.5" customHeight="1">
      <c r="A10" s="5">
        <v>0</v>
      </c>
      <c r="B10" s="5" t="s">
        <v>2976</v>
      </c>
      <c r="C10" s="5" t="s">
        <v>124</v>
      </c>
      <c r="D10" s="5" t="s">
        <v>125</v>
      </c>
      <c r="E10" s="5" t="s">
        <v>126</v>
      </c>
      <c r="F10" s="68" t="s">
        <v>127</v>
      </c>
      <c r="G10" s="5" t="s">
        <v>132</v>
      </c>
      <c r="H10" s="5">
        <v>5656755.0499999998</v>
      </c>
      <c r="I10" s="71">
        <v>0.15</v>
      </c>
      <c r="J10" s="60" t="s">
        <v>129</v>
      </c>
      <c r="K10" s="5" t="s">
        <v>2977</v>
      </c>
      <c r="L10" s="5" t="s">
        <v>71</v>
      </c>
      <c r="M10" s="5">
        <v>0</v>
      </c>
      <c r="N10" s="72" t="s">
        <v>133</v>
      </c>
      <c r="O10" s="75"/>
      <c r="P10" s="74"/>
      <c r="Q10" s="74" t="s">
        <v>134</v>
      </c>
      <c r="R10" s="79"/>
    </row>
    <row r="11" spans="1:22" ht="22.5" customHeight="1">
      <c r="A11" s="5" t="s">
        <v>135</v>
      </c>
      <c r="B11" s="5" t="s">
        <v>2978</v>
      </c>
      <c r="C11" s="5" t="s">
        <v>137</v>
      </c>
      <c r="D11" s="5" t="s">
        <v>2979</v>
      </c>
      <c r="E11" s="5" t="s">
        <v>139</v>
      </c>
      <c r="F11" s="68" t="s">
        <v>150</v>
      </c>
      <c r="G11" s="5" t="s">
        <v>145</v>
      </c>
      <c r="H11" s="5">
        <v>5213242</v>
      </c>
      <c r="I11" s="71">
        <v>0.1</v>
      </c>
      <c r="J11" s="60" t="s">
        <v>129</v>
      </c>
      <c r="K11" s="5" t="s">
        <v>71</v>
      </c>
      <c r="L11" s="5" t="s">
        <v>71</v>
      </c>
      <c r="M11" s="5">
        <v>0</v>
      </c>
      <c r="N11" s="72" t="s">
        <v>66</v>
      </c>
      <c r="O11" s="76">
        <v>42720</v>
      </c>
      <c r="P11" s="74" t="s">
        <v>78</v>
      </c>
      <c r="Q11" s="74" t="s">
        <v>122</v>
      </c>
      <c r="R11" s="79">
        <v>43085</v>
      </c>
    </row>
    <row r="12" spans="1:22" ht="22.5" customHeight="1">
      <c r="A12" s="5" t="s">
        <v>146</v>
      </c>
      <c r="B12" s="5" t="s">
        <v>147</v>
      </c>
      <c r="C12" s="5" t="s">
        <v>148</v>
      </c>
      <c r="D12" s="5" t="s">
        <v>2980</v>
      </c>
      <c r="E12" s="5" t="s">
        <v>139</v>
      </c>
      <c r="F12" s="68" t="s">
        <v>150</v>
      </c>
      <c r="G12" s="5" t="s">
        <v>145</v>
      </c>
      <c r="H12" s="5">
        <v>479462</v>
      </c>
      <c r="I12" s="71">
        <v>0.1</v>
      </c>
      <c r="J12" s="60" t="s">
        <v>129</v>
      </c>
      <c r="K12" s="5" t="s">
        <v>71</v>
      </c>
      <c r="L12" s="5" t="s">
        <v>71</v>
      </c>
      <c r="M12" s="5">
        <v>0</v>
      </c>
      <c r="N12" s="72" t="s">
        <v>66</v>
      </c>
      <c r="O12" s="75">
        <v>43009</v>
      </c>
      <c r="P12" s="74" t="s">
        <v>78</v>
      </c>
      <c r="Q12" s="74" t="s">
        <v>88</v>
      </c>
      <c r="R12" s="79" t="s">
        <v>152</v>
      </c>
    </row>
    <row r="13" spans="1:22" ht="22.5" customHeight="1">
      <c r="A13" s="5">
        <v>0</v>
      </c>
      <c r="B13" s="5" t="s">
        <v>153</v>
      </c>
      <c r="C13" s="5" t="s">
        <v>154</v>
      </c>
      <c r="D13" s="5" t="s">
        <v>155</v>
      </c>
      <c r="E13" s="5" t="s">
        <v>156</v>
      </c>
      <c r="F13" s="68" t="s">
        <v>157</v>
      </c>
      <c r="G13" s="5" t="s">
        <v>145</v>
      </c>
      <c r="H13" s="5">
        <v>495000</v>
      </c>
      <c r="I13" s="71">
        <v>0.15</v>
      </c>
      <c r="J13" s="60" t="s">
        <v>158</v>
      </c>
      <c r="K13" s="5" t="s">
        <v>71</v>
      </c>
      <c r="L13" s="5" t="s">
        <v>71</v>
      </c>
      <c r="M13" s="5">
        <v>0</v>
      </c>
      <c r="N13" s="72" t="s">
        <v>66</v>
      </c>
      <c r="O13" s="75">
        <v>42949</v>
      </c>
      <c r="P13" s="74" t="s">
        <v>78</v>
      </c>
      <c r="Q13" s="74" t="s">
        <v>88</v>
      </c>
      <c r="R13" s="79">
        <v>43313</v>
      </c>
    </row>
    <row r="14" spans="1:22" ht="22.5" customHeight="1">
      <c r="A14" s="5">
        <v>0</v>
      </c>
      <c r="B14" s="5" t="s">
        <v>2981</v>
      </c>
      <c r="C14" s="5" t="s">
        <v>160</v>
      </c>
      <c r="D14" s="5" t="s">
        <v>161</v>
      </c>
      <c r="E14" s="5" t="s">
        <v>75</v>
      </c>
      <c r="F14" s="68" t="s">
        <v>76</v>
      </c>
      <c r="G14" s="5" t="s">
        <v>114</v>
      </c>
      <c r="H14" s="5">
        <v>5300000</v>
      </c>
      <c r="I14" s="71">
        <v>0.15</v>
      </c>
      <c r="J14" s="60" t="s">
        <v>162</v>
      </c>
      <c r="K14" s="5" t="s">
        <v>653</v>
      </c>
      <c r="L14" s="5" t="s">
        <v>71</v>
      </c>
      <c r="M14" s="5">
        <v>0</v>
      </c>
      <c r="N14" s="72" t="s">
        <v>66</v>
      </c>
      <c r="O14" s="75">
        <v>43207</v>
      </c>
      <c r="P14" s="74" t="s">
        <v>78</v>
      </c>
      <c r="Q14" s="74" t="s">
        <v>88</v>
      </c>
      <c r="R14" s="79">
        <v>43571</v>
      </c>
    </row>
    <row r="15" spans="1:22" ht="22.5" customHeight="1">
      <c r="A15" s="5">
        <v>0</v>
      </c>
      <c r="B15" s="5" t="s">
        <v>2982</v>
      </c>
      <c r="C15" s="5">
        <v>0</v>
      </c>
      <c r="D15" s="5" t="s">
        <v>167</v>
      </c>
      <c r="E15" s="5" t="s">
        <v>168</v>
      </c>
      <c r="F15" s="68" t="s">
        <v>157</v>
      </c>
      <c r="G15" s="5" t="s">
        <v>62</v>
      </c>
      <c r="H15" s="5" t="e">
        <v>#VALUE!</v>
      </c>
      <c r="I15" s="71">
        <v>0</v>
      </c>
      <c r="J15" s="60" t="s">
        <v>162</v>
      </c>
      <c r="K15" s="5" t="s">
        <v>71</v>
      </c>
      <c r="L15" s="5" t="s">
        <v>71</v>
      </c>
      <c r="M15" s="5">
        <v>0</v>
      </c>
      <c r="N15" s="72" t="s">
        <v>66</v>
      </c>
      <c r="O15" s="75">
        <v>42975</v>
      </c>
      <c r="P15" s="74" t="s">
        <v>78</v>
      </c>
      <c r="Q15" s="74" t="s">
        <v>122</v>
      </c>
      <c r="R15" s="79">
        <v>43340</v>
      </c>
    </row>
    <row r="16" spans="1:22" ht="22.5" customHeight="1">
      <c r="A16" s="5">
        <v>0</v>
      </c>
      <c r="B16" s="5" t="s">
        <v>2983</v>
      </c>
      <c r="C16" s="5" t="s">
        <v>172</v>
      </c>
      <c r="D16" s="5" t="s">
        <v>173</v>
      </c>
      <c r="E16" s="5" t="s">
        <v>174</v>
      </c>
      <c r="F16" s="68" t="s">
        <v>175</v>
      </c>
      <c r="G16" s="5" t="s">
        <v>85</v>
      </c>
      <c r="H16" s="5">
        <v>960000</v>
      </c>
      <c r="I16" s="71">
        <v>0.15</v>
      </c>
      <c r="J16" s="60" t="s">
        <v>176</v>
      </c>
      <c r="K16" s="5" t="s">
        <v>71</v>
      </c>
      <c r="L16" s="5" t="s">
        <v>71</v>
      </c>
      <c r="M16" s="5">
        <v>0</v>
      </c>
      <c r="N16" s="72" t="s">
        <v>66</v>
      </c>
      <c r="O16" s="75">
        <v>43074</v>
      </c>
      <c r="P16" s="74" t="s">
        <v>78</v>
      </c>
      <c r="Q16" s="74" t="s">
        <v>88</v>
      </c>
      <c r="R16" s="79">
        <v>43439</v>
      </c>
    </row>
    <row r="17" spans="1:18" ht="22.5" customHeight="1">
      <c r="A17" s="5">
        <v>0</v>
      </c>
      <c r="B17" s="5" t="s">
        <v>2984</v>
      </c>
      <c r="C17" s="5" t="s">
        <v>179</v>
      </c>
      <c r="D17" s="5" t="s">
        <v>180</v>
      </c>
      <c r="E17" s="5" t="s">
        <v>75</v>
      </c>
      <c r="F17" s="68" t="s">
        <v>175</v>
      </c>
      <c r="G17" s="5" t="s">
        <v>145</v>
      </c>
      <c r="H17" s="5">
        <v>37711</v>
      </c>
      <c r="I17" s="71">
        <v>0.15</v>
      </c>
      <c r="J17" s="60" t="s">
        <v>162</v>
      </c>
      <c r="K17" s="5" t="s">
        <v>71</v>
      </c>
      <c r="L17" s="5" t="s">
        <v>71</v>
      </c>
      <c r="M17" s="5">
        <v>0</v>
      </c>
      <c r="N17" s="72" t="s">
        <v>66</v>
      </c>
      <c r="O17" s="75">
        <v>42631</v>
      </c>
      <c r="P17" s="74" t="s">
        <v>78</v>
      </c>
      <c r="Q17" s="74" t="s">
        <v>122</v>
      </c>
      <c r="R17" s="79">
        <v>42996</v>
      </c>
    </row>
    <row r="18" spans="1:18" ht="22.5" customHeight="1">
      <c r="A18" s="5">
        <v>0</v>
      </c>
      <c r="B18" s="5" t="s">
        <v>183</v>
      </c>
      <c r="C18" s="5">
        <v>0</v>
      </c>
      <c r="D18" s="5" t="s">
        <v>185</v>
      </c>
      <c r="E18" s="5" t="s">
        <v>75</v>
      </c>
      <c r="F18" s="68" t="s">
        <v>76</v>
      </c>
      <c r="G18" s="5" t="s">
        <v>145</v>
      </c>
      <c r="H18" s="5">
        <v>1790648</v>
      </c>
      <c r="I18" s="71">
        <v>0.15</v>
      </c>
      <c r="J18" s="60">
        <v>42941</v>
      </c>
      <c r="K18" s="5" t="s">
        <v>71</v>
      </c>
      <c r="L18" s="5" t="s">
        <v>71</v>
      </c>
      <c r="M18" s="5">
        <v>0</v>
      </c>
      <c r="N18" s="72" t="s">
        <v>66</v>
      </c>
      <c r="O18" s="75">
        <v>42990</v>
      </c>
      <c r="P18" s="74" t="s">
        <v>78</v>
      </c>
      <c r="Q18" s="74" t="s">
        <v>122</v>
      </c>
      <c r="R18" s="79">
        <v>43355</v>
      </c>
    </row>
    <row r="19" spans="1:18" ht="22.5" customHeight="1">
      <c r="A19" s="5" t="s">
        <v>186</v>
      </c>
      <c r="B19" s="5" t="s">
        <v>2985</v>
      </c>
      <c r="C19" s="5" t="s">
        <v>188</v>
      </c>
      <c r="D19" s="5" t="s">
        <v>189</v>
      </c>
      <c r="E19" s="5" t="s">
        <v>83</v>
      </c>
      <c r="F19" s="68" t="s">
        <v>107</v>
      </c>
      <c r="G19" s="5" t="s">
        <v>132</v>
      </c>
      <c r="H19" s="5">
        <v>15500000</v>
      </c>
      <c r="I19" s="71">
        <v>0.128</v>
      </c>
      <c r="J19" s="60">
        <v>42957</v>
      </c>
      <c r="K19" s="5">
        <v>0</v>
      </c>
      <c r="L19" s="5">
        <v>0</v>
      </c>
      <c r="M19" s="5">
        <v>0</v>
      </c>
      <c r="N19" s="72" t="s">
        <v>122</v>
      </c>
      <c r="O19" s="75"/>
      <c r="P19" s="74">
        <v>0</v>
      </c>
      <c r="Q19" s="74" t="s">
        <v>192</v>
      </c>
      <c r="R19" s="79">
        <v>43008</v>
      </c>
    </row>
    <row r="20" spans="1:18" ht="22.5" customHeight="1">
      <c r="A20" s="5">
        <v>0</v>
      </c>
      <c r="B20" s="5" t="s">
        <v>193</v>
      </c>
      <c r="C20" s="5" t="s">
        <v>194</v>
      </c>
      <c r="D20" s="5" t="s">
        <v>195</v>
      </c>
      <c r="E20" s="5" t="s">
        <v>75</v>
      </c>
      <c r="F20" s="68" t="s">
        <v>175</v>
      </c>
      <c r="G20" s="5" t="s">
        <v>85</v>
      </c>
      <c r="H20" s="5">
        <v>565000</v>
      </c>
      <c r="I20" s="71">
        <v>0.15</v>
      </c>
      <c r="J20" s="60">
        <v>42965</v>
      </c>
      <c r="K20" s="5" t="s">
        <v>71</v>
      </c>
      <c r="L20" s="5" t="s">
        <v>71</v>
      </c>
      <c r="M20" s="5">
        <v>0</v>
      </c>
      <c r="N20" s="72" t="s">
        <v>122</v>
      </c>
      <c r="O20" s="75"/>
      <c r="P20" s="74">
        <v>0</v>
      </c>
      <c r="Q20" s="74" t="s">
        <v>197</v>
      </c>
      <c r="R20" s="79" t="s">
        <v>122</v>
      </c>
    </row>
    <row r="21" spans="1:18" ht="22.5" customHeight="1">
      <c r="A21" s="5">
        <v>0</v>
      </c>
      <c r="B21" s="5" t="s">
        <v>198</v>
      </c>
      <c r="C21" s="5" t="s">
        <v>199</v>
      </c>
      <c r="D21" s="5" t="s">
        <v>200</v>
      </c>
      <c r="E21" s="5" t="s">
        <v>75</v>
      </c>
      <c r="F21" s="68" t="s">
        <v>175</v>
      </c>
      <c r="G21" s="5" t="s">
        <v>85</v>
      </c>
      <c r="H21" s="5">
        <v>547995</v>
      </c>
      <c r="I21" s="71">
        <v>0.15</v>
      </c>
      <c r="J21" s="60">
        <v>42965</v>
      </c>
      <c r="K21" s="5" t="s">
        <v>71</v>
      </c>
      <c r="L21" s="5" t="s">
        <v>71</v>
      </c>
      <c r="M21" s="5">
        <v>0</v>
      </c>
      <c r="N21" s="72" t="s">
        <v>66</v>
      </c>
      <c r="O21" s="75">
        <v>43038</v>
      </c>
      <c r="P21" s="74" t="s">
        <v>78</v>
      </c>
      <c r="Q21" s="74" t="s">
        <v>88</v>
      </c>
      <c r="R21" s="79">
        <v>43375</v>
      </c>
    </row>
    <row r="22" spans="1:18" ht="22.5" customHeight="1">
      <c r="A22" s="5" t="s">
        <v>202</v>
      </c>
      <c r="B22" s="5" t="s">
        <v>2986</v>
      </c>
      <c r="C22" s="5" t="s">
        <v>204</v>
      </c>
      <c r="D22" s="5" t="s">
        <v>205</v>
      </c>
      <c r="E22" s="5" t="s">
        <v>126</v>
      </c>
      <c r="F22" s="68" t="s">
        <v>157</v>
      </c>
      <c r="G22" s="5" t="s">
        <v>145</v>
      </c>
      <c r="H22" s="5">
        <v>500000</v>
      </c>
      <c r="I22" s="71">
        <v>0.15</v>
      </c>
      <c r="J22" s="60">
        <v>42969</v>
      </c>
      <c r="K22" s="5" t="s">
        <v>71</v>
      </c>
      <c r="L22" s="5" t="s">
        <v>71</v>
      </c>
      <c r="M22" s="5">
        <v>0</v>
      </c>
      <c r="N22" s="72" t="s">
        <v>66</v>
      </c>
      <c r="O22" s="75">
        <v>43110</v>
      </c>
      <c r="P22" s="74" t="s">
        <v>78</v>
      </c>
      <c r="Q22" s="74" t="s">
        <v>88</v>
      </c>
      <c r="R22" s="79">
        <v>43474</v>
      </c>
    </row>
    <row r="23" spans="1:18" ht="22.5" customHeight="1">
      <c r="A23" s="5" t="s">
        <v>206</v>
      </c>
      <c r="B23" s="5" t="s">
        <v>2987</v>
      </c>
      <c r="C23" s="5" t="s">
        <v>208</v>
      </c>
      <c r="D23" s="5" t="s">
        <v>209</v>
      </c>
      <c r="E23" s="5" t="s">
        <v>75</v>
      </c>
      <c r="F23" s="68" t="s">
        <v>175</v>
      </c>
      <c r="G23" s="5" t="s">
        <v>85</v>
      </c>
      <c r="H23" s="5">
        <v>6800000</v>
      </c>
      <c r="I23" s="71">
        <v>0.15</v>
      </c>
      <c r="J23" s="60">
        <v>42990</v>
      </c>
      <c r="K23" s="5" t="s">
        <v>2715</v>
      </c>
      <c r="L23" s="5" t="s">
        <v>214</v>
      </c>
      <c r="M23" s="5">
        <v>0</v>
      </c>
      <c r="N23" s="72" t="s">
        <v>212</v>
      </c>
      <c r="O23" s="75"/>
      <c r="P23" s="74"/>
      <c r="Q23" s="74" t="s">
        <v>213</v>
      </c>
      <c r="R23" s="79"/>
    </row>
    <row r="24" spans="1:18" ht="22.5" customHeight="1">
      <c r="A24" s="5" t="s">
        <v>1751</v>
      </c>
      <c r="B24" s="5" t="s">
        <v>216</v>
      </c>
      <c r="C24" s="5" t="s">
        <v>217</v>
      </c>
      <c r="D24" s="5" t="s">
        <v>218</v>
      </c>
      <c r="E24" s="5" t="s">
        <v>83</v>
      </c>
      <c r="F24" s="68" t="s">
        <v>150</v>
      </c>
      <c r="G24" s="5" t="s">
        <v>132</v>
      </c>
      <c r="H24" s="5">
        <v>363600</v>
      </c>
      <c r="I24" s="71">
        <v>0.3</v>
      </c>
      <c r="J24" s="60">
        <v>43004</v>
      </c>
      <c r="K24" s="5" t="s">
        <v>71</v>
      </c>
      <c r="L24" s="5" t="s">
        <v>71</v>
      </c>
      <c r="M24" s="5">
        <v>0</v>
      </c>
      <c r="N24" s="72" t="s">
        <v>66</v>
      </c>
      <c r="O24" s="75"/>
      <c r="P24" s="74" t="s">
        <v>219</v>
      </c>
      <c r="Q24" s="74" t="s">
        <v>219</v>
      </c>
      <c r="R24" s="79">
        <v>43008</v>
      </c>
    </row>
    <row r="25" spans="1:18" ht="22.5" customHeight="1">
      <c r="A25" s="5" t="s">
        <v>222</v>
      </c>
      <c r="B25" s="5" t="s">
        <v>2988</v>
      </c>
      <c r="C25" s="5" t="s">
        <v>220</v>
      </c>
      <c r="D25" s="5" t="s">
        <v>223</v>
      </c>
      <c r="E25" s="5" t="s">
        <v>224</v>
      </c>
      <c r="F25" s="68" t="s">
        <v>76</v>
      </c>
      <c r="G25" s="5" t="s">
        <v>145</v>
      </c>
      <c r="H25" s="5">
        <v>924847</v>
      </c>
      <c r="I25" s="71">
        <v>0.15</v>
      </c>
      <c r="J25" s="60">
        <v>43031</v>
      </c>
      <c r="K25" s="5" t="s">
        <v>71</v>
      </c>
      <c r="L25" s="5" t="s">
        <v>71</v>
      </c>
      <c r="M25" s="5">
        <v>0</v>
      </c>
      <c r="N25" s="72" t="s">
        <v>66</v>
      </c>
      <c r="O25" s="75">
        <v>43102</v>
      </c>
      <c r="P25" s="74" t="s">
        <v>78</v>
      </c>
      <c r="Q25" s="74" t="s">
        <v>88</v>
      </c>
      <c r="R25" s="79">
        <v>43466</v>
      </c>
    </row>
    <row r="26" spans="1:18" ht="22.5" customHeight="1">
      <c r="A26" s="5">
        <v>0</v>
      </c>
      <c r="B26" s="5">
        <v>0</v>
      </c>
      <c r="C26" s="5" t="e">
        <v>#REF!</v>
      </c>
      <c r="D26" s="5" t="s">
        <v>226</v>
      </c>
      <c r="E26" s="5">
        <v>0</v>
      </c>
      <c r="F26" s="68">
        <v>0</v>
      </c>
      <c r="G26" s="5" t="s">
        <v>145</v>
      </c>
      <c r="H26" s="5">
        <v>0</v>
      </c>
      <c r="I26" s="71">
        <v>0</v>
      </c>
      <c r="J26" s="72">
        <v>0</v>
      </c>
      <c r="K26" s="5" t="s">
        <v>71</v>
      </c>
      <c r="L26" s="5" t="s">
        <v>71</v>
      </c>
      <c r="M26" s="5">
        <v>0</v>
      </c>
      <c r="N26" s="72" t="s">
        <v>66</v>
      </c>
      <c r="O26" s="75">
        <v>43365</v>
      </c>
      <c r="P26" s="74" t="s">
        <v>78</v>
      </c>
      <c r="Q26" s="74" t="s">
        <v>88</v>
      </c>
      <c r="R26" s="79">
        <v>43729</v>
      </c>
    </row>
    <row r="27" spans="1:18" ht="22.5" customHeight="1">
      <c r="A27" s="5" t="s">
        <v>227</v>
      </c>
      <c r="B27" s="5" t="s">
        <v>2989</v>
      </c>
      <c r="C27" s="5" t="s">
        <v>229</v>
      </c>
      <c r="D27" s="5" t="s">
        <v>230</v>
      </c>
      <c r="E27" s="5" t="s">
        <v>126</v>
      </c>
      <c r="F27" s="68" t="s">
        <v>76</v>
      </c>
      <c r="G27" s="5" t="s">
        <v>145</v>
      </c>
      <c r="H27" s="5">
        <v>180417</v>
      </c>
      <c r="I27" s="71">
        <v>0.15000249422171999</v>
      </c>
      <c r="J27" s="60">
        <v>43031</v>
      </c>
      <c r="K27" s="5" t="s">
        <v>71</v>
      </c>
      <c r="L27" s="5" t="s">
        <v>71</v>
      </c>
      <c r="M27" s="5">
        <v>0</v>
      </c>
      <c r="N27" s="72" t="s">
        <v>66</v>
      </c>
      <c r="O27" s="75" t="s">
        <v>2990</v>
      </c>
      <c r="P27" s="74" t="s">
        <v>78</v>
      </c>
      <c r="Q27" s="74" t="s">
        <v>88</v>
      </c>
      <c r="R27" s="79">
        <v>43525</v>
      </c>
    </row>
    <row r="28" spans="1:18" ht="22.5" customHeight="1">
      <c r="A28" s="5" t="s">
        <v>233</v>
      </c>
      <c r="B28" s="5" t="s">
        <v>2991</v>
      </c>
      <c r="C28" s="5" t="s">
        <v>235</v>
      </c>
      <c r="D28" s="5" t="s">
        <v>236</v>
      </c>
      <c r="E28" s="5" t="s">
        <v>126</v>
      </c>
      <c r="F28" s="68" t="s">
        <v>76</v>
      </c>
      <c r="G28" s="5" t="s">
        <v>145</v>
      </c>
      <c r="H28" s="5">
        <v>126588</v>
      </c>
      <c r="I28" s="71">
        <v>0.14999842007141301</v>
      </c>
      <c r="J28" s="60">
        <v>43031</v>
      </c>
      <c r="K28" s="5" t="s">
        <v>71</v>
      </c>
      <c r="L28" s="5" t="s">
        <v>71</v>
      </c>
      <c r="M28" s="5">
        <v>0</v>
      </c>
      <c r="N28" s="72" t="s">
        <v>66</v>
      </c>
      <c r="O28" s="75" t="s">
        <v>2990</v>
      </c>
      <c r="P28" s="74" t="s">
        <v>78</v>
      </c>
      <c r="Q28" s="74" t="s">
        <v>88</v>
      </c>
      <c r="R28" s="79">
        <v>43525</v>
      </c>
    </row>
    <row r="29" spans="1:18" ht="22.5" customHeight="1">
      <c r="A29" s="5" t="s">
        <v>239</v>
      </c>
      <c r="B29" s="5" t="s">
        <v>2992</v>
      </c>
      <c r="C29" s="5" t="s">
        <v>241</v>
      </c>
      <c r="D29" s="5" t="s">
        <v>242</v>
      </c>
      <c r="E29" s="5" t="s">
        <v>126</v>
      </c>
      <c r="F29" s="68" t="s">
        <v>76</v>
      </c>
      <c r="G29" s="5" t="s">
        <v>145</v>
      </c>
      <c r="H29" s="5">
        <v>118414</v>
      </c>
      <c r="I29" s="71">
        <v>0.14999915550526099</v>
      </c>
      <c r="J29" s="60">
        <v>43031</v>
      </c>
      <c r="K29" s="5" t="s">
        <v>71</v>
      </c>
      <c r="L29" s="5" t="s">
        <v>71</v>
      </c>
      <c r="M29" s="5">
        <v>0</v>
      </c>
      <c r="N29" s="72" t="s">
        <v>66</v>
      </c>
      <c r="O29" s="75">
        <v>43189</v>
      </c>
      <c r="P29" s="74" t="s">
        <v>78</v>
      </c>
      <c r="Q29" s="74" t="s">
        <v>88</v>
      </c>
      <c r="R29" s="79">
        <v>43554</v>
      </c>
    </row>
    <row r="30" spans="1:18" ht="22.5" customHeight="1">
      <c r="A30" s="5" t="s">
        <v>245</v>
      </c>
      <c r="B30" s="5" t="s">
        <v>246</v>
      </c>
      <c r="C30" s="5" t="s">
        <v>247</v>
      </c>
      <c r="D30" s="5" t="s">
        <v>248</v>
      </c>
      <c r="E30" s="5" t="s">
        <v>249</v>
      </c>
      <c r="F30" s="68" t="s">
        <v>157</v>
      </c>
      <c r="G30" s="5" t="s">
        <v>77</v>
      </c>
      <c r="H30" s="5">
        <v>105000</v>
      </c>
      <c r="I30" s="71">
        <v>0.15</v>
      </c>
      <c r="J30" s="60">
        <v>43021</v>
      </c>
      <c r="K30" s="5" t="s">
        <v>71</v>
      </c>
      <c r="L30" s="5" t="s">
        <v>71</v>
      </c>
      <c r="M30" s="5">
        <v>0</v>
      </c>
      <c r="N30" s="72" t="s">
        <v>66</v>
      </c>
      <c r="O30" s="75">
        <v>43061</v>
      </c>
      <c r="P30" s="74" t="s">
        <v>78</v>
      </c>
      <c r="Q30" s="74" t="s">
        <v>88</v>
      </c>
      <c r="R30" s="79">
        <v>43405</v>
      </c>
    </row>
    <row r="31" spans="1:18" ht="22.5" customHeight="1">
      <c r="A31" s="5" t="s">
        <v>250</v>
      </c>
      <c r="B31" s="5" t="s">
        <v>251</v>
      </c>
      <c r="C31" s="5" t="s">
        <v>252</v>
      </c>
      <c r="D31" s="5" t="s">
        <v>253</v>
      </c>
      <c r="E31" s="5" t="s">
        <v>92</v>
      </c>
      <c r="F31" s="68" t="s">
        <v>157</v>
      </c>
      <c r="G31" s="5" t="s">
        <v>93</v>
      </c>
      <c r="H31" s="5">
        <v>983000</v>
      </c>
      <c r="I31" s="71">
        <v>0.16581892166836201</v>
      </c>
      <c r="J31" s="60">
        <v>43187</v>
      </c>
      <c r="K31" s="5" t="s">
        <v>71</v>
      </c>
      <c r="L31" s="5" t="s">
        <v>71</v>
      </c>
      <c r="M31" s="5">
        <v>0</v>
      </c>
      <c r="N31" s="72" t="s">
        <v>66</v>
      </c>
      <c r="O31" s="75">
        <v>43325</v>
      </c>
      <c r="P31" s="74" t="s">
        <v>78</v>
      </c>
      <c r="Q31" s="74" t="s">
        <v>88</v>
      </c>
      <c r="R31" s="79">
        <v>43689</v>
      </c>
    </row>
    <row r="32" spans="1:18" ht="22.5" customHeight="1">
      <c r="A32" s="5" t="s">
        <v>257</v>
      </c>
      <c r="B32" s="5" t="s">
        <v>258</v>
      </c>
      <c r="C32" s="5" t="s">
        <v>259</v>
      </c>
      <c r="D32" s="5" t="s">
        <v>260</v>
      </c>
      <c r="E32" s="5" t="s">
        <v>261</v>
      </c>
      <c r="F32" s="68" t="s">
        <v>157</v>
      </c>
      <c r="G32" s="5" t="s">
        <v>108</v>
      </c>
      <c r="H32" s="5">
        <v>737454</v>
      </c>
      <c r="I32" s="71">
        <v>0.15</v>
      </c>
      <c r="J32" s="60">
        <v>43048</v>
      </c>
      <c r="K32" s="5" t="s">
        <v>71</v>
      </c>
      <c r="L32" s="5" t="s">
        <v>71</v>
      </c>
      <c r="M32" s="5">
        <v>0</v>
      </c>
      <c r="N32" s="72" t="s">
        <v>66</v>
      </c>
      <c r="O32" s="75">
        <v>43099</v>
      </c>
      <c r="P32" s="74" t="s">
        <v>78</v>
      </c>
      <c r="Q32" s="74" t="s">
        <v>88</v>
      </c>
      <c r="R32" s="79">
        <v>43463</v>
      </c>
    </row>
    <row r="33" spans="1:18" ht="22.5" customHeight="1">
      <c r="A33" s="5">
        <v>0</v>
      </c>
      <c r="B33" s="5" t="s">
        <v>262</v>
      </c>
      <c r="C33" s="5" t="s">
        <v>263</v>
      </c>
      <c r="D33" s="5" t="s">
        <v>264</v>
      </c>
      <c r="E33" s="5" t="s">
        <v>265</v>
      </c>
      <c r="F33" s="68" t="s">
        <v>266</v>
      </c>
      <c r="G33" s="5" t="s">
        <v>85</v>
      </c>
      <c r="H33" s="5">
        <v>306908</v>
      </c>
      <c r="I33" s="71">
        <v>1</v>
      </c>
      <c r="J33" s="60">
        <v>43048</v>
      </c>
      <c r="K33" s="5" t="s">
        <v>71</v>
      </c>
      <c r="L33" s="5" t="s">
        <v>71</v>
      </c>
      <c r="M33" s="5">
        <v>0</v>
      </c>
      <c r="N33" s="72" t="s">
        <v>212</v>
      </c>
      <c r="O33" s="75"/>
      <c r="P33" s="74"/>
      <c r="Q33" s="74" t="s">
        <v>213</v>
      </c>
      <c r="R33" s="79"/>
    </row>
    <row r="34" spans="1:18" ht="22.5" customHeight="1">
      <c r="A34" s="5" t="s">
        <v>267</v>
      </c>
      <c r="B34" s="5" t="s">
        <v>268</v>
      </c>
      <c r="C34" s="5">
        <v>0</v>
      </c>
      <c r="D34" s="5" t="s">
        <v>270</v>
      </c>
      <c r="E34" s="5" t="s">
        <v>271</v>
      </c>
      <c r="F34" s="68" t="s">
        <v>157</v>
      </c>
      <c r="G34" s="5" t="s">
        <v>132</v>
      </c>
      <c r="H34" s="5">
        <v>12043900</v>
      </c>
      <c r="I34" s="71">
        <v>0.1</v>
      </c>
      <c r="J34" s="60">
        <v>43062</v>
      </c>
      <c r="K34" s="5" t="s">
        <v>71</v>
      </c>
      <c r="L34" s="5" t="s">
        <v>71</v>
      </c>
      <c r="M34" s="5">
        <v>0</v>
      </c>
      <c r="N34" s="72" t="s">
        <v>66</v>
      </c>
      <c r="O34" s="75">
        <v>43056</v>
      </c>
      <c r="P34" s="74" t="s">
        <v>87</v>
      </c>
      <c r="Q34" s="74" t="s">
        <v>88</v>
      </c>
      <c r="R34" s="79">
        <v>44151</v>
      </c>
    </row>
    <row r="35" spans="1:18" ht="22.5" customHeight="1">
      <c r="A35" s="5" t="s">
        <v>273</v>
      </c>
      <c r="B35" s="5" t="s">
        <v>274</v>
      </c>
      <c r="C35" s="5" t="s">
        <v>275</v>
      </c>
      <c r="D35" s="5" t="s">
        <v>276</v>
      </c>
      <c r="E35" s="5" t="s">
        <v>168</v>
      </c>
      <c r="F35" s="68" t="s">
        <v>157</v>
      </c>
      <c r="G35" s="5" t="s">
        <v>62</v>
      </c>
      <c r="H35" s="5">
        <v>1457700</v>
      </c>
      <c r="I35" s="71">
        <v>0.1</v>
      </c>
      <c r="J35" s="60">
        <v>43068</v>
      </c>
      <c r="K35" s="5" t="s">
        <v>71</v>
      </c>
      <c r="L35" s="5" t="s">
        <v>71</v>
      </c>
      <c r="M35" s="5">
        <v>0</v>
      </c>
      <c r="N35" s="72">
        <v>43556</v>
      </c>
      <c r="O35" s="75"/>
      <c r="P35" s="74"/>
      <c r="Q35" s="74" t="s">
        <v>213</v>
      </c>
      <c r="R35" s="79"/>
    </row>
    <row r="36" spans="1:18" ht="22.5" customHeight="1">
      <c r="A36" s="5" t="s">
        <v>277</v>
      </c>
      <c r="B36" s="5" t="s">
        <v>278</v>
      </c>
      <c r="C36" s="5" t="s">
        <v>279</v>
      </c>
      <c r="D36" s="5" t="s">
        <v>280</v>
      </c>
      <c r="E36" s="5" t="s">
        <v>281</v>
      </c>
      <c r="F36" s="68" t="s">
        <v>76</v>
      </c>
      <c r="G36" s="5" t="s">
        <v>85</v>
      </c>
      <c r="H36" s="5">
        <v>1475200</v>
      </c>
      <c r="I36" s="71">
        <v>0.15</v>
      </c>
      <c r="J36" s="60">
        <v>43073</v>
      </c>
      <c r="K36" s="5" t="s">
        <v>71</v>
      </c>
      <c r="L36" s="5" t="s">
        <v>71</v>
      </c>
      <c r="M36" s="5">
        <v>0</v>
      </c>
      <c r="N36" s="72" t="s">
        <v>66</v>
      </c>
      <c r="O36" s="75" t="s">
        <v>2993</v>
      </c>
      <c r="P36" s="74"/>
      <c r="Q36" s="74" t="s">
        <v>88</v>
      </c>
      <c r="R36" s="79">
        <v>44075</v>
      </c>
    </row>
    <row r="37" spans="1:18" ht="22.5" customHeight="1">
      <c r="A37" s="5" t="s">
        <v>282</v>
      </c>
      <c r="B37" s="5" t="s">
        <v>2994</v>
      </c>
      <c r="C37" s="5" t="s">
        <v>284</v>
      </c>
      <c r="D37" s="5" t="s">
        <v>285</v>
      </c>
      <c r="E37" s="5" t="s">
        <v>265</v>
      </c>
      <c r="F37" s="68" t="s">
        <v>286</v>
      </c>
      <c r="G37" s="5" t="s">
        <v>62</v>
      </c>
      <c r="H37" s="5">
        <v>11707800</v>
      </c>
      <c r="I37" s="71">
        <v>0.18003382360477599</v>
      </c>
      <c r="J37" s="60">
        <v>43075</v>
      </c>
      <c r="K37" s="5" t="s">
        <v>71</v>
      </c>
      <c r="L37" s="5" t="s">
        <v>71</v>
      </c>
      <c r="M37" s="5">
        <v>0</v>
      </c>
      <c r="N37" s="72" t="s">
        <v>66</v>
      </c>
      <c r="O37" s="75" t="s">
        <v>2995</v>
      </c>
      <c r="P37" s="74" t="s">
        <v>78</v>
      </c>
      <c r="Q37" s="74" t="s">
        <v>88</v>
      </c>
      <c r="R37" s="79">
        <v>43509</v>
      </c>
    </row>
    <row r="38" spans="1:18" ht="22.5" customHeight="1">
      <c r="A38" s="5" t="s">
        <v>290</v>
      </c>
      <c r="B38" s="5" t="s">
        <v>291</v>
      </c>
      <c r="C38" s="5" t="s">
        <v>292</v>
      </c>
      <c r="D38" s="5" t="s">
        <v>293</v>
      </c>
      <c r="E38" s="5" t="s">
        <v>294</v>
      </c>
      <c r="F38" s="68" t="s">
        <v>76</v>
      </c>
      <c r="G38" s="5" t="s">
        <v>77</v>
      </c>
      <c r="H38" s="5">
        <v>191020</v>
      </c>
      <c r="I38" s="71">
        <v>9.9099570725578498E-2</v>
      </c>
      <c r="J38" s="60">
        <v>43073</v>
      </c>
      <c r="K38" s="5" t="s">
        <v>71</v>
      </c>
      <c r="L38" s="5" t="s">
        <v>71</v>
      </c>
      <c r="M38" s="5">
        <v>0</v>
      </c>
      <c r="N38" s="72" t="s">
        <v>66</v>
      </c>
      <c r="O38" s="75" t="s">
        <v>2996</v>
      </c>
      <c r="P38" s="74" t="s">
        <v>78</v>
      </c>
      <c r="Q38" s="74" t="s">
        <v>88</v>
      </c>
      <c r="R38" s="79"/>
    </row>
    <row r="39" spans="1:18" ht="22.5" customHeight="1">
      <c r="A39" s="5" t="s">
        <v>296</v>
      </c>
      <c r="B39" s="5" t="s">
        <v>297</v>
      </c>
      <c r="C39" s="5" t="s">
        <v>298</v>
      </c>
      <c r="D39" s="5" t="s">
        <v>299</v>
      </c>
      <c r="E39" s="5" t="s">
        <v>75</v>
      </c>
      <c r="F39" s="68" t="s">
        <v>76</v>
      </c>
      <c r="G39" s="5" t="s">
        <v>145</v>
      </c>
      <c r="H39" s="5">
        <v>6130597</v>
      </c>
      <c r="I39" s="71">
        <v>0.1</v>
      </c>
      <c r="J39" s="60">
        <v>43326</v>
      </c>
      <c r="K39" s="5">
        <v>0</v>
      </c>
      <c r="L39" s="5">
        <v>0</v>
      </c>
      <c r="M39" s="5">
        <v>0</v>
      </c>
      <c r="N39" s="72" t="s">
        <v>197</v>
      </c>
      <c r="O39" s="75"/>
      <c r="P39" s="77" t="s">
        <v>2997</v>
      </c>
      <c r="Q39" s="74" t="s">
        <v>197</v>
      </c>
      <c r="R39" s="79"/>
    </row>
    <row r="40" spans="1:18" ht="22.5" customHeight="1">
      <c r="A40" s="5" t="s">
        <v>305</v>
      </c>
      <c r="B40" s="5" t="s">
        <v>306</v>
      </c>
      <c r="C40" s="5" t="s">
        <v>2998</v>
      </c>
      <c r="D40" s="5" t="s">
        <v>308</v>
      </c>
      <c r="E40" s="5" t="s">
        <v>83</v>
      </c>
      <c r="F40" s="68" t="s">
        <v>107</v>
      </c>
      <c r="G40" s="5" t="s">
        <v>145</v>
      </c>
      <c r="H40" s="5">
        <v>3050000</v>
      </c>
      <c r="I40" s="71">
        <v>0.17380000000000001</v>
      </c>
      <c r="J40" s="60">
        <v>43096</v>
      </c>
      <c r="K40" s="5" t="s">
        <v>71</v>
      </c>
      <c r="L40" s="5" t="s">
        <v>71</v>
      </c>
      <c r="M40" s="5">
        <v>0</v>
      </c>
      <c r="N40" s="72" t="s">
        <v>66</v>
      </c>
      <c r="O40" s="75">
        <v>43228</v>
      </c>
      <c r="P40" s="74" t="s">
        <v>78</v>
      </c>
      <c r="Q40" s="74" t="s">
        <v>88</v>
      </c>
      <c r="R40" s="79">
        <v>43592</v>
      </c>
    </row>
    <row r="41" spans="1:18" ht="22.5" customHeight="1">
      <c r="A41" s="5" t="s">
        <v>311</v>
      </c>
      <c r="B41" s="5" t="s">
        <v>312</v>
      </c>
      <c r="C41" s="5" t="s">
        <v>313</v>
      </c>
      <c r="D41" s="5" t="s">
        <v>314</v>
      </c>
      <c r="E41" s="5" t="s">
        <v>83</v>
      </c>
      <c r="F41" s="68" t="s">
        <v>76</v>
      </c>
      <c r="G41" s="5" t="s">
        <v>145</v>
      </c>
      <c r="H41" s="5">
        <v>23000</v>
      </c>
      <c r="I41" s="71">
        <v>0.15</v>
      </c>
      <c r="J41" s="60">
        <v>43082</v>
      </c>
      <c r="K41" s="5" t="s">
        <v>71</v>
      </c>
      <c r="L41" s="5" t="s">
        <v>71</v>
      </c>
      <c r="M41" s="5">
        <v>0</v>
      </c>
      <c r="N41" s="72" t="s">
        <v>66</v>
      </c>
      <c r="O41" s="75">
        <v>42948</v>
      </c>
      <c r="P41" s="74" t="s">
        <v>78</v>
      </c>
      <c r="Q41" s="74" t="s">
        <v>122</v>
      </c>
      <c r="R41" s="79">
        <v>43313</v>
      </c>
    </row>
    <row r="42" spans="1:18" ht="22.5" customHeight="1">
      <c r="A42" s="5" t="s">
        <v>316</v>
      </c>
      <c r="B42" s="5" t="s">
        <v>317</v>
      </c>
      <c r="C42" s="5" t="s">
        <v>318</v>
      </c>
      <c r="D42" s="5" t="s">
        <v>319</v>
      </c>
      <c r="E42" s="5" t="s">
        <v>126</v>
      </c>
      <c r="F42" s="68" t="s">
        <v>76</v>
      </c>
      <c r="G42" s="5" t="s">
        <v>145</v>
      </c>
      <c r="H42" s="5">
        <v>197335</v>
      </c>
      <c r="I42" s="71">
        <v>0.15</v>
      </c>
      <c r="J42" s="60">
        <v>43082</v>
      </c>
      <c r="K42" s="5" t="s">
        <v>71</v>
      </c>
      <c r="L42" s="5" t="s">
        <v>71</v>
      </c>
      <c r="M42" s="5">
        <v>0</v>
      </c>
      <c r="N42" s="72" t="s">
        <v>66</v>
      </c>
      <c r="O42" s="75">
        <v>43160</v>
      </c>
      <c r="P42" s="74" t="s">
        <v>78</v>
      </c>
      <c r="Q42" s="74" t="s">
        <v>88</v>
      </c>
      <c r="R42" s="79">
        <v>43525</v>
      </c>
    </row>
    <row r="43" spans="1:18" ht="22.5" customHeight="1">
      <c r="A43" s="5" t="s">
        <v>322</v>
      </c>
      <c r="B43" s="5" t="s">
        <v>323</v>
      </c>
      <c r="C43" s="5" t="s">
        <v>324</v>
      </c>
      <c r="D43" s="5" t="s">
        <v>325</v>
      </c>
      <c r="E43" s="5" t="s">
        <v>126</v>
      </c>
      <c r="F43" s="68" t="s">
        <v>76</v>
      </c>
      <c r="G43" s="5" t="s">
        <v>145</v>
      </c>
      <c r="H43" s="5">
        <v>606640</v>
      </c>
      <c r="I43" s="71">
        <v>0.15</v>
      </c>
      <c r="J43" s="60">
        <v>43082</v>
      </c>
      <c r="K43" s="5" t="s">
        <v>71</v>
      </c>
      <c r="L43" s="5" t="s">
        <v>71</v>
      </c>
      <c r="M43" s="5">
        <v>0</v>
      </c>
      <c r="N43" s="72" t="s">
        <v>66</v>
      </c>
      <c r="O43" s="75">
        <v>43160</v>
      </c>
      <c r="P43" s="74" t="s">
        <v>78</v>
      </c>
      <c r="Q43" s="74" t="s">
        <v>88</v>
      </c>
      <c r="R43" s="79">
        <v>43525</v>
      </c>
    </row>
    <row r="44" spans="1:18" ht="22.5" customHeight="1">
      <c r="A44" s="5" t="s">
        <v>328</v>
      </c>
      <c r="B44" s="5" t="s">
        <v>329</v>
      </c>
      <c r="C44" s="5" t="s">
        <v>330</v>
      </c>
      <c r="D44" s="5" t="s">
        <v>331</v>
      </c>
      <c r="E44" s="5" t="s">
        <v>126</v>
      </c>
      <c r="F44" s="68" t="s">
        <v>76</v>
      </c>
      <c r="G44" s="5" t="s">
        <v>145</v>
      </c>
      <c r="H44" s="5">
        <v>36619</v>
      </c>
      <c r="I44" s="71">
        <v>0.15</v>
      </c>
      <c r="J44" s="60">
        <v>43082</v>
      </c>
      <c r="K44" s="5" t="s">
        <v>71</v>
      </c>
      <c r="L44" s="5" t="s">
        <v>71</v>
      </c>
      <c r="M44" s="5">
        <v>0</v>
      </c>
      <c r="N44" s="72" t="s">
        <v>66</v>
      </c>
      <c r="O44" s="75">
        <v>43160</v>
      </c>
      <c r="P44" s="74" t="s">
        <v>78</v>
      </c>
      <c r="Q44" s="74" t="s">
        <v>88</v>
      </c>
      <c r="R44" s="79">
        <v>43525</v>
      </c>
    </row>
    <row r="45" spans="1:18" ht="22.5" customHeight="1">
      <c r="A45" s="5" t="s">
        <v>334</v>
      </c>
      <c r="B45" s="5" t="s">
        <v>335</v>
      </c>
      <c r="C45" s="5" t="s">
        <v>336</v>
      </c>
      <c r="D45" s="5" t="s">
        <v>337</v>
      </c>
      <c r="E45" s="5" t="s">
        <v>126</v>
      </c>
      <c r="F45" s="68" t="s">
        <v>76</v>
      </c>
      <c r="G45" s="5" t="s">
        <v>145</v>
      </c>
      <c r="H45" s="5">
        <v>4947</v>
      </c>
      <c r="I45" s="71">
        <v>0.15</v>
      </c>
      <c r="J45" s="60">
        <v>43082</v>
      </c>
      <c r="K45" s="5" t="s">
        <v>71</v>
      </c>
      <c r="L45" s="5" t="s">
        <v>71</v>
      </c>
      <c r="M45" s="5">
        <v>0</v>
      </c>
      <c r="N45" s="72" t="s">
        <v>66</v>
      </c>
      <c r="O45" s="75">
        <v>43160</v>
      </c>
      <c r="P45" s="74" t="s">
        <v>78</v>
      </c>
      <c r="Q45" s="74" t="s">
        <v>88</v>
      </c>
      <c r="R45" s="79">
        <v>43525</v>
      </c>
    </row>
    <row r="46" spans="1:18" ht="22.5" customHeight="1">
      <c r="A46" s="5" t="s">
        <v>340</v>
      </c>
      <c r="B46" s="5" t="s">
        <v>341</v>
      </c>
      <c r="C46" s="5" t="s">
        <v>342</v>
      </c>
      <c r="D46" s="5" t="s">
        <v>343</v>
      </c>
      <c r="E46" s="5" t="s">
        <v>126</v>
      </c>
      <c r="F46" s="68" t="s">
        <v>76</v>
      </c>
      <c r="G46" s="5" t="s">
        <v>145</v>
      </c>
      <c r="H46" s="5">
        <v>71290</v>
      </c>
      <c r="I46" s="71">
        <v>0.15</v>
      </c>
      <c r="J46" s="60">
        <v>43082</v>
      </c>
      <c r="K46" s="5" t="s">
        <v>71</v>
      </c>
      <c r="L46" s="5" t="s">
        <v>71</v>
      </c>
      <c r="M46" s="5">
        <v>0</v>
      </c>
      <c r="N46" s="72" t="s">
        <v>66</v>
      </c>
      <c r="O46" s="75">
        <v>43160</v>
      </c>
      <c r="P46" s="74" t="s">
        <v>78</v>
      </c>
      <c r="Q46" s="74" t="s">
        <v>88</v>
      </c>
      <c r="R46" s="79">
        <v>43525</v>
      </c>
    </row>
    <row r="47" spans="1:18" ht="22.5" customHeight="1">
      <c r="A47" s="5" t="s">
        <v>346</v>
      </c>
      <c r="B47" s="5" t="s">
        <v>347</v>
      </c>
      <c r="C47" s="5" t="s">
        <v>348</v>
      </c>
      <c r="D47" s="5" t="s">
        <v>349</v>
      </c>
      <c r="E47" s="5" t="s">
        <v>126</v>
      </c>
      <c r="F47" s="68" t="s">
        <v>76</v>
      </c>
      <c r="G47" s="5" t="s">
        <v>145</v>
      </c>
      <c r="H47" s="5">
        <v>66490</v>
      </c>
      <c r="I47" s="71">
        <v>0.15</v>
      </c>
      <c r="J47" s="60">
        <v>43082</v>
      </c>
      <c r="K47" s="5" t="s">
        <v>71</v>
      </c>
      <c r="L47" s="5" t="s">
        <v>71</v>
      </c>
      <c r="M47" s="5">
        <v>0</v>
      </c>
      <c r="N47" s="72" t="s">
        <v>66</v>
      </c>
      <c r="O47" s="75">
        <v>43160</v>
      </c>
      <c r="P47" s="74" t="s">
        <v>78</v>
      </c>
      <c r="Q47" s="74" t="s">
        <v>88</v>
      </c>
      <c r="R47" s="79">
        <v>43525</v>
      </c>
    </row>
    <row r="48" spans="1:18" ht="22.5" customHeight="1">
      <c r="A48" s="5" t="s">
        <v>352</v>
      </c>
      <c r="B48" s="5" t="s">
        <v>353</v>
      </c>
      <c r="C48" s="5" t="s">
        <v>354</v>
      </c>
      <c r="D48" s="5" t="s">
        <v>355</v>
      </c>
      <c r="E48" s="5" t="s">
        <v>126</v>
      </c>
      <c r="F48" s="68" t="s">
        <v>76</v>
      </c>
      <c r="G48" s="5" t="s">
        <v>145</v>
      </c>
      <c r="H48" s="5">
        <v>177521</v>
      </c>
      <c r="I48" s="71">
        <v>0.15</v>
      </c>
      <c r="J48" s="60">
        <v>43082</v>
      </c>
      <c r="K48" s="5" t="s">
        <v>71</v>
      </c>
      <c r="L48" s="5" t="s">
        <v>71</v>
      </c>
      <c r="M48" s="5">
        <v>0</v>
      </c>
      <c r="N48" s="72" t="s">
        <v>66</v>
      </c>
      <c r="O48" s="75">
        <v>43160</v>
      </c>
      <c r="P48" s="74" t="s">
        <v>78</v>
      </c>
      <c r="Q48" s="74" t="s">
        <v>88</v>
      </c>
      <c r="R48" s="79">
        <v>43525</v>
      </c>
    </row>
    <row r="49" spans="1:18" ht="22.5" customHeight="1">
      <c r="A49" s="5" t="s">
        <v>358</v>
      </c>
      <c r="B49" s="5" t="s">
        <v>359</v>
      </c>
      <c r="C49" s="5" t="s">
        <v>360</v>
      </c>
      <c r="D49" s="5" t="s">
        <v>361</v>
      </c>
      <c r="E49" s="5" t="s">
        <v>126</v>
      </c>
      <c r="F49" s="68" t="s">
        <v>76</v>
      </c>
      <c r="G49" s="5" t="s">
        <v>145</v>
      </c>
      <c r="H49" s="5">
        <v>185317</v>
      </c>
      <c r="I49" s="71">
        <v>0.15</v>
      </c>
      <c r="J49" s="60">
        <v>43082</v>
      </c>
      <c r="K49" s="5" t="s">
        <v>71</v>
      </c>
      <c r="L49" s="5" t="s">
        <v>71</v>
      </c>
      <c r="M49" s="5">
        <v>0</v>
      </c>
      <c r="N49" s="72" t="s">
        <v>66</v>
      </c>
      <c r="O49" s="75">
        <v>43160</v>
      </c>
      <c r="P49" s="74" t="s">
        <v>78</v>
      </c>
      <c r="Q49" s="74" t="s">
        <v>88</v>
      </c>
      <c r="R49" s="79">
        <v>43525</v>
      </c>
    </row>
    <row r="50" spans="1:18" ht="22.5" customHeight="1">
      <c r="A50" s="5" t="s">
        <v>364</v>
      </c>
      <c r="B50" s="5" t="s">
        <v>365</v>
      </c>
      <c r="C50" s="5" t="s">
        <v>366</v>
      </c>
      <c r="D50" s="5" t="s">
        <v>367</v>
      </c>
      <c r="E50" s="5" t="s">
        <v>126</v>
      </c>
      <c r="F50" s="68" t="s">
        <v>76</v>
      </c>
      <c r="G50" s="5" t="s">
        <v>145</v>
      </c>
      <c r="H50" s="5">
        <v>529255</v>
      </c>
      <c r="I50" s="71">
        <v>0.15</v>
      </c>
      <c r="J50" s="60">
        <v>43082</v>
      </c>
      <c r="K50" s="5" t="s">
        <v>71</v>
      </c>
      <c r="L50" s="5" t="s">
        <v>71</v>
      </c>
      <c r="M50" s="5">
        <v>0</v>
      </c>
      <c r="N50" s="72" t="s">
        <v>66</v>
      </c>
      <c r="O50" s="75">
        <v>43160</v>
      </c>
      <c r="P50" s="74" t="s">
        <v>78</v>
      </c>
      <c r="Q50" s="74" t="s">
        <v>88</v>
      </c>
      <c r="R50" s="79">
        <v>43525</v>
      </c>
    </row>
    <row r="51" spans="1:18" ht="22.5" customHeight="1">
      <c r="A51" s="5" t="s">
        <v>370</v>
      </c>
      <c r="B51" s="5" t="s">
        <v>371</v>
      </c>
      <c r="C51" s="5" t="s">
        <v>372</v>
      </c>
      <c r="D51" s="5" t="s">
        <v>373</v>
      </c>
      <c r="E51" s="5" t="s">
        <v>374</v>
      </c>
      <c r="F51" s="68" t="s">
        <v>286</v>
      </c>
      <c r="G51" s="5" t="s">
        <v>77</v>
      </c>
      <c r="H51" s="5">
        <v>2822586</v>
      </c>
      <c r="I51" s="71">
        <v>0.1</v>
      </c>
      <c r="J51" s="60">
        <v>43088</v>
      </c>
      <c r="K51" s="5" t="s">
        <v>71</v>
      </c>
      <c r="L51" s="5" t="s">
        <v>71</v>
      </c>
      <c r="M51" s="5">
        <v>0</v>
      </c>
      <c r="N51" s="72" t="s">
        <v>66</v>
      </c>
      <c r="O51" s="75">
        <v>43136</v>
      </c>
      <c r="P51" s="74" t="s">
        <v>78</v>
      </c>
      <c r="Q51" s="74" t="s">
        <v>88</v>
      </c>
      <c r="R51" s="79">
        <v>43500</v>
      </c>
    </row>
    <row r="52" spans="1:18" ht="22.5" customHeight="1">
      <c r="A52" s="5" t="s">
        <v>375</v>
      </c>
      <c r="B52" s="5" t="s">
        <v>376</v>
      </c>
      <c r="C52" s="5" t="s">
        <v>377</v>
      </c>
      <c r="D52" s="5" t="s">
        <v>378</v>
      </c>
      <c r="E52" s="5" t="s">
        <v>83</v>
      </c>
      <c r="F52" s="68" t="s">
        <v>175</v>
      </c>
      <c r="G52" s="5" t="s">
        <v>108</v>
      </c>
      <c r="H52" s="5">
        <v>2800000</v>
      </c>
      <c r="I52" s="71">
        <v>0.32850000000000001</v>
      </c>
      <c r="J52" s="60">
        <v>43090</v>
      </c>
      <c r="K52" s="5" t="s">
        <v>2999</v>
      </c>
      <c r="L52" s="5" t="s">
        <v>71</v>
      </c>
      <c r="M52" s="5" t="s">
        <v>384</v>
      </c>
      <c r="N52" s="72" t="s">
        <v>3000</v>
      </c>
      <c r="O52" s="75"/>
      <c r="P52" s="74"/>
      <c r="Q52" s="74" t="s">
        <v>213</v>
      </c>
      <c r="R52" s="79"/>
    </row>
    <row r="53" spans="1:18" ht="22.5" customHeight="1">
      <c r="A53" s="5" t="s">
        <v>135</v>
      </c>
      <c r="B53" s="5" t="s">
        <v>385</v>
      </c>
      <c r="C53" s="5" t="s">
        <v>386</v>
      </c>
      <c r="D53" s="5" t="s">
        <v>387</v>
      </c>
      <c r="E53" s="5" t="s">
        <v>261</v>
      </c>
      <c r="F53" s="68" t="s">
        <v>107</v>
      </c>
      <c r="G53" s="5" t="s">
        <v>85</v>
      </c>
      <c r="H53" s="5">
        <v>187000</v>
      </c>
      <c r="I53" s="71">
        <v>0.15</v>
      </c>
      <c r="J53" s="60">
        <v>43096</v>
      </c>
      <c r="K53" s="5" t="s">
        <v>71</v>
      </c>
      <c r="L53" s="5" t="s">
        <v>71</v>
      </c>
      <c r="M53" s="5">
        <v>0</v>
      </c>
      <c r="N53" s="72" t="s">
        <v>66</v>
      </c>
      <c r="O53" s="75">
        <v>43008</v>
      </c>
      <c r="P53" s="74" t="s">
        <v>78</v>
      </c>
      <c r="Q53" s="74" t="s">
        <v>122</v>
      </c>
      <c r="R53" s="79">
        <v>43372</v>
      </c>
    </row>
    <row r="54" spans="1:18" ht="22.5" customHeight="1">
      <c r="A54" s="5" t="s">
        <v>305</v>
      </c>
      <c r="B54" s="5" t="s">
        <v>390</v>
      </c>
      <c r="C54" s="5" t="s">
        <v>2998</v>
      </c>
      <c r="D54" s="5" t="s">
        <v>392</v>
      </c>
      <c r="E54" s="5" t="s">
        <v>168</v>
      </c>
      <c r="F54" s="68" t="s">
        <v>107</v>
      </c>
      <c r="G54" s="5" t="s">
        <v>62</v>
      </c>
      <c r="H54" s="5">
        <v>8275000</v>
      </c>
      <c r="I54" s="71">
        <v>0.05</v>
      </c>
      <c r="J54" s="60">
        <v>43096</v>
      </c>
      <c r="K54" s="5" t="s">
        <v>71</v>
      </c>
      <c r="L54" s="5" t="s">
        <v>71</v>
      </c>
      <c r="M54" s="5">
        <v>0</v>
      </c>
      <c r="N54" s="72" t="s">
        <v>397</v>
      </c>
      <c r="O54" s="75"/>
      <c r="P54" s="74"/>
      <c r="Q54" s="74" t="s">
        <v>213</v>
      </c>
      <c r="R54" s="79"/>
    </row>
    <row r="55" spans="1:18" ht="22.5" customHeight="1">
      <c r="A55" s="5" t="s">
        <v>398</v>
      </c>
      <c r="B55" s="5" t="s">
        <v>399</v>
      </c>
      <c r="C55" s="5" t="s">
        <v>400</v>
      </c>
      <c r="D55" s="5" t="s">
        <v>401</v>
      </c>
      <c r="E55" s="5" t="s">
        <v>265</v>
      </c>
      <c r="F55" s="68" t="s">
        <v>175</v>
      </c>
      <c r="G55" s="5" t="s">
        <v>85</v>
      </c>
      <c r="H55" s="5">
        <v>249660</v>
      </c>
      <c r="I55" s="71">
        <v>0.1</v>
      </c>
      <c r="J55" s="60">
        <v>43102</v>
      </c>
      <c r="K55" s="5" t="s">
        <v>71</v>
      </c>
      <c r="L55" s="5" t="s">
        <v>71</v>
      </c>
      <c r="M55" s="5">
        <v>0</v>
      </c>
      <c r="N55" s="72" t="s">
        <v>66</v>
      </c>
      <c r="O55" s="75" t="s">
        <v>1529</v>
      </c>
      <c r="P55" s="74" t="s">
        <v>78</v>
      </c>
      <c r="Q55" s="74" t="s">
        <v>88</v>
      </c>
      <c r="R55" s="77" t="s">
        <v>405</v>
      </c>
    </row>
    <row r="56" spans="1:18" ht="22.5" customHeight="1">
      <c r="A56" s="5">
        <v>0</v>
      </c>
      <c r="B56" s="5" t="s">
        <v>406</v>
      </c>
      <c r="C56" s="5" t="s">
        <v>407</v>
      </c>
      <c r="D56" s="5" t="s">
        <v>408</v>
      </c>
      <c r="E56" s="5" t="s">
        <v>75</v>
      </c>
      <c r="F56" s="68" t="s">
        <v>76</v>
      </c>
      <c r="G56" s="5" t="s">
        <v>145</v>
      </c>
      <c r="H56" s="5">
        <v>7283157</v>
      </c>
      <c r="I56" s="71">
        <v>0.15</v>
      </c>
      <c r="J56" s="60">
        <v>43111</v>
      </c>
      <c r="K56" s="5" t="s">
        <v>71</v>
      </c>
      <c r="L56" s="5" t="s">
        <v>71</v>
      </c>
      <c r="M56" s="5">
        <v>0</v>
      </c>
      <c r="N56" s="72" t="s">
        <v>66</v>
      </c>
      <c r="O56" s="75" t="s">
        <v>411</v>
      </c>
      <c r="P56" s="74" t="s">
        <v>78</v>
      </c>
      <c r="Q56" s="74" t="s">
        <v>88</v>
      </c>
      <c r="R56" s="77" t="s">
        <v>405</v>
      </c>
    </row>
    <row r="57" spans="1:18" ht="22.5" customHeight="1">
      <c r="A57" s="5" t="s">
        <v>412</v>
      </c>
      <c r="B57" s="5" t="s">
        <v>413</v>
      </c>
      <c r="C57" s="5" t="s">
        <v>414</v>
      </c>
      <c r="D57" s="5" t="s">
        <v>415</v>
      </c>
      <c r="E57" s="5" t="s">
        <v>61</v>
      </c>
      <c r="F57" s="68" t="s">
        <v>76</v>
      </c>
      <c r="G57" s="5" t="s">
        <v>85</v>
      </c>
      <c r="H57" s="5">
        <v>675000</v>
      </c>
      <c r="I57" s="71">
        <v>0.15</v>
      </c>
      <c r="J57" s="60">
        <v>43111</v>
      </c>
      <c r="K57" s="5" t="s">
        <v>71</v>
      </c>
      <c r="L57" s="5" t="s">
        <v>71</v>
      </c>
      <c r="M57" s="5">
        <v>0</v>
      </c>
      <c r="N57" s="72" t="s">
        <v>66</v>
      </c>
      <c r="O57" s="75">
        <v>43124</v>
      </c>
      <c r="P57" s="74" t="s">
        <v>78</v>
      </c>
      <c r="Q57" s="74" t="s">
        <v>88</v>
      </c>
      <c r="R57" s="79">
        <v>43488</v>
      </c>
    </row>
    <row r="58" spans="1:18" ht="22.5" customHeight="1">
      <c r="A58" s="5" t="s">
        <v>419</v>
      </c>
      <c r="B58" s="5" t="s">
        <v>420</v>
      </c>
      <c r="C58" s="5" t="s">
        <v>421</v>
      </c>
      <c r="D58" s="5" t="s">
        <v>422</v>
      </c>
      <c r="E58" s="5" t="s">
        <v>224</v>
      </c>
      <c r="F58" s="68" t="s">
        <v>150</v>
      </c>
      <c r="G58" s="5" t="s">
        <v>132</v>
      </c>
      <c r="H58" s="5">
        <v>179847</v>
      </c>
      <c r="I58" s="71">
        <v>0.15</v>
      </c>
      <c r="J58" s="60">
        <v>43112</v>
      </c>
      <c r="K58" s="5" t="s">
        <v>71</v>
      </c>
      <c r="L58" s="5" t="s">
        <v>71</v>
      </c>
      <c r="M58" s="5">
        <v>0</v>
      </c>
      <c r="N58" s="72" t="s">
        <v>66</v>
      </c>
      <c r="O58" s="75" t="s">
        <v>1529</v>
      </c>
      <c r="P58" s="74" t="s">
        <v>78</v>
      </c>
      <c r="Q58" s="74" t="s">
        <v>88</v>
      </c>
      <c r="R58" s="77" t="s">
        <v>405</v>
      </c>
    </row>
    <row r="59" spans="1:18" ht="22.5" customHeight="1">
      <c r="A59" s="5" t="s">
        <v>426</v>
      </c>
      <c r="B59" s="5" t="s">
        <v>427</v>
      </c>
      <c r="C59" s="5" t="s">
        <v>428</v>
      </c>
      <c r="D59" s="5" t="s">
        <v>429</v>
      </c>
      <c r="E59" s="5" t="s">
        <v>83</v>
      </c>
      <c r="F59" s="68" t="s">
        <v>76</v>
      </c>
      <c r="G59" s="5" t="s">
        <v>145</v>
      </c>
      <c r="H59" s="5">
        <v>2453</v>
      </c>
      <c r="I59" s="71">
        <v>0.15</v>
      </c>
      <c r="J59" s="60">
        <v>43130</v>
      </c>
      <c r="K59" s="5" t="s">
        <v>71</v>
      </c>
      <c r="L59" s="5" t="s">
        <v>71</v>
      </c>
      <c r="M59" s="5">
        <v>0</v>
      </c>
      <c r="N59" s="72" t="s">
        <v>66</v>
      </c>
      <c r="O59" s="75">
        <v>43171</v>
      </c>
      <c r="P59" s="74" t="s">
        <v>78</v>
      </c>
      <c r="Q59" s="74" t="s">
        <v>88</v>
      </c>
      <c r="R59" s="79">
        <v>43535</v>
      </c>
    </row>
    <row r="60" spans="1:18" ht="22.5" customHeight="1">
      <c r="A60" s="5" t="s">
        <v>431</v>
      </c>
      <c r="B60" s="5" t="s">
        <v>432</v>
      </c>
      <c r="C60" s="5" t="s">
        <v>433</v>
      </c>
      <c r="D60" s="5" t="s">
        <v>434</v>
      </c>
      <c r="E60" s="5" t="s">
        <v>83</v>
      </c>
      <c r="F60" s="68" t="s">
        <v>76</v>
      </c>
      <c r="G60" s="5" t="s">
        <v>145</v>
      </c>
      <c r="H60" s="5">
        <v>84000</v>
      </c>
      <c r="I60" s="71">
        <v>0.15</v>
      </c>
      <c r="J60" s="60">
        <v>43130</v>
      </c>
      <c r="K60" s="5" t="s">
        <v>71</v>
      </c>
      <c r="L60" s="5" t="s">
        <v>71</v>
      </c>
      <c r="M60" s="5">
        <v>0</v>
      </c>
      <c r="N60" s="72" t="s">
        <v>66</v>
      </c>
      <c r="O60" s="75">
        <v>43175</v>
      </c>
      <c r="P60" s="74" t="s">
        <v>78</v>
      </c>
      <c r="Q60" s="74" t="s">
        <v>88</v>
      </c>
      <c r="R60" s="79">
        <v>43539</v>
      </c>
    </row>
    <row r="61" spans="1:18" ht="22.5" customHeight="1">
      <c r="A61" s="5" t="s">
        <v>437</v>
      </c>
      <c r="B61" s="5" t="s">
        <v>438</v>
      </c>
      <c r="C61" s="5" t="s">
        <v>439</v>
      </c>
      <c r="D61" s="5" t="s">
        <v>440</v>
      </c>
      <c r="E61" s="5" t="s">
        <v>168</v>
      </c>
      <c r="F61" s="68" t="s">
        <v>175</v>
      </c>
      <c r="G61" s="5" t="s">
        <v>442</v>
      </c>
      <c r="H61" s="5">
        <v>25200</v>
      </c>
      <c r="I61" s="71">
        <v>0.15</v>
      </c>
      <c r="J61" s="60">
        <v>43130</v>
      </c>
      <c r="K61" s="5" t="s">
        <v>71</v>
      </c>
      <c r="L61" s="5" t="s">
        <v>71</v>
      </c>
      <c r="M61" s="5">
        <v>0</v>
      </c>
      <c r="N61" s="72" t="s">
        <v>190</v>
      </c>
      <c r="O61" s="60"/>
      <c r="P61" s="77" t="s">
        <v>3001</v>
      </c>
      <c r="Q61" s="74" t="s">
        <v>190</v>
      </c>
      <c r="R61" s="79">
        <v>44927</v>
      </c>
    </row>
    <row r="62" spans="1:18" ht="22.5" customHeight="1">
      <c r="A62" s="5" t="s">
        <v>444</v>
      </c>
      <c r="B62" s="5" t="s">
        <v>445</v>
      </c>
      <c r="C62" s="5" t="s">
        <v>446</v>
      </c>
      <c r="D62" s="5" t="s">
        <v>440</v>
      </c>
      <c r="E62" s="5" t="s">
        <v>168</v>
      </c>
      <c r="F62" s="68" t="s">
        <v>175</v>
      </c>
      <c r="G62" s="5" t="s">
        <v>442</v>
      </c>
      <c r="H62" s="5">
        <v>73200</v>
      </c>
      <c r="I62" s="71">
        <v>0.15</v>
      </c>
      <c r="J62" s="60">
        <v>43130</v>
      </c>
      <c r="K62" s="5" t="s">
        <v>71</v>
      </c>
      <c r="L62" s="5" t="s">
        <v>71</v>
      </c>
      <c r="M62" s="5">
        <v>0</v>
      </c>
      <c r="N62" s="72" t="s">
        <v>190</v>
      </c>
      <c r="O62" s="60"/>
      <c r="P62" s="77" t="s">
        <v>3001</v>
      </c>
      <c r="Q62" s="74" t="s">
        <v>190</v>
      </c>
      <c r="R62" s="79">
        <v>44927</v>
      </c>
    </row>
    <row r="63" spans="1:18" ht="22.5" customHeight="1">
      <c r="A63" s="5" t="s">
        <v>447</v>
      </c>
      <c r="B63" s="5" t="s">
        <v>448</v>
      </c>
      <c r="C63" s="5" t="s">
        <v>449</v>
      </c>
      <c r="D63" s="5" t="s">
        <v>440</v>
      </c>
      <c r="E63" s="5" t="s">
        <v>168</v>
      </c>
      <c r="F63" s="68" t="s">
        <v>175</v>
      </c>
      <c r="G63" s="5" t="s">
        <v>442</v>
      </c>
      <c r="H63" s="5">
        <v>325200</v>
      </c>
      <c r="I63" s="71">
        <v>0.15</v>
      </c>
      <c r="J63" s="60">
        <v>43130</v>
      </c>
      <c r="K63" s="5" t="s">
        <v>71</v>
      </c>
      <c r="L63" s="5" t="s">
        <v>71</v>
      </c>
      <c r="M63" s="5">
        <v>0</v>
      </c>
      <c r="N63" s="72" t="s">
        <v>190</v>
      </c>
      <c r="O63" s="60"/>
      <c r="P63" s="77" t="s">
        <v>3001</v>
      </c>
      <c r="Q63" s="74" t="s">
        <v>190</v>
      </c>
      <c r="R63" s="79">
        <v>44927</v>
      </c>
    </row>
    <row r="64" spans="1:18" ht="22.5" customHeight="1">
      <c r="A64" s="5" t="s">
        <v>450</v>
      </c>
      <c r="B64" s="5" t="s">
        <v>451</v>
      </c>
      <c r="C64" s="5" t="s">
        <v>452</v>
      </c>
      <c r="D64" s="5" t="s">
        <v>453</v>
      </c>
      <c r="E64" s="5" t="s">
        <v>261</v>
      </c>
      <c r="F64" s="68" t="s">
        <v>76</v>
      </c>
      <c r="G64" s="5" t="s">
        <v>455</v>
      </c>
      <c r="H64" s="5">
        <v>15700000</v>
      </c>
      <c r="I64" s="71">
        <v>0.15</v>
      </c>
      <c r="J64" s="60">
        <v>43215</v>
      </c>
      <c r="K64" s="5" t="s">
        <v>71</v>
      </c>
      <c r="L64" s="5" t="s">
        <v>71</v>
      </c>
      <c r="M64" s="5">
        <v>0</v>
      </c>
      <c r="N64" s="72" t="s">
        <v>190</v>
      </c>
      <c r="O64" s="60"/>
      <c r="P64" s="77">
        <v>2017.12</v>
      </c>
      <c r="Q64" s="74" t="s">
        <v>190</v>
      </c>
      <c r="R64" s="79">
        <v>44141</v>
      </c>
    </row>
    <row r="65" spans="1:18" ht="22.5" customHeight="1">
      <c r="A65" s="5" t="s">
        <v>456</v>
      </c>
      <c r="B65" s="5" t="s">
        <v>457</v>
      </c>
      <c r="C65" s="5" t="s">
        <v>458</v>
      </c>
      <c r="D65" s="5" t="s">
        <v>459</v>
      </c>
      <c r="E65" s="5" t="s">
        <v>249</v>
      </c>
      <c r="F65" s="68" t="s">
        <v>157</v>
      </c>
      <c r="G65" s="5" t="s">
        <v>132</v>
      </c>
      <c r="H65" s="5">
        <v>315745</v>
      </c>
      <c r="I65" s="71">
        <v>0.15</v>
      </c>
      <c r="J65" s="60">
        <v>43132</v>
      </c>
      <c r="K65" s="5" t="s">
        <v>71</v>
      </c>
      <c r="L65" s="5" t="s">
        <v>71</v>
      </c>
      <c r="M65" s="5">
        <v>0</v>
      </c>
      <c r="N65" s="72" t="s">
        <v>66</v>
      </c>
      <c r="O65" s="75">
        <v>43108</v>
      </c>
      <c r="P65" s="74" t="s">
        <v>78</v>
      </c>
      <c r="Q65" s="74" t="s">
        <v>88</v>
      </c>
      <c r="R65" s="79">
        <v>43472</v>
      </c>
    </row>
    <row r="66" spans="1:18" ht="22.5" customHeight="1">
      <c r="A66" s="5" t="s">
        <v>462</v>
      </c>
      <c r="B66" s="5">
        <v>0</v>
      </c>
      <c r="C66" s="5" t="s">
        <v>463</v>
      </c>
      <c r="D66" s="5" t="s">
        <v>464</v>
      </c>
      <c r="E66" s="5" t="s">
        <v>139</v>
      </c>
      <c r="F66" s="68" t="s">
        <v>150</v>
      </c>
      <c r="G66" s="5" t="s">
        <v>85</v>
      </c>
      <c r="H66" s="5">
        <v>152360</v>
      </c>
      <c r="I66" s="71">
        <v>0</v>
      </c>
      <c r="J66" s="60">
        <v>43131</v>
      </c>
      <c r="K66" s="5" t="s">
        <v>71</v>
      </c>
      <c r="L66" s="5" t="s">
        <v>71</v>
      </c>
      <c r="M66" s="5">
        <v>0</v>
      </c>
      <c r="N66" s="72" t="s">
        <v>66</v>
      </c>
      <c r="O66" s="82" t="s">
        <v>3002</v>
      </c>
      <c r="P66" s="74" t="s">
        <v>78</v>
      </c>
      <c r="Q66" s="74" t="s">
        <v>88</v>
      </c>
      <c r="R66" s="79" t="s">
        <v>405</v>
      </c>
    </row>
    <row r="67" spans="1:18" ht="22.5" customHeight="1">
      <c r="A67" s="5" t="s">
        <v>465</v>
      </c>
      <c r="B67" s="5">
        <v>0</v>
      </c>
      <c r="C67" s="5" t="s">
        <v>466</v>
      </c>
      <c r="D67" s="5" t="s">
        <v>3003</v>
      </c>
      <c r="E67" s="5" t="s">
        <v>139</v>
      </c>
      <c r="F67" s="68" t="s">
        <v>150</v>
      </c>
      <c r="G67" s="5" t="s">
        <v>85</v>
      </c>
      <c r="H67" s="5">
        <v>176242</v>
      </c>
      <c r="I67" s="71">
        <v>0</v>
      </c>
      <c r="J67" s="60">
        <v>43131</v>
      </c>
      <c r="K67" s="5" t="s">
        <v>71</v>
      </c>
      <c r="L67" s="5" t="s">
        <v>71</v>
      </c>
      <c r="M67" s="5">
        <v>0</v>
      </c>
      <c r="N67" s="72" t="s">
        <v>66</v>
      </c>
      <c r="O67" s="82" t="s">
        <v>3002</v>
      </c>
      <c r="P67" s="74" t="s">
        <v>78</v>
      </c>
      <c r="Q67" s="74" t="s">
        <v>88</v>
      </c>
      <c r="R67" s="79" t="s">
        <v>405</v>
      </c>
    </row>
    <row r="68" spans="1:18" ht="22.5" customHeight="1">
      <c r="A68" s="5" t="s">
        <v>468</v>
      </c>
      <c r="B68" s="5">
        <v>0</v>
      </c>
      <c r="C68" s="5" t="s">
        <v>469</v>
      </c>
      <c r="D68" s="5" t="s">
        <v>3004</v>
      </c>
      <c r="E68" s="5" t="s">
        <v>139</v>
      </c>
      <c r="F68" s="68" t="s">
        <v>150</v>
      </c>
      <c r="G68" s="5" t="s">
        <v>85</v>
      </c>
      <c r="H68" s="5">
        <v>199280</v>
      </c>
      <c r="I68" s="71">
        <v>0</v>
      </c>
      <c r="J68" s="60">
        <v>43131</v>
      </c>
      <c r="K68" s="5" t="s">
        <v>71</v>
      </c>
      <c r="L68" s="5" t="s">
        <v>71</v>
      </c>
      <c r="M68" s="5">
        <v>0</v>
      </c>
      <c r="N68" s="72" t="s">
        <v>66</v>
      </c>
      <c r="O68" s="82" t="s">
        <v>3002</v>
      </c>
      <c r="P68" s="74" t="s">
        <v>78</v>
      </c>
      <c r="Q68" s="74" t="s">
        <v>88</v>
      </c>
      <c r="R68" s="79" t="s">
        <v>405</v>
      </c>
    </row>
    <row r="69" spans="1:18" ht="22.5" customHeight="1">
      <c r="A69" s="5" t="s">
        <v>471</v>
      </c>
      <c r="B69" s="5">
        <v>0</v>
      </c>
      <c r="C69" s="5" t="s">
        <v>472</v>
      </c>
      <c r="D69" s="5" t="s">
        <v>3005</v>
      </c>
      <c r="E69" s="5" t="s">
        <v>139</v>
      </c>
      <c r="F69" s="68" t="s">
        <v>150</v>
      </c>
      <c r="G69" s="5" t="s">
        <v>85</v>
      </c>
      <c r="H69" s="5">
        <v>196236</v>
      </c>
      <c r="I69" s="71">
        <v>0</v>
      </c>
      <c r="J69" s="60">
        <v>43131</v>
      </c>
      <c r="K69" s="5" t="s">
        <v>71</v>
      </c>
      <c r="L69" s="5" t="s">
        <v>71</v>
      </c>
      <c r="M69" s="5">
        <v>0</v>
      </c>
      <c r="N69" s="72" t="s">
        <v>66</v>
      </c>
      <c r="O69" s="82" t="s">
        <v>3002</v>
      </c>
      <c r="P69" s="74" t="s">
        <v>78</v>
      </c>
      <c r="Q69" s="74" t="s">
        <v>88</v>
      </c>
      <c r="R69" s="79" t="s">
        <v>405</v>
      </c>
    </row>
    <row r="70" spans="1:18" ht="22.5" customHeight="1">
      <c r="A70" s="5" t="s">
        <v>474</v>
      </c>
      <c r="B70" s="5">
        <v>0</v>
      </c>
      <c r="C70" s="5" t="s">
        <v>475</v>
      </c>
      <c r="D70" s="5" t="s">
        <v>3006</v>
      </c>
      <c r="E70" s="5" t="s">
        <v>139</v>
      </c>
      <c r="F70" s="68" t="s">
        <v>150</v>
      </c>
      <c r="G70" s="5" t="s">
        <v>85</v>
      </c>
      <c r="H70" s="5">
        <v>108615</v>
      </c>
      <c r="I70" s="71">
        <v>0</v>
      </c>
      <c r="J70" s="60">
        <v>43131</v>
      </c>
      <c r="K70" s="5" t="s">
        <v>71</v>
      </c>
      <c r="L70" s="5" t="s">
        <v>71</v>
      </c>
      <c r="M70" s="5">
        <v>0</v>
      </c>
      <c r="N70" s="72" t="s">
        <v>66</v>
      </c>
      <c r="O70" s="82" t="s">
        <v>3002</v>
      </c>
      <c r="P70" s="74" t="s">
        <v>78</v>
      </c>
      <c r="Q70" s="74" t="s">
        <v>88</v>
      </c>
      <c r="R70" s="79" t="s">
        <v>405</v>
      </c>
    </row>
    <row r="71" spans="1:18" ht="22.5" customHeight="1">
      <c r="A71" s="5" t="s">
        <v>477</v>
      </c>
      <c r="B71" s="5">
        <v>0</v>
      </c>
      <c r="C71" s="5" t="s">
        <v>478</v>
      </c>
      <c r="D71" s="5" t="s">
        <v>3007</v>
      </c>
      <c r="E71" s="5" t="s">
        <v>139</v>
      </c>
      <c r="F71" s="68" t="s">
        <v>150</v>
      </c>
      <c r="G71" s="5" t="s">
        <v>85</v>
      </c>
      <c r="H71" s="5">
        <v>163033</v>
      </c>
      <c r="I71" s="71">
        <v>0</v>
      </c>
      <c r="J71" s="60">
        <v>43131</v>
      </c>
      <c r="K71" s="5" t="s">
        <v>71</v>
      </c>
      <c r="L71" s="5" t="s">
        <v>71</v>
      </c>
      <c r="M71" s="5">
        <v>0</v>
      </c>
      <c r="N71" s="72" t="s">
        <v>66</v>
      </c>
      <c r="O71" s="82" t="s">
        <v>3002</v>
      </c>
      <c r="P71" s="74" t="s">
        <v>78</v>
      </c>
      <c r="Q71" s="74" t="s">
        <v>88</v>
      </c>
      <c r="R71" s="79" t="s">
        <v>405</v>
      </c>
    </row>
    <row r="72" spans="1:18" ht="22.5" customHeight="1">
      <c r="A72" s="5" t="s">
        <v>480</v>
      </c>
      <c r="B72" s="5">
        <v>0</v>
      </c>
      <c r="C72" s="5" t="s">
        <v>481</v>
      </c>
      <c r="D72" s="5" t="s">
        <v>3008</v>
      </c>
      <c r="E72" s="5" t="s">
        <v>139</v>
      </c>
      <c r="F72" s="68" t="s">
        <v>150</v>
      </c>
      <c r="G72" s="5" t="s">
        <v>85</v>
      </c>
      <c r="H72" s="5">
        <v>168151</v>
      </c>
      <c r="I72" s="71">
        <v>0</v>
      </c>
      <c r="J72" s="60">
        <v>43131</v>
      </c>
      <c r="K72" s="5" t="s">
        <v>71</v>
      </c>
      <c r="L72" s="5" t="s">
        <v>71</v>
      </c>
      <c r="M72" s="5">
        <v>0</v>
      </c>
      <c r="N72" s="72" t="s">
        <v>66</v>
      </c>
      <c r="O72" s="82" t="s">
        <v>3002</v>
      </c>
      <c r="P72" s="74" t="s">
        <v>78</v>
      </c>
      <c r="Q72" s="74" t="s">
        <v>88</v>
      </c>
      <c r="R72" s="79" t="s">
        <v>405</v>
      </c>
    </row>
    <row r="73" spans="1:18" ht="22.5" customHeight="1">
      <c r="A73" s="5" t="s">
        <v>483</v>
      </c>
      <c r="B73" s="5">
        <v>0</v>
      </c>
      <c r="C73" s="5" t="s">
        <v>484</v>
      </c>
      <c r="D73" s="5" t="s">
        <v>3009</v>
      </c>
      <c r="E73" s="5" t="s">
        <v>139</v>
      </c>
      <c r="F73" s="68" t="s">
        <v>150</v>
      </c>
      <c r="G73" s="5" t="s">
        <v>85</v>
      </c>
      <c r="H73" s="5">
        <v>112728</v>
      </c>
      <c r="I73" s="71">
        <v>0</v>
      </c>
      <c r="J73" s="60">
        <v>43131</v>
      </c>
      <c r="K73" s="5" t="s">
        <v>71</v>
      </c>
      <c r="L73" s="5" t="s">
        <v>71</v>
      </c>
      <c r="M73" s="5">
        <v>0</v>
      </c>
      <c r="N73" s="72" t="s">
        <v>66</v>
      </c>
      <c r="O73" s="82" t="s">
        <v>3002</v>
      </c>
      <c r="P73" s="74" t="s">
        <v>78</v>
      </c>
      <c r="Q73" s="74" t="s">
        <v>88</v>
      </c>
      <c r="R73" s="79" t="s">
        <v>405</v>
      </c>
    </row>
    <row r="74" spans="1:18" ht="22.5" customHeight="1">
      <c r="A74" s="5" t="s">
        <v>486</v>
      </c>
      <c r="B74" s="5">
        <v>0</v>
      </c>
      <c r="C74" s="5" t="s">
        <v>487</v>
      </c>
      <c r="D74" s="5" t="s">
        <v>3010</v>
      </c>
      <c r="E74" s="5" t="s">
        <v>139</v>
      </c>
      <c r="F74" s="68" t="s">
        <v>150</v>
      </c>
      <c r="G74" s="5" t="s">
        <v>85</v>
      </c>
      <c r="H74" s="5">
        <v>129663</v>
      </c>
      <c r="I74" s="71">
        <v>0</v>
      </c>
      <c r="J74" s="60">
        <v>43131</v>
      </c>
      <c r="K74" s="5" t="s">
        <v>71</v>
      </c>
      <c r="L74" s="5" t="s">
        <v>71</v>
      </c>
      <c r="M74" s="5">
        <v>0</v>
      </c>
      <c r="N74" s="72" t="s">
        <v>66</v>
      </c>
      <c r="O74" s="82" t="s">
        <v>3002</v>
      </c>
      <c r="P74" s="74" t="s">
        <v>78</v>
      </c>
      <c r="Q74" s="74" t="s">
        <v>88</v>
      </c>
      <c r="R74" s="79" t="s">
        <v>405</v>
      </c>
    </row>
    <row r="75" spans="1:18" ht="22.5" customHeight="1">
      <c r="A75" s="5" t="s">
        <v>489</v>
      </c>
      <c r="B75" s="5">
        <v>0</v>
      </c>
      <c r="C75" s="5" t="s">
        <v>490</v>
      </c>
      <c r="D75" s="5" t="s">
        <v>3011</v>
      </c>
      <c r="E75" s="5" t="s">
        <v>139</v>
      </c>
      <c r="F75" s="68" t="s">
        <v>150</v>
      </c>
      <c r="G75" s="5" t="s">
        <v>85</v>
      </c>
      <c r="H75" s="5">
        <v>187562</v>
      </c>
      <c r="I75" s="71">
        <v>0</v>
      </c>
      <c r="J75" s="60">
        <v>43131</v>
      </c>
      <c r="K75" s="5" t="s">
        <v>71</v>
      </c>
      <c r="L75" s="5" t="s">
        <v>71</v>
      </c>
      <c r="M75" s="5">
        <v>0</v>
      </c>
      <c r="N75" s="72" t="s">
        <v>66</v>
      </c>
      <c r="O75" s="82" t="s">
        <v>3002</v>
      </c>
      <c r="P75" s="74" t="s">
        <v>78</v>
      </c>
      <c r="Q75" s="74" t="s">
        <v>88</v>
      </c>
      <c r="R75" s="79" t="s">
        <v>405</v>
      </c>
    </row>
    <row r="76" spans="1:18" ht="22.5" customHeight="1">
      <c r="A76" s="5" t="s">
        <v>492</v>
      </c>
      <c r="B76" s="5">
        <v>0</v>
      </c>
      <c r="C76" s="5" t="s">
        <v>493</v>
      </c>
      <c r="D76" s="5" t="s">
        <v>3012</v>
      </c>
      <c r="E76" s="5" t="s">
        <v>139</v>
      </c>
      <c r="F76" s="68" t="s">
        <v>150</v>
      </c>
      <c r="G76" s="5" t="s">
        <v>85</v>
      </c>
      <c r="H76" s="5">
        <v>180882</v>
      </c>
      <c r="I76" s="71">
        <v>0</v>
      </c>
      <c r="J76" s="60">
        <v>43131</v>
      </c>
      <c r="K76" s="5" t="s">
        <v>71</v>
      </c>
      <c r="L76" s="5" t="s">
        <v>71</v>
      </c>
      <c r="M76" s="5">
        <v>0</v>
      </c>
      <c r="N76" s="72" t="s">
        <v>66</v>
      </c>
      <c r="O76" s="82" t="s">
        <v>3002</v>
      </c>
      <c r="P76" s="74" t="s">
        <v>78</v>
      </c>
      <c r="Q76" s="74" t="s">
        <v>88</v>
      </c>
      <c r="R76" s="79" t="s">
        <v>405</v>
      </c>
    </row>
    <row r="77" spans="1:18" ht="22.5" customHeight="1">
      <c r="A77" s="5" t="s">
        <v>495</v>
      </c>
      <c r="B77" s="5">
        <v>0</v>
      </c>
      <c r="C77" s="5" t="s">
        <v>496</v>
      </c>
      <c r="D77" s="5" t="s">
        <v>3013</v>
      </c>
      <c r="E77" s="5" t="s">
        <v>139</v>
      </c>
      <c r="F77" s="68" t="s">
        <v>150</v>
      </c>
      <c r="G77" s="5" t="s">
        <v>85</v>
      </c>
      <c r="H77" s="5">
        <v>190340</v>
      </c>
      <c r="I77" s="71">
        <v>0</v>
      </c>
      <c r="J77" s="60">
        <v>43131</v>
      </c>
      <c r="K77" s="5" t="s">
        <v>71</v>
      </c>
      <c r="L77" s="5" t="s">
        <v>71</v>
      </c>
      <c r="M77" s="5">
        <v>0</v>
      </c>
      <c r="N77" s="72" t="s">
        <v>66</v>
      </c>
      <c r="O77" s="82" t="s">
        <v>3002</v>
      </c>
      <c r="P77" s="74" t="s">
        <v>78</v>
      </c>
      <c r="Q77" s="74" t="s">
        <v>88</v>
      </c>
      <c r="R77" s="79" t="s">
        <v>405</v>
      </c>
    </row>
    <row r="78" spans="1:18" ht="22.5" customHeight="1">
      <c r="A78" s="5" t="s">
        <v>498</v>
      </c>
      <c r="B78" s="5">
        <v>0</v>
      </c>
      <c r="C78" s="5" t="s">
        <v>499</v>
      </c>
      <c r="D78" s="5" t="s">
        <v>3014</v>
      </c>
      <c r="E78" s="5" t="s">
        <v>139</v>
      </c>
      <c r="F78" s="68" t="s">
        <v>150</v>
      </c>
      <c r="G78" s="5" t="s">
        <v>85</v>
      </c>
      <c r="H78" s="5">
        <v>184067</v>
      </c>
      <c r="I78" s="71">
        <v>0</v>
      </c>
      <c r="J78" s="60">
        <v>43131</v>
      </c>
      <c r="K78" s="5" t="s">
        <v>71</v>
      </c>
      <c r="L78" s="5" t="s">
        <v>71</v>
      </c>
      <c r="M78" s="5">
        <v>0</v>
      </c>
      <c r="N78" s="72" t="s">
        <v>66</v>
      </c>
      <c r="O78" s="82" t="s">
        <v>3002</v>
      </c>
      <c r="P78" s="74" t="s">
        <v>78</v>
      </c>
      <c r="Q78" s="74" t="s">
        <v>88</v>
      </c>
      <c r="R78" s="79" t="s">
        <v>405</v>
      </c>
    </row>
    <row r="79" spans="1:18" ht="22.5" customHeight="1">
      <c r="A79" s="5" t="s">
        <v>501</v>
      </c>
      <c r="B79" s="5">
        <v>0</v>
      </c>
      <c r="C79" s="5" t="s">
        <v>502</v>
      </c>
      <c r="D79" s="5" t="s">
        <v>3015</v>
      </c>
      <c r="E79" s="5" t="s">
        <v>139</v>
      </c>
      <c r="F79" s="68" t="s">
        <v>150</v>
      </c>
      <c r="G79" s="5" t="s">
        <v>85</v>
      </c>
      <c r="H79" s="5">
        <v>167251</v>
      </c>
      <c r="I79" s="71">
        <v>0</v>
      </c>
      <c r="J79" s="60">
        <v>43131</v>
      </c>
      <c r="K79" s="5" t="s">
        <v>71</v>
      </c>
      <c r="L79" s="5" t="s">
        <v>71</v>
      </c>
      <c r="M79" s="5">
        <v>0</v>
      </c>
      <c r="N79" s="72" t="s">
        <v>66</v>
      </c>
      <c r="O79" s="82" t="s">
        <v>3002</v>
      </c>
      <c r="P79" s="74" t="s">
        <v>78</v>
      </c>
      <c r="Q79" s="74" t="s">
        <v>88</v>
      </c>
      <c r="R79" s="79" t="s">
        <v>405</v>
      </c>
    </row>
    <row r="80" spans="1:18" ht="22.5" customHeight="1">
      <c r="A80" s="5" t="s">
        <v>504</v>
      </c>
      <c r="B80" s="5">
        <v>0</v>
      </c>
      <c r="C80" s="5" t="s">
        <v>505</v>
      </c>
      <c r="D80" s="5" t="s">
        <v>3016</v>
      </c>
      <c r="E80" s="5" t="s">
        <v>139</v>
      </c>
      <c r="F80" s="68" t="s">
        <v>150</v>
      </c>
      <c r="G80" s="5" t="s">
        <v>85</v>
      </c>
      <c r="H80" s="5">
        <v>195000</v>
      </c>
      <c r="I80" s="71">
        <v>0</v>
      </c>
      <c r="J80" s="60">
        <v>43131</v>
      </c>
      <c r="K80" s="5" t="s">
        <v>71</v>
      </c>
      <c r="L80" s="5" t="s">
        <v>71</v>
      </c>
      <c r="M80" s="5">
        <v>0</v>
      </c>
      <c r="N80" s="72" t="s">
        <v>66</v>
      </c>
      <c r="O80" s="82" t="s">
        <v>3002</v>
      </c>
      <c r="P80" s="74" t="s">
        <v>78</v>
      </c>
      <c r="Q80" s="74" t="s">
        <v>88</v>
      </c>
      <c r="R80" s="79" t="s">
        <v>405</v>
      </c>
    </row>
    <row r="81" spans="1:18" ht="22.5" customHeight="1">
      <c r="A81" s="5" t="s">
        <v>507</v>
      </c>
      <c r="B81" s="5">
        <v>0</v>
      </c>
      <c r="C81" s="5" t="s">
        <v>508</v>
      </c>
      <c r="D81" s="5" t="s">
        <v>3017</v>
      </c>
      <c r="E81" s="5" t="s">
        <v>139</v>
      </c>
      <c r="F81" s="68" t="s">
        <v>150</v>
      </c>
      <c r="G81" s="5" t="s">
        <v>85</v>
      </c>
      <c r="H81" s="5">
        <v>136510</v>
      </c>
      <c r="I81" s="71">
        <v>0</v>
      </c>
      <c r="J81" s="60">
        <v>43131</v>
      </c>
      <c r="K81" s="5" t="s">
        <v>71</v>
      </c>
      <c r="L81" s="5" t="s">
        <v>71</v>
      </c>
      <c r="M81" s="5">
        <v>0</v>
      </c>
      <c r="N81" s="72" t="s">
        <v>66</v>
      </c>
      <c r="O81" s="82" t="s">
        <v>3002</v>
      </c>
      <c r="P81" s="74" t="s">
        <v>78</v>
      </c>
      <c r="Q81" s="74" t="s">
        <v>88</v>
      </c>
      <c r="R81" s="79" t="s">
        <v>405</v>
      </c>
    </row>
    <row r="82" spans="1:18" ht="22.5" customHeight="1">
      <c r="A82" s="5" t="s">
        <v>510</v>
      </c>
      <c r="B82" s="5">
        <v>0</v>
      </c>
      <c r="C82" s="5" t="s">
        <v>511</v>
      </c>
      <c r="D82" s="5" t="s">
        <v>3018</v>
      </c>
      <c r="E82" s="5" t="s">
        <v>139</v>
      </c>
      <c r="F82" s="68" t="s">
        <v>150</v>
      </c>
      <c r="G82" s="5" t="s">
        <v>85</v>
      </c>
      <c r="H82" s="5">
        <v>99304</v>
      </c>
      <c r="I82" s="71">
        <v>0</v>
      </c>
      <c r="J82" s="60">
        <v>43131</v>
      </c>
      <c r="K82" s="5" t="s">
        <v>71</v>
      </c>
      <c r="L82" s="5" t="s">
        <v>71</v>
      </c>
      <c r="M82" s="5">
        <v>0</v>
      </c>
      <c r="N82" s="72" t="s">
        <v>66</v>
      </c>
      <c r="O82" s="82" t="s">
        <v>3002</v>
      </c>
      <c r="P82" s="74" t="s">
        <v>78</v>
      </c>
      <c r="Q82" s="74" t="s">
        <v>88</v>
      </c>
      <c r="R82" s="79" t="s">
        <v>405</v>
      </c>
    </row>
    <row r="83" spans="1:18" ht="22.5" customHeight="1">
      <c r="A83" s="5" t="s">
        <v>513</v>
      </c>
      <c r="B83" s="5">
        <v>0</v>
      </c>
      <c r="C83" s="5" t="s">
        <v>514</v>
      </c>
      <c r="D83" s="5" t="s">
        <v>3019</v>
      </c>
      <c r="E83" s="5" t="s">
        <v>139</v>
      </c>
      <c r="F83" s="68" t="s">
        <v>150</v>
      </c>
      <c r="G83" s="5" t="s">
        <v>85</v>
      </c>
      <c r="H83" s="5">
        <v>199848</v>
      </c>
      <c r="I83" s="71">
        <v>0</v>
      </c>
      <c r="J83" s="60">
        <v>43131</v>
      </c>
      <c r="K83" s="5" t="s">
        <v>71</v>
      </c>
      <c r="L83" s="5" t="s">
        <v>71</v>
      </c>
      <c r="M83" s="5">
        <v>0</v>
      </c>
      <c r="N83" s="72" t="s">
        <v>66</v>
      </c>
      <c r="O83" s="82" t="s">
        <v>3002</v>
      </c>
      <c r="P83" s="74" t="s">
        <v>78</v>
      </c>
      <c r="Q83" s="74" t="s">
        <v>88</v>
      </c>
      <c r="R83" s="79" t="s">
        <v>405</v>
      </c>
    </row>
    <row r="84" spans="1:18" ht="22.5" customHeight="1">
      <c r="A84" s="5" t="s">
        <v>516</v>
      </c>
      <c r="B84" s="5">
        <v>0</v>
      </c>
      <c r="C84" s="5" t="s">
        <v>517</v>
      </c>
      <c r="D84" s="5" t="s">
        <v>3020</v>
      </c>
      <c r="E84" s="5" t="s">
        <v>139</v>
      </c>
      <c r="F84" s="68" t="s">
        <v>150</v>
      </c>
      <c r="G84" s="5" t="s">
        <v>85</v>
      </c>
      <c r="H84" s="5">
        <v>163569</v>
      </c>
      <c r="I84" s="71">
        <v>0</v>
      </c>
      <c r="J84" s="60">
        <v>43131</v>
      </c>
      <c r="K84" s="5" t="s">
        <v>71</v>
      </c>
      <c r="L84" s="5" t="s">
        <v>71</v>
      </c>
      <c r="M84" s="5">
        <v>0</v>
      </c>
      <c r="N84" s="72" t="s">
        <v>66</v>
      </c>
      <c r="O84" s="82" t="s">
        <v>3002</v>
      </c>
      <c r="P84" s="74" t="s">
        <v>78</v>
      </c>
      <c r="Q84" s="74" t="s">
        <v>88</v>
      </c>
      <c r="R84" s="79" t="s">
        <v>405</v>
      </c>
    </row>
    <row r="85" spans="1:18" ht="22.5" customHeight="1">
      <c r="A85" s="5" t="s">
        <v>519</v>
      </c>
      <c r="B85" s="5">
        <v>0</v>
      </c>
      <c r="C85" s="5" t="s">
        <v>520</v>
      </c>
      <c r="D85" s="5" t="s">
        <v>3021</v>
      </c>
      <c r="E85" s="5" t="s">
        <v>139</v>
      </c>
      <c r="F85" s="68" t="s">
        <v>150</v>
      </c>
      <c r="G85" s="5" t="s">
        <v>85</v>
      </c>
      <c r="H85" s="5">
        <v>132953</v>
      </c>
      <c r="I85" s="71">
        <v>0</v>
      </c>
      <c r="J85" s="60">
        <v>43131</v>
      </c>
      <c r="K85" s="5" t="s">
        <v>71</v>
      </c>
      <c r="L85" s="5" t="s">
        <v>71</v>
      </c>
      <c r="M85" s="5">
        <v>0</v>
      </c>
      <c r="N85" s="72" t="s">
        <v>66</v>
      </c>
      <c r="O85" s="82" t="s">
        <v>3002</v>
      </c>
      <c r="P85" s="74" t="s">
        <v>78</v>
      </c>
      <c r="Q85" s="74" t="s">
        <v>88</v>
      </c>
      <c r="R85" s="79" t="s">
        <v>405</v>
      </c>
    </row>
    <row r="86" spans="1:18" ht="22.5" customHeight="1">
      <c r="A86" s="5" t="s">
        <v>522</v>
      </c>
      <c r="B86" s="5">
        <v>0</v>
      </c>
      <c r="C86" s="5" t="s">
        <v>523</v>
      </c>
      <c r="D86" s="5" t="s">
        <v>524</v>
      </c>
      <c r="E86" s="5" t="s">
        <v>139</v>
      </c>
      <c r="F86" s="68" t="s">
        <v>150</v>
      </c>
      <c r="G86" s="5" t="s">
        <v>85</v>
      </c>
      <c r="H86" s="5">
        <v>106782</v>
      </c>
      <c r="I86" s="71">
        <v>0</v>
      </c>
      <c r="J86" s="60">
        <v>43131</v>
      </c>
      <c r="K86" s="5" t="s">
        <v>71</v>
      </c>
      <c r="L86" s="5" t="s">
        <v>71</v>
      </c>
      <c r="M86" s="5">
        <v>0</v>
      </c>
      <c r="N86" s="72" t="s">
        <v>66</v>
      </c>
      <c r="O86" s="82" t="s">
        <v>3002</v>
      </c>
      <c r="P86" s="74" t="s">
        <v>78</v>
      </c>
      <c r="Q86" s="74" t="s">
        <v>88</v>
      </c>
      <c r="R86" s="79" t="s">
        <v>405</v>
      </c>
    </row>
    <row r="87" spans="1:18" ht="22.5" customHeight="1">
      <c r="A87" s="5" t="s">
        <v>525</v>
      </c>
      <c r="B87" s="5">
        <v>0</v>
      </c>
      <c r="C87" s="5" t="s">
        <v>526</v>
      </c>
      <c r="D87" s="5" t="s">
        <v>3022</v>
      </c>
      <c r="E87" s="5" t="s">
        <v>139</v>
      </c>
      <c r="F87" s="68" t="s">
        <v>150</v>
      </c>
      <c r="G87" s="5" t="s">
        <v>85</v>
      </c>
      <c r="H87" s="5">
        <v>98224</v>
      </c>
      <c r="I87" s="71">
        <v>0</v>
      </c>
      <c r="J87" s="60">
        <v>43131</v>
      </c>
      <c r="K87" s="5" t="s">
        <v>71</v>
      </c>
      <c r="L87" s="5" t="s">
        <v>71</v>
      </c>
      <c r="M87" s="5">
        <v>0</v>
      </c>
      <c r="N87" s="72" t="s">
        <v>66</v>
      </c>
      <c r="O87" s="82" t="s">
        <v>3002</v>
      </c>
      <c r="P87" s="74" t="s">
        <v>78</v>
      </c>
      <c r="Q87" s="74" t="s">
        <v>88</v>
      </c>
      <c r="R87" s="79" t="s">
        <v>405</v>
      </c>
    </row>
    <row r="88" spans="1:18" ht="22.5" customHeight="1">
      <c r="A88" s="5" t="s">
        <v>528</v>
      </c>
      <c r="B88" s="5">
        <v>0</v>
      </c>
      <c r="C88" s="5" t="s">
        <v>529</v>
      </c>
      <c r="D88" s="5" t="s">
        <v>3023</v>
      </c>
      <c r="E88" s="5" t="s">
        <v>139</v>
      </c>
      <c r="F88" s="68" t="s">
        <v>150</v>
      </c>
      <c r="G88" s="5" t="s">
        <v>85</v>
      </c>
      <c r="H88" s="5">
        <v>630000</v>
      </c>
      <c r="I88" s="71">
        <v>0</v>
      </c>
      <c r="J88" s="60">
        <v>43131</v>
      </c>
      <c r="K88" s="5" t="s">
        <v>71</v>
      </c>
      <c r="L88" s="5" t="s">
        <v>71</v>
      </c>
      <c r="M88" s="5">
        <v>0</v>
      </c>
      <c r="N88" s="72" t="s">
        <v>66</v>
      </c>
      <c r="O88" s="82" t="s">
        <v>3002</v>
      </c>
      <c r="P88" s="74" t="s">
        <v>78</v>
      </c>
      <c r="Q88" s="74" t="s">
        <v>88</v>
      </c>
      <c r="R88" s="79" t="s">
        <v>405</v>
      </c>
    </row>
    <row r="89" spans="1:18" ht="22.5" customHeight="1">
      <c r="A89" s="5" t="s">
        <v>531</v>
      </c>
      <c r="B89" s="5">
        <v>0</v>
      </c>
      <c r="C89" s="5" t="s">
        <v>532</v>
      </c>
      <c r="D89" s="5" t="s">
        <v>3024</v>
      </c>
      <c r="E89" s="5" t="s">
        <v>139</v>
      </c>
      <c r="F89" s="68" t="s">
        <v>150</v>
      </c>
      <c r="G89" s="5" t="s">
        <v>85</v>
      </c>
      <c r="H89" s="5">
        <v>197946</v>
      </c>
      <c r="I89" s="71">
        <v>0</v>
      </c>
      <c r="J89" s="60">
        <v>43131</v>
      </c>
      <c r="K89" s="5" t="s">
        <v>71</v>
      </c>
      <c r="L89" s="5" t="s">
        <v>71</v>
      </c>
      <c r="M89" s="5">
        <v>0</v>
      </c>
      <c r="N89" s="72" t="s">
        <v>66</v>
      </c>
      <c r="O89" s="82" t="s">
        <v>3002</v>
      </c>
      <c r="P89" s="74" t="s">
        <v>78</v>
      </c>
      <c r="Q89" s="74" t="s">
        <v>88</v>
      </c>
      <c r="R89" s="79" t="s">
        <v>405</v>
      </c>
    </row>
    <row r="90" spans="1:18" ht="22.5" customHeight="1">
      <c r="A90" s="5" t="s">
        <v>534</v>
      </c>
      <c r="B90" s="5">
        <v>0</v>
      </c>
      <c r="C90" s="5" t="s">
        <v>535</v>
      </c>
      <c r="D90" s="5" t="s">
        <v>3025</v>
      </c>
      <c r="E90" s="5" t="s">
        <v>139</v>
      </c>
      <c r="F90" s="68" t="s">
        <v>150</v>
      </c>
      <c r="G90" s="5" t="s">
        <v>85</v>
      </c>
      <c r="H90" s="5">
        <v>189311</v>
      </c>
      <c r="I90" s="71">
        <v>0</v>
      </c>
      <c r="J90" s="60">
        <v>43131</v>
      </c>
      <c r="K90" s="5" t="s">
        <v>71</v>
      </c>
      <c r="L90" s="5" t="s">
        <v>71</v>
      </c>
      <c r="M90" s="5">
        <v>0</v>
      </c>
      <c r="N90" s="72" t="s">
        <v>66</v>
      </c>
      <c r="O90" s="82" t="s">
        <v>3002</v>
      </c>
      <c r="P90" s="74" t="s">
        <v>78</v>
      </c>
      <c r="Q90" s="74" t="s">
        <v>88</v>
      </c>
      <c r="R90" s="79" t="s">
        <v>405</v>
      </c>
    </row>
    <row r="91" spans="1:18" ht="22.5" customHeight="1">
      <c r="A91" s="5" t="s">
        <v>537</v>
      </c>
      <c r="B91" s="5">
        <v>0</v>
      </c>
      <c r="C91" s="5" t="s">
        <v>538</v>
      </c>
      <c r="D91" s="5" t="s">
        <v>3026</v>
      </c>
      <c r="E91" s="5" t="s">
        <v>139</v>
      </c>
      <c r="F91" s="68" t="s">
        <v>150</v>
      </c>
      <c r="G91" s="5" t="s">
        <v>85</v>
      </c>
      <c r="H91" s="5">
        <v>147127</v>
      </c>
      <c r="I91" s="71">
        <v>0</v>
      </c>
      <c r="J91" s="60">
        <v>43131</v>
      </c>
      <c r="K91" s="5" t="s">
        <v>71</v>
      </c>
      <c r="L91" s="5" t="s">
        <v>71</v>
      </c>
      <c r="M91" s="5">
        <v>0</v>
      </c>
      <c r="N91" s="72" t="s">
        <v>66</v>
      </c>
      <c r="O91" s="82" t="s">
        <v>3002</v>
      </c>
      <c r="P91" s="74" t="s">
        <v>78</v>
      </c>
      <c r="Q91" s="74" t="s">
        <v>88</v>
      </c>
      <c r="R91" s="79" t="s">
        <v>405</v>
      </c>
    </row>
    <row r="92" spans="1:18" ht="22.5" customHeight="1">
      <c r="A92" s="5" t="s">
        <v>540</v>
      </c>
      <c r="B92" s="5">
        <v>0</v>
      </c>
      <c r="C92" s="5" t="s">
        <v>541</v>
      </c>
      <c r="D92" s="5" t="s">
        <v>3027</v>
      </c>
      <c r="E92" s="5" t="s">
        <v>139</v>
      </c>
      <c r="F92" s="68" t="s">
        <v>150</v>
      </c>
      <c r="G92" s="5" t="s">
        <v>85</v>
      </c>
      <c r="H92" s="5">
        <v>129745</v>
      </c>
      <c r="I92" s="71">
        <v>0</v>
      </c>
      <c r="J92" s="60">
        <v>43131</v>
      </c>
      <c r="K92" s="5" t="s">
        <v>71</v>
      </c>
      <c r="L92" s="5" t="s">
        <v>71</v>
      </c>
      <c r="M92" s="5">
        <v>0</v>
      </c>
      <c r="N92" s="72" t="s">
        <v>66</v>
      </c>
      <c r="O92" s="82" t="s">
        <v>3002</v>
      </c>
      <c r="P92" s="74" t="s">
        <v>78</v>
      </c>
      <c r="Q92" s="74" t="s">
        <v>88</v>
      </c>
      <c r="R92" s="79" t="s">
        <v>405</v>
      </c>
    </row>
    <row r="93" spans="1:18" ht="22.5" customHeight="1">
      <c r="A93" s="5" t="s">
        <v>543</v>
      </c>
      <c r="B93" s="5">
        <v>0</v>
      </c>
      <c r="C93" s="5" t="s">
        <v>544</v>
      </c>
      <c r="D93" s="5" t="s">
        <v>3028</v>
      </c>
      <c r="E93" s="5" t="s">
        <v>139</v>
      </c>
      <c r="F93" s="68" t="s">
        <v>150</v>
      </c>
      <c r="G93" s="5" t="s">
        <v>85</v>
      </c>
      <c r="H93" s="5">
        <v>79919</v>
      </c>
      <c r="I93" s="71">
        <v>0</v>
      </c>
      <c r="J93" s="60">
        <v>43131</v>
      </c>
      <c r="K93" s="5" t="s">
        <v>71</v>
      </c>
      <c r="L93" s="5" t="s">
        <v>71</v>
      </c>
      <c r="M93" s="5">
        <v>0</v>
      </c>
      <c r="N93" s="72" t="s">
        <v>66</v>
      </c>
      <c r="O93" s="82" t="s">
        <v>3002</v>
      </c>
      <c r="P93" s="74" t="s">
        <v>78</v>
      </c>
      <c r="Q93" s="74" t="s">
        <v>88</v>
      </c>
      <c r="R93" s="79" t="s">
        <v>405</v>
      </c>
    </row>
    <row r="94" spans="1:18" ht="22.5" customHeight="1">
      <c r="A94" s="5" t="s">
        <v>546</v>
      </c>
      <c r="B94" s="5">
        <v>0</v>
      </c>
      <c r="C94" s="5" t="s">
        <v>547</v>
      </c>
      <c r="D94" s="5" t="s">
        <v>3029</v>
      </c>
      <c r="E94" s="5" t="s">
        <v>139</v>
      </c>
      <c r="F94" s="68" t="s">
        <v>150</v>
      </c>
      <c r="G94" s="5" t="s">
        <v>85</v>
      </c>
      <c r="H94" s="5">
        <v>151161</v>
      </c>
      <c r="I94" s="71">
        <v>0</v>
      </c>
      <c r="J94" s="60">
        <v>43131</v>
      </c>
      <c r="K94" s="5" t="s">
        <v>71</v>
      </c>
      <c r="L94" s="5" t="s">
        <v>71</v>
      </c>
      <c r="M94" s="5">
        <v>0</v>
      </c>
      <c r="N94" s="72" t="s">
        <v>66</v>
      </c>
      <c r="O94" s="82" t="s">
        <v>3002</v>
      </c>
      <c r="P94" s="74" t="s">
        <v>78</v>
      </c>
      <c r="Q94" s="74" t="s">
        <v>88</v>
      </c>
      <c r="R94" s="79" t="s">
        <v>405</v>
      </c>
    </row>
    <row r="95" spans="1:18" ht="22.5" customHeight="1">
      <c r="A95" s="5" t="s">
        <v>549</v>
      </c>
      <c r="B95" s="5">
        <v>0</v>
      </c>
      <c r="C95" s="5" t="s">
        <v>550</v>
      </c>
      <c r="D95" s="5" t="s">
        <v>3030</v>
      </c>
      <c r="E95" s="5" t="s">
        <v>139</v>
      </c>
      <c r="F95" s="68" t="s">
        <v>150</v>
      </c>
      <c r="G95" s="5" t="s">
        <v>85</v>
      </c>
      <c r="H95" s="5">
        <v>164004</v>
      </c>
      <c r="I95" s="71">
        <v>0</v>
      </c>
      <c r="J95" s="60">
        <v>43131</v>
      </c>
      <c r="K95" s="5" t="s">
        <v>71</v>
      </c>
      <c r="L95" s="5" t="s">
        <v>71</v>
      </c>
      <c r="M95" s="5">
        <v>0</v>
      </c>
      <c r="N95" s="72" t="s">
        <v>66</v>
      </c>
      <c r="O95" s="82" t="s">
        <v>3002</v>
      </c>
      <c r="P95" s="74" t="s">
        <v>78</v>
      </c>
      <c r="Q95" s="74" t="s">
        <v>88</v>
      </c>
      <c r="R95" s="79" t="s">
        <v>405</v>
      </c>
    </row>
    <row r="96" spans="1:18" ht="22.5" customHeight="1">
      <c r="A96" s="5" t="s">
        <v>552</v>
      </c>
      <c r="B96" s="5">
        <v>0</v>
      </c>
      <c r="C96" s="5" t="s">
        <v>553</v>
      </c>
      <c r="D96" s="5" t="s">
        <v>554</v>
      </c>
      <c r="E96" s="5" t="s">
        <v>139</v>
      </c>
      <c r="F96" s="68" t="s">
        <v>150</v>
      </c>
      <c r="G96" s="5" t="s">
        <v>85</v>
      </c>
      <c r="H96" s="5">
        <v>126609</v>
      </c>
      <c r="I96" s="71">
        <v>0</v>
      </c>
      <c r="J96" s="60">
        <v>43131</v>
      </c>
      <c r="K96" s="5" t="s">
        <v>71</v>
      </c>
      <c r="L96" s="5" t="s">
        <v>71</v>
      </c>
      <c r="M96" s="5">
        <v>0</v>
      </c>
      <c r="N96" s="72" t="s">
        <v>66</v>
      </c>
      <c r="O96" s="82" t="s">
        <v>3002</v>
      </c>
      <c r="P96" s="74" t="s">
        <v>78</v>
      </c>
      <c r="Q96" s="74" t="s">
        <v>88</v>
      </c>
      <c r="R96" s="79" t="s">
        <v>405</v>
      </c>
    </row>
    <row r="97" spans="1:18" ht="22.5" customHeight="1">
      <c r="A97" s="5" t="s">
        <v>555</v>
      </c>
      <c r="B97" s="5" t="s">
        <v>556</v>
      </c>
      <c r="C97" s="5" t="s">
        <v>557</v>
      </c>
      <c r="D97" s="5" t="s">
        <v>558</v>
      </c>
      <c r="E97" s="5" t="s">
        <v>83</v>
      </c>
      <c r="F97" s="68" t="s">
        <v>157</v>
      </c>
      <c r="G97" s="5" t="s">
        <v>85</v>
      </c>
      <c r="H97" s="5">
        <v>1175092</v>
      </c>
      <c r="I97" s="71">
        <v>0.15</v>
      </c>
      <c r="J97" s="60">
        <v>43143</v>
      </c>
      <c r="K97" s="5" t="s">
        <v>71</v>
      </c>
      <c r="L97" s="5" t="s">
        <v>71</v>
      </c>
      <c r="M97" s="5">
        <v>0</v>
      </c>
      <c r="N97" s="72">
        <v>43435</v>
      </c>
      <c r="O97" s="82"/>
      <c r="P97" s="74"/>
      <c r="Q97" s="74" t="s">
        <v>561</v>
      </c>
      <c r="R97" s="79"/>
    </row>
    <row r="98" spans="1:18" ht="22.5" customHeight="1">
      <c r="A98" s="5" t="s">
        <v>562</v>
      </c>
      <c r="B98" s="5" t="s">
        <v>563</v>
      </c>
      <c r="C98" s="5" t="s">
        <v>564</v>
      </c>
      <c r="D98" s="5" t="s">
        <v>565</v>
      </c>
      <c r="E98" s="5" t="s">
        <v>83</v>
      </c>
      <c r="F98" s="68" t="s">
        <v>175</v>
      </c>
      <c r="G98" s="5" t="s">
        <v>132</v>
      </c>
      <c r="H98" s="5">
        <v>25114000</v>
      </c>
      <c r="I98" s="71">
        <v>7.7700000000000005E-2</v>
      </c>
      <c r="J98" s="60" t="s">
        <v>566</v>
      </c>
      <c r="K98" s="5" t="s">
        <v>2999</v>
      </c>
      <c r="L98" s="5" t="s">
        <v>71</v>
      </c>
      <c r="M98" s="5">
        <v>0</v>
      </c>
      <c r="N98" s="72" t="s">
        <v>571</v>
      </c>
      <c r="O98" s="82"/>
      <c r="P98" s="74"/>
      <c r="Q98" s="74" t="s">
        <v>213</v>
      </c>
      <c r="R98" s="79"/>
    </row>
    <row r="99" spans="1:18" ht="22.5" customHeight="1">
      <c r="A99" s="5" t="s">
        <v>572</v>
      </c>
      <c r="B99" s="5" t="s">
        <v>573</v>
      </c>
      <c r="C99" s="5" t="s">
        <v>574</v>
      </c>
      <c r="D99" s="5" t="s">
        <v>575</v>
      </c>
      <c r="E99" s="5" t="s">
        <v>576</v>
      </c>
      <c r="F99" s="68" t="s">
        <v>175</v>
      </c>
      <c r="G99" s="5" t="s">
        <v>93</v>
      </c>
      <c r="H99" s="5">
        <v>80000</v>
      </c>
      <c r="I99" s="71">
        <v>0.15</v>
      </c>
      <c r="J99" s="60">
        <v>43158</v>
      </c>
      <c r="K99" s="5" t="s">
        <v>71</v>
      </c>
      <c r="L99" s="5" t="s">
        <v>71</v>
      </c>
      <c r="M99" s="5">
        <v>0</v>
      </c>
      <c r="N99" s="72" t="s">
        <v>66</v>
      </c>
      <c r="O99" s="82" t="s">
        <v>3002</v>
      </c>
      <c r="P99" s="74" t="s">
        <v>78</v>
      </c>
      <c r="Q99" s="74" t="s">
        <v>88</v>
      </c>
      <c r="R99" s="79" t="s">
        <v>405</v>
      </c>
    </row>
    <row r="100" spans="1:18" ht="22.5" customHeight="1">
      <c r="A100" s="5" t="s">
        <v>135</v>
      </c>
      <c r="B100" s="5" t="s">
        <v>577</v>
      </c>
      <c r="C100" s="5" t="s">
        <v>578</v>
      </c>
      <c r="D100" s="5" t="s">
        <v>579</v>
      </c>
      <c r="E100" s="5" t="s">
        <v>249</v>
      </c>
      <c r="F100" s="68" t="s">
        <v>157</v>
      </c>
      <c r="G100" s="5" t="s">
        <v>132</v>
      </c>
      <c r="H100" s="5">
        <v>500000</v>
      </c>
      <c r="I100" s="71">
        <v>0.15</v>
      </c>
      <c r="J100" s="60">
        <v>43160</v>
      </c>
      <c r="K100" s="5" t="s">
        <v>71</v>
      </c>
      <c r="L100" s="5" t="s">
        <v>71</v>
      </c>
      <c r="M100" s="5">
        <v>0</v>
      </c>
      <c r="N100" s="72" t="s">
        <v>190</v>
      </c>
      <c r="O100" s="75"/>
      <c r="P100" s="77" t="s">
        <v>3031</v>
      </c>
      <c r="Q100" s="74" t="s">
        <v>190</v>
      </c>
      <c r="R100" s="79">
        <v>43465</v>
      </c>
    </row>
    <row r="101" spans="1:18" ht="22.5" customHeight="1">
      <c r="A101" s="5" t="s">
        <v>582</v>
      </c>
      <c r="B101" s="5" t="s">
        <v>583</v>
      </c>
      <c r="C101" s="5" t="s">
        <v>584</v>
      </c>
      <c r="D101" s="5" t="s">
        <v>585</v>
      </c>
      <c r="E101" s="5" t="s">
        <v>271</v>
      </c>
      <c r="F101" s="68" t="s">
        <v>157</v>
      </c>
      <c r="G101" s="5" t="s">
        <v>132</v>
      </c>
      <c r="H101" s="5">
        <v>135000</v>
      </c>
      <c r="I101" s="71">
        <v>0.15</v>
      </c>
      <c r="J101" s="60">
        <v>43160</v>
      </c>
      <c r="K101" s="5" t="s">
        <v>71</v>
      </c>
      <c r="L101" s="5" t="s">
        <v>71</v>
      </c>
      <c r="M101" s="5">
        <v>0</v>
      </c>
      <c r="N101" s="72" t="s">
        <v>66</v>
      </c>
      <c r="O101" s="82" t="s">
        <v>3002</v>
      </c>
      <c r="P101" s="74" t="s">
        <v>78</v>
      </c>
      <c r="Q101" s="74" t="s">
        <v>88</v>
      </c>
      <c r="R101" s="79" t="s">
        <v>405</v>
      </c>
    </row>
    <row r="102" spans="1:18" ht="22.5" customHeight="1">
      <c r="A102" s="5" t="s">
        <v>588</v>
      </c>
      <c r="B102" s="5" t="s">
        <v>589</v>
      </c>
      <c r="C102" s="5">
        <v>0</v>
      </c>
      <c r="D102" s="5" t="s">
        <v>3032</v>
      </c>
      <c r="E102" s="5" t="s">
        <v>156</v>
      </c>
      <c r="F102" s="68" t="s">
        <v>157</v>
      </c>
      <c r="G102" s="5" t="s">
        <v>145</v>
      </c>
      <c r="H102" s="5">
        <v>254690</v>
      </c>
      <c r="I102" s="71">
        <v>0.15</v>
      </c>
      <c r="J102" s="60">
        <v>2018.1</v>
      </c>
      <c r="K102" s="5" t="s">
        <v>71</v>
      </c>
      <c r="L102" s="5" t="s">
        <v>71</v>
      </c>
      <c r="M102" s="5">
        <v>0</v>
      </c>
      <c r="N102" s="72" t="s">
        <v>66</v>
      </c>
      <c r="O102" s="75" t="s">
        <v>3033</v>
      </c>
      <c r="P102" s="74" t="s">
        <v>78</v>
      </c>
      <c r="Q102" s="74" t="s">
        <v>88</v>
      </c>
      <c r="R102" s="79" t="s">
        <v>405</v>
      </c>
    </row>
    <row r="103" spans="1:18" ht="22.5" customHeight="1">
      <c r="A103" s="5" t="s">
        <v>593</v>
      </c>
      <c r="B103" s="5" t="s">
        <v>594</v>
      </c>
      <c r="C103" s="5" t="s">
        <v>595</v>
      </c>
      <c r="D103" s="5" t="s">
        <v>596</v>
      </c>
      <c r="E103" s="5" t="s">
        <v>168</v>
      </c>
      <c r="F103" s="68" t="s">
        <v>107</v>
      </c>
      <c r="G103" s="5" t="s">
        <v>62</v>
      </c>
      <c r="H103" s="5">
        <v>5498000</v>
      </c>
      <c r="I103" s="71">
        <v>0.1153</v>
      </c>
      <c r="J103" s="60">
        <v>43172</v>
      </c>
      <c r="K103" s="5" t="s">
        <v>71</v>
      </c>
      <c r="L103" s="5" t="s">
        <v>71</v>
      </c>
      <c r="M103" s="5">
        <v>0</v>
      </c>
      <c r="N103" s="72">
        <v>43556</v>
      </c>
      <c r="O103" s="75"/>
      <c r="P103" s="74"/>
      <c r="Q103" s="74" t="s">
        <v>213</v>
      </c>
      <c r="R103" s="79"/>
    </row>
    <row r="104" spans="1:18" ht="22.5" customHeight="1">
      <c r="A104" s="5" t="s">
        <v>598</v>
      </c>
      <c r="B104" s="5" t="s">
        <v>599</v>
      </c>
      <c r="C104" s="5" t="s">
        <v>600</v>
      </c>
      <c r="D104" s="5" t="s">
        <v>601</v>
      </c>
      <c r="E104" s="5" t="s">
        <v>249</v>
      </c>
      <c r="F104" s="68" t="s">
        <v>602</v>
      </c>
      <c r="G104" s="5" t="s">
        <v>606</v>
      </c>
      <c r="H104" s="5">
        <v>129876</v>
      </c>
      <c r="I104" s="71">
        <v>0.15</v>
      </c>
      <c r="J104" s="60">
        <v>43173</v>
      </c>
      <c r="K104" s="5" t="s">
        <v>71</v>
      </c>
      <c r="L104" s="5" t="s">
        <v>71</v>
      </c>
      <c r="M104" s="5">
        <v>0</v>
      </c>
      <c r="N104" s="72" t="s">
        <v>66</v>
      </c>
      <c r="O104" s="75">
        <v>43282</v>
      </c>
      <c r="P104" s="74" t="s">
        <v>78</v>
      </c>
      <c r="Q104" s="74" t="s">
        <v>88</v>
      </c>
      <c r="R104" s="79">
        <v>43646</v>
      </c>
    </row>
    <row r="105" spans="1:18" ht="22.5" customHeight="1">
      <c r="A105" s="5" t="s">
        <v>608</v>
      </c>
      <c r="B105" s="5" t="s">
        <v>609</v>
      </c>
      <c r="C105" s="5" t="s">
        <v>610</v>
      </c>
      <c r="D105" s="5" t="s">
        <v>611</v>
      </c>
      <c r="E105" s="5" t="s">
        <v>168</v>
      </c>
      <c r="F105" s="68" t="s">
        <v>107</v>
      </c>
      <c r="G105" s="5" t="s">
        <v>62</v>
      </c>
      <c r="H105" s="5">
        <v>6158000</v>
      </c>
      <c r="I105" s="71">
        <v>0.1</v>
      </c>
      <c r="J105" s="60">
        <v>43172</v>
      </c>
      <c r="K105" s="5" t="s">
        <v>71</v>
      </c>
      <c r="L105" s="5" t="s">
        <v>71</v>
      </c>
      <c r="M105" s="5">
        <v>0</v>
      </c>
      <c r="N105" s="72">
        <v>43556</v>
      </c>
      <c r="O105" s="75"/>
      <c r="P105" s="74"/>
      <c r="Q105" s="74" t="s">
        <v>213</v>
      </c>
      <c r="R105" s="79"/>
    </row>
    <row r="106" spans="1:18" ht="22.5" customHeight="1">
      <c r="A106" s="5" t="s">
        <v>612</v>
      </c>
      <c r="B106" s="5" t="s">
        <v>613</v>
      </c>
      <c r="C106" s="5" t="s">
        <v>614</v>
      </c>
      <c r="D106" s="5" t="s">
        <v>615</v>
      </c>
      <c r="E106" s="5" t="s">
        <v>75</v>
      </c>
      <c r="F106" s="68" t="s">
        <v>76</v>
      </c>
      <c r="G106" s="5" t="s">
        <v>93</v>
      </c>
      <c r="H106" s="5">
        <v>18000</v>
      </c>
      <c r="I106" s="71">
        <v>0.15</v>
      </c>
      <c r="J106" s="60">
        <v>43174</v>
      </c>
      <c r="K106" s="5" t="s">
        <v>71</v>
      </c>
      <c r="L106" s="5" t="s">
        <v>71</v>
      </c>
      <c r="M106" s="5">
        <v>0</v>
      </c>
      <c r="N106" s="72" t="s">
        <v>66</v>
      </c>
      <c r="O106" s="75">
        <v>43282</v>
      </c>
      <c r="P106" s="74" t="s">
        <v>78</v>
      </c>
      <c r="Q106" s="74" t="s">
        <v>88</v>
      </c>
      <c r="R106" s="79">
        <v>43647</v>
      </c>
    </row>
    <row r="107" spans="1:18" ht="22.5" customHeight="1">
      <c r="A107" s="5" t="s">
        <v>618</v>
      </c>
      <c r="B107" s="5" t="s">
        <v>619</v>
      </c>
      <c r="C107" s="5" t="s">
        <v>620</v>
      </c>
      <c r="D107" s="5" t="s">
        <v>621</v>
      </c>
      <c r="E107" s="5" t="s">
        <v>126</v>
      </c>
      <c r="F107" s="68" t="s">
        <v>76</v>
      </c>
      <c r="G107" s="5" t="s">
        <v>93</v>
      </c>
      <c r="H107" s="5">
        <v>49256</v>
      </c>
      <c r="I107" s="71">
        <v>0.15</v>
      </c>
      <c r="J107" s="60">
        <v>43174</v>
      </c>
      <c r="K107" s="5" t="s">
        <v>71</v>
      </c>
      <c r="L107" s="5" t="s">
        <v>71</v>
      </c>
      <c r="M107" s="5">
        <v>0</v>
      </c>
      <c r="N107" s="72" t="s">
        <v>66</v>
      </c>
      <c r="O107" s="75">
        <v>43192</v>
      </c>
      <c r="P107" s="74" t="s">
        <v>78</v>
      </c>
      <c r="Q107" s="74" t="s">
        <v>88</v>
      </c>
      <c r="R107" s="79">
        <v>43556</v>
      </c>
    </row>
    <row r="108" spans="1:18" ht="22.5" customHeight="1">
      <c r="A108" s="5" t="s">
        <v>624</v>
      </c>
      <c r="B108" s="5" t="s">
        <v>625</v>
      </c>
      <c r="C108" s="5" t="s">
        <v>626</v>
      </c>
      <c r="D108" s="5" t="s">
        <v>627</v>
      </c>
      <c r="E108" s="5" t="s">
        <v>75</v>
      </c>
      <c r="F108" s="68" t="s">
        <v>76</v>
      </c>
      <c r="G108" s="5" t="s">
        <v>93</v>
      </c>
      <c r="H108" s="5">
        <v>95571</v>
      </c>
      <c r="I108" s="71">
        <v>0.15</v>
      </c>
      <c r="J108" s="60">
        <v>43174</v>
      </c>
      <c r="K108" s="5" t="s">
        <v>71</v>
      </c>
      <c r="L108" s="5" t="s">
        <v>71</v>
      </c>
      <c r="M108" s="5">
        <v>0</v>
      </c>
      <c r="N108" s="72" t="s">
        <v>66</v>
      </c>
      <c r="O108" s="75">
        <v>43235</v>
      </c>
      <c r="P108" s="74" t="s">
        <v>78</v>
      </c>
      <c r="Q108" s="74" t="s">
        <v>88</v>
      </c>
      <c r="R108" s="79">
        <v>43599</v>
      </c>
    </row>
    <row r="109" spans="1:18" ht="22.5" customHeight="1">
      <c r="A109" s="5" t="s">
        <v>630</v>
      </c>
      <c r="B109" s="5" t="s">
        <v>631</v>
      </c>
      <c r="C109" s="5" t="s">
        <v>632</v>
      </c>
      <c r="D109" s="5" t="s">
        <v>633</v>
      </c>
      <c r="E109" s="5" t="s">
        <v>83</v>
      </c>
      <c r="F109" s="68" t="s">
        <v>76</v>
      </c>
      <c r="G109" s="5" t="s">
        <v>132</v>
      </c>
      <c r="H109" s="5">
        <v>685000</v>
      </c>
      <c r="I109" s="71">
        <v>0.15</v>
      </c>
      <c r="J109" s="60">
        <v>43174</v>
      </c>
      <c r="K109" s="5" t="s">
        <v>2999</v>
      </c>
      <c r="L109" s="5" t="s">
        <v>71</v>
      </c>
      <c r="M109" s="5">
        <v>0</v>
      </c>
      <c r="N109" s="72" t="s">
        <v>66</v>
      </c>
      <c r="O109" s="75">
        <v>43433</v>
      </c>
      <c r="P109" s="74" t="s">
        <v>78</v>
      </c>
      <c r="Q109" s="74" t="s">
        <v>88</v>
      </c>
      <c r="R109" s="79">
        <v>43797</v>
      </c>
    </row>
    <row r="110" spans="1:18" ht="22.5" customHeight="1">
      <c r="A110" s="5" t="s">
        <v>637</v>
      </c>
      <c r="B110" s="5" t="s">
        <v>638</v>
      </c>
      <c r="C110" s="5" t="s">
        <v>639</v>
      </c>
      <c r="D110" s="5" t="s">
        <v>640</v>
      </c>
      <c r="E110" s="5" t="s">
        <v>106</v>
      </c>
      <c r="F110" s="68" t="s">
        <v>107</v>
      </c>
      <c r="G110" s="5" t="s">
        <v>108</v>
      </c>
      <c r="H110" s="5">
        <v>97000</v>
      </c>
      <c r="I110" s="71">
        <v>0.15</v>
      </c>
      <c r="J110" s="60">
        <v>43174</v>
      </c>
      <c r="K110" s="5" t="s">
        <v>2999</v>
      </c>
      <c r="L110" s="5" t="s">
        <v>71</v>
      </c>
      <c r="M110" s="5" t="s">
        <v>384</v>
      </c>
      <c r="N110" s="72" t="s">
        <v>66</v>
      </c>
      <c r="O110" s="75">
        <v>43215</v>
      </c>
      <c r="P110" s="74" t="s">
        <v>78</v>
      </c>
      <c r="Q110" s="74" t="s">
        <v>122</v>
      </c>
      <c r="R110" s="79" t="s">
        <v>122</v>
      </c>
    </row>
    <row r="111" spans="1:18" ht="22.5" customHeight="1">
      <c r="A111" s="5" t="s">
        <v>644</v>
      </c>
      <c r="B111" s="5" t="s">
        <v>645</v>
      </c>
      <c r="C111" s="5" t="s">
        <v>646</v>
      </c>
      <c r="D111" s="5" t="s">
        <v>647</v>
      </c>
      <c r="E111" s="5" t="s">
        <v>60</v>
      </c>
      <c r="F111" s="68" t="s">
        <v>157</v>
      </c>
      <c r="G111" s="5" t="s">
        <v>62</v>
      </c>
      <c r="H111" s="5">
        <v>336939</v>
      </c>
      <c r="I111" s="71">
        <v>0</v>
      </c>
      <c r="J111" s="60">
        <v>43174</v>
      </c>
      <c r="K111" s="5" t="s">
        <v>71</v>
      </c>
      <c r="L111" s="5" t="s">
        <v>71</v>
      </c>
      <c r="M111" s="5">
        <v>0</v>
      </c>
      <c r="N111" s="72" t="s">
        <v>397</v>
      </c>
      <c r="O111" s="75"/>
      <c r="P111" s="74"/>
      <c r="Q111" s="74" t="s">
        <v>213</v>
      </c>
      <c r="R111" s="79"/>
    </row>
    <row r="112" spans="1:18" ht="22.5" customHeight="1">
      <c r="A112" s="5">
        <v>0</v>
      </c>
      <c r="B112" s="5" t="s">
        <v>649</v>
      </c>
      <c r="C112" s="5">
        <v>0</v>
      </c>
      <c r="D112" s="5" t="s">
        <v>651</v>
      </c>
      <c r="E112" s="5" t="s">
        <v>652</v>
      </c>
      <c r="F112" s="68">
        <v>0</v>
      </c>
      <c r="G112" s="5" t="s">
        <v>132</v>
      </c>
      <c r="H112" s="5">
        <v>0</v>
      </c>
      <c r="I112" s="71">
        <v>0</v>
      </c>
      <c r="J112" s="60" t="s">
        <v>653</v>
      </c>
      <c r="K112" s="5" t="s">
        <v>71</v>
      </c>
      <c r="L112" s="5" t="s">
        <v>71</v>
      </c>
      <c r="M112" s="5">
        <v>0</v>
      </c>
      <c r="N112" s="72" t="s">
        <v>66</v>
      </c>
      <c r="O112" s="83">
        <v>43105</v>
      </c>
      <c r="P112" s="74" t="s">
        <v>78</v>
      </c>
      <c r="Q112" s="74" t="s">
        <v>88</v>
      </c>
      <c r="R112" s="79">
        <v>43469</v>
      </c>
    </row>
    <row r="113" spans="1:18" ht="22.5" customHeight="1">
      <c r="A113" s="5" t="s">
        <v>654</v>
      </c>
      <c r="B113" s="5" t="s">
        <v>655</v>
      </c>
      <c r="C113" s="5" t="s">
        <v>656</v>
      </c>
      <c r="D113" s="5" t="s">
        <v>657</v>
      </c>
      <c r="E113" s="5" t="s">
        <v>83</v>
      </c>
      <c r="F113" s="68" t="s">
        <v>157</v>
      </c>
      <c r="G113" s="5" t="s">
        <v>108</v>
      </c>
      <c r="H113" s="5">
        <v>68200.399999999994</v>
      </c>
      <c r="I113" s="71">
        <v>0.25</v>
      </c>
      <c r="J113" s="60">
        <v>43182</v>
      </c>
      <c r="K113" s="5" t="s">
        <v>2999</v>
      </c>
      <c r="L113" s="5" t="s">
        <v>71</v>
      </c>
      <c r="M113" s="5" t="s">
        <v>384</v>
      </c>
      <c r="N113" s="72" t="s">
        <v>190</v>
      </c>
      <c r="O113" s="75"/>
      <c r="P113" s="77" t="s">
        <v>3034</v>
      </c>
      <c r="Q113" s="74" t="s">
        <v>190</v>
      </c>
      <c r="R113" s="79" t="s">
        <v>122</v>
      </c>
    </row>
    <row r="114" spans="1:18" ht="22.5" customHeight="1">
      <c r="A114" s="5" t="s">
        <v>658</v>
      </c>
      <c r="B114" s="5" t="s">
        <v>659</v>
      </c>
      <c r="C114" s="5" t="s">
        <v>660</v>
      </c>
      <c r="D114" s="5" t="s">
        <v>661</v>
      </c>
      <c r="E114" s="5" t="s">
        <v>83</v>
      </c>
      <c r="F114" s="68" t="s">
        <v>157</v>
      </c>
      <c r="G114" s="5" t="s">
        <v>108</v>
      </c>
      <c r="H114" s="5">
        <v>67416</v>
      </c>
      <c r="I114" s="71">
        <v>0.25</v>
      </c>
      <c r="J114" s="60">
        <v>43182</v>
      </c>
      <c r="K114" s="5" t="s">
        <v>2999</v>
      </c>
      <c r="L114" s="5" t="s">
        <v>71</v>
      </c>
      <c r="M114" s="5" t="s">
        <v>384</v>
      </c>
      <c r="N114" s="72" t="s">
        <v>190</v>
      </c>
      <c r="O114" s="75"/>
      <c r="P114" s="74" t="s">
        <v>3035</v>
      </c>
      <c r="Q114" s="74" t="s">
        <v>190</v>
      </c>
      <c r="R114" s="79" t="s">
        <v>122</v>
      </c>
    </row>
    <row r="115" spans="1:18" ht="22.5" customHeight="1">
      <c r="A115" s="5" t="s">
        <v>663</v>
      </c>
      <c r="B115" s="5" t="s">
        <v>664</v>
      </c>
      <c r="C115" s="5" t="s">
        <v>665</v>
      </c>
      <c r="D115" s="5" t="s">
        <v>666</v>
      </c>
      <c r="E115" s="5" t="s">
        <v>83</v>
      </c>
      <c r="F115" s="68" t="s">
        <v>157</v>
      </c>
      <c r="G115" s="5" t="s">
        <v>108</v>
      </c>
      <c r="H115" s="5">
        <v>23108</v>
      </c>
      <c r="I115" s="71">
        <v>0.25</v>
      </c>
      <c r="J115" s="60">
        <v>43185</v>
      </c>
      <c r="K115" s="5" t="s">
        <v>2999</v>
      </c>
      <c r="L115" s="5" t="s">
        <v>71</v>
      </c>
      <c r="M115" s="5" t="s">
        <v>384</v>
      </c>
      <c r="N115" s="72" t="s">
        <v>190</v>
      </c>
      <c r="O115" s="75"/>
      <c r="P115" s="74" t="s">
        <v>3035</v>
      </c>
      <c r="Q115" s="74" t="s">
        <v>190</v>
      </c>
      <c r="R115" s="79" t="s">
        <v>122</v>
      </c>
    </row>
    <row r="116" spans="1:18" ht="22.5" customHeight="1">
      <c r="A116" s="5" t="s">
        <v>667</v>
      </c>
      <c r="B116" s="5" t="s">
        <v>668</v>
      </c>
      <c r="C116" s="5" t="s">
        <v>669</v>
      </c>
      <c r="D116" s="5" t="s">
        <v>670</v>
      </c>
      <c r="E116" s="5" t="s">
        <v>126</v>
      </c>
      <c r="F116" s="68" t="s">
        <v>76</v>
      </c>
      <c r="G116" s="5" t="s">
        <v>145</v>
      </c>
      <c r="H116" s="5">
        <v>369440</v>
      </c>
      <c r="I116" s="71">
        <v>0.12</v>
      </c>
      <c r="J116" s="60">
        <v>43188</v>
      </c>
      <c r="K116" s="5" t="s">
        <v>71</v>
      </c>
      <c r="L116" s="5" t="s">
        <v>71</v>
      </c>
      <c r="M116" s="5">
        <v>0</v>
      </c>
      <c r="N116" s="72" t="s">
        <v>66</v>
      </c>
      <c r="O116" s="75">
        <v>43282</v>
      </c>
      <c r="P116" s="74" t="s">
        <v>78</v>
      </c>
      <c r="Q116" s="74" t="s">
        <v>88</v>
      </c>
      <c r="R116" s="79">
        <v>43646</v>
      </c>
    </row>
    <row r="117" spans="1:18" ht="22.5" customHeight="1">
      <c r="A117" s="5" t="s">
        <v>672</v>
      </c>
      <c r="B117" s="5" t="s">
        <v>672</v>
      </c>
      <c r="C117" s="5" t="s">
        <v>673</v>
      </c>
      <c r="D117" s="5" t="s">
        <v>674</v>
      </c>
      <c r="E117" s="5" t="s">
        <v>75</v>
      </c>
      <c r="F117" s="68" t="s">
        <v>76</v>
      </c>
      <c r="G117" s="5" t="s">
        <v>85</v>
      </c>
      <c r="H117" s="5">
        <v>29346</v>
      </c>
      <c r="I117" s="71">
        <v>0.15</v>
      </c>
      <c r="J117" s="60">
        <v>43201</v>
      </c>
      <c r="K117" s="5" t="s">
        <v>71</v>
      </c>
      <c r="L117" s="5" t="s">
        <v>71</v>
      </c>
      <c r="M117" s="5">
        <v>0</v>
      </c>
      <c r="N117" s="72" t="s">
        <v>676</v>
      </c>
      <c r="O117" s="75"/>
      <c r="P117" s="74"/>
      <c r="Q117" s="74" t="s">
        <v>213</v>
      </c>
      <c r="R117" s="79"/>
    </row>
    <row r="118" spans="1:18" ht="22.5" customHeight="1">
      <c r="A118" s="5" t="s">
        <v>677</v>
      </c>
      <c r="B118" s="5" t="s">
        <v>678</v>
      </c>
      <c r="C118" s="5" t="s">
        <v>679</v>
      </c>
      <c r="D118" s="5" t="s">
        <v>680</v>
      </c>
      <c r="E118" s="5" t="s">
        <v>126</v>
      </c>
      <c r="F118" s="68" t="s">
        <v>76</v>
      </c>
      <c r="G118" s="5" t="s">
        <v>145</v>
      </c>
      <c r="H118" s="5">
        <v>138615</v>
      </c>
      <c r="I118" s="71">
        <v>0.15</v>
      </c>
      <c r="J118" s="60">
        <v>43202</v>
      </c>
      <c r="K118" s="5" t="s">
        <v>71</v>
      </c>
      <c r="L118" s="5" t="s">
        <v>71</v>
      </c>
      <c r="M118" s="5">
        <v>0</v>
      </c>
      <c r="N118" s="72" t="s">
        <v>66</v>
      </c>
      <c r="O118" s="75">
        <v>42921</v>
      </c>
      <c r="P118" s="74" t="s">
        <v>219</v>
      </c>
      <c r="Q118" s="74" t="s">
        <v>219</v>
      </c>
      <c r="R118" s="79" t="s">
        <v>219</v>
      </c>
    </row>
    <row r="119" spans="1:18" ht="22.5" customHeight="1">
      <c r="A119" s="5" t="s">
        <v>683</v>
      </c>
      <c r="B119" s="5" t="s">
        <v>684</v>
      </c>
      <c r="C119" s="5" t="s">
        <v>685</v>
      </c>
      <c r="D119" s="5" t="s">
        <v>440</v>
      </c>
      <c r="E119" s="5" t="s">
        <v>168</v>
      </c>
      <c r="F119" s="68" t="s">
        <v>175</v>
      </c>
      <c r="G119" s="5" t="s">
        <v>442</v>
      </c>
      <c r="H119" s="5">
        <v>79200</v>
      </c>
      <c r="I119" s="71">
        <v>0.15</v>
      </c>
      <c r="J119" s="60">
        <v>43215</v>
      </c>
      <c r="K119" s="5" t="s">
        <v>71</v>
      </c>
      <c r="L119" s="5" t="s">
        <v>71</v>
      </c>
      <c r="M119" s="5">
        <v>0</v>
      </c>
      <c r="N119" s="72" t="s">
        <v>190</v>
      </c>
      <c r="O119" s="75"/>
      <c r="P119" s="77" t="s">
        <v>3036</v>
      </c>
      <c r="Q119" s="74" t="s">
        <v>190</v>
      </c>
      <c r="R119" s="79">
        <v>45047</v>
      </c>
    </row>
    <row r="120" spans="1:18" ht="22.5" customHeight="1">
      <c r="A120" s="5" t="s">
        <v>688</v>
      </c>
      <c r="B120" s="5" t="s">
        <v>689</v>
      </c>
      <c r="C120" s="5" t="s">
        <v>690</v>
      </c>
      <c r="D120" s="5" t="s">
        <v>440</v>
      </c>
      <c r="E120" s="5" t="s">
        <v>168</v>
      </c>
      <c r="F120" s="68" t="s">
        <v>175</v>
      </c>
      <c r="G120" s="5" t="s">
        <v>442</v>
      </c>
      <c r="H120" s="5">
        <v>79200</v>
      </c>
      <c r="I120" s="71">
        <v>0.15</v>
      </c>
      <c r="J120" s="60">
        <v>43215</v>
      </c>
      <c r="K120" s="5" t="s">
        <v>71</v>
      </c>
      <c r="L120" s="5" t="s">
        <v>71</v>
      </c>
      <c r="M120" s="5">
        <v>0</v>
      </c>
      <c r="N120" s="72" t="s">
        <v>190</v>
      </c>
      <c r="O120" s="75"/>
      <c r="P120" s="77" t="s">
        <v>3036</v>
      </c>
      <c r="Q120" s="74" t="s">
        <v>190</v>
      </c>
      <c r="R120" s="79">
        <v>45047</v>
      </c>
    </row>
    <row r="121" spans="1:18" ht="22.5" customHeight="1">
      <c r="A121" s="5" t="s">
        <v>691</v>
      </c>
      <c r="B121" s="5" t="s">
        <v>692</v>
      </c>
      <c r="C121" s="5" t="s">
        <v>693</v>
      </c>
      <c r="D121" s="5" t="s">
        <v>694</v>
      </c>
      <c r="E121" s="5" t="s">
        <v>75</v>
      </c>
      <c r="F121" s="68" t="s">
        <v>175</v>
      </c>
      <c r="G121" s="5" t="s">
        <v>114</v>
      </c>
      <c r="H121" s="5">
        <v>215773</v>
      </c>
      <c r="I121" s="71">
        <v>0.15</v>
      </c>
      <c r="J121" s="60">
        <v>43202</v>
      </c>
      <c r="K121" s="5" t="s">
        <v>71</v>
      </c>
      <c r="L121" s="5" t="s">
        <v>71</v>
      </c>
      <c r="M121" s="5">
        <v>0</v>
      </c>
      <c r="N121" s="72">
        <v>43525</v>
      </c>
      <c r="O121" s="75"/>
      <c r="P121" s="74"/>
      <c r="Q121" s="74" t="s">
        <v>213</v>
      </c>
      <c r="R121" s="79"/>
    </row>
    <row r="122" spans="1:18" ht="22.5" customHeight="1">
      <c r="A122" s="5" t="s">
        <v>698</v>
      </c>
      <c r="B122" s="5" t="s">
        <v>699</v>
      </c>
      <c r="C122" s="5" t="s">
        <v>700</v>
      </c>
      <c r="D122" s="5" t="s">
        <v>701</v>
      </c>
      <c r="E122" s="5" t="s">
        <v>261</v>
      </c>
      <c r="F122" s="68" t="s">
        <v>107</v>
      </c>
      <c r="G122" s="5" t="s">
        <v>77</v>
      </c>
      <c r="H122" s="5">
        <v>119201</v>
      </c>
      <c r="I122" s="71">
        <v>0.15</v>
      </c>
      <c r="J122" s="60">
        <v>43203</v>
      </c>
      <c r="K122" s="5" t="s">
        <v>71</v>
      </c>
      <c r="L122" s="5" t="s">
        <v>71</v>
      </c>
      <c r="M122" s="5">
        <v>0</v>
      </c>
      <c r="N122" s="72" t="s">
        <v>66</v>
      </c>
      <c r="O122" s="75" t="s">
        <v>3037</v>
      </c>
      <c r="P122" s="74" t="s">
        <v>78</v>
      </c>
      <c r="Q122" s="74" t="s">
        <v>88</v>
      </c>
      <c r="R122" s="77" t="s">
        <v>405</v>
      </c>
    </row>
    <row r="123" spans="1:18" ht="22.5" customHeight="1">
      <c r="A123" s="5" t="s">
        <v>705</v>
      </c>
      <c r="B123" s="5" t="s">
        <v>706</v>
      </c>
      <c r="C123" s="5" t="s">
        <v>707</v>
      </c>
      <c r="D123" s="5" t="s">
        <v>708</v>
      </c>
      <c r="E123" s="5" t="s">
        <v>83</v>
      </c>
      <c r="F123" s="68" t="s">
        <v>286</v>
      </c>
      <c r="G123" s="5" t="s">
        <v>132</v>
      </c>
      <c r="H123" s="5">
        <v>9600000</v>
      </c>
      <c r="I123" s="71">
        <v>0.5</v>
      </c>
      <c r="J123" s="60">
        <v>43210</v>
      </c>
      <c r="K123" s="5" t="s">
        <v>71</v>
      </c>
      <c r="L123" s="5" t="s">
        <v>71</v>
      </c>
      <c r="M123" s="5">
        <v>0</v>
      </c>
      <c r="N123" s="72" t="s">
        <v>197</v>
      </c>
      <c r="O123" s="75"/>
      <c r="P123" s="77" t="s">
        <v>709</v>
      </c>
      <c r="Q123" s="74" t="s">
        <v>197</v>
      </c>
      <c r="R123" s="79"/>
    </row>
    <row r="124" spans="1:18" ht="22.5" customHeight="1">
      <c r="A124" s="5" t="s">
        <v>710</v>
      </c>
      <c r="B124" s="5" t="s">
        <v>711</v>
      </c>
      <c r="C124" s="5" t="s">
        <v>712</v>
      </c>
      <c r="D124" s="5" t="s">
        <v>713</v>
      </c>
      <c r="E124" s="5" t="s">
        <v>714</v>
      </c>
      <c r="F124" s="68" t="s">
        <v>157</v>
      </c>
      <c r="G124" s="5" t="s">
        <v>108</v>
      </c>
      <c r="H124" s="5">
        <v>66480</v>
      </c>
      <c r="I124" s="71">
        <v>0</v>
      </c>
      <c r="J124" s="60">
        <v>43210</v>
      </c>
      <c r="K124" s="5" t="s">
        <v>2999</v>
      </c>
      <c r="L124" s="5" t="s">
        <v>71</v>
      </c>
      <c r="M124" s="5" t="s">
        <v>384</v>
      </c>
      <c r="N124" s="72" t="s">
        <v>197</v>
      </c>
      <c r="O124" s="75"/>
      <c r="P124" s="77" t="s">
        <v>717</v>
      </c>
      <c r="Q124" s="74" t="s">
        <v>197</v>
      </c>
      <c r="R124" s="79">
        <v>43465</v>
      </c>
    </row>
    <row r="125" spans="1:18" ht="22.5" customHeight="1">
      <c r="A125" s="5">
        <v>0</v>
      </c>
      <c r="B125" s="5">
        <v>0</v>
      </c>
      <c r="C125" s="5">
        <v>0</v>
      </c>
      <c r="D125" s="5" t="s">
        <v>718</v>
      </c>
      <c r="E125" s="80" t="s">
        <v>652</v>
      </c>
      <c r="F125" s="81"/>
      <c r="G125" s="81"/>
      <c r="H125" s="81"/>
      <c r="I125" s="81"/>
      <c r="J125" s="81"/>
      <c r="K125" s="81"/>
      <c r="L125" s="81"/>
      <c r="M125" s="84"/>
      <c r="N125" s="72" t="s">
        <v>66</v>
      </c>
      <c r="O125" s="85"/>
      <c r="P125" s="74"/>
      <c r="Q125" s="74"/>
      <c r="R125" s="79"/>
    </row>
    <row r="126" spans="1:18" ht="22.5" customHeight="1">
      <c r="A126" s="5" t="s">
        <v>719</v>
      </c>
      <c r="B126" s="5" t="s">
        <v>720</v>
      </c>
      <c r="C126" s="5" t="s">
        <v>721</v>
      </c>
      <c r="D126" s="5" t="s">
        <v>722</v>
      </c>
      <c r="E126" s="5" t="s">
        <v>261</v>
      </c>
      <c r="F126" s="68" t="s">
        <v>107</v>
      </c>
      <c r="G126" s="5" t="s">
        <v>455</v>
      </c>
      <c r="H126" s="5">
        <v>3549163</v>
      </c>
      <c r="I126" s="71">
        <v>0.15</v>
      </c>
      <c r="J126" s="60">
        <v>43214</v>
      </c>
      <c r="K126" s="5" t="s">
        <v>71</v>
      </c>
      <c r="L126" s="5" t="s">
        <v>71</v>
      </c>
      <c r="M126" s="5">
        <v>0</v>
      </c>
      <c r="N126" s="72" t="s">
        <v>190</v>
      </c>
      <c r="O126" s="75"/>
      <c r="P126" s="77" t="s">
        <v>3038</v>
      </c>
      <c r="Q126" s="74" t="s">
        <v>190</v>
      </c>
      <c r="R126" s="79">
        <v>43444</v>
      </c>
    </row>
    <row r="127" spans="1:18" ht="22.5" customHeight="1">
      <c r="A127" s="5" t="s">
        <v>723</v>
      </c>
      <c r="B127" s="5" t="s">
        <v>724</v>
      </c>
      <c r="C127" s="5" t="s">
        <v>725</v>
      </c>
      <c r="D127" s="5" t="s">
        <v>726</v>
      </c>
      <c r="E127" s="5" t="s">
        <v>106</v>
      </c>
      <c r="F127" s="68" t="s">
        <v>107</v>
      </c>
      <c r="G127" s="5" t="s">
        <v>442</v>
      </c>
      <c r="H127" s="5">
        <v>300000</v>
      </c>
      <c r="I127" s="71">
        <v>0.15</v>
      </c>
      <c r="J127" s="60">
        <v>43216</v>
      </c>
      <c r="K127" s="5" t="s">
        <v>71</v>
      </c>
      <c r="L127" s="5" t="s">
        <v>71</v>
      </c>
      <c r="M127" s="5">
        <v>0</v>
      </c>
      <c r="N127" s="72" t="s">
        <v>215</v>
      </c>
      <c r="O127" s="75"/>
      <c r="P127" s="74"/>
      <c r="Q127" s="74" t="s">
        <v>190</v>
      </c>
      <c r="R127" s="79">
        <v>44378</v>
      </c>
    </row>
    <row r="128" spans="1:18" ht="22.5" customHeight="1">
      <c r="A128" s="5" t="s">
        <v>728</v>
      </c>
      <c r="B128" s="5" t="s">
        <v>729</v>
      </c>
      <c r="C128" s="31" t="s">
        <v>730</v>
      </c>
      <c r="D128" s="5" t="s">
        <v>731</v>
      </c>
      <c r="E128" s="31" t="s">
        <v>83</v>
      </c>
      <c r="F128" s="6" t="s">
        <v>150</v>
      </c>
      <c r="G128" s="6" t="s">
        <v>84</v>
      </c>
      <c r="H128" s="5">
        <f>VLOOKUP(A128,自2017年7月及其他重点工程!A:AX,12,0)</f>
        <v>57200</v>
      </c>
      <c r="I128" s="71">
        <f>VLOOKUP(A128,自2017年7月及其他重点工程!A:AX,23,0)</f>
        <v>48620</v>
      </c>
      <c r="J128" s="60">
        <f>VLOOKUP(A128,自2017年7月及其他重点工程!A:AX,10,0)</f>
        <v>0</v>
      </c>
      <c r="K128" s="5">
        <f>VLOOKUP(A128,自2017年7月及其他重点工程!A:AX,42,0)</f>
        <v>0</v>
      </c>
      <c r="L128" s="5">
        <f>VLOOKUP(A128,自2017年7月及其他重点工程!A:AX,45,0)</f>
        <v>0</v>
      </c>
      <c r="M128" s="5">
        <f>VLOOKUP(A128,自2017年7月及其他重点工程!A:AX,46,0)</f>
        <v>43813</v>
      </c>
      <c r="N128" s="72"/>
      <c r="O128" s="75">
        <f>VLOOKUP(A128,自2017年7月及其他重点工程!A:AX,37,0)</f>
        <v>0</v>
      </c>
      <c r="P128" s="74"/>
      <c r="Q128" s="74"/>
      <c r="R128" s="79"/>
    </row>
    <row r="129" spans="1:18" ht="22.5" customHeight="1">
      <c r="A129" s="5" t="s">
        <v>734</v>
      </c>
      <c r="B129" s="5" t="s">
        <v>735</v>
      </c>
      <c r="C129" s="5" t="s">
        <v>730</v>
      </c>
      <c r="D129" s="5" t="s">
        <v>737</v>
      </c>
      <c r="E129" s="5" t="s">
        <v>83</v>
      </c>
      <c r="F129" s="68" t="s">
        <v>150</v>
      </c>
      <c r="G129" s="5" t="s">
        <v>93</v>
      </c>
      <c r="H129" s="5">
        <v>297000</v>
      </c>
      <c r="I129" s="71">
        <v>0.15</v>
      </c>
      <c r="J129" s="60">
        <v>43216</v>
      </c>
      <c r="K129" s="5" t="s">
        <v>71</v>
      </c>
      <c r="L129" s="5" t="s">
        <v>71</v>
      </c>
      <c r="M129" s="5">
        <v>0</v>
      </c>
      <c r="N129" s="72" t="s">
        <v>122</v>
      </c>
      <c r="O129" s="75" t="s">
        <v>1529</v>
      </c>
      <c r="P129" s="74" t="s">
        <v>662</v>
      </c>
      <c r="Q129" s="74" t="s">
        <v>190</v>
      </c>
      <c r="R129" s="79" t="s">
        <v>122</v>
      </c>
    </row>
    <row r="130" spans="1:18" ht="22.5" customHeight="1">
      <c r="A130" s="5" t="s">
        <v>740</v>
      </c>
      <c r="B130" s="5" t="s">
        <v>3039</v>
      </c>
      <c r="C130" s="5" t="s">
        <v>742</v>
      </c>
      <c r="D130" s="5" t="s">
        <v>743</v>
      </c>
      <c r="E130" s="5" t="s">
        <v>249</v>
      </c>
      <c r="F130" s="68" t="s">
        <v>107</v>
      </c>
      <c r="G130" s="5" t="s">
        <v>132</v>
      </c>
      <c r="H130" s="5">
        <v>150228</v>
      </c>
      <c r="I130" s="71">
        <v>0.1</v>
      </c>
      <c r="J130" s="60">
        <v>43223</v>
      </c>
      <c r="K130" s="5" t="s">
        <v>71</v>
      </c>
      <c r="L130" s="5" t="s">
        <v>71</v>
      </c>
      <c r="M130" s="5">
        <v>0</v>
      </c>
      <c r="N130" s="72" t="s">
        <v>66</v>
      </c>
      <c r="O130" s="75"/>
      <c r="P130" s="74">
        <v>0</v>
      </c>
      <c r="Q130" s="74" t="s">
        <v>213</v>
      </c>
      <c r="R130" s="79">
        <v>43466</v>
      </c>
    </row>
    <row r="131" spans="1:18" ht="22.5" customHeight="1">
      <c r="A131" s="5" t="s">
        <v>744</v>
      </c>
      <c r="B131" s="5">
        <v>0</v>
      </c>
      <c r="C131" s="5" t="s">
        <v>746</v>
      </c>
      <c r="D131" s="5" t="s">
        <v>747</v>
      </c>
      <c r="E131" s="5" t="s">
        <v>126</v>
      </c>
      <c r="F131" s="68" t="s">
        <v>76</v>
      </c>
      <c r="G131" s="5" t="s">
        <v>145</v>
      </c>
      <c r="H131" s="5">
        <v>126830</v>
      </c>
      <c r="I131" s="71">
        <v>0.15</v>
      </c>
      <c r="J131" s="60">
        <v>43237</v>
      </c>
      <c r="K131" s="5" t="s">
        <v>71</v>
      </c>
      <c r="L131" s="5" t="s">
        <v>71</v>
      </c>
      <c r="M131" s="5">
        <v>0</v>
      </c>
      <c r="N131" s="72" t="s">
        <v>66</v>
      </c>
      <c r="O131" s="75">
        <v>43313</v>
      </c>
      <c r="P131" s="74" t="s">
        <v>78</v>
      </c>
      <c r="Q131" s="74" t="s">
        <v>88</v>
      </c>
      <c r="R131" s="79">
        <v>43677</v>
      </c>
    </row>
    <row r="132" spans="1:18" ht="22.5" customHeight="1">
      <c r="A132" s="5" t="s">
        <v>752</v>
      </c>
      <c r="B132" s="5" t="s">
        <v>753</v>
      </c>
      <c r="C132" s="5" t="s">
        <v>754</v>
      </c>
      <c r="D132" s="5" t="s">
        <v>755</v>
      </c>
      <c r="E132" s="5" t="s">
        <v>83</v>
      </c>
      <c r="F132" s="68" t="s">
        <v>286</v>
      </c>
      <c r="G132" s="5" t="s">
        <v>442</v>
      </c>
      <c r="H132" s="5">
        <v>118000</v>
      </c>
      <c r="I132" s="71">
        <v>1</v>
      </c>
      <c r="J132" s="60">
        <v>43228</v>
      </c>
      <c r="K132" s="5" t="s">
        <v>71</v>
      </c>
      <c r="L132" s="5" t="s">
        <v>71</v>
      </c>
      <c r="M132" s="5">
        <v>0</v>
      </c>
      <c r="N132" s="72" t="s">
        <v>190</v>
      </c>
      <c r="O132" s="75"/>
      <c r="P132" s="77" t="s">
        <v>756</v>
      </c>
      <c r="Q132" s="77" t="s">
        <v>219</v>
      </c>
      <c r="R132" s="79">
        <v>43313</v>
      </c>
    </row>
    <row r="133" spans="1:18" ht="22.5" customHeight="1">
      <c r="A133" s="5" t="s">
        <v>757</v>
      </c>
      <c r="B133" s="5" t="s">
        <v>758</v>
      </c>
      <c r="C133" s="5" t="s">
        <v>759</v>
      </c>
      <c r="D133" s="5" t="s">
        <v>760</v>
      </c>
      <c r="E133" s="5" t="s">
        <v>106</v>
      </c>
      <c r="F133" s="68" t="s">
        <v>107</v>
      </c>
      <c r="G133" s="5" t="s">
        <v>442</v>
      </c>
      <c r="H133" s="5">
        <v>7450740</v>
      </c>
      <c r="I133" s="71">
        <v>0.16</v>
      </c>
      <c r="J133" s="60">
        <v>43239</v>
      </c>
      <c r="K133" s="5" t="s">
        <v>71</v>
      </c>
      <c r="L133" s="5" t="s">
        <v>71</v>
      </c>
      <c r="M133" s="5">
        <v>0</v>
      </c>
      <c r="N133" s="72" t="s">
        <v>190</v>
      </c>
      <c r="O133" s="75"/>
      <c r="P133" s="77" t="s">
        <v>3040</v>
      </c>
      <c r="Q133" s="74" t="s">
        <v>190</v>
      </c>
      <c r="R133" s="79">
        <v>43159</v>
      </c>
    </row>
    <row r="134" spans="1:18" ht="22.5" customHeight="1">
      <c r="A134" s="5" t="s">
        <v>762</v>
      </c>
      <c r="B134" s="5" t="s">
        <v>763</v>
      </c>
      <c r="C134" s="5" t="s">
        <v>764</v>
      </c>
      <c r="D134" s="5" t="s">
        <v>765</v>
      </c>
      <c r="E134" s="5" t="s">
        <v>374</v>
      </c>
      <c r="F134" s="68" t="s">
        <v>286</v>
      </c>
      <c r="G134" s="5" t="s">
        <v>77</v>
      </c>
      <c r="H134" s="5">
        <v>1453960</v>
      </c>
      <c r="I134" s="71">
        <v>0.1</v>
      </c>
      <c r="J134" s="60">
        <v>43230</v>
      </c>
      <c r="K134" s="5" t="s">
        <v>71</v>
      </c>
      <c r="L134" s="5" t="s">
        <v>71</v>
      </c>
      <c r="M134" s="5">
        <v>0</v>
      </c>
      <c r="N134" s="72" t="s">
        <v>3041</v>
      </c>
      <c r="O134" s="75">
        <v>43322</v>
      </c>
      <c r="P134" s="74" t="s">
        <v>78</v>
      </c>
      <c r="Q134" s="74" t="s">
        <v>88</v>
      </c>
      <c r="R134" s="79">
        <v>43686</v>
      </c>
    </row>
    <row r="135" spans="1:18" ht="22.5" customHeight="1">
      <c r="A135" s="5">
        <v>0</v>
      </c>
      <c r="B135" s="5">
        <v>0</v>
      </c>
      <c r="C135" s="5">
        <v>0</v>
      </c>
      <c r="D135" s="5" t="s">
        <v>773</v>
      </c>
      <c r="E135" s="80" t="s">
        <v>652</v>
      </c>
      <c r="F135" s="81"/>
      <c r="G135" s="81"/>
      <c r="H135" s="81"/>
      <c r="I135" s="81"/>
      <c r="J135" s="81"/>
      <c r="K135" s="81"/>
      <c r="L135" s="81"/>
      <c r="M135" s="84"/>
      <c r="N135" s="72" t="s">
        <v>66</v>
      </c>
      <c r="O135" s="85">
        <v>42513</v>
      </c>
      <c r="P135" s="74" t="s">
        <v>78</v>
      </c>
      <c r="Q135" s="74" t="s">
        <v>122</v>
      </c>
      <c r="R135" s="79">
        <v>42877</v>
      </c>
    </row>
    <row r="136" spans="1:18" ht="22.5" customHeight="1">
      <c r="A136" s="5">
        <v>0</v>
      </c>
      <c r="B136" s="5" t="s">
        <v>774</v>
      </c>
      <c r="C136" s="5">
        <v>0</v>
      </c>
      <c r="D136" s="5" t="s">
        <v>776</v>
      </c>
      <c r="E136" s="80" t="s">
        <v>652</v>
      </c>
      <c r="F136" s="81"/>
      <c r="G136" s="81"/>
      <c r="H136" s="81"/>
      <c r="I136" s="81"/>
      <c r="J136" s="81"/>
      <c r="K136" s="81"/>
      <c r="L136" s="81"/>
      <c r="M136" s="84"/>
      <c r="N136" s="72" t="s">
        <v>66</v>
      </c>
      <c r="O136" s="85">
        <v>43238</v>
      </c>
      <c r="P136" s="74" t="s">
        <v>78</v>
      </c>
      <c r="Q136" s="74" t="s">
        <v>88</v>
      </c>
      <c r="R136" s="79">
        <v>43602</v>
      </c>
    </row>
    <row r="137" spans="1:18" ht="22.5" customHeight="1">
      <c r="A137" s="5" t="s">
        <v>777</v>
      </c>
      <c r="B137" s="5" t="s">
        <v>778</v>
      </c>
      <c r="C137" s="5" t="s">
        <v>779</v>
      </c>
      <c r="D137" s="5" t="s">
        <v>780</v>
      </c>
      <c r="E137" s="5" t="s">
        <v>374</v>
      </c>
      <c r="F137" s="68" t="s">
        <v>286</v>
      </c>
      <c r="G137" s="5" t="s">
        <v>77</v>
      </c>
      <c r="H137" s="5">
        <v>1020000</v>
      </c>
      <c r="I137" s="71">
        <v>0.1</v>
      </c>
      <c r="J137" s="60">
        <v>43235</v>
      </c>
      <c r="K137" s="5" t="s">
        <v>71</v>
      </c>
      <c r="L137" s="5" t="s">
        <v>71</v>
      </c>
      <c r="M137" s="5">
        <v>0</v>
      </c>
      <c r="N137" s="72">
        <v>43466</v>
      </c>
      <c r="O137" s="75"/>
      <c r="P137" s="74">
        <v>0</v>
      </c>
      <c r="Q137" s="74" t="s">
        <v>213</v>
      </c>
      <c r="R137" s="79"/>
    </row>
    <row r="138" spans="1:18" ht="22.5" customHeight="1">
      <c r="A138" s="5" t="s">
        <v>782</v>
      </c>
      <c r="B138" s="5" t="s">
        <v>783</v>
      </c>
      <c r="C138" s="5" t="s">
        <v>784</v>
      </c>
      <c r="D138" s="5" t="s">
        <v>785</v>
      </c>
      <c r="E138" s="5" t="s">
        <v>265</v>
      </c>
      <c r="F138" s="68" t="s">
        <v>286</v>
      </c>
      <c r="G138" s="5" t="s">
        <v>62</v>
      </c>
      <c r="H138" s="5">
        <v>346000</v>
      </c>
      <c r="I138" s="71">
        <v>0.1</v>
      </c>
      <c r="J138" s="60">
        <v>43235</v>
      </c>
      <c r="K138" s="5" t="s">
        <v>71</v>
      </c>
      <c r="L138" s="5" t="s">
        <v>71</v>
      </c>
      <c r="M138" s="5">
        <v>0</v>
      </c>
      <c r="N138" s="72">
        <v>43466</v>
      </c>
      <c r="O138" s="75"/>
      <c r="P138" s="74">
        <v>0</v>
      </c>
      <c r="Q138" s="74" t="s">
        <v>213</v>
      </c>
      <c r="R138" s="79"/>
    </row>
    <row r="139" spans="1:18" ht="22.5" customHeight="1">
      <c r="A139" s="5" t="s">
        <v>786</v>
      </c>
      <c r="B139" s="5" t="s">
        <v>787</v>
      </c>
      <c r="C139" s="5" t="s">
        <v>788</v>
      </c>
      <c r="D139" s="5" t="s">
        <v>789</v>
      </c>
      <c r="E139" s="5" t="s">
        <v>261</v>
      </c>
      <c r="F139" s="68" t="s">
        <v>107</v>
      </c>
      <c r="G139" s="5" t="s">
        <v>77</v>
      </c>
      <c r="H139" s="5">
        <v>9980000</v>
      </c>
      <c r="I139" s="71">
        <v>0</v>
      </c>
      <c r="J139" s="60">
        <v>43235</v>
      </c>
      <c r="K139" s="5" t="s">
        <v>71</v>
      </c>
      <c r="L139" s="5" t="s">
        <v>71</v>
      </c>
      <c r="M139" s="5">
        <v>0</v>
      </c>
      <c r="N139" s="72">
        <v>43435</v>
      </c>
      <c r="O139" s="75"/>
      <c r="P139" s="74">
        <v>0</v>
      </c>
      <c r="Q139" s="74" t="s">
        <v>213</v>
      </c>
      <c r="R139" s="79"/>
    </row>
    <row r="140" spans="1:18" ht="22.5" customHeight="1">
      <c r="A140" s="5" t="s">
        <v>791</v>
      </c>
      <c r="B140" s="5" t="s">
        <v>3042</v>
      </c>
      <c r="C140" s="5" t="s">
        <v>793</v>
      </c>
      <c r="D140" s="5" t="s">
        <v>794</v>
      </c>
      <c r="E140" s="5" t="s">
        <v>271</v>
      </c>
      <c r="F140" s="68" t="s">
        <v>795</v>
      </c>
      <c r="G140" s="5" t="s">
        <v>77</v>
      </c>
      <c r="H140" s="5">
        <v>95061.3</v>
      </c>
      <c r="I140" s="71">
        <v>0.15</v>
      </c>
      <c r="J140" s="60">
        <v>43235</v>
      </c>
      <c r="K140" s="5" t="s">
        <v>71</v>
      </c>
      <c r="L140" s="5" t="s">
        <v>71</v>
      </c>
      <c r="M140" s="5">
        <v>0</v>
      </c>
      <c r="N140" s="72"/>
      <c r="O140" s="75">
        <v>43381</v>
      </c>
      <c r="P140" s="74">
        <v>0</v>
      </c>
      <c r="Q140" s="74" t="s">
        <v>88</v>
      </c>
      <c r="R140" s="79">
        <v>43745</v>
      </c>
    </row>
    <row r="141" spans="1:18" ht="22.5" customHeight="1">
      <c r="A141" s="5" t="s">
        <v>797</v>
      </c>
      <c r="B141" s="5" t="s">
        <v>798</v>
      </c>
      <c r="C141" s="5" t="s">
        <v>799</v>
      </c>
      <c r="D141" s="5" t="s">
        <v>800</v>
      </c>
      <c r="E141" s="5" t="s">
        <v>249</v>
      </c>
      <c r="F141" s="68" t="s">
        <v>157</v>
      </c>
      <c r="G141" s="5" t="s">
        <v>108</v>
      </c>
      <c r="H141" s="5">
        <v>6500000</v>
      </c>
      <c r="I141" s="71">
        <v>0.31</v>
      </c>
      <c r="J141" s="60">
        <v>43235</v>
      </c>
      <c r="K141" s="5" t="s">
        <v>2999</v>
      </c>
      <c r="L141" s="5" t="s">
        <v>71</v>
      </c>
      <c r="M141" s="5" t="s">
        <v>384</v>
      </c>
      <c r="N141" s="72" t="s">
        <v>66</v>
      </c>
      <c r="O141" s="75">
        <v>43348</v>
      </c>
      <c r="P141" s="74" t="s">
        <v>87</v>
      </c>
      <c r="Q141" s="74" t="s">
        <v>88</v>
      </c>
      <c r="R141" s="79">
        <v>44443</v>
      </c>
    </row>
    <row r="142" spans="1:18" ht="22.5" customHeight="1">
      <c r="A142" s="5" t="s">
        <v>802</v>
      </c>
      <c r="B142" s="5" t="s">
        <v>803</v>
      </c>
      <c r="C142" s="5" t="s">
        <v>804</v>
      </c>
      <c r="D142" s="5" t="s">
        <v>805</v>
      </c>
      <c r="E142" s="5" t="s">
        <v>271</v>
      </c>
      <c r="F142" s="68" t="s">
        <v>795</v>
      </c>
      <c r="G142" s="5" t="s">
        <v>108</v>
      </c>
      <c r="H142" s="5">
        <v>1458375</v>
      </c>
      <c r="I142" s="71">
        <v>0.15</v>
      </c>
      <c r="J142" s="60">
        <v>43235</v>
      </c>
      <c r="K142" s="5" t="s">
        <v>2999</v>
      </c>
      <c r="L142" s="5" t="s">
        <v>71</v>
      </c>
      <c r="M142" s="5" t="s">
        <v>384</v>
      </c>
      <c r="N142" s="72">
        <v>43495</v>
      </c>
      <c r="O142" s="75"/>
      <c r="P142" s="74">
        <v>0</v>
      </c>
      <c r="Q142" s="74" t="s">
        <v>213</v>
      </c>
      <c r="R142" s="79"/>
    </row>
    <row r="143" spans="1:18" ht="22.5" customHeight="1">
      <c r="A143" s="5" t="s">
        <v>802</v>
      </c>
      <c r="B143" s="5" t="s">
        <v>809</v>
      </c>
      <c r="C143" s="5" t="s">
        <v>810</v>
      </c>
      <c r="D143" s="5" t="s">
        <v>811</v>
      </c>
      <c r="E143" s="5" t="s">
        <v>271</v>
      </c>
      <c r="F143" s="68" t="s">
        <v>795</v>
      </c>
      <c r="G143" s="5" t="s">
        <v>813</v>
      </c>
      <c r="H143" s="5">
        <v>9810000</v>
      </c>
      <c r="I143" s="71">
        <v>0.113</v>
      </c>
      <c r="J143" s="60">
        <v>43369</v>
      </c>
      <c r="K143" s="5" t="s">
        <v>2999</v>
      </c>
      <c r="L143" s="5" t="s">
        <v>71</v>
      </c>
      <c r="M143" s="5" t="s">
        <v>3043</v>
      </c>
      <c r="N143" s="72" t="s">
        <v>190</v>
      </c>
      <c r="O143" s="75"/>
      <c r="P143" s="74">
        <v>0</v>
      </c>
      <c r="Q143" s="74" t="s">
        <v>190</v>
      </c>
      <c r="R143" s="79"/>
    </row>
    <row r="144" spans="1:18" ht="22.5" customHeight="1">
      <c r="A144" s="5" t="s">
        <v>814</v>
      </c>
      <c r="B144" s="5" t="s">
        <v>815</v>
      </c>
      <c r="C144" s="5" t="s">
        <v>816</v>
      </c>
      <c r="D144" s="5" t="s">
        <v>817</v>
      </c>
      <c r="E144" s="5" t="s">
        <v>294</v>
      </c>
      <c r="F144" s="68" t="s">
        <v>76</v>
      </c>
      <c r="G144" s="5" t="s">
        <v>62</v>
      </c>
      <c r="H144" s="5">
        <v>198000</v>
      </c>
      <c r="I144" s="71">
        <v>0.15</v>
      </c>
      <c r="J144" s="60">
        <v>43236</v>
      </c>
      <c r="K144" s="5" t="s">
        <v>71</v>
      </c>
      <c r="L144" s="5" t="s">
        <v>71</v>
      </c>
      <c r="M144" s="5">
        <v>0</v>
      </c>
      <c r="N144" s="72" t="s">
        <v>66</v>
      </c>
      <c r="O144" s="75">
        <v>43328</v>
      </c>
      <c r="P144" s="74" t="s">
        <v>78</v>
      </c>
      <c r="Q144" s="74" t="s">
        <v>88</v>
      </c>
      <c r="R144" s="79">
        <v>43692</v>
      </c>
    </row>
    <row r="145" spans="1:18" ht="22.5" customHeight="1">
      <c r="A145" s="5" t="s">
        <v>818</v>
      </c>
      <c r="B145" s="5" t="s">
        <v>819</v>
      </c>
      <c r="C145" s="5" t="s">
        <v>820</v>
      </c>
      <c r="D145" s="5" t="s">
        <v>821</v>
      </c>
      <c r="E145" s="5" t="s">
        <v>294</v>
      </c>
      <c r="F145" s="68" t="s">
        <v>76</v>
      </c>
      <c r="G145" s="5" t="s">
        <v>62</v>
      </c>
      <c r="H145" s="5">
        <v>96570</v>
      </c>
      <c r="I145" s="71">
        <v>0.15</v>
      </c>
      <c r="J145" s="60">
        <v>43236</v>
      </c>
      <c r="K145" s="5" t="s">
        <v>71</v>
      </c>
      <c r="L145" s="5" t="s">
        <v>71</v>
      </c>
      <c r="M145" s="5">
        <v>0</v>
      </c>
      <c r="N145" s="72" t="s">
        <v>66</v>
      </c>
      <c r="O145" s="75">
        <v>43230</v>
      </c>
      <c r="P145" s="74" t="s">
        <v>78</v>
      </c>
      <c r="Q145" s="74" t="s">
        <v>88</v>
      </c>
      <c r="R145" s="79">
        <v>43594</v>
      </c>
    </row>
    <row r="146" spans="1:18" ht="22.5" customHeight="1">
      <c r="A146" s="5" t="s">
        <v>822</v>
      </c>
      <c r="B146" s="5" t="s">
        <v>823</v>
      </c>
      <c r="C146" s="5" t="s">
        <v>824</v>
      </c>
      <c r="D146" s="5" t="s">
        <v>825</v>
      </c>
      <c r="E146" s="5" t="s">
        <v>83</v>
      </c>
      <c r="F146" s="68" t="s">
        <v>76</v>
      </c>
      <c r="G146" s="5" t="s">
        <v>85</v>
      </c>
      <c r="H146" s="5">
        <v>194000</v>
      </c>
      <c r="I146" s="71">
        <v>0.15</v>
      </c>
      <c r="J146" s="60">
        <v>43236</v>
      </c>
      <c r="K146" s="5" t="s">
        <v>71</v>
      </c>
      <c r="L146" s="5" t="s">
        <v>71</v>
      </c>
      <c r="M146" s="5">
        <v>0</v>
      </c>
      <c r="N146" s="72" t="s">
        <v>66</v>
      </c>
      <c r="O146" s="75">
        <v>43228</v>
      </c>
      <c r="P146" s="74" t="s">
        <v>78</v>
      </c>
      <c r="Q146" s="74" t="s">
        <v>88</v>
      </c>
      <c r="R146" s="79">
        <v>43592</v>
      </c>
    </row>
    <row r="147" spans="1:18" ht="22.5" customHeight="1">
      <c r="A147" s="5" t="s">
        <v>827</v>
      </c>
      <c r="B147" s="5" t="s">
        <v>828</v>
      </c>
      <c r="C147" s="5" t="s">
        <v>829</v>
      </c>
      <c r="D147" s="5" t="s">
        <v>830</v>
      </c>
      <c r="E147" s="5" t="s">
        <v>126</v>
      </c>
      <c r="F147" s="68" t="s">
        <v>76</v>
      </c>
      <c r="G147" s="5" t="s">
        <v>145</v>
      </c>
      <c r="H147" s="5">
        <v>19270</v>
      </c>
      <c r="I147" s="71">
        <v>0.15</v>
      </c>
      <c r="J147" s="60">
        <v>43236</v>
      </c>
      <c r="K147" s="5" t="s">
        <v>71</v>
      </c>
      <c r="L147" s="5" t="s">
        <v>71</v>
      </c>
      <c r="M147" s="5">
        <v>0</v>
      </c>
      <c r="N147" s="72" t="s">
        <v>66</v>
      </c>
      <c r="O147" s="75">
        <v>43314</v>
      </c>
      <c r="P147" s="74" t="s">
        <v>78</v>
      </c>
      <c r="Q147" s="74" t="s">
        <v>88</v>
      </c>
      <c r="R147" s="79">
        <v>43678</v>
      </c>
    </row>
    <row r="148" spans="1:18" ht="22.5" customHeight="1">
      <c r="A148" s="5" t="s">
        <v>831</v>
      </c>
      <c r="B148" s="5" t="s">
        <v>832</v>
      </c>
      <c r="C148" s="5" t="s">
        <v>833</v>
      </c>
      <c r="D148" s="5" t="s">
        <v>834</v>
      </c>
      <c r="E148" s="5" t="s">
        <v>126</v>
      </c>
      <c r="F148" s="68" t="s">
        <v>76</v>
      </c>
      <c r="G148" s="5" t="s">
        <v>145</v>
      </c>
      <c r="H148" s="5">
        <v>35849</v>
      </c>
      <c r="I148" s="71">
        <v>0.15</v>
      </c>
      <c r="J148" s="60">
        <v>43236</v>
      </c>
      <c r="K148" s="5" t="s">
        <v>71</v>
      </c>
      <c r="L148" s="5" t="s">
        <v>71</v>
      </c>
      <c r="M148" s="5">
        <v>0</v>
      </c>
      <c r="N148" s="72" t="s">
        <v>66</v>
      </c>
      <c r="O148" s="75">
        <v>43311</v>
      </c>
      <c r="P148" s="74" t="s">
        <v>78</v>
      </c>
      <c r="Q148" s="74" t="s">
        <v>88</v>
      </c>
      <c r="R148" s="79">
        <v>43646</v>
      </c>
    </row>
    <row r="149" spans="1:18" ht="22.5" customHeight="1">
      <c r="A149" s="5" t="s">
        <v>835</v>
      </c>
      <c r="B149" s="5" t="s">
        <v>836</v>
      </c>
      <c r="C149" s="5" t="s">
        <v>837</v>
      </c>
      <c r="D149" s="5" t="s">
        <v>838</v>
      </c>
      <c r="E149" s="5" t="s">
        <v>249</v>
      </c>
      <c r="F149" s="68" t="s">
        <v>157</v>
      </c>
      <c r="G149" s="5" t="s">
        <v>62</v>
      </c>
      <c r="H149" s="5">
        <v>65818</v>
      </c>
      <c r="I149" s="71">
        <v>0.15</v>
      </c>
      <c r="J149" s="60">
        <v>43236</v>
      </c>
      <c r="K149" s="5" t="s">
        <v>71</v>
      </c>
      <c r="L149" s="5" t="s">
        <v>71</v>
      </c>
      <c r="M149" s="5">
        <v>0</v>
      </c>
      <c r="N149" s="72">
        <v>43466</v>
      </c>
      <c r="O149" s="75"/>
      <c r="P149" s="74">
        <v>0</v>
      </c>
      <c r="Q149" s="74" t="s">
        <v>213</v>
      </c>
      <c r="R149" s="79"/>
    </row>
    <row r="150" spans="1:18" ht="22.5" customHeight="1">
      <c r="A150" s="5" t="s">
        <v>839</v>
      </c>
      <c r="B150" s="5" t="s">
        <v>840</v>
      </c>
      <c r="C150" s="5" t="s">
        <v>841</v>
      </c>
      <c r="D150" s="5" t="s">
        <v>842</v>
      </c>
      <c r="E150" s="5" t="s">
        <v>126</v>
      </c>
      <c r="F150" s="68" t="s">
        <v>76</v>
      </c>
      <c r="G150" s="5" t="s">
        <v>145</v>
      </c>
      <c r="H150" s="5">
        <v>118914</v>
      </c>
      <c r="I150" s="71">
        <v>0.15</v>
      </c>
      <c r="J150" s="60">
        <v>43236</v>
      </c>
      <c r="K150" s="5" t="s">
        <v>71</v>
      </c>
      <c r="L150" s="5" t="s">
        <v>71</v>
      </c>
      <c r="M150" s="5">
        <v>0</v>
      </c>
      <c r="N150" s="72" t="s">
        <v>66</v>
      </c>
      <c r="O150" s="75">
        <v>43240</v>
      </c>
      <c r="P150" s="74" t="s">
        <v>78</v>
      </c>
      <c r="Q150" s="74" t="s">
        <v>88</v>
      </c>
      <c r="R150" s="79">
        <v>43604</v>
      </c>
    </row>
    <row r="151" spans="1:18" ht="22.5" customHeight="1">
      <c r="A151" s="5" t="s">
        <v>843</v>
      </c>
      <c r="B151" s="5" t="s">
        <v>844</v>
      </c>
      <c r="C151" s="5" t="s">
        <v>845</v>
      </c>
      <c r="D151" s="5" t="s">
        <v>846</v>
      </c>
      <c r="E151" s="5" t="s">
        <v>576</v>
      </c>
      <c r="F151" s="68" t="s">
        <v>795</v>
      </c>
      <c r="G151" s="5" t="s">
        <v>114</v>
      </c>
      <c r="H151" s="5">
        <v>216877.35</v>
      </c>
      <c r="I151" s="71">
        <v>0.15</v>
      </c>
      <c r="J151" s="60">
        <v>43236</v>
      </c>
      <c r="K151" s="5" t="s">
        <v>71</v>
      </c>
      <c r="L151" s="5" t="s">
        <v>71</v>
      </c>
      <c r="M151" s="5">
        <v>0</v>
      </c>
      <c r="N151" s="72">
        <v>43405</v>
      </c>
      <c r="O151" s="75"/>
      <c r="P151" s="74">
        <v>0</v>
      </c>
      <c r="Q151" s="74" t="s">
        <v>213</v>
      </c>
      <c r="R151" s="79"/>
    </row>
    <row r="152" spans="1:18" ht="22.5" customHeight="1">
      <c r="A152" s="5" t="s">
        <v>847</v>
      </c>
      <c r="B152" s="5" t="s">
        <v>848</v>
      </c>
      <c r="C152" s="5" t="s">
        <v>849</v>
      </c>
      <c r="D152" s="5" t="s">
        <v>850</v>
      </c>
      <c r="E152" s="5" t="s">
        <v>224</v>
      </c>
      <c r="F152" s="68" t="s">
        <v>150</v>
      </c>
      <c r="G152" s="5" t="s">
        <v>93</v>
      </c>
      <c r="H152" s="5">
        <v>242333.57</v>
      </c>
      <c r="I152" s="71">
        <v>0.1</v>
      </c>
      <c r="J152" s="60">
        <v>43237</v>
      </c>
      <c r="K152" s="5" t="s">
        <v>71</v>
      </c>
      <c r="L152" s="5" t="s">
        <v>71</v>
      </c>
      <c r="M152" s="5">
        <v>0</v>
      </c>
      <c r="N152" s="72" t="s">
        <v>66</v>
      </c>
      <c r="O152" s="75">
        <v>43061</v>
      </c>
      <c r="P152" s="74" t="s">
        <v>78</v>
      </c>
      <c r="Q152" s="74" t="s">
        <v>88</v>
      </c>
      <c r="R152" s="79">
        <v>43405</v>
      </c>
    </row>
    <row r="153" spans="1:18" ht="22.5" customHeight="1">
      <c r="A153" s="5" t="s">
        <v>851</v>
      </c>
      <c r="B153" s="5" t="s">
        <v>852</v>
      </c>
      <c r="C153" s="5" t="s">
        <v>853</v>
      </c>
      <c r="D153" s="5" t="s">
        <v>854</v>
      </c>
      <c r="E153" s="5" t="s">
        <v>224</v>
      </c>
      <c r="F153" s="68" t="s">
        <v>150</v>
      </c>
      <c r="G153" s="5" t="s">
        <v>93</v>
      </c>
      <c r="H153" s="5">
        <v>42787.7</v>
      </c>
      <c r="I153" s="71">
        <v>0.15</v>
      </c>
      <c r="J153" s="60">
        <v>43237</v>
      </c>
      <c r="K153" s="5" t="s">
        <v>71</v>
      </c>
      <c r="L153" s="5" t="s">
        <v>71</v>
      </c>
      <c r="M153" s="5">
        <v>0</v>
      </c>
      <c r="N153" s="72" t="s">
        <v>66</v>
      </c>
      <c r="O153" s="75">
        <v>43381</v>
      </c>
      <c r="P153" s="74" t="s">
        <v>78</v>
      </c>
      <c r="Q153" s="74" t="s">
        <v>88</v>
      </c>
      <c r="R153" s="79">
        <v>43745</v>
      </c>
    </row>
    <row r="154" spans="1:18" ht="22.5" customHeight="1">
      <c r="A154" s="5" t="s">
        <v>855</v>
      </c>
      <c r="B154" s="5" t="s">
        <v>856</v>
      </c>
      <c r="C154" s="5" t="s">
        <v>857</v>
      </c>
      <c r="D154" s="5" t="s">
        <v>858</v>
      </c>
      <c r="E154" s="5" t="s">
        <v>126</v>
      </c>
      <c r="F154" s="68" t="s">
        <v>76</v>
      </c>
      <c r="G154" s="5" t="s">
        <v>93</v>
      </c>
      <c r="H154" s="5">
        <v>27602</v>
      </c>
      <c r="I154" s="71">
        <v>0.15</v>
      </c>
      <c r="J154" s="60">
        <v>43237</v>
      </c>
      <c r="K154" s="5" t="s">
        <v>71</v>
      </c>
      <c r="L154" s="5" t="s">
        <v>71</v>
      </c>
      <c r="M154" s="5">
        <v>0</v>
      </c>
      <c r="N154" s="72" t="s">
        <v>66</v>
      </c>
      <c r="O154" s="75">
        <v>43282</v>
      </c>
      <c r="P154" s="74" t="s">
        <v>78</v>
      </c>
      <c r="Q154" s="74" t="s">
        <v>88</v>
      </c>
      <c r="R154" s="79">
        <v>43646</v>
      </c>
    </row>
    <row r="155" spans="1:18" ht="22.5" customHeight="1">
      <c r="A155" s="5" t="s">
        <v>859</v>
      </c>
      <c r="B155" s="5" t="s">
        <v>860</v>
      </c>
      <c r="C155" s="5" t="s">
        <v>861</v>
      </c>
      <c r="D155" s="5" t="s">
        <v>862</v>
      </c>
      <c r="E155" s="5" t="s">
        <v>126</v>
      </c>
      <c r="F155" s="68" t="s">
        <v>76</v>
      </c>
      <c r="G155" s="5" t="s">
        <v>93</v>
      </c>
      <c r="H155" s="5">
        <v>181606</v>
      </c>
      <c r="I155" s="71">
        <v>0.15</v>
      </c>
      <c r="J155" s="60">
        <v>43237</v>
      </c>
      <c r="K155" s="5" t="s">
        <v>71</v>
      </c>
      <c r="L155" s="5" t="s">
        <v>71</v>
      </c>
      <c r="M155" s="5">
        <v>0</v>
      </c>
      <c r="N155" s="72" t="s">
        <v>66</v>
      </c>
      <c r="O155" s="75">
        <v>43282</v>
      </c>
      <c r="P155" s="74" t="s">
        <v>78</v>
      </c>
      <c r="Q155" s="74" t="s">
        <v>88</v>
      </c>
      <c r="R155" s="79">
        <v>43646</v>
      </c>
    </row>
    <row r="156" spans="1:18" ht="22.5" customHeight="1">
      <c r="A156" s="5" t="s">
        <v>863</v>
      </c>
      <c r="B156" s="5">
        <v>0</v>
      </c>
      <c r="C156" s="5" t="s">
        <v>864</v>
      </c>
      <c r="D156" s="5" t="s">
        <v>865</v>
      </c>
      <c r="E156" s="5" t="s">
        <v>294</v>
      </c>
      <c r="F156" s="68" t="s">
        <v>76</v>
      </c>
      <c r="G156" s="5" t="s">
        <v>62</v>
      </c>
      <c r="H156" s="5">
        <v>329000</v>
      </c>
      <c r="I156" s="71">
        <v>0.15</v>
      </c>
      <c r="J156" s="60">
        <v>43238</v>
      </c>
      <c r="K156" s="5" t="s">
        <v>71</v>
      </c>
      <c r="L156" s="5" t="s">
        <v>71</v>
      </c>
      <c r="M156" s="5">
        <v>0</v>
      </c>
      <c r="N156" s="72" t="s">
        <v>66</v>
      </c>
      <c r="O156" s="75" t="s">
        <v>867</v>
      </c>
      <c r="P156" s="74">
        <v>0</v>
      </c>
      <c r="Q156" s="74" t="s">
        <v>88</v>
      </c>
      <c r="R156" s="79" t="s">
        <v>869</v>
      </c>
    </row>
    <row r="157" spans="1:18" ht="22.5" customHeight="1">
      <c r="A157" s="5" t="s">
        <v>740</v>
      </c>
      <c r="B157" s="5" t="s">
        <v>741</v>
      </c>
      <c r="C157" s="5" t="s">
        <v>742</v>
      </c>
      <c r="D157" s="5" t="s">
        <v>870</v>
      </c>
      <c r="E157" s="5" t="s">
        <v>249</v>
      </c>
      <c r="F157" s="68" t="s">
        <v>107</v>
      </c>
      <c r="G157" s="5" t="s">
        <v>871</v>
      </c>
      <c r="H157" s="5">
        <v>150228</v>
      </c>
      <c r="I157" s="71">
        <v>0.1</v>
      </c>
      <c r="J157" s="60">
        <v>43238</v>
      </c>
      <c r="K157" s="5">
        <v>0</v>
      </c>
      <c r="L157" s="5">
        <v>0</v>
      </c>
      <c r="M157" s="5">
        <v>0</v>
      </c>
      <c r="N157" s="72" t="s">
        <v>66</v>
      </c>
      <c r="O157" s="75"/>
      <c r="P157" s="74">
        <v>0</v>
      </c>
      <c r="Q157" s="74" t="s">
        <v>213</v>
      </c>
      <c r="R157" s="79">
        <v>43466</v>
      </c>
    </row>
    <row r="158" spans="1:18" ht="22.5" customHeight="1">
      <c r="A158" s="5" t="s">
        <v>872</v>
      </c>
      <c r="B158" s="5" t="s">
        <v>873</v>
      </c>
      <c r="C158" s="5" t="s">
        <v>874</v>
      </c>
      <c r="D158" s="5" t="s">
        <v>875</v>
      </c>
      <c r="E158" s="5" t="s">
        <v>249</v>
      </c>
      <c r="F158" s="68" t="s">
        <v>602</v>
      </c>
      <c r="G158" s="5" t="s">
        <v>108</v>
      </c>
      <c r="H158" s="5">
        <v>91590</v>
      </c>
      <c r="I158" s="71">
        <v>0.15</v>
      </c>
      <c r="J158" s="60">
        <v>2018</v>
      </c>
      <c r="K158" s="5" t="s">
        <v>2999</v>
      </c>
      <c r="L158" s="5" t="s">
        <v>71</v>
      </c>
      <c r="M158" s="5" t="s">
        <v>3044</v>
      </c>
      <c r="N158" s="72" t="s">
        <v>66</v>
      </c>
      <c r="O158" s="75">
        <v>43343</v>
      </c>
      <c r="P158" s="74" t="s">
        <v>78</v>
      </c>
      <c r="Q158" s="74" t="s">
        <v>88</v>
      </c>
      <c r="R158" s="79">
        <v>43707</v>
      </c>
    </row>
    <row r="159" spans="1:18" ht="22.5" customHeight="1">
      <c r="A159" s="5">
        <v>0</v>
      </c>
      <c r="B159" s="5">
        <v>0</v>
      </c>
      <c r="C159" s="5" t="s">
        <v>876</v>
      </c>
      <c r="D159" s="5" t="s">
        <v>877</v>
      </c>
      <c r="E159" s="5" t="s">
        <v>294</v>
      </c>
      <c r="F159" s="68" t="s">
        <v>76</v>
      </c>
      <c r="G159" s="5" t="s">
        <v>62</v>
      </c>
      <c r="H159" s="5">
        <v>3727599</v>
      </c>
      <c r="I159" s="71">
        <v>0.1</v>
      </c>
      <c r="J159" s="60">
        <v>2018</v>
      </c>
      <c r="K159" s="5" t="s">
        <v>71</v>
      </c>
      <c r="L159" s="5" t="s">
        <v>71</v>
      </c>
      <c r="M159" s="5">
        <v>0</v>
      </c>
      <c r="N159" s="72">
        <v>43435</v>
      </c>
      <c r="O159" s="75"/>
      <c r="P159" s="74">
        <v>0</v>
      </c>
      <c r="Q159" s="74" t="s">
        <v>878</v>
      </c>
      <c r="R159" s="79"/>
    </row>
    <row r="160" spans="1:18" ht="22.5" customHeight="1">
      <c r="A160" s="5" t="s">
        <v>879</v>
      </c>
      <c r="B160" s="5" t="s">
        <v>880</v>
      </c>
      <c r="C160" s="5" t="s">
        <v>881</v>
      </c>
      <c r="D160" s="5" t="s">
        <v>882</v>
      </c>
      <c r="E160" s="5" t="s">
        <v>883</v>
      </c>
      <c r="F160" s="68" t="s">
        <v>76</v>
      </c>
      <c r="G160" s="5" t="s">
        <v>145</v>
      </c>
      <c r="H160" s="5">
        <v>740287</v>
      </c>
      <c r="I160" s="71">
        <v>0.15</v>
      </c>
      <c r="J160" s="60">
        <v>43294</v>
      </c>
      <c r="K160" s="5" t="s">
        <v>71</v>
      </c>
      <c r="L160" s="5" t="s">
        <v>71</v>
      </c>
      <c r="M160" s="5">
        <v>0</v>
      </c>
      <c r="N160" s="72" t="s">
        <v>66</v>
      </c>
      <c r="O160" s="75"/>
      <c r="P160" s="74">
        <v>0</v>
      </c>
      <c r="Q160" s="74" t="s">
        <v>88</v>
      </c>
      <c r="R160" s="79"/>
    </row>
    <row r="161" spans="1:18" ht="22.5" customHeight="1">
      <c r="A161" s="5" t="s">
        <v>885</v>
      </c>
      <c r="B161" s="5" t="s">
        <v>886</v>
      </c>
      <c r="C161" s="5" t="s">
        <v>721</v>
      </c>
      <c r="D161" s="5" t="s">
        <v>887</v>
      </c>
      <c r="E161" s="5" t="s">
        <v>83</v>
      </c>
      <c r="F161" s="68" t="s">
        <v>107</v>
      </c>
      <c r="G161" s="5" t="s">
        <v>132</v>
      </c>
      <c r="H161" s="5">
        <v>1764800</v>
      </c>
      <c r="I161" s="71">
        <v>11</v>
      </c>
      <c r="J161" s="60">
        <v>43238</v>
      </c>
      <c r="K161" s="5">
        <v>0</v>
      </c>
      <c r="L161" s="5">
        <v>0</v>
      </c>
      <c r="M161" s="5">
        <v>0</v>
      </c>
      <c r="N161" s="72" t="s">
        <v>66</v>
      </c>
      <c r="O161" s="75"/>
      <c r="P161" s="74">
        <v>0</v>
      </c>
      <c r="Q161" s="74" t="s">
        <v>219</v>
      </c>
      <c r="R161" s="79">
        <v>43008</v>
      </c>
    </row>
    <row r="162" spans="1:18" ht="22.5" customHeight="1">
      <c r="A162" s="5" t="s">
        <v>889</v>
      </c>
      <c r="B162" s="5" t="s">
        <v>890</v>
      </c>
      <c r="C162" s="5" t="s">
        <v>891</v>
      </c>
      <c r="D162" s="5" t="s">
        <v>892</v>
      </c>
      <c r="E162" s="5" t="s">
        <v>261</v>
      </c>
      <c r="F162" s="68" t="s">
        <v>107</v>
      </c>
      <c r="G162" s="5" t="s">
        <v>455</v>
      </c>
      <c r="H162" s="5">
        <v>580000</v>
      </c>
      <c r="I162" s="71">
        <v>15</v>
      </c>
      <c r="J162" s="60">
        <v>43244</v>
      </c>
      <c r="K162" s="5">
        <v>0</v>
      </c>
      <c r="L162" s="5">
        <v>0</v>
      </c>
      <c r="M162" s="5">
        <v>0</v>
      </c>
      <c r="N162" s="72" t="s">
        <v>190</v>
      </c>
      <c r="O162" s="75"/>
      <c r="P162" s="74">
        <v>0</v>
      </c>
      <c r="Q162" s="74" t="s">
        <v>190</v>
      </c>
      <c r="R162" s="79">
        <v>43582</v>
      </c>
    </row>
    <row r="163" spans="1:18" ht="22.5" customHeight="1">
      <c r="A163" s="5" t="s">
        <v>893</v>
      </c>
      <c r="B163" s="5" t="s">
        <v>894</v>
      </c>
      <c r="C163" s="5" t="s">
        <v>895</v>
      </c>
      <c r="D163" s="5" t="s">
        <v>896</v>
      </c>
      <c r="E163" s="5" t="s">
        <v>113</v>
      </c>
      <c r="F163" s="68" t="s">
        <v>76</v>
      </c>
      <c r="G163" s="5" t="s">
        <v>114</v>
      </c>
      <c r="H163" s="5">
        <v>414948</v>
      </c>
      <c r="I163" s="71">
        <v>0.15</v>
      </c>
      <c r="J163" s="60">
        <v>43278</v>
      </c>
      <c r="K163" s="5" t="s">
        <v>71</v>
      </c>
      <c r="L163" s="5" t="s">
        <v>71</v>
      </c>
      <c r="M163" s="5">
        <v>0</v>
      </c>
      <c r="N163" s="72" t="s">
        <v>66</v>
      </c>
      <c r="O163" s="75">
        <v>43241</v>
      </c>
      <c r="P163" s="74" t="s">
        <v>78</v>
      </c>
      <c r="Q163" s="74" t="s">
        <v>88</v>
      </c>
      <c r="R163" s="79">
        <v>43605</v>
      </c>
    </row>
    <row r="164" spans="1:18" ht="22.5" customHeight="1">
      <c r="A164" s="5" t="s">
        <v>897</v>
      </c>
      <c r="B164" s="5" t="s">
        <v>898</v>
      </c>
      <c r="C164" s="5" t="s">
        <v>899</v>
      </c>
      <c r="D164" s="5" t="s">
        <v>900</v>
      </c>
      <c r="E164" s="5" t="s">
        <v>83</v>
      </c>
      <c r="F164" s="68" t="s">
        <v>76</v>
      </c>
      <c r="G164" s="5" t="s">
        <v>132</v>
      </c>
      <c r="H164" s="5">
        <v>1408036</v>
      </c>
      <c r="I164" s="71">
        <v>10</v>
      </c>
      <c r="J164" s="60">
        <v>2018.6</v>
      </c>
      <c r="K164" s="5" t="s">
        <v>2999</v>
      </c>
      <c r="L164" s="5" t="s">
        <v>71</v>
      </c>
      <c r="M164" s="5">
        <v>0</v>
      </c>
      <c r="N164" s="72"/>
      <c r="O164" s="87">
        <v>43435</v>
      </c>
      <c r="P164" s="74">
        <v>0</v>
      </c>
      <c r="Q164" s="74" t="s">
        <v>88</v>
      </c>
      <c r="R164" s="79"/>
    </row>
    <row r="165" spans="1:18" ht="22.5" customHeight="1">
      <c r="A165" s="5" t="s">
        <v>902</v>
      </c>
      <c r="B165" s="5" t="s">
        <v>903</v>
      </c>
      <c r="C165" s="5" t="s">
        <v>904</v>
      </c>
      <c r="D165" s="5" t="s">
        <v>905</v>
      </c>
      <c r="E165" s="5" t="s">
        <v>374</v>
      </c>
      <c r="F165" s="68" t="s">
        <v>286</v>
      </c>
      <c r="G165" s="5" t="s">
        <v>77</v>
      </c>
      <c r="H165" s="5">
        <v>1980000</v>
      </c>
      <c r="I165" s="71">
        <v>0</v>
      </c>
      <c r="J165" s="60">
        <v>43287</v>
      </c>
      <c r="K165" s="5" t="s">
        <v>71</v>
      </c>
      <c r="L165" s="5" t="s">
        <v>71</v>
      </c>
      <c r="M165" s="5">
        <v>0</v>
      </c>
      <c r="N165" s="72">
        <v>43435</v>
      </c>
      <c r="O165" s="75"/>
      <c r="P165" s="74">
        <v>0</v>
      </c>
      <c r="Q165" s="74" t="s">
        <v>213</v>
      </c>
      <c r="R165" s="93"/>
    </row>
    <row r="166" spans="1:18" ht="22.5" customHeight="1">
      <c r="A166" s="5" t="s">
        <v>907</v>
      </c>
      <c r="B166" s="5" t="s">
        <v>908</v>
      </c>
      <c r="C166" s="5" t="s">
        <v>909</v>
      </c>
      <c r="D166" s="5" t="s">
        <v>910</v>
      </c>
      <c r="E166" s="5" t="s">
        <v>126</v>
      </c>
      <c r="F166" s="68" t="s">
        <v>76</v>
      </c>
      <c r="G166" s="5" t="s">
        <v>114</v>
      </c>
      <c r="H166" s="5">
        <v>30370</v>
      </c>
      <c r="I166" s="71">
        <v>15</v>
      </c>
      <c r="J166" s="60">
        <v>43312</v>
      </c>
      <c r="K166" s="5" t="s">
        <v>71</v>
      </c>
      <c r="L166" s="5" t="s">
        <v>71</v>
      </c>
      <c r="M166" s="5">
        <v>0</v>
      </c>
      <c r="N166" s="72" t="s">
        <v>66</v>
      </c>
      <c r="O166" s="75"/>
      <c r="P166" s="74" t="s">
        <v>78</v>
      </c>
      <c r="Q166" s="74" t="s">
        <v>88</v>
      </c>
      <c r="R166" s="79">
        <v>43678</v>
      </c>
    </row>
    <row r="167" spans="1:18" ht="22.5" customHeight="1">
      <c r="A167" s="5" t="s">
        <v>911</v>
      </c>
      <c r="B167" s="5" t="s">
        <v>912</v>
      </c>
      <c r="C167" s="5" t="s">
        <v>913</v>
      </c>
      <c r="D167" s="5" t="s">
        <v>914</v>
      </c>
      <c r="E167" s="5" t="s">
        <v>126</v>
      </c>
      <c r="F167" s="68" t="s">
        <v>76</v>
      </c>
      <c r="G167" s="5" t="s">
        <v>114</v>
      </c>
      <c r="H167" s="5">
        <v>30555.5</v>
      </c>
      <c r="I167" s="71">
        <v>15</v>
      </c>
      <c r="J167" s="60">
        <v>43312</v>
      </c>
      <c r="K167" s="5" t="s">
        <v>71</v>
      </c>
      <c r="L167" s="5" t="s">
        <v>71</v>
      </c>
      <c r="M167" s="5">
        <v>0</v>
      </c>
      <c r="N167" s="72" t="s">
        <v>66</v>
      </c>
      <c r="O167" s="75"/>
      <c r="P167" s="74" t="s">
        <v>78</v>
      </c>
      <c r="Q167" s="74" t="s">
        <v>88</v>
      </c>
      <c r="R167" s="79">
        <v>43678</v>
      </c>
    </row>
    <row r="168" spans="1:18" ht="22.5" customHeight="1">
      <c r="A168" s="5" t="s">
        <v>915</v>
      </c>
      <c r="B168" s="5" t="s">
        <v>916</v>
      </c>
      <c r="C168" s="5" t="s">
        <v>917</v>
      </c>
      <c r="D168" s="5" t="s">
        <v>918</v>
      </c>
      <c r="E168" s="5" t="s">
        <v>126</v>
      </c>
      <c r="F168" s="68" t="s">
        <v>76</v>
      </c>
      <c r="G168" s="5" t="s">
        <v>114</v>
      </c>
      <c r="H168" s="5">
        <v>152000</v>
      </c>
      <c r="I168" s="71">
        <v>15</v>
      </c>
      <c r="J168" s="60">
        <v>43312</v>
      </c>
      <c r="K168" s="5" t="s">
        <v>71</v>
      </c>
      <c r="L168" s="5" t="s">
        <v>71</v>
      </c>
      <c r="M168" s="5">
        <v>0</v>
      </c>
      <c r="N168" s="72">
        <v>43435</v>
      </c>
      <c r="O168" s="75"/>
      <c r="P168" s="74">
        <v>0</v>
      </c>
      <c r="Q168" s="74" t="s">
        <v>213</v>
      </c>
      <c r="R168" s="79"/>
    </row>
    <row r="169" spans="1:18" ht="22.5" customHeight="1">
      <c r="A169" s="5" t="s">
        <v>919</v>
      </c>
      <c r="B169" s="5" t="s">
        <v>920</v>
      </c>
      <c r="C169" s="5" t="s">
        <v>921</v>
      </c>
      <c r="D169" s="5" t="s">
        <v>922</v>
      </c>
      <c r="E169" s="5" t="s">
        <v>126</v>
      </c>
      <c r="F169" s="68" t="s">
        <v>76</v>
      </c>
      <c r="G169" s="5" t="s">
        <v>93</v>
      </c>
      <c r="H169" s="5">
        <v>47000</v>
      </c>
      <c r="I169" s="71">
        <v>0.15</v>
      </c>
      <c r="J169" s="60">
        <v>43314</v>
      </c>
      <c r="K169" s="5" t="s">
        <v>71</v>
      </c>
      <c r="L169" s="5" t="s">
        <v>71</v>
      </c>
      <c r="M169" s="5">
        <v>0</v>
      </c>
      <c r="N169" s="72" t="s">
        <v>66</v>
      </c>
      <c r="O169" s="75">
        <v>43406</v>
      </c>
      <c r="P169" s="74" t="s">
        <v>78</v>
      </c>
      <c r="Q169" s="74" t="s">
        <v>88</v>
      </c>
      <c r="R169" s="79">
        <v>43770</v>
      </c>
    </row>
    <row r="170" spans="1:18" ht="22.5" customHeight="1">
      <c r="A170" s="5" t="s">
        <v>924</v>
      </c>
      <c r="B170" s="5" t="s">
        <v>925</v>
      </c>
      <c r="C170" s="5" t="s">
        <v>926</v>
      </c>
      <c r="D170" s="5" t="s">
        <v>927</v>
      </c>
      <c r="E170" s="5" t="s">
        <v>576</v>
      </c>
      <c r="F170" s="68" t="s">
        <v>76</v>
      </c>
      <c r="G170" s="5" t="s">
        <v>114</v>
      </c>
      <c r="H170" s="5">
        <v>118579</v>
      </c>
      <c r="I170" s="71">
        <v>0.1</v>
      </c>
      <c r="J170" s="60">
        <v>43314</v>
      </c>
      <c r="K170" s="5" t="s">
        <v>71</v>
      </c>
      <c r="L170" s="5" t="s">
        <v>71</v>
      </c>
      <c r="M170" s="5">
        <v>0</v>
      </c>
      <c r="N170" s="72">
        <v>0</v>
      </c>
      <c r="O170" s="75"/>
      <c r="P170" s="74">
        <v>0</v>
      </c>
      <c r="Q170" s="74" t="s">
        <v>213</v>
      </c>
      <c r="R170" s="79"/>
    </row>
    <row r="171" spans="1:18" ht="22.5" customHeight="1">
      <c r="A171" s="5">
        <v>0</v>
      </c>
      <c r="B171" s="5" t="s">
        <v>3045</v>
      </c>
      <c r="C171" s="5">
        <v>0</v>
      </c>
      <c r="D171" s="5" t="s">
        <v>930</v>
      </c>
      <c r="E171" s="447" t="s">
        <v>652</v>
      </c>
      <c r="F171" s="448"/>
      <c r="G171" s="448"/>
      <c r="H171" s="448"/>
      <c r="I171" s="448"/>
      <c r="J171" s="448"/>
      <c r="K171" s="448"/>
      <c r="L171" s="448"/>
      <c r="M171" s="449"/>
      <c r="N171" s="72" t="s">
        <v>66</v>
      </c>
      <c r="O171" s="85">
        <v>42979</v>
      </c>
      <c r="P171" s="74">
        <v>0</v>
      </c>
      <c r="Q171" s="74" t="s">
        <v>931</v>
      </c>
      <c r="R171" s="79">
        <v>44805</v>
      </c>
    </row>
    <row r="172" spans="1:18" ht="22.5" customHeight="1">
      <c r="A172" s="5">
        <v>0</v>
      </c>
      <c r="B172" s="5">
        <v>0</v>
      </c>
      <c r="C172" s="5">
        <v>0</v>
      </c>
      <c r="D172" s="5" t="s">
        <v>930</v>
      </c>
      <c r="E172" s="447" t="s">
        <v>652</v>
      </c>
      <c r="F172" s="448"/>
      <c r="G172" s="448"/>
      <c r="H172" s="448"/>
      <c r="I172" s="448"/>
      <c r="J172" s="448"/>
      <c r="K172" s="448"/>
      <c r="L172" s="448"/>
      <c r="M172" s="449"/>
      <c r="N172" s="72" t="s">
        <v>3046</v>
      </c>
      <c r="O172" s="85">
        <v>42712</v>
      </c>
      <c r="P172" s="74">
        <v>0</v>
      </c>
      <c r="Q172" s="74" t="s">
        <v>933</v>
      </c>
      <c r="R172" s="79" t="s">
        <v>933</v>
      </c>
    </row>
    <row r="173" spans="1:18" ht="22.5" customHeight="1">
      <c r="A173" s="5">
        <v>0</v>
      </c>
      <c r="B173" s="5">
        <v>0</v>
      </c>
      <c r="C173" s="5">
        <v>0</v>
      </c>
      <c r="D173" s="5" t="s">
        <v>936</v>
      </c>
      <c r="E173" s="447" t="s">
        <v>652</v>
      </c>
      <c r="F173" s="448"/>
      <c r="G173" s="448"/>
      <c r="H173" s="448"/>
      <c r="I173" s="448"/>
      <c r="J173" s="448"/>
      <c r="K173" s="448"/>
      <c r="L173" s="448"/>
      <c r="M173" s="449"/>
      <c r="N173" s="72" t="s">
        <v>66</v>
      </c>
      <c r="O173" s="85">
        <v>43263</v>
      </c>
      <c r="P173" s="74" t="s">
        <v>78</v>
      </c>
      <c r="Q173" s="74" t="s">
        <v>88</v>
      </c>
      <c r="R173" s="79">
        <v>43627</v>
      </c>
    </row>
    <row r="174" spans="1:18" ht="22.5" customHeight="1">
      <c r="A174" s="5">
        <v>0</v>
      </c>
      <c r="B174" s="5" t="s">
        <v>3047</v>
      </c>
      <c r="C174" s="5">
        <v>0</v>
      </c>
      <c r="D174" s="5" t="s">
        <v>939</v>
      </c>
      <c r="E174" s="447" t="s">
        <v>652</v>
      </c>
      <c r="F174" s="448"/>
      <c r="G174" s="448"/>
      <c r="H174" s="448"/>
      <c r="I174" s="448"/>
      <c r="J174" s="448"/>
      <c r="K174" s="448"/>
      <c r="L174" s="448"/>
      <c r="M174" s="449"/>
      <c r="N174" s="72" t="s">
        <v>66</v>
      </c>
      <c r="O174" s="85">
        <v>43320</v>
      </c>
      <c r="P174" s="74" t="s">
        <v>940</v>
      </c>
      <c r="Q174" s="74" t="s">
        <v>931</v>
      </c>
      <c r="R174" s="79" t="s">
        <v>941</v>
      </c>
    </row>
    <row r="175" spans="1:18" ht="22.5" customHeight="1">
      <c r="A175" s="5" t="s">
        <v>942</v>
      </c>
      <c r="B175" s="5" t="s">
        <v>943</v>
      </c>
      <c r="C175" s="5" t="s">
        <v>917</v>
      </c>
      <c r="D175" s="5" t="s">
        <v>944</v>
      </c>
      <c r="E175" s="5" t="s">
        <v>75</v>
      </c>
      <c r="F175" s="68" t="s">
        <v>76</v>
      </c>
      <c r="G175" s="5" t="s">
        <v>93</v>
      </c>
      <c r="H175" s="5">
        <v>25230</v>
      </c>
      <c r="I175" s="71">
        <v>0.15</v>
      </c>
      <c r="J175" s="60">
        <v>43336</v>
      </c>
      <c r="K175" s="5" t="s">
        <v>71</v>
      </c>
      <c r="L175" s="5" t="s">
        <v>71</v>
      </c>
      <c r="M175" s="5">
        <v>0</v>
      </c>
      <c r="N175" s="72">
        <v>43221</v>
      </c>
      <c r="O175" s="75"/>
      <c r="P175" s="74" t="s">
        <v>78</v>
      </c>
      <c r="Q175" s="74" t="s">
        <v>213</v>
      </c>
      <c r="R175" s="79"/>
    </row>
    <row r="176" spans="1:18" ht="22.5" customHeight="1">
      <c r="A176" s="5" t="s">
        <v>945</v>
      </c>
      <c r="B176" s="5">
        <v>0</v>
      </c>
      <c r="C176" s="5" t="s">
        <v>946</v>
      </c>
      <c r="D176" s="5" t="s">
        <v>947</v>
      </c>
      <c r="E176" s="5" t="s">
        <v>83</v>
      </c>
      <c r="F176" s="68" t="s">
        <v>602</v>
      </c>
      <c r="G176" s="5" t="s">
        <v>948</v>
      </c>
      <c r="H176" s="5">
        <v>629800</v>
      </c>
      <c r="I176" s="71">
        <v>0.1585</v>
      </c>
      <c r="J176" s="60">
        <v>43343</v>
      </c>
      <c r="K176" s="5" t="s">
        <v>71</v>
      </c>
      <c r="L176" s="5" t="s">
        <v>71</v>
      </c>
      <c r="M176" s="5">
        <v>0</v>
      </c>
      <c r="N176" s="72">
        <v>43435</v>
      </c>
      <c r="O176" s="75"/>
      <c r="P176" s="74">
        <v>0</v>
      </c>
      <c r="Q176" s="74" t="s">
        <v>213</v>
      </c>
      <c r="R176" s="79"/>
    </row>
    <row r="177" spans="1:18" ht="22.5" customHeight="1">
      <c r="A177" s="5" t="s">
        <v>949</v>
      </c>
      <c r="B177" s="5" t="s">
        <v>950</v>
      </c>
      <c r="C177" s="5" t="s">
        <v>951</v>
      </c>
      <c r="D177" s="5" t="s">
        <v>952</v>
      </c>
      <c r="E177" s="5" t="s">
        <v>126</v>
      </c>
      <c r="F177" s="68" t="s">
        <v>76</v>
      </c>
      <c r="G177" s="5" t="s">
        <v>85</v>
      </c>
      <c r="H177" s="5">
        <v>380440</v>
      </c>
      <c r="I177" s="71">
        <v>0.15</v>
      </c>
      <c r="J177" s="60">
        <v>43356</v>
      </c>
      <c r="K177" s="5" t="s">
        <v>71</v>
      </c>
      <c r="L177" s="5" t="s">
        <v>71</v>
      </c>
      <c r="M177" s="5">
        <v>10.119999999999999</v>
      </c>
      <c r="N177" s="72" t="s">
        <v>66</v>
      </c>
      <c r="O177" s="75">
        <v>43390</v>
      </c>
      <c r="P177" s="74" t="s">
        <v>78</v>
      </c>
      <c r="Q177" s="74" t="s">
        <v>88</v>
      </c>
      <c r="R177" s="79">
        <v>43389</v>
      </c>
    </row>
    <row r="178" spans="1:18" ht="22.5" customHeight="1">
      <c r="A178" s="5" t="s">
        <v>953</v>
      </c>
      <c r="B178" s="5" t="s">
        <v>954</v>
      </c>
      <c r="C178" s="5" t="s">
        <v>1130</v>
      </c>
      <c r="D178" s="5" t="s">
        <v>956</v>
      </c>
      <c r="E178" s="5" t="s">
        <v>106</v>
      </c>
      <c r="F178" s="68" t="s">
        <v>107</v>
      </c>
      <c r="G178" s="5" t="s">
        <v>957</v>
      </c>
      <c r="H178" s="5">
        <v>670805</v>
      </c>
      <c r="I178" s="71">
        <v>0.15</v>
      </c>
      <c r="J178" s="60">
        <v>43357</v>
      </c>
      <c r="K178" s="5" t="s">
        <v>71</v>
      </c>
      <c r="L178" s="5" t="s">
        <v>71</v>
      </c>
      <c r="M178" s="5" t="s">
        <v>3048</v>
      </c>
      <c r="N178" s="72" t="s">
        <v>190</v>
      </c>
      <c r="O178" s="75"/>
      <c r="P178" s="74">
        <v>0</v>
      </c>
      <c r="Q178" s="74" t="s">
        <v>190</v>
      </c>
      <c r="R178" s="79"/>
    </row>
    <row r="179" spans="1:18" ht="22.5" customHeight="1">
      <c r="A179" s="5" t="s">
        <v>958</v>
      </c>
      <c r="B179" s="5" t="s">
        <v>959</v>
      </c>
      <c r="C179" s="5" t="s">
        <v>960</v>
      </c>
      <c r="D179" s="5" t="s">
        <v>961</v>
      </c>
      <c r="E179" s="5" t="s">
        <v>224</v>
      </c>
      <c r="F179" s="68" t="s">
        <v>150</v>
      </c>
      <c r="G179" s="5" t="s">
        <v>93</v>
      </c>
      <c r="H179" s="5">
        <v>192352.94</v>
      </c>
      <c r="I179" s="71">
        <v>0.15</v>
      </c>
      <c r="J179" s="60">
        <v>43360</v>
      </c>
      <c r="K179" s="5" t="s">
        <v>71</v>
      </c>
      <c r="L179" s="5" t="s">
        <v>71</v>
      </c>
      <c r="M179" s="5">
        <v>0</v>
      </c>
      <c r="N179" s="72" t="s">
        <v>66</v>
      </c>
      <c r="O179" s="75">
        <v>43419</v>
      </c>
      <c r="P179" s="74" t="s">
        <v>78</v>
      </c>
      <c r="Q179" s="74" t="s">
        <v>88</v>
      </c>
      <c r="R179" s="79">
        <v>43783</v>
      </c>
    </row>
    <row r="180" spans="1:18" ht="22.5" customHeight="1">
      <c r="A180" s="5" t="s">
        <v>963</v>
      </c>
      <c r="B180" s="5" t="s">
        <v>964</v>
      </c>
      <c r="C180" s="5" t="s">
        <v>965</v>
      </c>
      <c r="D180" s="5" t="s">
        <v>966</v>
      </c>
      <c r="E180" s="5" t="s">
        <v>224</v>
      </c>
      <c r="F180" s="68" t="s">
        <v>150</v>
      </c>
      <c r="G180" s="5" t="s">
        <v>93</v>
      </c>
      <c r="H180" s="5">
        <v>176399</v>
      </c>
      <c r="I180" s="71">
        <v>0.15</v>
      </c>
      <c r="J180" s="60">
        <v>43360</v>
      </c>
      <c r="K180" s="5" t="s">
        <v>71</v>
      </c>
      <c r="L180" s="5" t="s">
        <v>71</v>
      </c>
      <c r="M180" s="5">
        <v>0</v>
      </c>
      <c r="N180" s="72" t="s">
        <v>962</v>
      </c>
      <c r="O180" s="75"/>
      <c r="P180" s="74" t="s">
        <v>78</v>
      </c>
      <c r="Q180" s="74" t="s">
        <v>213</v>
      </c>
      <c r="R180" s="79"/>
    </row>
    <row r="181" spans="1:18" ht="22.5" customHeight="1">
      <c r="A181" s="5" t="s">
        <v>967</v>
      </c>
      <c r="B181" s="5" t="s">
        <v>968</v>
      </c>
      <c r="C181" s="5" t="s">
        <v>969</v>
      </c>
      <c r="D181" s="5" t="s">
        <v>970</v>
      </c>
      <c r="E181" s="5" t="s">
        <v>126</v>
      </c>
      <c r="F181" s="68" t="s">
        <v>76</v>
      </c>
      <c r="G181" s="5" t="s">
        <v>93</v>
      </c>
      <c r="H181" s="5">
        <v>147323</v>
      </c>
      <c r="I181" s="71">
        <v>0.15</v>
      </c>
      <c r="J181" s="60">
        <v>43361</v>
      </c>
      <c r="K181" s="5" t="s">
        <v>71</v>
      </c>
      <c r="L181" s="5" t="s">
        <v>71</v>
      </c>
      <c r="M181" s="5">
        <v>0</v>
      </c>
      <c r="N181" s="72">
        <v>43466</v>
      </c>
      <c r="O181" s="75"/>
      <c r="P181" s="74" t="s">
        <v>78</v>
      </c>
      <c r="Q181" s="74" t="s">
        <v>213</v>
      </c>
      <c r="R181" s="79"/>
    </row>
    <row r="182" spans="1:18" ht="22.5" customHeight="1">
      <c r="A182" s="5" t="s">
        <v>971</v>
      </c>
      <c r="B182" s="5" t="s">
        <v>972</v>
      </c>
      <c r="C182" s="5" t="s">
        <v>973</v>
      </c>
      <c r="D182" s="5" t="s">
        <v>974</v>
      </c>
      <c r="E182" s="5" t="s">
        <v>126</v>
      </c>
      <c r="F182" s="68" t="s">
        <v>76</v>
      </c>
      <c r="G182" s="5" t="s">
        <v>975</v>
      </c>
      <c r="H182" s="5">
        <v>1645227.3</v>
      </c>
      <c r="I182" s="71">
        <v>0.15</v>
      </c>
      <c r="J182" s="60">
        <v>43362</v>
      </c>
      <c r="K182" s="5" t="s">
        <v>71</v>
      </c>
      <c r="L182" s="5" t="s">
        <v>71</v>
      </c>
      <c r="M182" s="5">
        <v>0</v>
      </c>
      <c r="N182" s="72" t="s">
        <v>66</v>
      </c>
      <c r="O182" s="75">
        <v>43390</v>
      </c>
      <c r="P182" s="74" t="s">
        <v>78</v>
      </c>
      <c r="Q182" s="74" t="s">
        <v>88</v>
      </c>
      <c r="R182" s="79"/>
    </row>
    <row r="183" spans="1:18" ht="22.5" customHeight="1">
      <c r="A183" s="5" t="s">
        <v>976</v>
      </c>
      <c r="B183" s="5" t="s">
        <v>977</v>
      </c>
      <c r="C183" s="31" t="s">
        <v>978</v>
      </c>
      <c r="D183" s="5" t="s">
        <v>979</v>
      </c>
      <c r="E183" s="5" t="s">
        <v>83</v>
      </c>
      <c r="F183" s="68" t="s">
        <v>76</v>
      </c>
      <c r="G183" s="5" t="s">
        <v>132</v>
      </c>
      <c r="H183" s="5">
        <v>6374847</v>
      </c>
      <c r="I183" s="71">
        <v>0.1</v>
      </c>
      <c r="J183" s="60">
        <v>43432</v>
      </c>
      <c r="K183" s="5"/>
      <c r="L183" s="5">
        <v>0</v>
      </c>
      <c r="M183" s="5">
        <v>0</v>
      </c>
      <c r="N183" s="72"/>
      <c r="O183" s="75"/>
      <c r="P183" s="74">
        <v>0</v>
      </c>
      <c r="Q183" s="74" t="s">
        <v>213</v>
      </c>
      <c r="R183" s="79"/>
    </row>
    <row r="184" spans="1:18" ht="22.5" customHeight="1">
      <c r="A184" s="5">
        <v>0</v>
      </c>
      <c r="B184" s="5" t="s">
        <v>984</v>
      </c>
      <c r="C184" s="5" t="s">
        <v>985</v>
      </c>
      <c r="D184" s="5" t="s">
        <v>986</v>
      </c>
      <c r="E184" s="5" t="s">
        <v>75</v>
      </c>
      <c r="F184" s="68" t="s">
        <v>175</v>
      </c>
      <c r="G184" s="5" t="s">
        <v>85</v>
      </c>
      <c r="H184" s="5">
        <v>1195258</v>
      </c>
      <c r="I184" s="71">
        <v>0.1</v>
      </c>
      <c r="J184" s="60">
        <v>43363</v>
      </c>
      <c r="K184" s="5" t="s">
        <v>71</v>
      </c>
      <c r="L184" s="5" t="s">
        <v>71</v>
      </c>
      <c r="M184" s="5">
        <v>10.15</v>
      </c>
      <c r="N184" s="72">
        <v>43497</v>
      </c>
      <c r="O184" s="75"/>
      <c r="P184" s="74">
        <v>0</v>
      </c>
      <c r="Q184" s="74" t="s">
        <v>213</v>
      </c>
      <c r="R184" s="79"/>
    </row>
    <row r="185" spans="1:18" ht="22.5" customHeight="1">
      <c r="A185" s="5" t="s">
        <v>945</v>
      </c>
      <c r="B185" s="5" t="s">
        <v>989</v>
      </c>
      <c r="C185" s="5" t="s">
        <v>990</v>
      </c>
      <c r="D185" s="5" t="s">
        <v>991</v>
      </c>
      <c r="E185" s="5" t="s">
        <v>265</v>
      </c>
      <c r="F185" s="68" t="s">
        <v>286</v>
      </c>
      <c r="G185" s="5" t="s">
        <v>108</v>
      </c>
      <c r="H185" s="5">
        <v>1016580</v>
      </c>
      <c r="I185" s="71">
        <v>0</v>
      </c>
      <c r="J185" s="60" t="s">
        <v>992</v>
      </c>
      <c r="K185" s="5" t="s">
        <v>71</v>
      </c>
      <c r="L185" s="5" t="s">
        <v>71</v>
      </c>
      <c r="M185" s="5" t="s">
        <v>3049</v>
      </c>
      <c r="N185" s="72">
        <v>43495</v>
      </c>
      <c r="O185" s="75"/>
      <c r="P185" s="74" t="s">
        <v>87</v>
      </c>
      <c r="Q185" s="74" t="s">
        <v>993</v>
      </c>
      <c r="R185" s="79"/>
    </row>
    <row r="186" spans="1:18" ht="22.5" customHeight="1">
      <c r="A186" s="5" t="s">
        <v>994</v>
      </c>
      <c r="B186" s="5" t="s">
        <v>3050</v>
      </c>
      <c r="C186" s="5" t="s">
        <v>996</v>
      </c>
      <c r="D186" s="5" t="s">
        <v>997</v>
      </c>
      <c r="E186" s="5" t="s">
        <v>998</v>
      </c>
      <c r="F186" s="68" t="s">
        <v>107</v>
      </c>
      <c r="G186" s="5" t="s">
        <v>132</v>
      </c>
      <c r="H186" s="5">
        <v>0</v>
      </c>
      <c r="I186" s="71">
        <v>0</v>
      </c>
      <c r="J186" s="60" t="s">
        <v>992</v>
      </c>
      <c r="K186" s="5" t="s">
        <v>71</v>
      </c>
      <c r="L186" s="5" t="s">
        <v>71</v>
      </c>
      <c r="M186" s="5">
        <v>43374</v>
      </c>
      <c r="N186" s="72" t="s">
        <v>999</v>
      </c>
      <c r="O186" s="75"/>
      <c r="P186" s="74">
        <v>0</v>
      </c>
      <c r="Q186" s="74" t="s">
        <v>213</v>
      </c>
      <c r="R186" s="79"/>
    </row>
    <row r="187" spans="1:18" ht="22.5" customHeight="1">
      <c r="A187" s="5" t="s">
        <v>1000</v>
      </c>
      <c r="B187" s="5" t="s">
        <v>1001</v>
      </c>
      <c r="C187" s="5" t="s">
        <v>1002</v>
      </c>
      <c r="D187" s="5" t="s">
        <v>1003</v>
      </c>
      <c r="E187" s="5" t="s">
        <v>92</v>
      </c>
      <c r="F187" s="68" t="s">
        <v>1004</v>
      </c>
      <c r="G187" s="5" t="s">
        <v>93</v>
      </c>
      <c r="H187" s="5">
        <v>4410000</v>
      </c>
      <c r="I187" s="71">
        <v>0.1686</v>
      </c>
      <c r="J187" s="60" t="s">
        <v>3051</v>
      </c>
      <c r="K187" s="5" t="s">
        <v>71</v>
      </c>
      <c r="L187" s="5" t="s">
        <v>1007</v>
      </c>
      <c r="M187" s="5">
        <v>0</v>
      </c>
      <c r="N187" s="72" t="s">
        <v>1006</v>
      </c>
      <c r="O187" s="75"/>
      <c r="P187" s="74" t="s">
        <v>78</v>
      </c>
      <c r="Q187" s="74" t="s">
        <v>213</v>
      </c>
      <c r="R187" s="79"/>
    </row>
    <row r="188" spans="1:18" ht="22.5" customHeight="1">
      <c r="A188" s="5">
        <v>0</v>
      </c>
      <c r="B188" s="5" t="s">
        <v>1008</v>
      </c>
      <c r="C188" s="5" t="s">
        <v>1009</v>
      </c>
      <c r="D188" s="5" t="s">
        <v>1010</v>
      </c>
      <c r="E188" s="5" t="s">
        <v>75</v>
      </c>
      <c r="F188" s="68" t="s">
        <v>175</v>
      </c>
      <c r="G188" s="5" t="s">
        <v>85</v>
      </c>
      <c r="H188" s="5">
        <v>152400</v>
      </c>
      <c r="I188" s="71">
        <v>0.15</v>
      </c>
      <c r="J188" s="60">
        <v>43384</v>
      </c>
      <c r="K188" s="5" t="s">
        <v>71</v>
      </c>
      <c r="L188" s="5" t="s">
        <v>1013</v>
      </c>
      <c r="M188" s="5">
        <v>0</v>
      </c>
      <c r="N188" s="72" t="s">
        <v>190</v>
      </c>
      <c r="O188" s="75"/>
      <c r="P188" s="77" t="s">
        <v>3052</v>
      </c>
      <c r="Q188" s="74" t="s">
        <v>190</v>
      </c>
      <c r="R188" s="79" t="s">
        <v>1012</v>
      </c>
    </row>
    <row r="189" spans="1:18" ht="22.5" customHeight="1">
      <c r="A189" s="5" t="s">
        <v>1014</v>
      </c>
      <c r="B189" s="5" t="s">
        <v>1015</v>
      </c>
      <c r="C189" s="5" t="s">
        <v>1016</v>
      </c>
      <c r="D189" s="5" t="s">
        <v>1017</v>
      </c>
      <c r="E189" s="5" t="s">
        <v>1018</v>
      </c>
      <c r="F189" s="68" t="s">
        <v>1019</v>
      </c>
      <c r="G189" s="5" t="s">
        <v>1021</v>
      </c>
      <c r="H189" s="5">
        <v>1698450</v>
      </c>
      <c r="I189" s="71">
        <v>9.8000000000000004E-2</v>
      </c>
      <c r="J189" s="60" t="s">
        <v>992</v>
      </c>
      <c r="K189" s="5" t="s">
        <v>71</v>
      </c>
      <c r="L189" s="5" t="s">
        <v>71</v>
      </c>
      <c r="M189" s="5">
        <v>0</v>
      </c>
      <c r="N189" s="72">
        <v>43800</v>
      </c>
      <c r="O189" s="75"/>
      <c r="P189" s="74" t="s">
        <v>78</v>
      </c>
      <c r="Q189" s="74" t="s">
        <v>213</v>
      </c>
      <c r="R189" s="79"/>
    </row>
    <row r="190" spans="1:18" ht="22.5" customHeight="1">
      <c r="A190" s="5" t="s">
        <v>1022</v>
      </c>
      <c r="B190" s="5" t="s">
        <v>1023</v>
      </c>
      <c r="C190" s="5" t="s">
        <v>1024</v>
      </c>
      <c r="D190" s="5" t="s">
        <v>1025</v>
      </c>
      <c r="E190" s="5" t="s">
        <v>126</v>
      </c>
      <c r="F190" s="68" t="s">
        <v>76</v>
      </c>
      <c r="G190" s="5" t="s">
        <v>145</v>
      </c>
      <c r="H190" s="5">
        <v>101103.38</v>
      </c>
      <c r="I190" s="71">
        <v>0.15</v>
      </c>
      <c r="J190" s="60">
        <v>43394</v>
      </c>
      <c r="K190" s="5">
        <v>0</v>
      </c>
      <c r="L190" s="5">
        <v>0</v>
      </c>
      <c r="M190" s="5">
        <v>0</v>
      </c>
      <c r="N190" s="72" t="s">
        <v>3053</v>
      </c>
      <c r="O190" s="75"/>
      <c r="P190" s="74">
        <v>0</v>
      </c>
      <c r="Q190" s="74">
        <v>0</v>
      </c>
      <c r="R190" s="79"/>
    </row>
    <row r="191" spans="1:18" s="63" customFormat="1" ht="22.5" customHeight="1">
      <c r="A191" s="86" t="s">
        <v>1026</v>
      </c>
      <c r="B191" s="86" t="str">
        <f>VLOOKUP(A191,自2017年7月及其他重点工程!A:AX,2,0)</f>
        <v>F20180244</v>
      </c>
      <c r="C191" s="86" t="str">
        <f>VLOOKUP(B191,自2017年7月及其他重点工程!B:AY,2,0)</f>
        <v>192181DLWD0117</v>
      </c>
      <c r="D191" s="86" t="str">
        <f>VLOOKUP(C191,自2017年7月及其他重点工程!C:AZ,2,0)</f>
        <v>中国共产党天津市东丽区委员会督查室督查系统开发服务项目</v>
      </c>
      <c r="E191" s="86" t="str">
        <f>VLOOKUP(D191,自2017年7月及其他重点工程!D:BA,2,0)</f>
        <v>东丽</v>
      </c>
      <c r="F191" s="86" t="str">
        <f>VLOOKUP(A191,自2017年7月及其他重点工程!A:AX,8,0)</f>
        <v>赵立民</v>
      </c>
      <c r="G191" s="86">
        <f>VLOOKUP(A191,自2017年7月及其他重点工程!A:AX,33,0)</f>
        <v>0</v>
      </c>
      <c r="H191" s="86">
        <f>VLOOKUP(A191,自2017年7月及其他重点工程!A:AX,12,0)</f>
        <v>183000</v>
      </c>
      <c r="I191" s="88">
        <f>VLOOKUP(A191,自2017年7月及其他重点工程!A:AX,23,0)</f>
        <v>0</v>
      </c>
      <c r="J191" s="89">
        <f>VLOOKUP(A191,自2017年7月及其他重点工程!A:AX,10,0)</f>
        <v>0</v>
      </c>
      <c r="K191" s="86" t="s">
        <v>71</v>
      </c>
      <c r="L191" s="86" t="s">
        <v>71</v>
      </c>
      <c r="M191" s="86">
        <f>VLOOKUP(A191,自2017年7月及其他重点工程!A:AX,46,0)</f>
        <v>43803</v>
      </c>
      <c r="N191" s="90"/>
      <c r="O191" s="91">
        <f>VLOOKUP(A191,自2017年7月及其他重点工程!A:AX,37,0)</f>
        <v>0</v>
      </c>
      <c r="P191" s="92"/>
      <c r="Q191" s="74"/>
      <c r="R191" s="77"/>
    </row>
    <row r="192" spans="1:18" ht="22.5" customHeight="1">
      <c r="A192" s="42" t="s">
        <v>1031</v>
      </c>
      <c r="B192" s="5" t="str">
        <f>VLOOKUP(A192,自2017年7月及其他重点工程!A:AX,2,0)</f>
        <v>F20180254</v>
      </c>
      <c r="C192" s="5" t="str">
        <f>VLOOKUP(B192,自2017年7月及其他重点工程!B:AY,2,0)</f>
        <v>192181JKWI0119</v>
      </c>
      <c r="D192" s="5" t="str">
        <f>VLOOKUP(C192,自2017年7月及其他重点工程!C:AZ,2,0)</f>
        <v>农商银行政务网迁移工程项目</v>
      </c>
      <c r="E192" s="5" t="str">
        <f>VLOOKUP(D192,自2017年7月及其他重点工程!D:BA,2,0)</f>
        <v>大客户</v>
      </c>
      <c r="F192" s="5" t="str">
        <f>VLOOKUP(A192,自2017年7月及其他重点工程!A:AX,8,0)</f>
        <v>刘宇辰</v>
      </c>
      <c r="G192" s="5">
        <f>VLOOKUP(A192,自2017年7月及其他重点工程!A:AX,33,0)</f>
        <v>0</v>
      </c>
      <c r="H192" s="5">
        <f>VLOOKUP(A192,自2017年7月及其他重点工程!A:AX,12,0)</f>
        <v>18353.68</v>
      </c>
      <c r="I192" s="71">
        <f>VLOOKUP(A192,自2017年7月及其他重点工程!A:AX,23,0)</f>
        <v>0</v>
      </c>
      <c r="J192" s="60">
        <f>VLOOKUP(A192,自2017年7月及其他重点工程!A:AX,10,0)</f>
        <v>0</v>
      </c>
      <c r="K192" s="5">
        <f>VLOOKUP(A192,自2017年7月及其他重点工程!A:AX,42,0)</f>
        <v>0</v>
      </c>
      <c r="L192" s="5">
        <f>VLOOKUP(A192,自2017年7月及其他重点工程!A:AX,45,0)</f>
        <v>0</v>
      </c>
      <c r="M192" s="5">
        <f>VLOOKUP(A192,自2017年7月及其他重点工程!A:AX,46,0)</f>
        <v>0</v>
      </c>
      <c r="N192" s="72"/>
      <c r="O192" s="75">
        <f>VLOOKUP(A192,自2017年7月及其他重点工程!A:AX,37,0)</f>
        <v>0</v>
      </c>
      <c r="P192" s="92"/>
      <c r="Q192" s="74"/>
      <c r="R192" s="77"/>
    </row>
    <row r="193" spans="1:18" ht="22.5" customHeight="1">
      <c r="A193" s="5" t="s">
        <v>1035</v>
      </c>
      <c r="B193" s="5" t="str">
        <f>VLOOKUP(A193,自2017年7月及其他重点工程!A:AX,2,0)</f>
        <v>F20180241</v>
      </c>
      <c r="C193" s="5" t="str">
        <f>VLOOKUP(B193,自2017年7月及其他重点工程!B:AY,2,0)</f>
        <v>19218000WM0113</v>
      </c>
      <c r="D193" s="5" t="str">
        <f>VLOOKUP(C193,自2017年7月及其他重点工程!C:AZ,2,0)</f>
        <v>天津市和平区司法局通讯网络维护项目</v>
      </c>
      <c r="E193" s="5" t="str">
        <f>VLOOKUP(D193,自2017年7月及其他重点工程!D:BA,2,0)</f>
        <v>和平</v>
      </c>
      <c r="F193" s="5" t="str">
        <f>VLOOKUP(A193,自2017年7月及其他重点工程!A:AX,8,0)</f>
        <v>刘贺</v>
      </c>
      <c r="G193" s="5">
        <f>VLOOKUP(A193,自2017年7月及其他重点工程!A:AX,33,0)</f>
        <v>0</v>
      </c>
      <c r="H193" s="5">
        <f>VLOOKUP(A193,自2017年7月及其他重点工程!A:AX,12,0)</f>
        <v>98000</v>
      </c>
      <c r="I193" s="71">
        <f>VLOOKUP(A193,自2017年7月及其他重点工程!A:AX,23,0)</f>
        <v>0</v>
      </c>
      <c r="J193" s="60" t="str">
        <f>VLOOKUP(A193,自2017年7月及其他重点工程!A:AX,10,0)</f>
        <v>截至2018.11.26仍在系统交涉中</v>
      </c>
      <c r="K193" s="5">
        <f>VLOOKUP(A193,自2017年7月及其他重点工程!A:AX,42,0)</f>
        <v>0</v>
      </c>
      <c r="L193" s="5" t="str">
        <f>VLOOKUP(A193,自2017年7月及其他重点工程!A:AX,45,0)</f>
        <v xml:space="preserve">2018年7月至2019年6月
</v>
      </c>
      <c r="M193" s="5">
        <f>VLOOKUP(A193,自2017年7月及其他重点工程!A:AX,46,0)</f>
        <v>0</v>
      </c>
      <c r="N193" s="72"/>
      <c r="O193" s="75">
        <f>VLOOKUP(A193,自2017年7月及其他重点工程!A:AX,37,0)</f>
        <v>0</v>
      </c>
      <c r="P193" s="92"/>
      <c r="Q193" s="74"/>
      <c r="R193" s="77"/>
    </row>
    <row r="194" spans="1:18" ht="22.5" customHeight="1">
      <c r="A194" s="5" t="s">
        <v>1041</v>
      </c>
      <c r="B194" s="5" t="str">
        <f>VLOOKUP(A194,自2017年7月及其他重点工程!A:AX,2,0)</f>
        <v>F20180263</v>
      </c>
      <c r="C194" s="5" t="str">
        <f>VLOOKUP(B194,自2017年7月及其他重点工程!B:AY,2,0)</f>
        <v>19218110WI0124</v>
      </c>
      <c r="D194" s="5" t="str">
        <f>VLOOKUP(C194,自2017年7月及其他重点工程!C:AZ,2,0)</f>
        <v>天津市河西区人民政府陈塘庄街道办事处社区公共安全系统设备购置项目</v>
      </c>
      <c r="E194" s="5" t="str">
        <f>VLOOKUP(D194,自2017年7月及其他重点工程!D:BA,2,0)</f>
        <v xml:space="preserve">河西 </v>
      </c>
      <c r="F194" s="5" t="str">
        <f>VLOOKUP(A194,自2017年7月及其他重点工程!A:AX,8,0)</f>
        <v>郑欣杰</v>
      </c>
      <c r="G194" s="5">
        <f>VLOOKUP(A194,自2017年7月及其他重点工程!A:AX,33,0)</f>
        <v>0</v>
      </c>
      <c r="H194" s="5">
        <f>VLOOKUP(A194,自2017年7月及其他重点工程!A:AX,12,0)</f>
        <v>1322410</v>
      </c>
      <c r="I194" s="71">
        <f>VLOOKUP(A194,自2017年7月及其他重点工程!A:AX,23,0)</f>
        <v>0</v>
      </c>
      <c r="J194" s="60" t="str">
        <f>VLOOKUP(A194,自2017年7月及其他重点工程!A:AX,10,0)</f>
        <v>2018.11.28</v>
      </c>
      <c r="K194" s="5">
        <f>VLOOKUP(A194,自2017年7月及其他重点工程!A:AX,42,0)</f>
        <v>0</v>
      </c>
      <c r="L194" s="5">
        <f>VLOOKUP(A194,自2017年7月及其他重点工程!A:AX,45,0)</f>
        <v>0</v>
      </c>
      <c r="M194" s="5" t="str">
        <f>VLOOKUP(A194,自2017年7月及其他重点工程!A:AX,46,0)</f>
        <v>一年</v>
      </c>
      <c r="N194" s="72" t="s">
        <v>66</v>
      </c>
      <c r="O194" s="75">
        <f>VLOOKUP(A194,自2017年7月及其他重点工程!A:AX,37,0)</f>
        <v>0</v>
      </c>
      <c r="P194" s="92"/>
      <c r="Q194" s="74"/>
      <c r="R194" s="77"/>
    </row>
    <row r="195" spans="1:18" ht="22.5" customHeight="1">
      <c r="A195" s="5" t="s">
        <v>1049</v>
      </c>
      <c r="B195" s="5" t="str">
        <f>VLOOKUP(A195,自2017年7月及其他重点工程!A:AX,2,0)</f>
        <v>F20180264</v>
      </c>
      <c r="C195" s="5" t="str">
        <f>VLOOKUP(B195,自2017年7月及其他重点工程!B:AY,2,0)</f>
        <v>19218110WI0123</v>
      </c>
      <c r="D195" s="5" t="str">
        <f>VLOOKUP(C195,自2017年7月及其他重点工程!C:AZ,2,0)</f>
        <v>天津市河西区人民政府陈塘庄街道办事处综合治理大厅多媒体系统购置项目</v>
      </c>
      <c r="E195" s="5" t="str">
        <f>VLOOKUP(D195,自2017年7月及其他重点工程!D:BA,2,0)</f>
        <v xml:space="preserve">河西 </v>
      </c>
      <c r="F195" s="5" t="str">
        <f>VLOOKUP(A195,自2017年7月及其他重点工程!A:AX,8,0)</f>
        <v>郑欣杰</v>
      </c>
      <c r="G195" s="5">
        <f>VLOOKUP(A195,自2017年7月及其他重点工程!A:AX,33,0)</f>
        <v>0</v>
      </c>
      <c r="H195" s="5">
        <f>VLOOKUP(A195,自2017年7月及其他重点工程!A:AX,12,0)</f>
        <v>568282</v>
      </c>
      <c r="I195" s="71">
        <f>VLOOKUP(A195,自2017年7月及其他重点工程!A:AX,23,0)</f>
        <v>0</v>
      </c>
      <c r="J195" s="60" t="str">
        <f>VLOOKUP(A195,自2017年7月及其他重点工程!A:AX,10,0)</f>
        <v>2018.11.28</v>
      </c>
      <c r="K195" s="5">
        <f>VLOOKUP(A195,自2017年7月及其他重点工程!A:AX,42,0)</f>
        <v>0</v>
      </c>
      <c r="L195" s="5">
        <f>VLOOKUP(A195,自2017年7月及其他重点工程!A:AX,45,0)</f>
        <v>0</v>
      </c>
      <c r="M195" s="5" t="str">
        <f>VLOOKUP(A195,自2017年7月及其他重点工程!A:AX,46,0)</f>
        <v>一年</v>
      </c>
      <c r="N195" s="72" t="s">
        <v>66</v>
      </c>
      <c r="O195" s="75">
        <f>VLOOKUP(A195,自2017年7月及其他重点工程!A:AX,37,0)</f>
        <v>0</v>
      </c>
      <c r="P195" s="92"/>
      <c r="Q195" s="74"/>
      <c r="R195" s="77"/>
    </row>
    <row r="196" spans="1:18" ht="22.5" customHeight="1">
      <c r="A196" s="5" t="s">
        <v>1053</v>
      </c>
      <c r="B196" s="5" t="str">
        <f>VLOOKUP(A196,自2017年7月及其他重点工程!A:AX,2,0)</f>
        <v>F20180260</v>
      </c>
      <c r="C196" s="5" t="str">
        <f>VLOOKUP(B196,自2017年7月及其他重点工程!B:AY,2,0)</f>
        <v>19218110WT0127</v>
      </c>
      <c r="D196" s="5" t="str">
        <f>VLOOKUP(C196,自2017年7月及其他重点工程!C:AZ,2,0)</f>
        <v>天津市河西区网信办服务外包维护合同</v>
      </c>
      <c r="E196" s="5" t="str">
        <f>VLOOKUP(D196,自2017年7月及其他重点工程!D:BA,2,0)</f>
        <v xml:space="preserve">河西 </v>
      </c>
      <c r="F196" s="5" t="str">
        <f>VLOOKUP(A196,自2017年7月及其他重点工程!A:AX,8,0)</f>
        <v>刘宇辰</v>
      </c>
      <c r="G196" s="5">
        <f>VLOOKUP(A196,自2017年7月及其他重点工程!A:AX,33,0)</f>
        <v>0</v>
      </c>
      <c r="H196" s="5">
        <f>VLOOKUP(A196,自2017年7月及其他重点工程!A:AX,12,0)</f>
        <v>189000</v>
      </c>
      <c r="I196" s="71">
        <f>VLOOKUP(A196,自2017年7月及其他重点工程!A:AX,23,0)</f>
        <v>0</v>
      </c>
      <c r="J196" s="60" t="str">
        <f>VLOOKUP(A196,自2017年7月及其他重点工程!A:AX,10,0)</f>
        <v>截至2018.11.26仍在系统交涉中</v>
      </c>
      <c r="K196" s="5">
        <f>VLOOKUP(A196,自2017年7月及其他重点工程!A:AX,42,0)</f>
        <v>0</v>
      </c>
      <c r="L196" s="5">
        <f>VLOOKUP(A196,自2017年7月及其他重点工程!A:AX,45,0)</f>
        <v>0</v>
      </c>
      <c r="M196" s="5">
        <f>VLOOKUP(A196,自2017年7月及其他重点工程!A:AX,46,0)</f>
        <v>0</v>
      </c>
      <c r="N196" s="72"/>
      <c r="O196" s="75">
        <f>VLOOKUP(A196,自2017年7月及其他重点工程!A:AX,37,0)</f>
        <v>0</v>
      </c>
      <c r="P196" s="92"/>
      <c r="Q196" s="74"/>
      <c r="R196" s="77"/>
    </row>
    <row r="197" spans="1:18" ht="22.5" customHeight="1">
      <c r="A197" s="5" t="s">
        <v>1057</v>
      </c>
      <c r="B197" s="5" t="str">
        <f>VLOOKUP(A197,自2017年7月及其他重点工程!A:AX,2,0)</f>
        <v>F20180256</v>
      </c>
      <c r="C197" s="5" t="str">
        <f>VLOOKUP(B197,自2017年7月及其他重点工程!B:AY,2,0)</f>
        <v>1921181HXWI0106</v>
      </c>
      <c r="D197" s="5" t="str">
        <f>VLOOKUP(C197,自2017年7月及其他重点工程!C:AZ,2,0)</f>
        <v>川江里小区高清数字监控系统工程</v>
      </c>
      <c r="E197" s="5" t="str">
        <f>VLOOKUP(D197,自2017年7月及其他重点工程!D:BA,2,0)</f>
        <v xml:space="preserve">河西 </v>
      </c>
      <c r="F197" s="5" t="str">
        <f>VLOOKUP(A197,自2017年7月及其他重点工程!A:AX,8,0)</f>
        <v>韩磊</v>
      </c>
      <c r="G197" s="5">
        <f>VLOOKUP(A197,自2017年7月及其他重点工程!A:AX,33,0)</f>
        <v>0</v>
      </c>
      <c r="H197" s="5">
        <f>VLOOKUP(A197,自2017年7月及其他重点工程!A:AX,12,0)</f>
        <v>166696.29999999999</v>
      </c>
      <c r="I197" s="71">
        <f>VLOOKUP(A197,自2017年7月及其他重点工程!A:AX,23,0)</f>
        <v>0</v>
      </c>
      <c r="J197" s="60" t="str">
        <f>VLOOKUP(A197,自2017年7月及其他重点工程!A:AX,10,0)</f>
        <v>截至2018.11.26仍在系统交涉中</v>
      </c>
      <c r="K197" s="5">
        <f>VLOOKUP(A197,自2017年7月及其他重点工程!A:AX,42,0)</f>
        <v>0</v>
      </c>
      <c r="L197" s="5">
        <f>VLOOKUP(A197,自2017年7月及其他重点工程!A:AX,45,0)</f>
        <v>0</v>
      </c>
      <c r="M197" s="5">
        <f>VLOOKUP(A197,自2017年7月及其他重点工程!A:AX,46,0)</f>
        <v>0</v>
      </c>
      <c r="N197" s="72"/>
      <c r="O197" s="75">
        <f>VLOOKUP(A197,自2017年7月及其他重点工程!A:AX,37,0)</f>
        <v>0</v>
      </c>
      <c r="P197" s="92"/>
      <c r="Q197" s="74"/>
      <c r="R197" s="77"/>
    </row>
    <row r="198" spans="1:18" ht="22.5" customHeight="1">
      <c r="A198" s="5" t="s">
        <v>1061</v>
      </c>
      <c r="B198" s="5" t="str">
        <f>VLOOKUP(A198,自2017年7月及其他重点工程!A:AX,2,0)</f>
        <v>F20180255</v>
      </c>
      <c r="C198" s="5" t="str">
        <f>VLOOKUP(B198,自2017年7月及其他重点工程!B:AY,2,0)</f>
        <v>192181JKWI0100</v>
      </c>
      <c r="D198" s="5" t="str">
        <f>VLOOKUP(C198,自2017年7月及其他重点工程!C:AZ,2,0)</f>
        <v>2018景区监控及客流量监测平台服务项目</v>
      </c>
      <c r="E198" s="5" t="str">
        <f>VLOOKUP(D198,自2017年7月及其他重点工程!D:BA,2,0)</f>
        <v>大客户</v>
      </c>
      <c r="F198" s="5" t="str">
        <f>VLOOKUP(A198,自2017年7月及其他重点工程!A:AX,8,0)</f>
        <v>刘宇辰</v>
      </c>
      <c r="G198" s="5">
        <f>VLOOKUP(A198,自2017年7月及其他重点工程!A:AX,33,0)</f>
        <v>0</v>
      </c>
      <c r="H198" s="5">
        <f>VLOOKUP(A198,自2017年7月及其他重点工程!A:AX,12,0)</f>
        <v>2611304</v>
      </c>
      <c r="I198" s="71">
        <f>VLOOKUP(A198,自2017年7月及其他重点工程!A:AX,23,0)</f>
        <v>0</v>
      </c>
      <c r="J198" s="60" t="str">
        <f>VLOOKUP(A198,自2017年7月及其他重点工程!A:AX,10,0)</f>
        <v>截至2018.11.26仍在系统交涉中</v>
      </c>
      <c r="K198" s="5">
        <f>VLOOKUP(A198,自2017年7月及其他重点工程!A:AX,42,0)</f>
        <v>0</v>
      </c>
      <c r="L198" s="5">
        <f>VLOOKUP(A198,自2017年7月及其他重点工程!A:AX,45,0)</f>
        <v>0</v>
      </c>
      <c r="M198" s="5">
        <f>VLOOKUP(A198,自2017年7月及其他重点工程!A:AX,46,0)</f>
        <v>0</v>
      </c>
      <c r="N198" s="72"/>
      <c r="O198" s="75">
        <f>VLOOKUP(A198,自2017年7月及其他重点工程!A:AX,37,0)</f>
        <v>0</v>
      </c>
      <c r="P198" s="92"/>
      <c r="Q198" s="74"/>
      <c r="R198" s="77"/>
    </row>
    <row r="199" spans="1:18" ht="22.5" customHeight="1">
      <c r="A199" s="5" t="s">
        <v>1065</v>
      </c>
      <c r="B199" s="5" t="str">
        <f>VLOOKUP(A199,自2017年7月及其他重点工程!A:AX,2,0)</f>
        <v>F20180255</v>
      </c>
      <c r="C199" s="5" t="str">
        <f>VLOOKUP(B199,自2017年7月及其他重点工程!B:AY,2,0)</f>
        <v>192181JKWI0100</v>
      </c>
      <c r="D199" s="5" t="str">
        <f>VLOOKUP(C199,自2017年7月及其他重点工程!C:AZ,2,0)</f>
        <v>2018景区监控及客流量监测平台服务项目</v>
      </c>
      <c r="E199" s="5" t="str">
        <f>VLOOKUP(D199,自2017年7月及其他重点工程!D:BA,2,0)</f>
        <v>大客户</v>
      </c>
      <c r="F199" s="5" t="str">
        <f>VLOOKUP(A199,自2017年7月及其他重点工程!A:AX,8,0)</f>
        <v>刘宇辰</v>
      </c>
      <c r="G199" s="5">
        <f>VLOOKUP(A199,自2017年7月及其他重点工程!A:AX,33,0)</f>
        <v>0</v>
      </c>
      <c r="H199" s="5">
        <f>VLOOKUP(A199,自2017年7月及其他重点工程!A:AX,12,0)</f>
        <v>2611304</v>
      </c>
      <c r="I199" s="71">
        <f>VLOOKUP(A199,自2017年7月及其他重点工程!A:AX,23,0)</f>
        <v>0</v>
      </c>
      <c r="J199" s="60" t="str">
        <f>VLOOKUP(A199,自2017年7月及其他重点工程!A:AX,10,0)</f>
        <v>截至2018.11.26仍在系统交涉中</v>
      </c>
      <c r="K199" s="5">
        <f>VLOOKUP(A199,自2017年7月及其他重点工程!A:AX,42,0)</f>
        <v>0</v>
      </c>
      <c r="L199" s="5">
        <f>VLOOKUP(A199,自2017年7月及其他重点工程!A:AX,45,0)</f>
        <v>0</v>
      </c>
      <c r="M199" s="5">
        <f>VLOOKUP(A199,自2017年7月及其他重点工程!A:AX,46,0)</f>
        <v>0</v>
      </c>
      <c r="N199" s="72"/>
      <c r="O199" s="75">
        <f>VLOOKUP(A199,自2017年7月及其他重点工程!A:AX,37,0)</f>
        <v>0</v>
      </c>
      <c r="P199" s="92"/>
      <c r="Q199" s="74"/>
      <c r="R199" s="77"/>
    </row>
    <row r="200" spans="1:18" ht="22.5" customHeight="1">
      <c r="A200" s="5" t="s">
        <v>1067</v>
      </c>
      <c r="B200" s="5" t="str">
        <f>VLOOKUP(A200,自2017年7月及其他重点工程!A:AX,2,0)</f>
        <v>F20180251</v>
      </c>
      <c r="C200" s="5" t="str">
        <f>VLOOKUP(B200,自2017年7月及其他重点工程!B:AY,2,0)</f>
        <v>192181XQWI0114</v>
      </c>
      <c r="D200" s="5" t="str">
        <f>VLOOKUP(C200,自2017年7月及其他重点工程!C:AZ,2,0)</f>
        <v>天津市西青区教育局视频监控系统购置安装项目</v>
      </c>
      <c r="E200" s="5" t="str">
        <f>VLOOKUP(D200,自2017年7月及其他重点工程!D:BA,2,0)</f>
        <v>西青</v>
      </c>
      <c r="F200" s="5" t="str">
        <f>VLOOKUP(A200,自2017年7月及其他重点工程!A:AX,8,0)</f>
        <v>刘贺</v>
      </c>
      <c r="G200" s="5">
        <f>VLOOKUP(A200,自2017年7月及其他重点工程!A:AX,33,0)</f>
        <v>0</v>
      </c>
      <c r="H200" s="5">
        <f>VLOOKUP(A200,自2017年7月及其他重点工程!A:AX,12,0)</f>
        <v>10289800</v>
      </c>
      <c r="I200" s="71">
        <f>VLOOKUP(A200,自2017年7月及其他重点工程!A:AX,23,0)</f>
        <v>0</v>
      </c>
      <c r="J200" s="60" t="str">
        <f>VLOOKUP(A200,自2017年7月及其他重点工程!A:AX,10,0)</f>
        <v>截至2018.11.26仍在系统交涉中</v>
      </c>
      <c r="K200" s="5">
        <f>VLOOKUP(A200,自2017年7月及其他重点工程!A:AX,42,0)</f>
        <v>0</v>
      </c>
      <c r="L200" s="5">
        <f>VLOOKUP(A200,自2017年7月及其他重点工程!A:AX,45,0)</f>
        <v>0</v>
      </c>
      <c r="M200" s="5">
        <f>VLOOKUP(A200,自2017年7月及其他重点工程!A:AX,46,0)</f>
        <v>0</v>
      </c>
      <c r="N200" s="72"/>
      <c r="O200" s="75">
        <f>VLOOKUP(A200,自2017年7月及其他重点工程!A:AX,37,0)</f>
        <v>0</v>
      </c>
      <c r="P200" s="92"/>
      <c r="Q200" s="74"/>
      <c r="R200" s="77"/>
    </row>
    <row r="201" spans="1:18" ht="22.5" customHeight="1">
      <c r="A201" s="5" t="s">
        <v>1071</v>
      </c>
      <c r="B201" s="5" t="str">
        <f>VLOOKUP(A201,自2017年7月及其他重点工程!A:AX,2,0)</f>
        <v>F20180257</v>
      </c>
      <c r="C201" s="5" t="str">
        <f>VLOOKUP(B201,自2017年7月及其他重点工程!B:AY,2,0)</f>
        <v>192181HXWI0125</v>
      </c>
      <c r="D201" s="5" t="str">
        <f>VLOOKUP(C201,自2017年7月及其他重点工程!C:AZ,2,0)</f>
        <v>粤江里社区居委会弱电改造工程</v>
      </c>
      <c r="E201" s="5" t="str">
        <f>VLOOKUP(D201,自2017年7月及其他重点工程!D:BA,2,0)</f>
        <v xml:space="preserve">河西 </v>
      </c>
      <c r="F201" s="5" t="str">
        <f>VLOOKUP(A201,自2017年7月及其他重点工程!A:AX,8,0)</f>
        <v>韩磊</v>
      </c>
      <c r="G201" s="5">
        <f>VLOOKUP(A201,自2017年7月及其他重点工程!A:AX,33,0)</f>
        <v>0</v>
      </c>
      <c r="H201" s="5">
        <f>VLOOKUP(A201,自2017年7月及其他重点工程!A:AX,12,0)</f>
        <v>30406.07</v>
      </c>
      <c r="I201" s="71">
        <f>VLOOKUP(A201,自2017年7月及其他重点工程!A:AX,23,0)</f>
        <v>0</v>
      </c>
      <c r="J201" s="60">
        <f>VLOOKUP(A201,自2017年7月及其他重点工程!A:AX,10,0)</f>
        <v>0</v>
      </c>
      <c r="K201" s="5">
        <f>VLOOKUP(A201,自2017年7月及其他重点工程!A:AX,42,0)</f>
        <v>0</v>
      </c>
      <c r="L201" s="5">
        <f>VLOOKUP(A201,自2017年7月及其他重点工程!A:AX,45,0)</f>
        <v>0</v>
      </c>
      <c r="M201" s="5">
        <f>VLOOKUP(A201,自2017年7月及其他重点工程!A:AX,46,0)</f>
        <v>43797</v>
      </c>
      <c r="N201" s="72"/>
      <c r="O201" s="75">
        <f>VLOOKUP(A201,自2017年7月及其他重点工程!A:AX,37,0)</f>
        <v>0</v>
      </c>
      <c r="P201" s="92"/>
      <c r="Q201" s="74"/>
      <c r="R201" s="77"/>
    </row>
    <row r="202" spans="1:18" ht="22.5" customHeight="1">
      <c r="A202" s="5" t="s">
        <v>1075</v>
      </c>
      <c r="B202" s="5" t="str">
        <f>VLOOKUP(A202,自2017年7月及其他重点工程!A:AX,2,0)</f>
        <v>F20180273</v>
      </c>
      <c r="C202" s="5" t="str">
        <f>VLOOKUP(B202,自2017年7月及其他重点工程!B:AY,2,0)</f>
        <v>19218100WI0126</v>
      </c>
      <c r="D202" s="5" t="str">
        <f>VLOOKUP(C202,自2017年7月及其他重点工程!C:AZ,2,0)</f>
        <v>2018年交通基础设施和科技管理设施项目取电施工项目</v>
      </c>
      <c r="E202" s="5" t="str">
        <f>VLOOKUP(D202,自2017年7月及其他重点工程!D:BA,2,0)</f>
        <v>自营</v>
      </c>
      <c r="F202" s="5" t="str">
        <f>VLOOKUP(A202,自2017年7月及其他重点工程!A:AX,8,0)</f>
        <v>刘贺</v>
      </c>
      <c r="G202" s="5">
        <f>VLOOKUP(A202,自2017年7月及其他重点工程!A:AX,33,0)</f>
        <v>0</v>
      </c>
      <c r="H202" s="5">
        <f>VLOOKUP(A202,自2017年7月及其他重点工程!A:AX,12,0)</f>
        <v>800000</v>
      </c>
      <c r="I202" s="71">
        <f>VLOOKUP(A202,自2017年7月及其他重点工程!A:AX,23,0)</f>
        <v>0</v>
      </c>
      <c r="J202" s="60">
        <f>VLOOKUP(A202,自2017年7月及其他重点工程!A:AX,10,0)</f>
        <v>0</v>
      </c>
      <c r="K202" s="5">
        <f>VLOOKUP(A202,自2017年7月及其他重点工程!A:AX,42,0)</f>
        <v>0</v>
      </c>
      <c r="L202" s="5">
        <f>VLOOKUP(A202,自2017年7月及其他重点工程!A:AX,45,0)</f>
        <v>0</v>
      </c>
      <c r="M202" s="5">
        <f>VLOOKUP(A202,自2017年7月及其他重点工程!A:AX,46,0)</f>
        <v>0</v>
      </c>
      <c r="N202" s="72"/>
      <c r="O202" s="75">
        <f>VLOOKUP(A202,自2017年7月及其他重点工程!A:AX,37,0)</f>
        <v>0</v>
      </c>
      <c r="P202" s="92"/>
      <c r="Q202" s="74"/>
      <c r="R202" s="77"/>
    </row>
    <row r="203" spans="1:18" ht="22.5" customHeight="1">
      <c r="A203" s="5" t="s">
        <v>1079</v>
      </c>
      <c r="B203" s="5" t="str">
        <f>VLOOKUP(A203,自2017年7月及其他重点工程!A:AX,2,0)</f>
        <v>F20180274</v>
      </c>
      <c r="C203" s="5" t="str">
        <f>VLOOKUP(B203,自2017年7月及其他重点工程!B:AY,2,0)</f>
        <v>19218100WI0128</v>
      </c>
      <c r="D203" s="5" t="str">
        <f>VLOOKUP(C203,自2017年7月及其他重点工程!C:AZ,2,0)</f>
        <v>2018年交通基础设施和科技管理设施项目取电施工项目</v>
      </c>
      <c r="E203" s="5" t="str">
        <f>VLOOKUP(D203,自2017年7月及其他重点工程!D:BA,2,0)</f>
        <v>自营</v>
      </c>
      <c r="F203" s="5" t="str">
        <f>VLOOKUP(A203,自2017年7月及其他重点工程!A:AX,8,0)</f>
        <v>刘贺</v>
      </c>
      <c r="G203" s="5">
        <f>VLOOKUP(A203,自2017年7月及其他重点工程!A:AX,33,0)</f>
        <v>0</v>
      </c>
      <c r="H203" s="5">
        <f>VLOOKUP(A203,自2017年7月及其他重点工程!A:AX,12,0)</f>
        <v>7203936</v>
      </c>
      <c r="I203" s="71">
        <f>VLOOKUP(A203,自2017年7月及其他重点工程!A:AX,23,0)</f>
        <v>0</v>
      </c>
      <c r="J203" s="60">
        <f>VLOOKUP(A203,自2017年7月及其他重点工程!A:AX,10,0)</f>
        <v>0</v>
      </c>
      <c r="K203" s="5">
        <f>VLOOKUP(A203,自2017年7月及其他重点工程!A:AX,42,0)</f>
        <v>0</v>
      </c>
      <c r="L203" s="5">
        <f>VLOOKUP(A203,自2017年7月及其他重点工程!A:AX,45,0)</f>
        <v>0</v>
      </c>
      <c r="M203" s="5">
        <f>VLOOKUP(A203,自2017年7月及其他重点工程!A:AX,46,0)</f>
        <v>0</v>
      </c>
      <c r="N203" s="72"/>
      <c r="O203" s="75">
        <f>VLOOKUP(A203,自2017年7月及其他重点工程!A:AX,37,0)</f>
        <v>0</v>
      </c>
      <c r="P203" s="92"/>
      <c r="Q203" s="74"/>
      <c r="R203" s="77"/>
    </row>
    <row r="204" spans="1:18" ht="22.5" customHeight="1">
      <c r="A204" s="5" t="str">
        <f>自2017年7月及其他重点工程!A206</f>
        <v>JC21-1201-2018-000422</v>
      </c>
      <c r="B204" s="5" t="str">
        <f>VLOOKUP(A204,自2017年7月及其他重点工程!A:AX,2,0)</f>
        <v>F20180272</v>
      </c>
      <c r="C204" s="5" t="str">
        <f>VLOOKUP(B204,自2017年7月及其他重点工程!B:AY,2,0)</f>
        <v>19218110WI0129</v>
      </c>
      <c r="D204" s="5" t="str">
        <f>VLOOKUP(C204,自2017年7月及其他重点工程!C:AZ,2,0)</f>
        <v>越秀路街下属社区电子阅览室网络工程合同</v>
      </c>
      <c r="E204" s="5" t="str">
        <f>VLOOKUP(D204,自2017年7月及其他重点工程!D:BA,2,0)</f>
        <v xml:space="preserve">河西 </v>
      </c>
      <c r="F204" s="5" t="str">
        <f>VLOOKUP(A204,自2017年7月及其他重点工程!A:AX,8,0)</f>
        <v>刘宇辰</v>
      </c>
      <c r="G204" s="5">
        <f>VLOOKUP(A204,自2017年7月及其他重点工程!A:AX,33,0)</f>
        <v>0</v>
      </c>
      <c r="H204" s="5">
        <f>VLOOKUP(A204,自2017年7月及其他重点工程!A:AX,12,0)</f>
        <v>37451.4</v>
      </c>
      <c r="I204" s="71">
        <f>VLOOKUP(A204,自2017年7月及其他重点工程!A:AX,23,0)</f>
        <v>0</v>
      </c>
      <c r="J204" s="60">
        <f>VLOOKUP(A204,自2017年7月及其他重点工程!A:AX,10,0)</f>
        <v>0</v>
      </c>
      <c r="K204" s="5">
        <f>VLOOKUP(A204,自2017年7月及其他重点工程!A:AX,42,0)</f>
        <v>0</v>
      </c>
      <c r="L204" s="5">
        <f>VLOOKUP(A204,自2017年7月及其他重点工程!A:AX,45,0)</f>
        <v>0</v>
      </c>
      <c r="M204" s="5" t="str">
        <f>VLOOKUP(A204,自2017年7月及其他重点工程!A:AX,46,0)</f>
        <v>一年</v>
      </c>
      <c r="N204" s="72"/>
      <c r="O204" s="75">
        <f>VLOOKUP(A204,自2017年7月及其他重点工程!A:AX,37,0)</f>
        <v>0</v>
      </c>
      <c r="P204" s="92"/>
      <c r="Q204" s="74"/>
      <c r="R204" s="77"/>
    </row>
    <row r="205" spans="1:18" ht="22.5" customHeight="1">
      <c r="A205" s="5" t="str">
        <f>自2017年7月及其他重点工程!A207</f>
        <v>JC21-1201-2018-000425</v>
      </c>
      <c r="B205" s="5" t="str">
        <f>VLOOKUP(A205,自2017年7月及其他重点工程!A:AX,2,0)</f>
        <v>F20180278</v>
      </c>
      <c r="C205" s="5" t="str">
        <f>VLOOKUP(B205,自2017年7月及其他重点工程!B:AY,2,0)</f>
        <v>19218102WI0136</v>
      </c>
      <c r="D205" s="5" t="str">
        <f>VLOOKUP(C205,自2017年7月及其他重点工程!C:AZ,2,0)</f>
        <v>天津市北辰区卫生和计划生育委员会医保监控设备采购</v>
      </c>
      <c r="E205" s="5" t="str">
        <f>VLOOKUP(D205,自2017年7月及其他重点工程!D:BA,2,0)</f>
        <v>北辰</v>
      </c>
      <c r="F205" s="5" t="str">
        <f>VLOOKUP(A205,自2017年7月及其他重点工程!A:AX,8,0)</f>
        <v>刘贺</v>
      </c>
      <c r="G205" s="5">
        <f>VLOOKUP(A205,自2017年7月及其他重点工程!A:AX,33,0)</f>
        <v>0</v>
      </c>
      <c r="H205" s="5">
        <f>VLOOKUP(A205,自2017年7月及其他重点工程!A:AX,12,0)</f>
        <v>965000</v>
      </c>
      <c r="I205" s="71">
        <f>VLOOKUP(A205,自2017年7月及其他重点工程!A:AX,23,0)</f>
        <v>0</v>
      </c>
      <c r="J205" s="60">
        <f>VLOOKUP(A205,自2017年7月及其他重点工程!A:AX,10,0)</f>
        <v>0</v>
      </c>
      <c r="K205" s="5">
        <f>VLOOKUP(A205,自2017年7月及其他重点工程!A:AX,42,0)</f>
        <v>0</v>
      </c>
      <c r="L205" s="5">
        <f>VLOOKUP(A205,自2017年7月及其他重点工程!A:AX,45,0)</f>
        <v>0</v>
      </c>
      <c r="M205" s="5">
        <f>VLOOKUP(A205,自2017年7月及其他重点工程!A:AX,46,0)</f>
        <v>0</v>
      </c>
      <c r="N205" s="72"/>
      <c r="O205" s="75">
        <f>VLOOKUP(A205,自2017年7月及其他重点工程!A:AX,37,0)</f>
        <v>0</v>
      </c>
      <c r="P205" s="92"/>
      <c r="Q205" s="74"/>
      <c r="R205" s="77"/>
    </row>
    <row r="206" spans="1:18" ht="22.5" customHeight="1">
      <c r="A206" s="43" t="s">
        <v>1090</v>
      </c>
      <c r="B206" s="5">
        <f>VLOOKUP(A206,自2017年7月及其他重点工程!A:AX,2,0)</f>
        <v>0</v>
      </c>
      <c r="C206" s="5" t="e">
        <f>VLOOKUP(B206,自2017年7月及其他重点工程!B:AY,2,0)</f>
        <v>#N/A</v>
      </c>
      <c r="D206" s="5" t="e">
        <f>VLOOKUP(C206,自2017年7月及其他重点工程!C:AZ,2,0)</f>
        <v>#N/A</v>
      </c>
      <c r="E206" s="5" t="e">
        <f>VLOOKUP(D206,自2017年7月及其他重点工程!D:BA,2,0)</f>
        <v>#N/A</v>
      </c>
      <c r="F206" s="5">
        <f>VLOOKUP(A206,自2017年7月及其他重点工程!A:AX,8,0)</f>
        <v>0</v>
      </c>
      <c r="G206" s="5">
        <f>VLOOKUP(A206,自2017年7月及其他重点工程!A:AX,33,0)</f>
        <v>0</v>
      </c>
      <c r="H206" s="5">
        <f>VLOOKUP(A206,自2017年7月及其他重点工程!A:AX,12,0)</f>
        <v>1198000</v>
      </c>
      <c r="I206" s="71">
        <f>VLOOKUP(A206,自2017年7月及其他重点工程!A:AX,23,0)</f>
        <v>0</v>
      </c>
      <c r="J206" s="60">
        <f>VLOOKUP(A206,自2017年7月及其他重点工程!A:AX,10,0)</f>
        <v>0</v>
      </c>
      <c r="K206" s="5">
        <f>VLOOKUP(A206,自2017年7月及其他重点工程!A:AX,42,0)</f>
        <v>0</v>
      </c>
      <c r="L206" s="5">
        <f>VLOOKUP(A206,自2017年7月及其他重点工程!A:AX,45,0)</f>
        <v>0</v>
      </c>
      <c r="M206" s="5">
        <f>VLOOKUP(A206,自2017年7月及其他重点工程!A:AX,46,0)</f>
        <v>43804</v>
      </c>
      <c r="N206" s="72"/>
      <c r="O206" s="75">
        <f>VLOOKUP(A206,自2017年7月及其他重点工程!A:AX,37,0)</f>
        <v>0</v>
      </c>
      <c r="P206" s="92"/>
      <c r="Q206" s="74"/>
      <c r="R206" s="77"/>
    </row>
    <row r="207" spans="1:18" ht="22.5" customHeight="1">
      <c r="A207" s="5" t="str">
        <f>自2017年7月及其他重点工程!A208</f>
        <v>JC21-1201-2018-000445</v>
      </c>
      <c r="B207" s="5">
        <f>VLOOKUP(A207,自2017年7月及其他重点工程!A:AX,2,0)</f>
        <v>0</v>
      </c>
      <c r="C207" s="5" t="e">
        <f>VLOOKUP(B207,自2017年7月及其他重点工程!B:AY,2,0)</f>
        <v>#N/A</v>
      </c>
      <c r="D207" s="5" t="e">
        <f>VLOOKUP(C207,自2017年7月及其他重点工程!C:AZ,2,0)</f>
        <v>#N/A</v>
      </c>
      <c r="E207" s="5" t="e">
        <f>VLOOKUP(D207,自2017年7月及其他重点工程!D:BA,2,0)</f>
        <v>#N/A</v>
      </c>
      <c r="F207" s="5">
        <f>VLOOKUP(A207,自2017年7月及其他重点工程!A:AX,8,0)</f>
        <v>0</v>
      </c>
      <c r="G207" s="5">
        <f>VLOOKUP(A207,自2017年7月及其他重点工程!A:AX,33,0)</f>
        <v>0</v>
      </c>
      <c r="H207" s="5">
        <f>VLOOKUP(A207,自2017年7月及其他重点工程!A:AX,12,0)</f>
        <v>1198000</v>
      </c>
      <c r="I207" s="71">
        <f>VLOOKUP(A207,自2017年7月及其他重点工程!A:AX,23,0)</f>
        <v>0</v>
      </c>
      <c r="J207" s="60">
        <f>VLOOKUP(A207,自2017年7月及其他重点工程!A:AX,10,0)</f>
        <v>0</v>
      </c>
      <c r="K207" s="5">
        <f>VLOOKUP(A207,自2017年7月及其他重点工程!A:AX,42,0)</f>
        <v>0</v>
      </c>
      <c r="L207" s="5">
        <f>VLOOKUP(A207,自2017年7月及其他重点工程!A:AX,45,0)</f>
        <v>0</v>
      </c>
      <c r="M207" s="5">
        <f>VLOOKUP(A207,自2017年7月及其他重点工程!A:AX,46,0)</f>
        <v>43804</v>
      </c>
      <c r="N207" s="72"/>
      <c r="O207" s="75">
        <f>VLOOKUP(A207,自2017年7月及其他重点工程!A:AX,37,0)</f>
        <v>0</v>
      </c>
      <c r="P207" s="92"/>
      <c r="Q207" s="74"/>
      <c r="R207" s="77"/>
    </row>
    <row r="208" spans="1:18" ht="22.5" customHeight="1">
      <c r="A208" s="5" t="str">
        <f>自2017年7月及其他重点工程!A209</f>
        <v>JC21-1201-2018-000465</v>
      </c>
      <c r="B208" s="5" t="str">
        <f>VLOOKUP(A208,自2017年7月及其他重点工程!A:AX,2,0)</f>
        <v>F20180295</v>
      </c>
      <c r="C208" s="5" t="str">
        <f>VLOOKUP(B208,自2017年7月及其他重点工程!B:AY,2,0)</f>
        <v>19218111WI0144</v>
      </c>
      <c r="D208" s="5" t="str">
        <f>VLOOKUP(C208,自2017年7月及其他重点工程!C:AZ,2,0)</f>
        <v xml:space="preserve">天津市红桥区2018年人脸抓拍识别比对系统建设项目  </v>
      </c>
      <c r="E208" s="5" t="str">
        <f>VLOOKUP(D208,自2017年7月及其他重点工程!D:BA,2,0)</f>
        <v>红桥</v>
      </c>
      <c r="F208" s="5" t="str">
        <f>VLOOKUP(A208,自2017年7月及其他重点工程!A:AX,8,0)</f>
        <v>刘宇辰</v>
      </c>
      <c r="G208" s="5">
        <f>VLOOKUP(A208,自2017年7月及其他重点工程!A:AX,33,0)</f>
        <v>0</v>
      </c>
      <c r="H208" s="5">
        <f>VLOOKUP(A208,自2017年7月及其他重点工程!A:AX,12,0)</f>
        <v>5418466</v>
      </c>
      <c r="I208" s="71">
        <f>VLOOKUP(A208,自2017年7月及其他重点工程!A:AX,23,0)</f>
        <v>0</v>
      </c>
      <c r="J208" s="60">
        <f>VLOOKUP(A208,自2017年7月及其他重点工程!A:AX,10,0)</f>
        <v>0</v>
      </c>
      <c r="K208" s="5">
        <f>VLOOKUP(A208,自2017年7月及其他重点工程!A:AX,42,0)</f>
        <v>0</v>
      </c>
      <c r="L208" s="5">
        <f>VLOOKUP(A208,自2017年7月及其他重点工程!A:AX,45,0)</f>
        <v>0</v>
      </c>
      <c r="M208" s="5">
        <f>VLOOKUP(A208,自2017年7月及其他重点工程!A:AX,46,0)</f>
        <v>0</v>
      </c>
      <c r="N208" s="72"/>
      <c r="O208" s="75">
        <f>VLOOKUP(A208,自2017年7月及其他重点工程!A:AX,37,0)</f>
        <v>0</v>
      </c>
      <c r="P208" s="92"/>
      <c r="Q208" s="74"/>
      <c r="R208" s="77"/>
    </row>
    <row r="209" spans="1:18" ht="22.5" customHeight="1">
      <c r="A209" s="5" t="str">
        <f>自2017年7月及其他重点工程!A210</f>
        <v>JC21-1201-2018-000453</v>
      </c>
      <c r="B209" s="5" t="str">
        <f>VLOOKUP(A209,自2017年7月及其他重点工程!A:AX,2,0)</f>
        <v>F20180279</v>
      </c>
      <c r="C209" s="5" t="str">
        <f>VLOOKUP(B209,自2017年7月及其他重点工程!B:AY,2,0)</f>
        <v>19218110WI0137</v>
      </c>
      <c r="D209" s="5" t="str">
        <f>VLOOKUP(C209,自2017年7月及其他重点工程!C:AZ,2,0)</f>
        <v xml:space="preserve">天津市河西区人民政府尖山街道办事处社区安装高清数字监控系统采购项目  </v>
      </c>
      <c r="E209" s="5" t="str">
        <f>VLOOKUP(D209,自2017年7月及其他重点工程!D:BA,2,0)</f>
        <v>河西</v>
      </c>
      <c r="F209" s="5" t="str">
        <f>VLOOKUP(A209,自2017年7月及其他重点工程!A:AX,8,0)</f>
        <v>刘宇辰</v>
      </c>
      <c r="G209" s="5">
        <f>VLOOKUP(A209,自2017年7月及其他重点工程!A:AX,33,0)</f>
        <v>0</v>
      </c>
      <c r="H209" s="5">
        <f>VLOOKUP(A209,自2017年7月及其他重点工程!A:AX,12,0)</f>
        <v>658699.6</v>
      </c>
      <c r="I209" s="71">
        <f>VLOOKUP(A209,自2017年7月及其他重点工程!A:AX,23,0)</f>
        <v>0</v>
      </c>
      <c r="J209" s="60">
        <f>VLOOKUP(A209,自2017年7月及其他重点工程!A:AX,10,0)</f>
        <v>0</v>
      </c>
      <c r="K209" s="5">
        <f>VLOOKUP(A209,自2017年7月及其他重点工程!A:AX,42,0)</f>
        <v>0</v>
      </c>
      <c r="L209" s="5">
        <f>VLOOKUP(A209,自2017年7月及其他重点工程!A:AX,45,0)</f>
        <v>0</v>
      </c>
      <c r="M209" s="5">
        <f>VLOOKUP(A209,自2017年7月及其他重点工程!A:AX,46,0)</f>
        <v>43804</v>
      </c>
      <c r="N209" s="72"/>
      <c r="O209" s="75">
        <f>VLOOKUP(A209,自2017年7月及其他重点工程!A:AX,37,0)</f>
        <v>0</v>
      </c>
      <c r="P209" s="92"/>
      <c r="Q209" s="74"/>
      <c r="R209" s="77"/>
    </row>
    <row r="210" spans="1:18" ht="22.5" customHeight="1">
      <c r="A210" s="5" t="str">
        <f>自2017年7月及其他重点工程!A211</f>
        <v xml:space="preserve">JC21-1201-2018-000447 </v>
      </c>
      <c r="B210" s="5" t="str">
        <f>VLOOKUP(A210,自2017年7月及其他重点工程!A:AX,2,0)</f>
        <v>F20180280</v>
      </c>
      <c r="C210" s="5" t="str">
        <f>VLOOKUP(B210,自2017年7月及其他重点工程!B:AY,2,0)</f>
        <v>19218110WI0132</v>
      </c>
      <c r="D210" s="5" t="str">
        <f>VLOOKUP(C210,自2017年7月及其他重点工程!C:AZ,2,0)</f>
        <v>挂甲寺街机关办公楼弱电改造项目</v>
      </c>
      <c r="E210" s="5" t="str">
        <f>VLOOKUP(D210,自2017年7月及其他重点工程!D:BA,2,0)</f>
        <v>河西</v>
      </c>
      <c r="F210" s="5" t="str">
        <f>VLOOKUP(A210,自2017年7月及其他重点工程!A:AX,8,0)</f>
        <v>刘宇辰</v>
      </c>
      <c r="G210" s="5">
        <f>VLOOKUP(A210,自2017年7月及其他重点工程!A:AX,33,0)</f>
        <v>0</v>
      </c>
      <c r="H210" s="5">
        <f>VLOOKUP(A210,自2017年7月及其他重点工程!A:AX,12,0)</f>
        <v>453355.51</v>
      </c>
      <c r="I210" s="71">
        <f>VLOOKUP(A210,自2017年7月及其他重点工程!A:AX,23,0)</f>
        <v>0</v>
      </c>
      <c r="J210" s="60">
        <f>VLOOKUP(A210,自2017年7月及其他重点工程!A:AX,10,0)</f>
        <v>0</v>
      </c>
      <c r="K210" s="5">
        <f>VLOOKUP(A210,自2017年7月及其他重点工程!A:AX,42,0)</f>
        <v>0</v>
      </c>
      <c r="L210" s="5">
        <f>VLOOKUP(A210,自2017年7月及其他重点工程!A:AX,45,0)</f>
        <v>0</v>
      </c>
      <c r="M210" s="5">
        <f>VLOOKUP(A210,自2017年7月及其他重点工程!A:AX,46,0)</f>
        <v>43832</v>
      </c>
      <c r="N210" s="72"/>
      <c r="O210" s="75">
        <f>VLOOKUP(A210,自2017年7月及其他重点工程!A:AX,37,0)</f>
        <v>0</v>
      </c>
      <c r="P210" s="92"/>
      <c r="Q210" s="74"/>
      <c r="R210" s="77"/>
    </row>
    <row r="211" spans="1:18" ht="22.5" customHeight="1">
      <c r="A211" s="5" t="str">
        <f>自2017年7月及其他重点工程!A213</f>
        <v>JC21-1201-2018-000455</v>
      </c>
      <c r="B211" s="5" t="str">
        <f>VLOOKUP(A211,自2017年7月及其他重点工程!A:AX,2,0)</f>
        <v>F20180290</v>
      </c>
      <c r="C211" s="5" t="str">
        <f>VLOOKUP(B211,自2017年7月及其他重点工程!B:AY,2,0)</f>
        <v>19218100WI0142</v>
      </c>
      <c r="D211" s="5" t="str">
        <f>VLOOKUP(C211,自2017年7月及其他重点工程!C:AZ,2,0)</f>
        <v>天津市滨海新区汉沽第八中学公共广播系统集成工程</v>
      </c>
      <c r="E211" s="5" t="str">
        <f>VLOOKUP(D211,自2017年7月及其他重点工程!D:BA,2,0)</f>
        <v>自营</v>
      </c>
      <c r="F211" s="5" t="str">
        <f>VLOOKUP(A211,自2017年7月及其他重点工程!A:AX,8,0)</f>
        <v>刘宇辰</v>
      </c>
      <c r="G211" s="5">
        <f>VLOOKUP(A211,自2017年7月及其他重点工程!A:AX,33,0)</f>
        <v>0</v>
      </c>
      <c r="H211" s="5">
        <f>VLOOKUP(A211,自2017年7月及其他重点工程!A:AX,12,0)</f>
        <v>24918.81</v>
      </c>
      <c r="I211" s="71">
        <f>VLOOKUP(A211,自2017年7月及其他重点工程!A:AX,23,0)</f>
        <v>0</v>
      </c>
      <c r="J211" s="60">
        <f>VLOOKUP(A211,自2017年7月及其他重点工程!A:AX,10,0)</f>
        <v>0</v>
      </c>
      <c r="K211" s="5">
        <f>VLOOKUP(A211,自2017年7月及其他重点工程!A:AX,42,0)</f>
        <v>0</v>
      </c>
      <c r="L211" s="5">
        <f>VLOOKUP(A211,自2017年7月及其他重点工程!A:AX,45,0)</f>
        <v>0</v>
      </c>
      <c r="M211" s="5">
        <f>VLOOKUP(A211,自2017年7月及其他重点工程!A:AX,46,0)</f>
        <v>0</v>
      </c>
      <c r="N211" s="72"/>
      <c r="O211" s="75">
        <f>VLOOKUP(A211,自2017年7月及其他重点工程!A:AX,37,0)</f>
        <v>0</v>
      </c>
      <c r="P211" s="92"/>
      <c r="Q211" s="74"/>
      <c r="R211" s="77"/>
    </row>
    <row r="212" spans="1:18" ht="22.5" customHeight="1">
      <c r="A212" s="5" t="str">
        <f>自2017年7月及其他重点工程!A214</f>
        <v>JC21-1201-2018-000456</v>
      </c>
      <c r="B212" s="5" t="str">
        <f>VLOOKUP(A212,自2017年7月及其他重点工程!A:AX,2,0)</f>
        <v>F20180291</v>
      </c>
      <c r="C212" s="5" t="str">
        <f>VLOOKUP(B212,自2017年7月及其他重点工程!B:AY,2,0)</f>
        <v>19218100WI0143</v>
      </c>
      <c r="D212" s="5" t="str">
        <f>VLOOKUP(C212,自2017年7月及其他重点工程!C:AZ,2,0)</f>
        <v>天津市滨海新区汉沽第九中学公共广播系统集成工程</v>
      </c>
      <c r="E212" s="5" t="str">
        <f>VLOOKUP(D212,自2017年7月及其他重点工程!D:BA,2,0)</f>
        <v>自营</v>
      </c>
      <c r="F212" s="5" t="str">
        <f>VLOOKUP(A212,自2017年7月及其他重点工程!A:AX,8,0)</f>
        <v>刘宇辰</v>
      </c>
      <c r="G212" s="5">
        <f>VLOOKUP(A212,自2017年7月及其他重点工程!A:AX,33,0)</f>
        <v>0</v>
      </c>
      <c r="H212" s="5">
        <f>VLOOKUP(A212,自2017年7月及其他重点工程!A:AX,12,0)</f>
        <v>24945.21</v>
      </c>
      <c r="I212" s="71">
        <f>VLOOKUP(A212,自2017年7月及其他重点工程!A:AX,23,0)</f>
        <v>0</v>
      </c>
      <c r="J212" s="60">
        <f>VLOOKUP(A212,自2017年7月及其他重点工程!A:AX,10,0)</f>
        <v>0</v>
      </c>
      <c r="K212" s="5">
        <f>VLOOKUP(A212,自2017年7月及其他重点工程!A:AX,42,0)</f>
        <v>0</v>
      </c>
      <c r="L212" s="5">
        <f>VLOOKUP(A212,自2017年7月及其他重点工程!A:AX,45,0)</f>
        <v>0</v>
      </c>
      <c r="M212" s="5">
        <f>VLOOKUP(A212,自2017年7月及其他重点工程!A:AX,46,0)</f>
        <v>0</v>
      </c>
      <c r="N212" s="72"/>
      <c r="O212" s="75">
        <f>VLOOKUP(A212,自2017年7月及其他重点工程!A:AX,37,0)</f>
        <v>0</v>
      </c>
      <c r="P212" s="92"/>
      <c r="Q212" s="74"/>
      <c r="R212" s="77"/>
    </row>
    <row r="213" spans="1:18" ht="22.5" customHeight="1">
      <c r="A213" s="5" t="str">
        <f>自2017年7月及其他重点工程!A215</f>
        <v>JC21-1201-2018-000458</v>
      </c>
      <c r="B213" s="5" t="str">
        <f>VLOOKUP(A213,自2017年7月及其他重点工程!A:AX,2,0)</f>
        <v>F20180294</v>
      </c>
      <c r="C213" s="5" t="str">
        <f>VLOOKUP(B213,自2017年7月及其他重点工程!B:AY,2,0)</f>
        <v>19218100WI0141</v>
      </c>
      <c r="D213" s="5" t="str">
        <f>VLOOKUP(C213,自2017年7月及其他重点工程!C:AZ,2,0)</f>
        <v>天津市滨海新区汉沽第三中学公共广播系统集成工程</v>
      </c>
      <c r="E213" s="5" t="str">
        <f>VLOOKUP(D213,自2017年7月及其他重点工程!D:BA,2,0)</f>
        <v>自营</v>
      </c>
      <c r="F213" s="5" t="str">
        <f>VLOOKUP(A213,自2017年7月及其他重点工程!A:AX,8,0)</f>
        <v>刘宇辰</v>
      </c>
      <c r="G213" s="5">
        <f>VLOOKUP(A213,自2017年7月及其他重点工程!A:AX,33,0)</f>
        <v>0</v>
      </c>
      <c r="H213" s="5">
        <f>VLOOKUP(A213,自2017年7月及其他重点工程!A:AX,12,0)</f>
        <v>24824.65</v>
      </c>
      <c r="I213" s="71">
        <f>VLOOKUP(A213,自2017年7月及其他重点工程!A:AX,23,0)</f>
        <v>0</v>
      </c>
      <c r="J213" s="60">
        <f>VLOOKUP(A213,自2017年7月及其他重点工程!A:AX,10,0)</f>
        <v>0</v>
      </c>
      <c r="K213" s="5">
        <f>VLOOKUP(A213,自2017年7月及其他重点工程!A:AX,42,0)</f>
        <v>0</v>
      </c>
      <c r="L213" s="5">
        <f>VLOOKUP(A213,自2017年7月及其他重点工程!A:AX,45,0)</f>
        <v>0</v>
      </c>
      <c r="M213" s="5">
        <f>VLOOKUP(A213,自2017年7月及其他重点工程!A:AX,46,0)</f>
        <v>0</v>
      </c>
      <c r="N213" s="72"/>
      <c r="O213" s="75">
        <f>VLOOKUP(A213,自2017年7月及其他重点工程!A:AX,37,0)</f>
        <v>0</v>
      </c>
      <c r="P213" s="92"/>
      <c r="Q213" s="74"/>
      <c r="R213" s="77"/>
    </row>
    <row r="214" spans="1:18" ht="22.5" customHeight="1">
      <c r="A214" s="5" t="str">
        <f>自2017年7月及其他重点工程!A216</f>
        <v>JC21-1201-2018-000469</v>
      </c>
      <c r="B214" s="5" t="str">
        <f>VLOOKUP(A214,自2017年7月及其他重点工程!A:AX,2,0)</f>
        <v>F20180289</v>
      </c>
      <c r="C214" s="5" t="str">
        <f>VLOOKUP(B214,自2017年7月及其他重点工程!B:AY,2,0)</f>
        <v>19218107WC0148</v>
      </c>
      <c r="D214" s="5" t="str">
        <f>VLOOKUP(C214,自2017年7月及其他重点工程!C:AZ,2,0)</f>
        <v>集成 重要产品追溯体系建设平台一期项目和重要产品（肉菜）追溯体系建设项目云平台采购及相关服务项目</v>
      </c>
      <c r="E214" s="5" t="str">
        <f>VLOOKUP(D214,自2017年7月及其他重点工程!D:BA,2,0)</f>
        <v>和平</v>
      </c>
      <c r="F214" s="5" t="str">
        <f>VLOOKUP(A214,自2017年7月及其他重点工程!A:AX,8,0)</f>
        <v>刘贺</v>
      </c>
      <c r="G214" s="5">
        <f>VLOOKUP(A214,自2017年7月及其他重点工程!A:AX,33,0)</f>
        <v>0</v>
      </c>
      <c r="H214" s="5">
        <f>VLOOKUP(A214,自2017年7月及其他重点工程!A:AX,12,0)</f>
        <v>4388000</v>
      </c>
      <c r="I214" s="71">
        <f>VLOOKUP(A214,自2017年7月及其他重点工程!A:AX,23,0)</f>
        <v>0</v>
      </c>
      <c r="J214" s="60" t="str">
        <f>VLOOKUP(A214,自2017年7月及其他重点工程!A:AX,10,0)</f>
        <v>委托还存在问题（现在成本绿盟、操作系统windows、等保、CT网络已经下采购到采购部，操作系统centos、数据库My SQL还没有下到采购部，因为供方非合作伙伴，又不能单一来源；同时CT中成本分配和平分公司与大客户中心怎么分配还没给准信）</v>
      </c>
      <c r="K214" s="5">
        <f>VLOOKUP(A214,自2017年7月及其他重点工程!A:AX,42,0)</f>
        <v>0</v>
      </c>
      <c r="L214" s="5">
        <f>VLOOKUP(A214,自2017年7月及其他重点工程!A:AX,45,0)</f>
        <v>0</v>
      </c>
      <c r="M214" s="5">
        <f>VLOOKUP(A214,自2017年7月及其他重点工程!A:AX,46,0)</f>
        <v>0</v>
      </c>
      <c r="N214" s="72"/>
      <c r="O214" s="75">
        <f>VLOOKUP(A214,自2017年7月及其他重点工程!A:AX,37,0)</f>
        <v>0</v>
      </c>
      <c r="P214" s="92"/>
      <c r="Q214" s="74"/>
      <c r="R214" s="77"/>
    </row>
    <row r="215" spans="1:18" ht="22.5" customHeight="1">
      <c r="A215" s="5" t="str">
        <f>自2017年7月及其他重点工程!A217</f>
        <v>JC21-1201-2018-000451</v>
      </c>
      <c r="B215" s="5" t="str">
        <f>VLOOKUP(A215,自2017年7月及其他重点工程!A:AX,2,0)</f>
        <v>F20180285</v>
      </c>
      <c r="C215" s="5" t="str">
        <f>VLOOKUP(B215,自2017年7月及其他重点工程!B:AY,2,0)</f>
        <v>19218114WM0138</v>
      </c>
      <c r="D215" s="5" t="str">
        <f>VLOOKUP(C215,自2017年7月及其他重点工程!C:AZ,2,0)</f>
        <v>2018年天津市党政专用通信网络发展建设项目（十五个区高清电视会议建设项目）宽带红网B网城域网部分</v>
      </c>
      <c r="E215" s="5" t="str">
        <f>VLOOKUP(D215,自2017年7月及其他重点工程!D:BA,2,0)</f>
        <v>静海</v>
      </c>
      <c r="F215" s="5" t="str">
        <f>VLOOKUP(A215,自2017年7月及其他重点工程!A:AX,8,0)</f>
        <v>韩磊</v>
      </c>
      <c r="G215" s="5">
        <f>VLOOKUP(A215,自2017年7月及其他重点工程!A:AX,33,0)</f>
        <v>0</v>
      </c>
      <c r="H215" s="5">
        <f>VLOOKUP(A215,自2017年7月及其他重点工程!A:AX,12,0)</f>
        <v>3479600</v>
      </c>
      <c r="I215" s="71">
        <f>VLOOKUP(A215,自2017年7月及其他重点工程!A:AX,23,0)</f>
        <v>0</v>
      </c>
      <c r="J215" s="60">
        <f>VLOOKUP(A215,自2017年7月及其他重点工程!A:AX,10,0)</f>
        <v>0</v>
      </c>
      <c r="K215" s="5">
        <f>VLOOKUP(A215,自2017年7月及其他重点工程!A:AX,42,0)</f>
        <v>0</v>
      </c>
      <c r="L215" s="5">
        <f>VLOOKUP(A215,自2017年7月及其他重点工程!A:AX,45,0)</f>
        <v>0</v>
      </c>
      <c r="M215" s="5">
        <f>VLOOKUP(A215,自2017年7月及其他重点工程!A:AX,46,0)</f>
        <v>0</v>
      </c>
      <c r="N215" s="72"/>
      <c r="O215" s="75">
        <f>VLOOKUP(A215,自2017年7月及其他重点工程!A:AX,37,0)</f>
        <v>0</v>
      </c>
      <c r="P215" s="92"/>
      <c r="Q215" s="74"/>
      <c r="R215" s="77"/>
    </row>
    <row r="216" spans="1:18" ht="22.5" customHeight="1">
      <c r="A216" s="5" t="str">
        <f>自2017年7月及其他重点工程!A218</f>
        <v>JC21-1201-2018-000474</v>
      </c>
      <c r="B216" s="5" t="str">
        <f>VLOOKUP(A216,自2017年7月及其他重点工程!A:AX,2,0)</f>
        <v>F20180284</v>
      </c>
      <c r="C216" s="5" t="str">
        <f>VLOOKUP(B216,自2017年7月及其他重点工程!B:AY,2,0)</f>
        <v>19218107WI0147</v>
      </c>
      <c r="D216" s="5" t="str">
        <f>VLOOKUP(C216,自2017年7月及其他重点工程!C:AZ,2,0)</f>
        <v>天津市和平区校园视频监控提升改造设备运维项目</v>
      </c>
      <c r="E216" s="5" t="str">
        <f>VLOOKUP(D216,自2017年7月及其他重点工程!D:BA,2,0)</f>
        <v>和平</v>
      </c>
      <c r="F216" s="5" t="str">
        <f>VLOOKUP(A216,自2017年7月及其他重点工程!A:AX,8,0)</f>
        <v>刘贺</v>
      </c>
      <c r="G216" s="5">
        <f>VLOOKUP(A216,自2017年7月及其他重点工程!A:AX,33,0)</f>
        <v>0</v>
      </c>
      <c r="H216" s="5">
        <f>VLOOKUP(A216,自2017年7月及其他重点工程!A:AX,12,0)</f>
        <v>7478550</v>
      </c>
      <c r="I216" s="71">
        <f>VLOOKUP(A216,自2017年7月及其他重点工程!A:AX,23,0)</f>
        <v>0</v>
      </c>
      <c r="J216" s="60">
        <f>VLOOKUP(A216,自2017年7月及其他重点工程!A:AX,10,0)</f>
        <v>0</v>
      </c>
      <c r="K216" s="5">
        <f>VLOOKUP(A216,自2017年7月及其他重点工程!A:AX,42,0)</f>
        <v>0</v>
      </c>
      <c r="L216" s="5">
        <f>VLOOKUP(A216,自2017年7月及其他重点工程!A:AX,45,0)</f>
        <v>0</v>
      </c>
      <c r="M216" s="5">
        <f>VLOOKUP(A216,自2017年7月及其他重点工程!A:AX,46,0)</f>
        <v>0</v>
      </c>
      <c r="N216" s="72"/>
      <c r="O216" s="75">
        <f>VLOOKUP(A216,自2017年7月及其他重点工程!A:AX,37,0)</f>
        <v>0</v>
      </c>
      <c r="P216" s="92"/>
      <c r="Q216" s="74"/>
      <c r="R216" s="77"/>
    </row>
    <row r="217" spans="1:18" ht="22.5" customHeight="1">
      <c r="A217" s="5" t="str">
        <f>自2017年7月及其他重点工程!A219</f>
        <v xml:space="preserve">JC21-1201-2019-000005 </v>
      </c>
      <c r="B217" s="5" t="str">
        <f>VLOOKUP(A217,自2017年7月及其他重点工程!A:AX,2,0)</f>
        <v>F20190006</v>
      </c>
      <c r="C217" s="5" t="str">
        <f>VLOOKUP(B217,自2017年7月及其他重点工程!B:AY,2,0)</f>
        <v>19218000WI0159</v>
      </c>
      <c r="D217" s="5" t="str">
        <f>VLOOKUP(C217,自2017年7月及其他重点工程!C:AZ,2,0)</f>
        <v>双桥河镇监控显示屏系统改造工程项目</v>
      </c>
      <c r="E217" s="5" t="str">
        <f>VLOOKUP(D217,自2017年7月及其他重点工程!D:BA,2,0)</f>
        <v>津南</v>
      </c>
      <c r="F217" s="5" t="str">
        <f>VLOOKUP(A217,自2017年7月及其他重点工程!A:AX,8,0)</f>
        <v>刘宇辰</v>
      </c>
      <c r="G217" s="5">
        <f>VLOOKUP(A217,自2017年7月及其他重点工程!A:AX,33,0)</f>
        <v>0</v>
      </c>
      <c r="H217" s="5">
        <f>VLOOKUP(A217,自2017年7月及其他重点工程!A:AX,12,0)</f>
        <v>453236</v>
      </c>
      <c r="I217" s="71">
        <f>VLOOKUP(A217,自2017年7月及其他重点工程!A:AX,23,0)</f>
        <v>0</v>
      </c>
      <c r="J217" s="60">
        <f>VLOOKUP(A217,自2017年7月及其他重点工程!A:AX,10,0)</f>
        <v>0</v>
      </c>
      <c r="K217" s="5">
        <f>VLOOKUP(A217,自2017年7月及其他重点工程!A:AX,42,0)</f>
        <v>0</v>
      </c>
      <c r="L217" s="5">
        <f>VLOOKUP(A217,自2017年7月及其他重点工程!A:AX,45,0)</f>
        <v>0</v>
      </c>
      <c r="M217" s="5">
        <f>VLOOKUP(A217,自2017年7月及其他重点工程!A:AX,46,0)</f>
        <v>0</v>
      </c>
      <c r="N217" s="72"/>
      <c r="O217" s="75">
        <f>VLOOKUP(A217,自2017年7月及其他重点工程!A:AX,37,0)</f>
        <v>0</v>
      </c>
      <c r="P217" s="92"/>
      <c r="Q217" s="74"/>
      <c r="R217" s="77"/>
    </row>
    <row r="218" spans="1:18" ht="22.5" customHeight="1">
      <c r="A218" s="5" t="str">
        <f>自2017年7月及其他重点工程!A220</f>
        <v>JC21-1201-2018-000435</v>
      </c>
      <c r="B218" s="5">
        <f>VLOOKUP(A218,自2017年7月及其他重点工程!A:AX,2,0)</f>
        <v>0</v>
      </c>
      <c r="C218" s="5" t="e">
        <f>VLOOKUP(B218,自2017年7月及其他重点工程!B:AY,2,0)</f>
        <v>#N/A</v>
      </c>
      <c r="D218" s="5" t="e">
        <f>VLOOKUP(C218,自2017年7月及其他重点工程!C:AZ,2,0)</f>
        <v>#N/A</v>
      </c>
      <c r="E218" s="5" t="e">
        <f>VLOOKUP(D218,自2017年7月及其他重点工程!D:BA,2,0)</f>
        <v>#N/A</v>
      </c>
      <c r="F218" s="5" t="str">
        <f>VLOOKUP(A218,自2017年7月及其他重点工程!A:AX,8,0)</f>
        <v>刘宇辰</v>
      </c>
      <c r="G218" s="5">
        <f>VLOOKUP(A218,自2017年7月及其他重点工程!A:AX,33,0)</f>
        <v>0</v>
      </c>
      <c r="H218" s="5">
        <f>VLOOKUP(A218,自2017年7月及其他重点工程!A:AX,12,0)</f>
        <v>710000</v>
      </c>
      <c r="I218" s="71">
        <f>VLOOKUP(A218,自2017年7月及其他重点工程!A:AX,23,0)</f>
        <v>0</v>
      </c>
      <c r="J218" s="60">
        <f>VLOOKUP(A218,自2017年7月及其他重点工程!A:AX,10,0)</f>
        <v>0</v>
      </c>
      <c r="K218" s="5">
        <f>VLOOKUP(A218,自2017年7月及其他重点工程!A:AX,42,0)</f>
        <v>0</v>
      </c>
      <c r="L218" s="5">
        <f>VLOOKUP(A218,自2017年7月及其他重点工程!A:AX,45,0)</f>
        <v>0</v>
      </c>
      <c r="M218" s="5">
        <f>VLOOKUP(A218,自2017年7月及其他重点工程!A:AX,46,0)</f>
        <v>0</v>
      </c>
      <c r="N218" s="72"/>
      <c r="O218" s="75">
        <f>VLOOKUP(A218,自2017年7月及其他重点工程!A:AX,37,0)</f>
        <v>0</v>
      </c>
      <c r="P218" s="92"/>
      <c r="Q218" s="74"/>
      <c r="R218" s="77"/>
    </row>
    <row r="219" spans="1:18" ht="22.5" customHeight="1">
      <c r="A219" s="5" t="str">
        <f>自2017年7月及其他重点工程!A222</f>
        <v>JC21-1201-2018-000505</v>
      </c>
      <c r="B219" s="5" t="str">
        <f>VLOOKUP(A219,自2017年7月及其他重点工程!A:AX,2,0)</f>
        <v>F20190007</v>
      </c>
      <c r="C219" s="5" t="str">
        <f>VLOOKUP(B219,自2017年7月及其他重点工程!B:AY,2,0)</f>
        <v>19219110WI0001</v>
      </c>
      <c r="D219" s="5" t="str">
        <f>VLOOKUP(C219,自2017年7月及其他重点工程!C:AZ,2,0)</f>
        <v>天津市河西区人民政府东海街道办事处粤江里、汉江里和三水南里等4个社区高清数字监控项目</v>
      </c>
      <c r="E219" s="5" t="str">
        <f>VLOOKUP(D219,自2017年7月及其他重点工程!D:BA,2,0)</f>
        <v>河西</v>
      </c>
      <c r="F219" s="5" t="str">
        <f>VLOOKUP(A219,自2017年7月及其他重点工程!A:AX,8,0)</f>
        <v>刘宇辰</v>
      </c>
      <c r="G219" s="5">
        <f>VLOOKUP(A219,自2017年7月及其他重点工程!A:AX,33,0)</f>
        <v>0</v>
      </c>
      <c r="H219" s="5">
        <f>VLOOKUP(A219,自2017年7月及其他重点工程!A:AX,12,0)</f>
        <v>1283700</v>
      </c>
      <c r="I219" s="71">
        <f>VLOOKUP(A219,自2017年7月及其他重点工程!A:AX,23,0)</f>
        <v>0</v>
      </c>
      <c r="J219" s="60">
        <f>VLOOKUP(A219,自2017年7月及其他重点工程!A:AX,10,0)</f>
        <v>0</v>
      </c>
      <c r="K219" s="5">
        <f>VLOOKUP(A219,自2017年7月及其他重点工程!A:AX,42,0)</f>
        <v>0</v>
      </c>
      <c r="L219" s="5">
        <f>VLOOKUP(A219,自2017年7月及其他重点工程!A:AX,45,0)</f>
        <v>0</v>
      </c>
      <c r="M219" s="5" t="str">
        <f>VLOOKUP(A219,自2017年7月及其他重点工程!A:AX,46,0)</f>
        <v>一年</v>
      </c>
      <c r="N219" s="72"/>
      <c r="O219" s="75">
        <f>VLOOKUP(A219,自2017年7月及其他重点工程!A:AX,37,0)</f>
        <v>0</v>
      </c>
      <c r="P219" s="92"/>
      <c r="Q219" s="74"/>
      <c r="R219" s="77"/>
    </row>
    <row r="220" spans="1:18" ht="22.5" customHeight="1">
      <c r="A220" s="5" t="str">
        <f>自2017年7月及其他重点工程!A223</f>
        <v xml:space="preserve">JC21-1201-2018-000483 </v>
      </c>
      <c r="B220" s="5" t="str">
        <f>VLOOKUP(A220,自2017年7月及其他重点工程!A:AX,2,0)</f>
        <v>F20190008</v>
      </c>
      <c r="C220" s="5" t="str">
        <f>VLOOKUP(B220,自2017年7月及其他重点工程!B:AY,2,0)</f>
        <v>19219110WI0005</v>
      </c>
      <c r="D220" s="5" t="str">
        <f>VLOOKUP(C220,自2017年7月及其他重点工程!C:AZ,2,0)</f>
        <v>越秀路街道办事处(菜市场)视频监控项目</v>
      </c>
      <c r="E220" s="5" t="str">
        <f>VLOOKUP(D220,自2017年7月及其他重点工程!D:BA,2,0)</f>
        <v>河西</v>
      </c>
      <c r="F220" s="5" t="str">
        <f>VLOOKUP(A220,自2017年7月及其他重点工程!A:AX,8,0)</f>
        <v>刘宇辰</v>
      </c>
      <c r="G220" s="5">
        <f>VLOOKUP(A220,自2017年7月及其他重点工程!A:AX,33,0)</f>
        <v>0</v>
      </c>
      <c r="H220" s="5">
        <f>VLOOKUP(A220,自2017年7月及其他重点工程!A:AX,12,0)</f>
        <v>49737</v>
      </c>
      <c r="I220" s="71">
        <f>VLOOKUP(A220,自2017年7月及其他重点工程!A:AX,23,0)</f>
        <v>0</v>
      </c>
      <c r="J220" s="60">
        <f>VLOOKUP(A220,自2017年7月及其他重点工程!A:AX,10,0)</f>
        <v>0</v>
      </c>
      <c r="K220" s="5">
        <f>VLOOKUP(A220,自2017年7月及其他重点工程!A:AX,42,0)</f>
        <v>0</v>
      </c>
      <c r="L220" s="5">
        <f>VLOOKUP(A220,自2017年7月及其他重点工程!A:AX,45,0)</f>
        <v>0</v>
      </c>
      <c r="M220" s="5" t="str">
        <f>VLOOKUP(A220,自2017年7月及其他重点工程!A:AX,46,0)</f>
        <v>一年</v>
      </c>
      <c r="N220" s="72"/>
      <c r="O220" s="75">
        <f>VLOOKUP(A220,自2017年7月及其他重点工程!A:AX,37,0)</f>
        <v>0</v>
      </c>
      <c r="P220" s="92"/>
      <c r="Q220" s="74"/>
      <c r="R220" s="77"/>
    </row>
    <row r="221" spans="1:18" ht="22.5" customHeight="1">
      <c r="A221" s="5" t="str">
        <f>自2017年7月及其他重点工程!A224</f>
        <v xml:space="preserve">JC21-1201-2018-000482 </v>
      </c>
      <c r="B221" s="5" t="str">
        <f>VLOOKUP(A221,自2017年7月及其他重点工程!A:AX,2,0)</f>
        <v>F20190001</v>
      </c>
      <c r="C221" s="5" t="str">
        <f>VLOOKUP(B221,自2017年7月及其他重点工程!B:AY,2,0)</f>
        <v>19218110WI0157</v>
      </c>
      <c r="D221" s="5" t="str">
        <f>VLOOKUP(C221,自2017年7月及其他重点工程!C:AZ,2,0)</f>
        <v>河西区南昌路二期“城市双修”示范项目二批工程视频监控改造项目</v>
      </c>
      <c r="E221" s="5" t="str">
        <f>VLOOKUP(D221,自2017年7月及其他重点工程!D:BA,2,0)</f>
        <v>河西</v>
      </c>
      <c r="F221" s="5" t="str">
        <f>VLOOKUP(A221,自2017年7月及其他重点工程!A:AX,8,0)</f>
        <v>刘宇辰</v>
      </c>
      <c r="G221" s="5">
        <f>VLOOKUP(A221,自2017年7月及其他重点工程!A:AX,33,0)</f>
        <v>0</v>
      </c>
      <c r="H221" s="5">
        <f>VLOOKUP(A221,自2017年7月及其他重点工程!A:AX,12,0)</f>
        <v>753031</v>
      </c>
      <c r="I221" s="71">
        <f>VLOOKUP(A221,自2017年7月及其他重点工程!A:AX,23,0)</f>
        <v>0</v>
      </c>
      <c r="J221" s="60">
        <f>VLOOKUP(A221,自2017年7月及其他重点工程!A:AX,10,0)</f>
        <v>0</v>
      </c>
      <c r="K221" s="5">
        <f>VLOOKUP(A221,自2017年7月及其他重点工程!A:AX,42,0)</f>
        <v>0</v>
      </c>
      <c r="L221" s="5">
        <f>VLOOKUP(A221,自2017年7月及其他重点工程!A:AX,45,0)</f>
        <v>0</v>
      </c>
      <c r="M221" s="5">
        <f>VLOOKUP(A221,自2017年7月及其他重点工程!A:AX,46,0)</f>
        <v>0</v>
      </c>
      <c r="N221" s="72"/>
      <c r="O221" s="75">
        <f>VLOOKUP(A221,自2017年7月及其他重点工程!A:AX,37,0)</f>
        <v>0</v>
      </c>
      <c r="P221" s="92"/>
      <c r="Q221" s="74"/>
      <c r="R221" s="77"/>
    </row>
    <row r="222" spans="1:18" ht="22.5" customHeight="1">
      <c r="A222" s="5" t="str">
        <f>自2017年7月及其他重点工程!A225</f>
        <v>JC21-1201-2018-000454</v>
      </c>
      <c r="B222" s="5">
        <f>VLOOKUP(A222,自2017年7月及其他重点工程!A:AX,2,0)</f>
        <v>0</v>
      </c>
      <c r="C222" s="5" t="e">
        <f>VLOOKUP(B222,自2017年7月及其他重点工程!B:AY,2,0)</f>
        <v>#N/A</v>
      </c>
      <c r="D222" s="5" t="e">
        <f>VLOOKUP(C222,自2017年7月及其他重点工程!C:AZ,2,0)</f>
        <v>#N/A</v>
      </c>
      <c r="E222" s="5" t="e">
        <f>VLOOKUP(D222,自2017年7月及其他重点工程!D:BA,2,0)</f>
        <v>#N/A</v>
      </c>
      <c r="F222" s="5" t="str">
        <f>VLOOKUP(A222,自2017年7月及其他重点工程!A:AX,8,0)</f>
        <v>刘贺</v>
      </c>
      <c r="G222" s="5">
        <f>VLOOKUP(A222,自2017年7月及其他重点工程!A:AX,33,0)</f>
        <v>0</v>
      </c>
      <c r="H222" s="5">
        <f>VLOOKUP(A222,自2017年7月及其他重点工程!A:AX,12,0)</f>
        <v>66480</v>
      </c>
      <c r="I222" s="71">
        <f>VLOOKUP(A222,自2017年7月及其他重点工程!A:AX,23,0)</f>
        <v>0</v>
      </c>
      <c r="J222" s="60">
        <f>VLOOKUP(A222,自2017年7月及其他重点工程!A:AX,10,0)</f>
        <v>0</v>
      </c>
      <c r="K222" s="5">
        <f>VLOOKUP(A222,自2017年7月及其他重点工程!A:AX,42,0)</f>
        <v>0</v>
      </c>
      <c r="L222" s="5">
        <f>VLOOKUP(A222,自2017年7月及其他重点工程!A:AX,45,0)</f>
        <v>0</v>
      </c>
      <c r="M222" s="5">
        <f>VLOOKUP(A222,自2017年7月及其他重点工程!A:AX,46,0)</f>
        <v>0</v>
      </c>
      <c r="N222" s="72"/>
      <c r="O222" s="75">
        <f>VLOOKUP(A222,自2017年7月及其他重点工程!A:AX,37,0)</f>
        <v>0</v>
      </c>
      <c r="P222" s="92"/>
      <c r="Q222" s="74"/>
      <c r="R222" s="77"/>
    </row>
    <row r="223" spans="1:18" ht="22.5" customHeight="1">
      <c r="A223" s="5" t="str">
        <f>自2017年7月及其他重点工程!A226</f>
        <v>JC21-1201-2018-000472</v>
      </c>
      <c r="B223" s="5">
        <f>VLOOKUP(A223,自2017年7月及其他重点工程!A:AX,2,0)</f>
        <v>20190118</v>
      </c>
      <c r="C223" s="5" t="str">
        <f>VLOOKUP(B223,自2017年7月及其他重点工程!B:AY,2,0)</f>
        <v>19218110WI0145</v>
      </c>
      <c r="D223" s="5" t="str">
        <f>VLOOKUP(C223,自2017年7月及其他重点工程!C:AZ,2,0)</f>
        <v>天津市河西区人民政府大营门街道办事处蚌埠道东莱里社区安装高清数字监控系统采购项目</v>
      </c>
      <c r="E223" s="5" t="str">
        <f>VLOOKUP(D223,自2017年7月及其他重点工程!D:BA,2,0)</f>
        <v>河西</v>
      </c>
      <c r="F223" s="5">
        <f>VLOOKUP(A223,自2017年7月及其他重点工程!A:AX,8,0)</f>
        <v>0</v>
      </c>
      <c r="G223" s="5">
        <f>VLOOKUP(A223,自2017年7月及其他重点工程!A:AX,33,0)</f>
        <v>0</v>
      </c>
      <c r="H223" s="5">
        <f>VLOOKUP(A223,自2017年7月及其他重点工程!A:AX,12,0)</f>
        <v>674031.2</v>
      </c>
      <c r="I223" s="71">
        <f>VLOOKUP(A223,自2017年7月及其他重点工程!A:AX,23,0)</f>
        <v>0</v>
      </c>
      <c r="J223" s="60">
        <f>VLOOKUP(A223,自2017年7月及其他重点工程!A:AX,10,0)</f>
        <v>0</v>
      </c>
      <c r="K223" s="5">
        <f>VLOOKUP(A223,自2017年7月及其他重点工程!A:AX,42,0)</f>
        <v>0</v>
      </c>
      <c r="L223" s="5">
        <f>VLOOKUP(A223,自2017年7月及其他重点工程!A:AX,45,0)</f>
        <v>0</v>
      </c>
      <c r="M223" s="5" t="str">
        <f>VLOOKUP(A223,自2017年7月及其他重点工程!A:AX,46,0)</f>
        <v>一年</v>
      </c>
      <c r="N223" s="72"/>
      <c r="O223" s="75">
        <f>VLOOKUP(A223,自2017年7月及其他重点工程!A:AX,37,0)</f>
        <v>0</v>
      </c>
      <c r="P223" s="92"/>
      <c r="Q223" s="74"/>
      <c r="R223" s="77"/>
    </row>
    <row r="224" spans="1:18" ht="22.5" customHeight="1">
      <c r="A224" s="5" t="str">
        <f>自2017年7月及其他重点工程!A227</f>
        <v>JC21-1201-2018-000480</v>
      </c>
      <c r="B224" s="5">
        <f>VLOOKUP(A224,自2017年7月及其他重点工程!A:AX,2,0)</f>
        <v>20190118</v>
      </c>
      <c r="C224" s="5" t="str">
        <f>VLOOKUP(B224,自2017年7月及其他重点工程!B:AY,2,0)</f>
        <v>19218110WI0145</v>
      </c>
      <c r="D224" s="5" t="str">
        <f>VLOOKUP(C224,自2017年7月及其他重点工程!C:AZ,2,0)</f>
        <v>天津市河西区人民政府大营门街道办事处蚌埠道东莱里社区安装高清数字监控系统采购项目</v>
      </c>
      <c r="E224" s="5" t="str">
        <f>VLOOKUP(D224,自2017年7月及其他重点工程!D:BA,2,0)</f>
        <v>河西</v>
      </c>
      <c r="F224" s="5">
        <f>VLOOKUP(A224,自2017年7月及其他重点工程!A:AX,8,0)</f>
        <v>0</v>
      </c>
      <c r="G224" s="5">
        <f>VLOOKUP(A224,自2017年7月及其他重点工程!A:AX,33,0)</f>
        <v>0</v>
      </c>
      <c r="H224" s="5">
        <f>VLOOKUP(A224,自2017年7月及其他重点工程!A:AX,12,0)</f>
        <v>150040.79999999999</v>
      </c>
      <c r="I224" s="71">
        <f>VLOOKUP(A224,自2017年7月及其他重点工程!A:AX,23,0)</f>
        <v>0</v>
      </c>
      <c r="J224" s="60">
        <f>VLOOKUP(A224,自2017年7月及其他重点工程!A:AX,10,0)</f>
        <v>0</v>
      </c>
      <c r="K224" s="5">
        <f>VLOOKUP(A224,自2017年7月及其他重点工程!A:AX,42,0)</f>
        <v>0</v>
      </c>
      <c r="L224" s="5">
        <f>VLOOKUP(A224,自2017年7月及其他重点工程!A:AX,45,0)</f>
        <v>0</v>
      </c>
      <c r="M224" s="5" t="str">
        <f>VLOOKUP(A224,自2017年7月及其他重点工程!A:AX,46,0)</f>
        <v>一年</v>
      </c>
      <c r="N224" s="72"/>
      <c r="O224" s="75">
        <f>VLOOKUP(A224,自2017年7月及其他重点工程!A:AX,37,0)</f>
        <v>0</v>
      </c>
      <c r="P224" s="92"/>
      <c r="Q224" s="74"/>
      <c r="R224" s="77"/>
    </row>
    <row r="225" spans="1:18" ht="22.5" customHeight="1">
      <c r="A225" s="5" t="str">
        <f>自2017年7月及其他重点工程!A228</f>
        <v>JC21-1201-2018-000162</v>
      </c>
      <c r="B225" s="5">
        <f>VLOOKUP(A225,自2017年7月及其他重点工程!A:AX,2,0)</f>
        <v>0</v>
      </c>
      <c r="C225" s="5" t="e">
        <f>VLOOKUP(B225,自2017年7月及其他重点工程!B:AY,2,0)</f>
        <v>#N/A</v>
      </c>
      <c r="D225" s="5" t="e">
        <f>VLOOKUP(C225,自2017年7月及其他重点工程!C:AZ,2,0)</f>
        <v>#N/A</v>
      </c>
      <c r="E225" s="5" t="e">
        <f>VLOOKUP(D225,自2017年7月及其他重点工程!D:BA,2,0)</f>
        <v>#N/A</v>
      </c>
      <c r="F225" s="5" t="str">
        <f>VLOOKUP(A225,自2017年7月及其他重点工程!A:AX,8,0)</f>
        <v>刘宇辰</v>
      </c>
      <c r="G225" s="5">
        <f>VLOOKUP(A225,自2017年7月及其他重点工程!A:AX,33,0)</f>
        <v>0</v>
      </c>
      <c r="H225" s="5">
        <f>VLOOKUP(A225,自2017年7月及其他重点工程!A:AX,12,0)</f>
        <v>0</v>
      </c>
      <c r="I225" s="71">
        <f>VLOOKUP(A225,自2017年7月及其他重点工程!A:AX,23,0)</f>
        <v>0</v>
      </c>
      <c r="J225" s="60">
        <f>VLOOKUP(A225,自2017年7月及其他重点工程!A:AX,10,0)</f>
        <v>0</v>
      </c>
      <c r="K225" s="5">
        <f>VLOOKUP(A225,自2017年7月及其他重点工程!A:AX,42,0)</f>
        <v>0</v>
      </c>
      <c r="L225" s="5">
        <f>VLOOKUP(A225,自2017年7月及其他重点工程!A:AX,45,0)</f>
        <v>0</v>
      </c>
      <c r="M225" s="5">
        <f>VLOOKUP(A225,自2017年7月及其他重点工程!A:AX,46,0)</f>
        <v>43833</v>
      </c>
      <c r="N225" s="72"/>
      <c r="O225" s="75">
        <f>VLOOKUP(A225,自2017年7月及其他重点工程!A:AX,37,0)</f>
        <v>0</v>
      </c>
      <c r="P225" s="92"/>
      <c r="Q225" s="74"/>
      <c r="R225" s="77"/>
    </row>
    <row r="226" spans="1:18" ht="22.5" customHeight="1">
      <c r="A226" s="5" t="str">
        <f>自2017年7月及其他重点工程!A229</f>
        <v>JC21-1201-2018-000102</v>
      </c>
      <c r="B226" s="5">
        <f>VLOOKUP(A226,自2017年7月及其他重点工程!A:AX,2,0)</f>
        <v>0</v>
      </c>
      <c r="C226" s="5" t="e">
        <f>VLOOKUP(B226,自2017年7月及其他重点工程!B:AY,2,0)</f>
        <v>#N/A</v>
      </c>
      <c r="D226" s="5" t="e">
        <f>VLOOKUP(C226,自2017年7月及其他重点工程!C:AZ,2,0)</f>
        <v>#N/A</v>
      </c>
      <c r="E226" s="5" t="e">
        <f>VLOOKUP(D226,自2017年7月及其他重点工程!D:BA,2,0)</f>
        <v>#N/A</v>
      </c>
      <c r="F226" s="5" t="str">
        <f>VLOOKUP(A226,自2017年7月及其他重点工程!A:AX,8,0)</f>
        <v>刘宇辰</v>
      </c>
      <c r="G226" s="5">
        <f>VLOOKUP(A226,自2017年7月及其他重点工程!A:AX,33,0)</f>
        <v>0</v>
      </c>
      <c r="H226" s="5">
        <f>VLOOKUP(A226,自2017年7月及其他重点工程!A:AX,12,0)</f>
        <v>0</v>
      </c>
      <c r="I226" s="71">
        <f>VLOOKUP(A226,自2017年7月及其他重点工程!A:AX,23,0)</f>
        <v>0</v>
      </c>
      <c r="J226" s="60">
        <f>VLOOKUP(A226,自2017年7月及其他重点工程!A:AX,10,0)</f>
        <v>0</v>
      </c>
      <c r="K226" s="5">
        <f>VLOOKUP(A226,自2017年7月及其他重点工程!A:AX,42,0)</f>
        <v>0</v>
      </c>
      <c r="L226" s="5">
        <f>VLOOKUP(A226,自2017年7月及其他重点工程!A:AX,45,0)</f>
        <v>0</v>
      </c>
      <c r="M226" s="5">
        <f>VLOOKUP(A226,自2017年7月及其他重点工程!A:AX,46,0)</f>
        <v>43833</v>
      </c>
      <c r="N226" s="72"/>
      <c r="O226" s="75">
        <f>VLOOKUP(A226,自2017年7月及其他重点工程!A:AX,37,0)</f>
        <v>0</v>
      </c>
      <c r="P226" s="92"/>
      <c r="Q226" s="74"/>
      <c r="R226" s="77"/>
    </row>
    <row r="227" spans="1:18" ht="22.5" customHeight="1">
      <c r="A227" s="5" t="str">
        <f>自2017年7月及其他重点工程!A230</f>
        <v>JC21-1201-2018-000168</v>
      </c>
      <c r="B227" s="5">
        <f>VLOOKUP(A227,自2017年7月及其他重点工程!A:AX,2,0)</f>
        <v>0</v>
      </c>
      <c r="C227" s="5" t="e">
        <f>VLOOKUP(B227,自2017年7月及其他重点工程!B:AY,2,0)</f>
        <v>#N/A</v>
      </c>
      <c r="D227" s="5" t="e">
        <f>VLOOKUP(C227,自2017年7月及其他重点工程!C:AZ,2,0)</f>
        <v>#N/A</v>
      </c>
      <c r="E227" s="5" t="e">
        <f>VLOOKUP(D227,自2017年7月及其他重点工程!D:BA,2,0)</f>
        <v>#N/A</v>
      </c>
      <c r="F227" s="5" t="str">
        <f>VLOOKUP(A227,自2017年7月及其他重点工程!A:AX,8,0)</f>
        <v>刘宇辰</v>
      </c>
      <c r="G227" s="5">
        <f>VLOOKUP(A227,自2017年7月及其他重点工程!A:AX,33,0)</f>
        <v>0</v>
      </c>
      <c r="H227" s="5">
        <f>VLOOKUP(A227,自2017年7月及其他重点工程!A:AX,12,0)</f>
        <v>0</v>
      </c>
      <c r="I227" s="71">
        <f>VLOOKUP(A227,自2017年7月及其他重点工程!A:AX,23,0)</f>
        <v>0</v>
      </c>
      <c r="J227" s="60">
        <f>VLOOKUP(A227,自2017年7月及其他重点工程!A:AX,10,0)</f>
        <v>0</v>
      </c>
      <c r="K227" s="5">
        <f>VLOOKUP(A227,自2017年7月及其他重点工程!A:AX,42,0)</f>
        <v>0</v>
      </c>
      <c r="L227" s="5">
        <f>VLOOKUP(A227,自2017年7月及其他重点工程!A:AX,45,0)</f>
        <v>0</v>
      </c>
      <c r="M227" s="5">
        <f>VLOOKUP(A227,自2017年7月及其他重点工程!A:AX,46,0)</f>
        <v>43833</v>
      </c>
      <c r="N227" s="72"/>
      <c r="O227" s="75">
        <f>VLOOKUP(A227,自2017年7月及其他重点工程!A:AX,37,0)</f>
        <v>0</v>
      </c>
      <c r="P227" s="92"/>
      <c r="Q227" s="74"/>
      <c r="R227" s="77"/>
    </row>
    <row r="228" spans="1:18" ht="22.5" customHeight="1">
      <c r="A228" s="5" t="str">
        <f>自2017年7月及其他重点工程!A231</f>
        <v>JC21-1201-2018-000103</v>
      </c>
      <c r="B228" s="5">
        <f>VLOOKUP(A228,自2017年7月及其他重点工程!A:AX,2,0)</f>
        <v>0</v>
      </c>
      <c r="C228" s="5" t="e">
        <f>VLOOKUP(B228,自2017年7月及其他重点工程!B:AY,2,0)</f>
        <v>#N/A</v>
      </c>
      <c r="D228" s="5" t="e">
        <f>VLOOKUP(C228,自2017年7月及其他重点工程!C:AZ,2,0)</f>
        <v>#N/A</v>
      </c>
      <c r="E228" s="5" t="e">
        <f>VLOOKUP(D228,自2017年7月及其他重点工程!D:BA,2,0)</f>
        <v>#N/A</v>
      </c>
      <c r="F228" s="5" t="str">
        <f>VLOOKUP(A228,自2017年7月及其他重点工程!A:AX,8,0)</f>
        <v>刘宇辰</v>
      </c>
      <c r="G228" s="5">
        <f>VLOOKUP(A228,自2017年7月及其他重点工程!A:AX,33,0)</f>
        <v>0</v>
      </c>
      <c r="H228" s="5">
        <f>VLOOKUP(A228,自2017年7月及其他重点工程!A:AX,12,0)</f>
        <v>0</v>
      </c>
      <c r="I228" s="71">
        <f>VLOOKUP(A228,自2017年7月及其他重点工程!A:AX,23,0)</f>
        <v>0</v>
      </c>
      <c r="J228" s="60">
        <f>VLOOKUP(A228,自2017年7月及其他重点工程!A:AX,10,0)</f>
        <v>0</v>
      </c>
      <c r="K228" s="5">
        <f>VLOOKUP(A228,自2017年7月及其他重点工程!A:AX,42,0)</f>
        <v>0</v>
      </c>
      <c r="L228" s="5">
        <f>VLOOKUP(A228,自2017年7月及其他重点工程!A:AX,45,0)</f>
        <v>0</v>
      </c>
      <c r="M228" s="5">
        <f>VLOOKUP(A228,自2017年7月及其他重点工程!A:AX,46,0)</f>
        <v>43833</v>
      </c>
      <c r="N228" s="72"/>
      <c r="O228" s="75">
        <f>VLOOKUP(A228,自2017年7月及其他重点工程!A:AX,37,0)</f>
        <v>0</v>
      </c>
      <c r="P228" s="92"/>
      <c r="Q228" s="74"/>
      <c r="R228" s="77"/>
    </row>
    <row r="229" spans="1:18" ht="22.5" customHeight="1">
      <c r="A229" s="5" t="str">
        <f>自2017年7月及其他重点工程!A232</f>
        <v>JC21-1201-2018-000107</v>
      </c>
      <c r="B229" s="5">
        <f>VLOOKUP(A229,自2017年7月及其他重点工程!A:AX,2,0)</f>
        <v>0</v>
      </c>
      <c r="C229" s="5" t="e">
        <f>VLOOKUP(B229,自2017年7月及其他重点工程!B:AY,2,0)</f>
        <v>#N/A</v>
      </c>
      <c r="D229" s="5" t="e">
        <f>VLOOKUP(C229,自2017年7月及其他重点工程!C:AZ,2,0)</f>
        <v>#N/A</v>
      </c>
      <c r="E229" s="5" t="e">
        <f>VLOOKUP(D229,自2017年7月及其他重点工程!D:BA,2,0)</f>
        <v>#N/A</v>
      </c>
      <c r="F229" s="5" t="str">
        <f>VLOOKUP(A229,自2017年7月及其他重点工程!A:AX,8,0)</f>
        <v>刘宇辰</v>
      </c>
      <c r="G229" s="5">
        <f>VLOOKUP(A229,自2017年7月及其他重点工程!A:AX,33,0)</f>
        <v>0</v>
      </c>
      <c r="H229" s="5">
        <f>VLOOKUP(A229,自2017年7月及其他重点工程!A:AX,12,0)</f>
        <v>0</v>
      </c>
      <c r="I229" s="71">
        <f>VLOOKUP(A229,自2017年7月及其他重点工程!A:AX,23,0)</f>
        <v>0</v>
      </c>
      <c r="J229" s="60">
        <f>VLOOKUP(A229,自2017年7月及其他重点工程!A:AX,10,0)</f>
        <v>0</v>
      </c>
      <c r="K229" s="5">
        <f>VLOOKUP(A229,自2017年7月及其他重点工程!A:AX,42,0)</f>
        <v>0</v>
      </c>
      <c r="L229" s="5">
        <f>VLOOKUP(A229,自2017年7月及其他重点工程!A:AX,45,0)</f>
        <v>0</v>
      </c>
      <c r="M229" s="5">
        <f>VLOOKUP(A229,自2017年7月及其他重点工程!A:AX,46,0)</f>
        <v>43833</v>
      </c>
      <c r="N229" s="72"/>
      <c r="O229" s="75">
        <f>VLOOKUP(A229,自2017年7月及其他重点工程!A:AX,37,0)</f>
        <v>0</v>
      </c>
      <c r="P229" s="92"/>
      <c r="Q229" s="74"/>
      <c r="R229" s="77"/>
    </row>
    <row r="230" spans="1:18" ht="22.5" customHeight="1">
      <c r="A230" s="5" t="str">
        <f>自2017年7月及其他重点工程!A233</f>
        <v>JC21-1201-2018-000100</v>
      </c>
      <c r="B230" s="5">
        <f>VLOOKUP(A230,自2017年7月及其他重点工程!A:AX,2,0)</f>
        <v>0</v>
      </c>
      <c r="C230" s="5" t="e">
        <f>VLOOKUP(B230,自2017年7月及其他重点工程!B:AY,2,0)</f>
        <v>#N/A</v>
      </c>
      <c r="D230" s="5" t="e">
        <f>VLOOKUP(C230,自2017年7月及其他重点工程!C:AZ,2,0)</f>
        <v>#N/A</v>
      </c>
      <c r="E230" s="5" t="e">
        <f>VLOOKUP(D230,自2017年7月及其他重点工程!D:BA,2,0)</f>
        <v>#N/A</v>
      </c>
      <c r="F230" s="5" t="str">
        <f>VLOOKUP(A230,自2017年7月及其他重点工程!A:AX,8,0)</f>
        <v>刘宇辰</v>
      </c>
      <c r="G230" s="5">
        <f>VLOOKUP(A230,自2017年7月及其他重点工程!A:AX,33,0)</f>
        <v>0</v>
      </c>
      <c r="H230" s="5">
        <f>VLOOKUP(A230,自2017年7月及其他重点工程!A:AX,12,0)</f>
        <v>0</v>
      </c>
      <c r="I230" s="71">
        <f>VLOOKUP(A230,自2017年7月及其他重点工程!A:AX,23,0)</f>
        <v>0</v>
      </c>
      <c r="J230" s="60">
        <f>VLOOKUP(A230,自2017年7月及其他重点工程!A:AX,10,0)</f>
        <v>0</v>
      </c>
      <c r="K230" s="5">
        <f>VLOOKUP(A230,自2017年7月及其他重点工程!A:AX,42,0)</f>
        <v>0</v>
      </c>
      <c r="L230" s="5">
        <f>VLOOKUP(A230,自2017年7月及其他重点工程!A:AX,45,0)</f>
        <v>0</v>
      </c>
      <c r="M230" s="5">
        <f>VLOOKUP(A230,自2017年7月及其他重点工程!A:AX,46,0)</f>
        <v>43833</v>
      </c>
      <c r="N230" s="72"/>
      <c r="O230" s="75">
        <f>VLOOKUP(A230,自2017年7月及其他重点工程!A:AX,37,0)</f>
        <v>0</v>
      </c>
      <c r="P230" s="92"/>
      <c r="Q230" s="74"/>
      <c r="R230" s="77"/>
    </row>
    <row r="231" spans="1:18" ht="22.5" customHeight="1">
      <c r="A231" s="5" t="str">
        <f>自2017年7月及其他重点工程!A234</f>
        <v>JC21-1201-2018-000110</v>
      </c>
      <c r="B231" s="5">
        <f>VLOOKUP(A231,自2017年7月及其他重点工程!A:AX,2,0)</f>
        <v>0</v>
      </c>
      <c r="C231" s="5" t="e">
        <f>VLOOKUP(B231,自2017年7月及其他重点工程!B:AY,2,0)</f>
        <v>#N/A</v>
      </c>
      <c r="D231" s="5" t="e">
        <f>VLOOKUP(C231,自2017年7月及其他重点工程!C:AZ,2,0)</f>
        <v>#N/A</v>
      </c>
      <c r="E231" s="5" t="e">
        <f>VLOOKUP(D231,自2017年7月及其他重点工程!D:BA,2,0)</f>
        <v>#N/A</v>
      </c>
      <c r="F231" s="5" t="str">
        <f>VLOOKUP(A231,自2017年7月及其他重点工程!A:AX,8,0)</f>
        <v>刘宇辰</v>
      </c>
      <c r="G231" s="5">
        <f>VLOOKUP(A231,自2017年7月及其他重点工程!A:AX,33,0)</f>
        <v>0</v>
      </c>
      <c r="H231" s="5">
        <f>VLOOKUP(A231,自2017年7月及其他重点工程!A:AX,12,0)</f>
        <v>0</v>
      </c>
      <c r="I231" s="71">
        <f>VLOOKUP(A231,自2017年7月及其他重点工程!A:AX,23,0)</f>
        <v>0</v>
      </c>
      <c r="J231" s="60">
        <f>VLOOKUP(A231,自2017年7月及其他重点工程!A:AX,10,0)</f>
        <v>0</v>
      </c>
      <c r="K231" s="5">
        <f>VLOOKUP(A231,自2017年7月及其他重点工程!A:AX,42,0)</f>
        <v>0</v>
      </c>
      <c r="L231" s="5">
        <f>VLOOKUP(A231,自2017年7月及其他重点工程!A:AX,45,0)</f>
        <v>0</v>
      </c>
      <c r="M231" s="5">
        <f>VLOOKUP(A231,自2017年7月及其他重点工程!A:AX,46,0)</f>
        <v>43833</v>
      </c>
      <c r="N231" s="72"/>
      <c r="O231" s="75">
        <f>VLOOKUP(A231,自2017年7月及其他重点工程!A:AX,37,0)</f>
        <v>0</v>
      </c>
      <c r="P231" s="92"/>
      <c r="Q231" s="74"/>
      <c r="R231" s="77"/>
    </row>
    <row r="232" spans="1:18" ht="22.5" customHeight="1">
      <c r="A232" s="5" t="str">
        <f>自2017年7月及其他重点工程!A235</f>
        <v>JC21-1201-2018-000108</v>
      </c>
      <c r="B232" s="5">
        <f>VLOOKUP(A232,自2017年7月及其他重点工程!A:AX,2,0)</f>
        <v>0</v>
      </c>
      <c r="C232" s="5" t="e">
        <f>VLOOKUP(B232,自2017年7月及其他重点工程!B:AY,2,0)</f>
        <v>#N/A</v>
      </c>
      <c r="D232" s="5" t="e">
        <f>VLOOKUP(C232,自2017年7月及其他重点工程!C:AZ,2,0)</f>
        <v>#N/A</v>
      </c>
      <c r="E232" s="5" t="e">
        <f>VLOOKUP(D232,自2017年7月及其他重点工程!D:BA,2,0)</f>
        <v>#N/A</v>
      </c>
      <c r="F232" s="5" t="str">
        <f>VLOOKUP(A232,自2017年7月及其他重点工程!A:AX,8,0)</f>
        <v>刘宇辰</v>
      </c>
      <c r="G232" s="5">
        <f>VLOOKUP(A232,自2017年7月及其他重点工程!A:AX,33,0)</f>
        <v>0</v>
      </c>
      <c r="H232" s="5">
        <f>VLOOKUP(A232,自2017年7月及其他重点工程!A:AX,12,0)</f>
        <v>0</v>
      </c>
      <c r="I232" s="71">
        <f>VLOOKUP(A232,自2017年7月及其他重点工程!A:AX,23,0)</f>
        <v>0</v>
      </c>
      <c r="J232" s="60">
        <f>VLOOKUP(A232,自2017年7月及其他重点工程!A:AX,10,0)</f>
        <v>0</v>
      </c>
      <c r="K232" s="5">
        <f>VLOOKUP(A232,自2017年7月及其他重点工程!A:AX,42,0)</f>
        <v>0</v>
      </c>
      <c r="L232" s="5">
        <f>VLOOKUP(A232,自2017年7月及其他重点工程!A:AX,45,0)</f>
        <v>0</v>
      </c>
      <c r="M232" s="5">
        <f>VLOOKUP(A232,自2017年7月及其他重点工程!A:AX,46,0)</f>
        <v>43833</v>
      </c>
      <c r="N232" s="72"/>
      <c r="O232" s="75">
        <f>VLOOKUP(A232,自2017年7月及其他重点工程!A:AX,37,0)</f>
        <v>0</v>
      </c>
      <c r="P232" s="92"/>
      <c r="Q232" s="74"/>
      <c r="R232" s="77"/>
    </row>
    <row r="233" spans="1:18" ht="22.5" customHeight="1">
      <c r="A233" s="5" t="str">
        <f>自2017年7月及其他重点工程!A236</f>
        <v>JC21-1201-2018-000109</v>
      </c>
      <c r="B233" s="5">
        <f>VLOOKUP(A233,自2017年7月及其他重点工程!A:AX,2,0)</f>
        <v>0</v>
      </c>
      <c r="C233" s="5" t="e">
        <f>VLOOKUP(B233,自2017年7月及其他重点工程!B:AY,2,0)</f>
        <v>#N/A</v>
      </c>
      <c r="D233" s="5" t="e">
        <f>VLOOKUP(C233,自2017年7月及其他重点工程!C:AZ,2,0)</f>
        <v>#N/A</v>
      </c>
      <c r="E233" s="5" t="e">
        <f>VLOOKUP(D233,自2017年7月及其他重点工程!D:BA,2,0)</f>
        <v>#N/A</v>
      </c>
      <c r="F233" s="5" t="str">
        <f>VLOOKUP(A233,自2017年7月及其他重点工程!A:AX,8,0)</f>
        <v>刘宇辰</v>
      </c>
      <c r="G233" s="5">
        <f>VLOOKUP(A233,自2017年7月及其他重点工程!A:AX,33,0)</f>
        <v>0</v>
      </c>
      <c r="H233" s="5">
        <f>VLOOKUP(A233,自2017年7月及其他重点工程!A:AX,12,0)</f>
        <v>0</v>
      </c>
      <c r="I233" s="71">
        <f>VLOOKUP(A233,自2017年7月及其他重点工程!A:AX,23,0)</f>
        <v>0</v>
      </c>
      <c r="J233" s="60">
        <f>VLOOKUP(A233,自2017年7月及其他重点工程!A:AX,10,0)</f>
        <v>0</v>
      </c>
      <c r="K233" s="5">
        <f>VLOOKUP(A233,自2017年7月及其他重点工程!A:AX,42,0)</f>
        <v>0</v>
      </c>
      <c r="L233" s="5">
        <f>VLOOKUP(A233,自2017年7月及其他重点工程!A:AX,45,0)</f>
        <v>0</v>
      </c>
      <c r="M233" s="5">
        <f>VLOOKUP(A233,自2017年7月及其他重点工程!A:AX,46,0)</f>
        <v>43833</v>
      </c>
      <c r="N233" s="72"/>
      <c r="O233" s="75">
        <f>VLOOKUP(A233,自2017年7月及其他重点工程!A:AX,37,0)</f>
        <v>0</v>
      </c>
      <c r="P233" s="92"/>
      <c r="Q233" s="74"/>
      <c r="R233" s="77"/>
    </row>
    <row r="234" spans="1:18" ht="22.5" customHeight="1">
      <c r="A234" s="5" t="str">
        <f>自2017年7月及其他重点工程!A237</f>
        <v>JC21-1201-2018-000124</v>
      </c>
      <c r="B234" s="5">
        <f>VLOOKUP(A234,自2017年7月及其他重点工程!A:AX,2,0)</f>
        <v>0</v>
      </c>
      <c r="C234" s="5" t="e">
        <f>VLOOKUP(B234,自2017年7月及其他重点工程!B:AY,2,0)</f>
        <v>#N/A</v>
      </c>
      <c r="D234" s="5" t="e">
        <f>VLOOKUP(C234,自2017年7月及其他重点工程!C:AZ,2,0)</f>
        <v>#N/A</v>
      </c>
      <c r="E234" s="5" t="e">
        <f>VLOOKUP(D234,自2017年7月及其他重点工程!D:BA,2,0)</f>
        <v>#N/A</v>
      </c>
      <c r="F234" s="5" t="str">
        <f>VLOOKUP(A234,自2017年7月及其他重点工程!A:AX,8,0)</f>
        <v>刘宇辰</v>
      </c>
      <c r="G234" s="5">
        <f>VLOOKUP(A234,自2017年7月及其他重点工程!A:AX,33,0)</f>
        <v>0</v>
      </c>
      <c r="H234" s="5">
        <f>VLOOKUP(A234,自2017年7月及其他重点工程!A:AX,12,0)</f>
        <v>0</v>
      </c>
      <c r="I234" s="71">
        <f>VLOOKUP(A234,自2017年7月及其他重点工程!A:AX,23,0)</f>
        <v>0</v>
      </c>
      <c r="J234" s="60">
        <f>VLOOKUP(A234,自2017年7月及其他重点工程!A:AX,10,0)</f>
        <v>0</v>
      </c>
      <c r="K234" s="5">
        <f>VLOOKUP(A234,自2017年7月及其他重点工程!A:AX,42,0)</f>
        <v>0</v>
      </c>
      <c r="L234" s="5">
        <f>VLOOKUP(A234,自2017年7月及其他重点工程!A:AX,45,0)</f>
        <v>0</v>
      </c>
      <c r="M234" s="5">
        <f>VLOOKUP(A234,自2017年7月及其他重点工程!A:AX,46,0)</f>
        <v>43833</v>
      </c>
      <c r="N234" s="72"/>
      <c r="O234" s="75">
        <f>VLOOKUP(A234,自2017年7月及其他重点工程!A:AX,37,0)</f>
        <v>0</v>
      </c>
      <c r="P234" s="92"/>
      <c r="Q234" s="74"/>
      <c r="R234" s="77"/>
    </row>
    <row r="235" spans="1:18" ht="22.5" customHeight="1">
      <c r="A235" s="5" t="str">
        <f>自2017年7月及其他重点工程!A238</f>
        <v>JC21-1201-2018-000122</v>
      </c>
      <c r="B235" s="5">
        <f>VLOOKUP(A235,自2017年7月及其他重点工程!A:AX,2,0)</f>
        <v>0</v>
      </c>
      <c r="C235" s="5" t="e">
        <f>VLOOKUP(B235,自2017年7月及其他重点工程!B:AY,2,0)</f>
        <v>#N/A</v>
      </c>
      <c r="D235" s="5" t="e">
        <f>VLOOKUP(C235,自2017年7月及其他重点工程!C:AZ,2,0)</f>
        <v>#N/A</v>
      </c>
      <c r="E235" s="5" t="e">
        <f>VLOOKUP(D235,自2017年7月及其他重点工程!D:BA,2,0)</f>
        <v>#N/A</v>
      </c>
      <c r="F235" s="5" t="str">
        <f>VLOOKUP(A235,自2017年7月及其他重点工程!A:AX,8,0)</f>
        <v>刘宇辰</v>
      </c>
      <c r="G235" s="5">
        <f>VLOOKUP(A235,自2017年7月及其他重点工程!A:AX,33,0)</f>
        <v>0</v>
      </c>
      <c r="H235" s="5">
        <f>VLOOKUP(A235,自2017年7月及其他重点工程!A:AX,12,0)</f>
        <v>0</v>
      </c>
      <c r="I235" s="71">
        <f>VLOOKUP(A235,自2017年7月及其他重点工程!A:AX,23,0)</f>
        <v>0</v>
      </c>
      <c r="J235" s="60">
        <f>VLOOKUP(A235,自2017年7月及其他重点工程!A:AX,10,0)</f>
        <v>0</v>
      </c>
      <c r="K235" s="5">
        <f>VLOOKUP(A235,自2017年7月及其他重点工程!A:AX,42,0)</f>
        <v>0</v>
      </c>
      <c r="L235" s="5">
        <f>VLOOKUP(A235,自2017年7月及其他重点工程!A:AX,45,0)</f>
        <v>0</v>
      </c>
      <c r="M235" s="5">
        <f>VLOOKUP(A235,自2017年7月及其他重点工程!A:AX,46,0)</f>
        <v>43833</v>
      </c>
      <c r="N235" s="72"/>
      <c r="O235" s="75">
        <f>VLOOKUP(A235,自2017年7月及其他重点工程!A:AX,37,0)</f>
        <v>0</v>
      </c>
      <c r="P235" s="92"/>
      <c r="Q235" s="74"/>
      <c r="R235" s="77"/>
    </row>
  </sheetData>
  <autoFilter ref="N1:N191" xr:uid="{00000000-0009-0000-0000-000004000000}"/>
  <mergeCells count="4">
    <mergeCell ref="E171:M171"/>
    <mergeCell ref="E172:M172"/>
    <mergeCell ref="E173:M173"/>
    <mergeCell ref="E174:M17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
  <sheetViews>
    <sheetView topLeftCell="A7" workbookViewId="0">
      <selection activeCell="E1" sqref="E1:H1"/>
    </sheetView>
  </sheetViews>
  <sheetFormatPr defaultColWidth="9" defaultRowHeight="30.75" customHeight="1"/>
  <cols>
    <col min="12" max="12" width="6.21875" customWidth="1"/>
    <col min="15" max="15" width="9" style="46"/>
    <col min="16" max="16" width="16" style="46" customWidth="1"/>
    <col min="17" max="17" width="8.33203125" customWidth="1"/>
    <col min="18" max="18" width="9.88671875" customWidth="1"/>
  </cols>
  <sheetData>
    <row r="1" spans="1:18" ht="30.75" customHeight="1">
      <c r="A1" s="49" t="str">
        <f>自2017年7月及其他重点工程!B2</f>
        <v>项目编号</v>
      </c>
      <c r="B1" s="49" t="str">
        <f>自2017年7月及其他重点工程!A2</f>
        <v>系统合同号</v>
      </c>
      <c r="C1" s="49" t="str">
        <f>自2017年7月及其他重点工程!C2</f>
        <v>ERP编号</v>
      </c>
      <c r="D1" s="49" t="str">
        <f>自2017年7月及其他重点工程!D2</f>
        <v>项目名称</v>
      </c>
      <c r="E1" s="49" t="str">
        <f>自2017年7月及其他重点工程!E2</f>
        <v>所属分公司</v>
      </c>
      <c r="F1" s="50" t="str">
        <f>自2017年7月及其他重点工程!G2</f>
        <v>客户经理</v>
      </c>
      <c r="G1" s="49" t="str">
        <f>自2017年7月及其他重点工程!AF2</f>
        <v>项目经理</v>
      </c>
      <c r="H1" s="49" t="str">
        <f>自2017年7月及其他重点工程!K2</f>
        <v>收入合同总额</v>
      </c>
      <c r="I1" s="56" t="str">
        <f>自2017年7月及其他重点工程!V2</f>
        <v>委托书标注利润率</v>
      </c>
      <c r="J1" s="57" t="str">
        <f>自2017年7月及其他重点工程!I2</f>
        <v>下建维部委托时间</v>
      </c>
      <c r="K1" s="49" t="e">
        <f>自2017年7月及其他重点工程!#REF!</f>
        <v>#REF!</v>
      </c>
      <c r="L1" s="49" t="str">
        <f>自2017年7月及其他重点工程!AW2</f>
        <v>是否下采购委托</v>
      </c>
      <c r="M1" s="49" t="str">
        <f>自2017年7月及其他重点工程!AX2</f>
        <v>采购委托下达时间</v>
      </c>
      <c r="N1" s="49" t="str">
        <f>自2017年7月及其他重点工程!AV2</f>
        <v>当前项目情况</v>
      </c>
      <c r="O1" s="58" t="str">
        <f>自2017年7月及其他重点工程!AQ2</f>
        <v>验收时间</v>
      </c>
      <c r="P1" s="49" t="str">
        <f>自2017年7月及其他重点工程!AS2</f>
        <v>质保/维保期</v>
      </c>
      <c r="Q1" s="49" t="str">
        <f>自2017年7月及其他重点工程!AU2</f>
        <v>项目运行模式</v>
      </c>
      <c r="R1" s="49" t="str">
        <f>自2017年7月及其他重点工程!AT2</f>
        <v>项目终止时间</v>
      </c>
    </row>
    <row r="2" spans="1:18" ht="30.75" customHeight="1">
      <c r="A2" s="5" t="s">
        <v>2712</v>
      </c>
      <c r="B2" s="5"/>
      <c r="C2" s="6" t="s">
        <v>2713</v>
      </c>
      <c r="D2" s="5" t="s">
        <v>2714</v>
      </c>
      <c r="E2" s="5" t="s">
        <v>83</v>
      </c>
      <c r="F2" s="6" t="s">
        <v>2716</v>
      </c>
      <c r="G2" s="31" t="s">
        <v>132</v>
      </c>
      <c r="H2" s="51">
        <v>738000</v>
      </c>
      <c r="I2" s="59">
        <f>(12+21.38)/2/100</f>
        <v>0.16689999999999997</v>
      </c>
      <c r="J2" s="60" t="s">
        <v>2717</v>
      </c>
      <c r="K2" s="51" t="s">
        <v>71</v>
      </c>
      <c r="L2" s="51" t="s">
        <v>71</v>
      </c>
      <c r="M2" s="51"/>
      <c r="N2" s="51" t="s">
        <v>66</v>
      </c>
      <c r="O2" s="31">
        <v>2017.12</v>
      </c>
      <c r="P2" s="31" t="s">
        <v>78</v>
      </c>
      <c r="Q2" s="51"/>
      <c r="R2" s="51">
        <v>2018.12</v>
      </c>
    </row>
    <row r="3" spans="1:18" ht="30.75" customHeight="1">
      <c r="A3" s="5" t="s">
        <v>2728</v>
      </c>
      <c r="B3" s="9"/>
      <c r="C3" s="6" t="s">
        <v>2729</v>
      </c>
      <c r="D3" s="5" t="s">
        <v>2730</v>
      </c>
      <c r="E3" s="5" t="s">
        <v>83</v>
      </c>
      <c r="F3" s="6" t="s">
        <v>157</v>
      </c>
      <c r="G3" s="31" t="s">
        <v>132</v>
      </c>
      <c r="H3" s="51">
        <v>132000</v>
      </c>
      <c r="I3" s="59">
        <v>0.15</v>
      </c>
      <c r="J3" s="60" t="s">
        <v>2731</v>
      </c>
      <c r="K3" s="51" t="s">
        <v>71</v>
      </c>
      <c r="L3" s="51" t="s">
        <v>71</v>
      </c>
      <c r="M3" s="51"/>
      <c r="N3" s="51" t="s">
        <v>66</v>
      </c>
      <c r="O3" s="25" t="s">
        <v>2738</v>
      </c>
      <c r="P3" s="31"/>
      <c r="Q3" s="51"/>
      <c r="R3" s="51">
        <v>2019.1</v>
      </c>
    </row>
    <row r="4" spans="1:18" ht="30.75" customHeight="1">
      <c r="A4" s="5" t="s">
        <v>2740</v>
      </c>
      <c r="B4" s="5"/>
      <c r="C4" s="5" t="s">
        <v>2741</v>
      </c>
      <c r="D4" s="5" t="s">
        <v>2742</v>
      </c>
      <c r="E4" s="5" t="s">
        <v>83</v>
      </c>
      <c r="F4" s="6" t="s">
        <v>2716</v>
      </c>
      <c r="G4" s="31" t="s">
        <v>132</v>
      </c>
      <c r="H4" s="51">
        <v>180000</v>
      </c>
      <c r="I4" s="59">
        <v>0.15</v>
      </c>
      <c r="J4" s="60" t="s">
        <v>2743</v>
      </c>
      <c r="K4" s="51" t="s">
        <v>71</v>
      </c>
      <c r="L4" s="51" t="s">
        <v>71</v>
      </c>
      <c r="M4" s="51"/>
      <c r="N4" s="51" t="s">
        <v>2926</v>
      </c>
      <c r="O4" s="54"/>
      <c r="P4" s="51" t="s">
        <v>3054</v>
      </c>
      <c r="Q4" s="51" t="s">
        <v>2926</v>
      </c>
      <c r="R4" s="51" t="s">
        <v>3055</v>
      </c>
    </row>
    <row r="5" spans="1:18" ht="30.75" customHeight="1">
      <c r="A5" s="43" t="s">
        <v>2752</v>
      </c>
      <c r="B5" s="52"/>
      <c r="C5" s="43" t="s">
        <v>2753</v>
      </c>
      <c r="D5" s="26" t="s">
        <v>2754</v>
      </c>
      <c r="E5" s="26"/>
      <c r="F5" s="53"/>
      <c r="G5" s="52" t="s">
        <v>145</v>
      </c>
      <c r="H5" s="54"/>
      <c r="I5" s="59"/>
      <c r="J5" s="61" t="s">
        <v>2755</v>
      </c>
      <c r="K5" s="54" t="s">
        <v>71</v>
      </c>
      <c r="L5" s="51" t="s">
        <v>71</v>
      </c>
      <c r="M5" s="51"/>
      <c r="N5" s="51" t="s">
        <v>66</v>
      </c>
      <c r="O5" s="54" t="s">
        <v>2757</v>
      </c>
      <c r="P5" s="51" t="s">
        <v>78</v>
      </c>
      <c r="Q5" s="51"/>
      <c r="R5" s="51"/>
    </row>
    <row r="6" spans="1:18" ht="30.75" customHeight="1">
      <c r="A6" s="43" t="s">
        <v>2759</v>
      </c>
      <c r="B6" s="55"/>
      <c r="C6" s="43" t="s">
        <v>2760</v>
      </c>
      <c r="D6" s="26" t="s">
        <v>2761</v>
      </c>
      <c r="E6" s="26"/>
      <c r="F6" s="53"/>
      <c r="G6" s="52" t="s">
        <v>77</v>
      </c>
      <c r="H6" s="54"/>
      <c r="I6" s="59"/>
      <c r="J6" s="61" t="s">
        <v>2755</v>
      </c>
      <c r="K6" s="54" t="s">
        <v>71</v>
      </c>
      <c r="L6" s="51" t="s">
        <v>71</v>
      </c>
      <c r="M6" s="51"/>
      <c r="N6" s="51"/>
      <c r="O6" s="25"/>
      <c r="P6" s="31"/>
      <c r="Q6" s="51"/>
      <c r="R6" s="51"/>
    </row>
    <row r="7" spans="1:18" ht="30.75" customHeight="1">
      <c r="A7" s="52"/>
      <c r="B7" s="52"/>
      <c r="C7" s="52"/>
      <c r="D7" s="26" t="s">
        <v>2768</v>
      </c>
      <c r="E7" s="26"/>
      <c r="F7" s="53"/>
      <c r="G7" s="52" t="s">
        <v>108</v>
      </c>
      <c r="H7" s="54"/>
      <c r="I7" s="59"/>
      <c r="J7" s="61" t="s">
        <v>2755</v>
      </c>
      <c r="K7" s="54" t="s">
        <v>71</v>
      </c>
      <c r="L7" s="51" t="s">
        <v>71</v>
      </c>
      <c r="M7" s="51"/>
      <c r="N7" s="51" t="s">
        <v>66</v>
      </c>
      <c r="O7" s="25">
        <v>2018.1</v>
      </c>
      <c r="P7" s="31" t="s">
        <v>78</v>
      </c>
      <c r="Q7" s="51"/>
      <c r="R7" s="51"/>
    </row>
    <row r="8" spans="1:18" ht="30.75" customHeight="1">
      <c r="A8" s="5" t="s">
        <v>2771</v>
      </c>
      <c r="B8" s="9"/>
      <c r="C8" s="5" t="s">
        <v>2773</v>
      </c>
      <c r="D8" s="5" t="s">
        <v>2774</v>
      </c>
      <c r="E8" s="5" t="s">
        <v>1093</v>
      </c>
      <c r="F8" s="6" t="s">
        <v>76</v>
      </c>
      <c r="G8" s="31" t="s">
        <v>948</v>
      </c>
      <c r="H8" s="51">
        <v>800111.81</v>
      </c>
      <c r="I8" s="59">
        <v>0.1</v>
      </c>
      <c r="J8" s="60" t="s">
        <v>2775</v>
      </c>
      <c r="K8" s="51" t="s">
        <v>71</v>
      </c>
      <c r="L8" s="51" t="s">
        <v>71</v>
      </c>
      <c r="M8" s="51"/>
      <c r="N8" s="51" t="s">
        <v>66</v>
      </c>
      <c r="O8" s="62" t="s">
        <v>3056</v>
      </c>
      <c r="P8" s="31" t="s">
        <v>78</v>
      </c>
      <c r="Q8" s="51"/>
      <c r="R8" s="51"/>
    </row>
    <row r="9" spans="1:18" ht="30.75" customHeight="1">
      <c r="A9" s="5" t="s">
        <v>2782</v>
      </c>
      <c r="B9" s="5"/>
      <c r="C9" s="5" t="s">
        <v>2783</v>
      </c>
      <c r="D9" s="5" t="s">
        <v>2784</v>
      </c>
      <c r="E9" s="5" t="s">
        <v>156</v>
      </c>
      <c r="F9" s="6" t="s">
        <v>157</v>
      </c>
      <c r="G9" s="31" t="s">
        <v>114</v>
      </c>
      <c r="H9" s="51">
        <v>900000</v>
      </c>
      <c r="I9" s="59">
        <v>0.15</v>
      </c>
      <c r="J9" s="60" t="s">
        <v>2785</v>
      </c>
      <c r="K9" s="51" t="s">
        <v>71</v>
      </c>
      <c r="L9" s="51" t="s">
        <v>71</v>
      </c>
      <c r="M9" s="51"/>
      <c r="N9" s="9">
        <v>2019.2</v>
      </c>
      <c r="O9" s="52"/>
      <c r="P9" s="5"/>
      <c r="Q9" s="9"/>
      <c r="R9" s="9"/>
    </row>
    <row r="10" spans="1:18" ht="30.75" customHeight="1">
      <c r="A10" s="5" t="s">
        <v>2787</v>
      </c>
      <c r="B10" s="5" t="s">
        <v>2788</v>
      </c>
      <c r="C10" s="5" t="s">
        <v>2789</v>
      </c>
      <c r="D10" s="5" t="s">
        <v>2790</v>
      </c>
      <c r="E10" s="5" t="s">
        <v>83</v>
      </c>
      <c r="F10" s="6" t="s">
        <v>175</v>
      </c>
      <c r="G10" s="9" t="s">
        <v>108</v>
      </c>
      <c r="H10" s="51">
        <v>2041050</v>
      </c>
      <c r="I10" s="59"/>
      <c r="J10" s="60">
        <v>43325</v>
      </c>
      <c r="K10" s="51" t="s">
        <v>71</v>
      </c>
      <c r="L10" s="51" t="s">
        <v>71</v>
      </c>
      <c r="M10" s="51"/>
      <c r="N10" s="5" t="s">
        <v>3057</v>
      </c>
      <c r="O10" s="9"/>
      <c r="P10" s="5" t="s">
        <v>3058</v>
      </c>
      <c r="Q10" s="9"/>
      <c r="R10" s="9" t="s">
        <v>382</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6"/>
  <sheetViews>
    <sheetView topLeftCell="A4" workbookViewId="0">
      <selection activeCell="E1" sqref="E1:H1"/>
    </sheetView>
  </sheetViews>
  <sheetFormatPr defaultColWidth="9" defaultRowHeight="14.4"/>
  <cols>
    <col min="15" max="15" width="11.44140625" style="46" customWidth="1"/>
    <col min="16" max="16" width="21.21875" style="46" customWidth="1"/>
  </cols>
  <sheetData>
    <row r="1" spans="1:1">
      <c r="A1" t="s">
        <v>3059</v>
      </c>
    </row>
    <row r="2" spans="1:1">
      <c r="A2" t="s">
        <v>3060</v>
      </c>
    </row>
    <row r="3" spans="1:1">
      <c r="A3" t="s">
        <v>3061</v>
      </c>
    </row>
    <row r="4" spans="1:1">
      <c r="A4" t="s">
        <v>3062</v>
      </c>
    </row>
    <row r="5" spans="1:1">
      <c r="A5" t="s">
        <v>3063</v>
      </c>
    </row>
    <row r="6" spans="1:1">
      <c r="A6" t="s">
        <v>3064</v>
      </c>
    </row>
    <row r="7" spans="1:1">
      <c r="A7" t="s">
        <v>3065</v>
      </c>
    </row>
    <row r="8" spans="1:1">
      <c r="A8" t="s">
        <v>3066</v>
      </c>
    </row>
    <row r="9" spans="1:1">
      <c r="A9" t="s">
        <v>3067</v>
      </c>
    </row>
    <row r="10" spans="1:1">
      <c r="A10" t="s">
        <v>3068</v>
      </c>
    </row>
    <row r="11" spans="1:1">
      <c r="A11" t="s">
        <v>3069</v>
      </c>
    </row>
    <row r="12" spans="1:1">
      <c r="A12" t="s">
        <v>3070</v>
      </c>
    </row>
    <row r="13" spans="1:1">
      <c r="A13" t="s">
        <v>3071</v>
      </c>
    </row>
    <row r="14" spans="1:1">
      <c r="A14" t="s">
        <v>3072</v>
      </c>
    </row>
    <row r="15" spans="1:1">
      <c r="A15" t="s">
        <v>3073</v>
      </c>
    </row>
    <row r="16" spans="1:1">
      <c r="A16" t="s">
        <v>3074</v>
      </c>
    </row>
    <row r="17" spans="1:16">
      <c r="A17" t="s">
        <v>3075</v>
      </c>
    </row>
    <row r="18" spans="1:16">
      <c r="A18" t="s">
        <v>3076</v>
      </c>
    </row>
    <row r="19" spans="1:16">
      <c r="A19" t="s">
        <v>3077</v>
      </c>
    </row>
    <row r="20" spans="1:16">
      <c r="A20" t="s">
        <v>3078</v>
      </c>
    </row>
    <row r="21" spans="1:16">
      <c r="A21" t="s">
        <v>3079</v>
      </c>
    </row>
    <row r="22" spans="1:16">
      <c r="A22" t="s">
        <v>3080</v>
      </c>
    </row>
    <row r="23" spans="1:16">
      <c r="A23" t="s">
        <v>1365</v>
      </c>
    </row>
    <row r="24" spans="1:16">
      <c r="A24" t="s">
        <v>3081</v>
      </c>
    </row>
    <row r="25" spans="1:16">
      <c r="A25" t="s">
        <v>3082</v>
      </c>
    </row>
    <row r="26" spans="1:16">
      <c r="A26" t="s">
        <v>3083</v>
      </c>
    </row>
    <row r="27" spans="1:16">
      <c r="A27" t="s">
        <v>3084</v>
      </c>
    </row>
    <row r="28" spans="1:16" ht="23.25" customHeight="1">
      <c r="A28" t="s">
        <v>3085</v>
      </c>
      <c r="F28">
        <v>190</v>
      </c>
      <c r="O28" s="47">
        <v>121</v>
      </c>
      <c r="P28" s="47" t="s">
        <v>3086</v>
      </c>
    </row>
    <row r="29" spans="1:16" ht="23.25" customHeight="1">
      <c r="O29" s="47">
        <v>6</v>
      </c>
      <c r="P29" s="47" t="s">
        <v>3087</v>
      </c>
    </row>
    <row r="30" spans="1:16" ht="23.25" customHeight="1">
      <c r="O30" s="47">
        <v>127</v>
      </c>
      <c r="P30" s="47" t="s">
        <v>3088</v>
      </c>
    </row>
    <row r="31" spans="1:16" ht="23.25" customHeight="1">
      <c r="A31" t="s">
        <v>3089</v>
      </c>
      <c r="F31">
        <v>55</v>
      </c>
      <c r="N31" s="46" t="s">
        <v>3090</v>
      </c>
      <c r="O31" s="47">
        <v>22</v>
      </c>
      <c r="P31" s="47" t="s">
        <v>1350</v>
      </c>
    </row>
    <row r="32" spans="1:16" ht="23.25" customHeight="1">
      <c r="A32" t="s">
        <v>3091</v>
      </c>
      <c r="F32">
        <v>8</v>
      </c>
      <c r="O32" s="47">
        <v>69</v>
      </c>
      <c r="P32" s="47" t="s">
        <v>66</v>
      </c>
    </row>
    <row r="33" spans="1:16" ht="23.25" customHeight="1">
      <c r="O33" s="48"/>
      <c r="P33" s="48"/>
    </row>
    <row r="34" spans="1:16" ht="23.25" customHeight="1">
      <c r="O34" s="48"/>
      <c r="P34" s="48"/>
    </row>
    <row r="35" spans="1:16" ht="23.25" customHeight="1">
      <c r="A35" t="s">
        <v>3092</v>
      </c>
      <c r="F35">
        <f>F28-F31-F32+1</f>
        <v>128</v>
      </c>
      <c r="O35" s="47">
        <v>3</v>
      </c>
      <c r="P35" s="47" t="s">
        <v>3093</v>
      </c>
    </row>
    <row r="36" spans="1:16" ht="23.25" customHeight="1">
      <c r="A36" t="s">
        <v>3094</v>
      </c>
      <c r="F36">
        <v>6</v>
      </c>
      <c r="N36" s="46" t="s">
        <v>3095</v>
      </c>
      <c r="O36" s="47">
        <v>1</v>
      </c>
      <c r="P36" s="47" t="s">
        <v>1350</v>
      </c>
    </row>
    <row r="37" spans="1:16" ht="23.25" customHeight="1">
      <c r="A37" t="s">
        <v>3096</v>
      </c>
      <c r="O37" s="47">
        <v>1</v>
      </c>
      <c r="P37" s="47" t="s">
        <v>66</v>
      </c>
    </row>
    <row r="38" spans="1:16">
      <c r="A38" t="s">
        <v>3097</v>
      </c>
      <c r="F38">
        <f>SUM(F35:F36)</f>
        <v>134</v>
      </c>
    </row>
    <row r="39" spans="1:16">
      <c r="A39" t="s">
        <v>3098</v>
      </c>
      <c r="F39">
        <v>3</v>
      </c>
    </row>
    <row r="40" spans="1:16">
      <c r="A40" t="s">
        <v>3099</v>
      </c>
      <c r="F40">
        <f>SUM(F38:F39)</f>
        <v>137</v>
      </c>
    </row>
    <row r="41" spans="1:16">
      <c r="A41" t="s">
        <v>3100</v>
      </c>
    </row>
    <row r="42" spans="1:16">
      <c r="A42" t="s">
        <v>3101</v>
      </c>
    </row>
    <row r="43" spans="1:16">
      <c r="A43" t="s">
        <v>3102</v>
      </c>
    </row>
    <row r="44" spans="1:16">
      <c r="A44" t="s">
        <v>3103</v>
      </c>
    </row>
    <row r="45" spans="1:16">
      <c r="A45" t="s">
        <v>3104</v>
      </c>
    </row>
    <row r="46" spans="1:16">
      <c r="A46" t="s">
        <v>3105</v>
      </c>
    </row>
    <row r="47" spans="1:16">
      <c r="A47" t="s">
        <v>3106</v>
      </c>
    </row>
    <row r="48" spans="1:16">
      <c r="A48" t="s">
        <v>3107</v>
      </c>
    </row>
    <row r="49" spans="1:1">
      <c r="A49" t="s">
        <v>3108</v>
      </c>
    </row>
    <row r="50" spans="1:1">
      <c r="A50" t="s">
        <v>3109</v>
      </c>
    </row>
    <row r="51" spans="1:1">
      <c r="A51" t="s">
        <v>3110</v>
      </c>
    </row>
    <row r="52" spans="1:1">
      <c r="A52" t="s">
        <v>3111</v>
      </c>
    </row>
    <row r="53" spans="1:1">
      <c r="A53" t="s">
        <v>3112</v>
      </c>
    </row>
    <row r="54" spans="1:1">
      <c r="A54" t="s">
        <v>3113</v>
      </c>
    </row>
    <row r="55" spans="1:1">
      <c r="A55" t="s">
        <v>3114</v>
      </c>
    </row>
    <row r="56" spans="1:1">
      <c r="A56" t="s">
        <v>3115</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56"/>
  <sheetViews>
    <sheetView workbookViewId="0">
      <selection activeCell="E1" sqref="E1:H1"/>
    </sheetView>
  </sheetViews>
  <sheetFormatPr defaultColWidth="9" defaultRowHeight="14.4"/>
  <cols>
    <col min="1" max="1" width="13.44140625" style="1" customWidth="1"/>
    <col min="2" max="2" width="11" style="2" customWidth="1"/>
    <col min="5" max="5" width="13.21875" customWidth="1"/>
    <col min="6" max="6" width="12.77734375" customWidth="1"/>
    <col min="7" max="7" width="14.88671875" customWidth="1"/>
  </cols>
  <sheetData>
    <row r="1" spans="1:7">
      <c r="A1" s="3" t="s">
        <v>10</v>
      </c>
      <c r="B1" s="3" t="s">
        <v>9</v>
      </c>
      <c r="E1" s="3" t="s">
        <v>8</v>
      </c>
      <c r="F1" s="3" t="s">
        <v>10</v>
      </c>
      <c r="G1" s="3" t="s">
        <v>9</v>
      </c>
    </row>
    <row r="2" spans="1:7" ht="21.6">
      <c r="A2" s="4" t="s">
        <v>58</v>
      </c>
      <c r="B2" s="4" t="s">
        <v>2967</v>
      </c>
      <c r="E2" s="5"/>
      <c r="F2" s="6" t="s">
        <v>2713</v>
      </c>
      <c r="G2" s="5" t="s">
        <v>2712</v>
      </c>
    </row>
    <row r="3" spans="1:7" ht="21.6">
      <c r="A3" s="7" t="s">
        <v>73</v>
      </c>
      <c r="B3" s="8" t="s">
        <v>2968</v>
      </c>
      <c r="E3" s="9"/>
      <c r="F3" s="6" t="s">
        <v>2729</v>
      </c>
      <c r="G3" s="5" t="s">
        <v>2728</v>
      </c>
    </row>
    <row r="4" spans="1:7" ht="21.6">
      <c r="A4" s="10" t="s">
        <v>81</v>
      </c>
      <c r="B4" s="10" t="s">
        <v>2969</v>
      </c>
      <c r="E4" s="5"/>
      <c r="F4" s="5" t="s">
        <v>2741</v>
      </c>
      <c r="G4" s="5" t="s">
        <v>2740</v>
      </c>
    </row>
    <row r="5" spans="1:7" ht="21.6">
      <c r="A5" s="10" t="s">
        <v>90</v>
      </c>
      <c r="B5" s="11" t="s">
        <v>2970</v>
      </c>
      <c r="E5" s="12"/>
      <c r="F5" s="13" t="s">
        <v>2753</v>
      </c>
      <c r="G5" s="13" t="s">
        <v>2752</v>
      </c>
    </row>
    <row r="6" spans="1:7" ht="21.6">
      <c r="A6" s="14" t="s">
        <v>95</v>
      </c>
      <c r="B6" s="14" t="s">
        <v>2972</v>
      </c>
      <c r="E6" s="15"/>
      <c r="F6" s="13" t="s">
        <v>2760</v>
      </c>
      <c r="G6" s="13" t="s">
        <v>2759</v>
      </c>
    </row>
    <row r="7" spans="1:7" ht="27.6">
      <c r="A7" s="16" t="s">
        <v>101</v>
      </c>
      <c r="B7" s="17" t="s">
        <v>2974</v>
      </c>
      <c r="E7" s="12"/>
      <c r="F7" s="12"/>
      <c r="G7" s="12"/>
    </row>
    <row r="8" spans="1:7" ht="21.6">
      <c r="A8" s="18" t="s">
        <v>104</v>
      </c>
      <c r="B8" s="19" t="s">
        <v>103</v>
      </c>
      <c r="E8" s="5" t="s">
        <v>2772</v>
      </c>
      <c r="F8" s="5" t="s">
        <v>2773</v>
      </c>
      <c r="G8" s="5" t="s">
        <v>2771</v>
      </c>
    </row>
    <row r="9" spans="1:7" ht="27.6">
      <c r="A9" s="16" t="s">
        <v>111</v>
      </c>
      <c r="B9" s="17" t="s">
        <v>2975</v>
      </c>
      <c r="E9" s="5"/>
      <c r="F9" s="5" t="s">
        <v>2783</v>
      </c>
      <c r="G9" s="5" t="s">
        <v>2782</v>
      </c>
    </row>
    <row r="10" spans="1:7" ht="21.6">
      <c r="A10" s="7" t="s">
        <v>116</v>
      </c>
      <c r="B10" s="8" t="s">
        <v>115</v>
      </c>
      <c r="E10" s="5" t="s">
        <v>2788</v>
      </c>
      <c r="F10" s="5" t="s">
        <v>2789</v>
      </c>
      <c r="G10" s="5" t="s">
        <v>2787</v>
      </c>
    </row>
    <row r="11" spans="1:7" ht="21.6">
      <c r="A11" s="20" t="s">
        <v>124</v>
      </c>
      <c r="B11" s="20" t="s">
        <v>2976</v>
      </c>
      <c r="E11" s="5" t="s">
        <v>3116</v>
      </c>
      <c r="F11" s="5" t="s">
        <v>2783</v>
      </c>
      <c r="G11" s="5" t="s">
        <v>2791</v>
      </c>
    </row>
    <row r="12" spans="1:7">
      <c r="A12" s="10" t="s">
        <v>137</v>
      </c>
      <c r="B12" s="11" t="s">
        <v>2978</v>
      </c>
      <c r="E12" s="9"/>
      <c r="F12" s="9"/>
      <c r="G12" s="9"/>
    </row>
    <row r="13" spans="1:7">
      <c r="A13" s="10" t="s">
        <v>148</v>
      </c>
      <c r="B13" s="10" t="s">
        <v>147</v>
      </c>
      <c r="E13" s="9"/>
      <c r="F13" s="9"/>
      <c r="G13" s="9"/>
    </row>
    <row r="14" spans="1:7">
      <c r="A14" s="10" t="s">
        <v>154</v>
      </c>
      <c r="B14" s="10" t="s">
        <v>153</v>
      </c>
      <c r="E14" s="9"/>
      <c r="F14" s="9"/>
      <c r="G14" s="9"/>
    </row>
    <row r="15" spans="1:7">
      <c r="A15" s="21" t="s">
        <v>160</v>
      </c>
      <c r="B15" s="4" t="s">
        <v>2981</v>
      </c>
      <c r="E15" s="9"/>
      <c r="F15" s="9"/>
      <c r="G15" s="9"/>
    </row>
    <row r="16" spans="1:7">
      <c r="A16" s="18" t="s">
        <v>166</v>
      </c>
      <c r="B16" s="10" t="s">
        <v>165</v>
      </c>
      <c r="E16" s="9"/>
      <c r="F16" s="9"/>
      <c r="G16" s="9"/>
    </row>
    <row r="17" spans="1:7">
      <c r="A17" s="22" t="s">
        <v>172</v>
      </c>
      <c r="B17" s="23" t="s">
        <v>2983</v>
      </c>
      <c r="E17" s="9"/>
      <c r="F17" s="9"/>
      <c r="G17" s="9"/>
    </row>
    <row r="18" spans="1:7">
      <c r="A18" s="24" t="s">
        <v>179</v>
      </c>
      <c r="B18" s="24" t="s">
        <v>2984</v>
      </c>
      <c r="E18" s="9"/>
      <c r="F18" s="9"/>
      <c r="G18" s="9"/>
    </row>
    <row r="19" spans="1:7">
      <c r="A19" s="18" t="s">
        <v>184</v>
      </c>
      <c r="B19" s="24" t="s">
        <v>183</v>
      </c>
      <c r="E19" s="9"/>
      <c r="F19" s="9"/>
      <c r="G19" s="9"/>
    </row>
    <row r="20" spans="1:7" ht="27.6">
      <c r="A20" s="16" t="s">
        <v>188</v>
      </c>
      <c r="B20" s="17" t="s">
        <v>2985</v>
      </c>
      <c r="E20" s="9"/>
      <c r="F20" s="9"/>
      <c r="G20" s="9"/>
    </row>
    <row r="21" spans="1:7">
      <c r="A21" s="25" t="s">
        <v>194</v>
      </c>
      <c r="B21" s="26" t="s">
        <v>193</v>
      </c>
      <c r="E21" s="9"/>
      <c r="F21" s="9"/>
      <c r="G21" s="9"/>
    </row>
    <row r="22" spans="1:7">
      <c r="A22" s="25" t="s">
        <v>199</v>
      </c>
      <c r="B22" s="26" t="s">
        <v>198</v>
      </c>
      <c r="E22" s="9"/>
      <c r="F22" s="9"/>
      <c r="G22" s="9"/>
    </row>
    <row r="23" spans="1:7" ht="27.6">
      <c r="A23" s="16" t="s">
        <v>204</v>
      </c>
      <c r="B23" s="27" t="s">
        <v>2986</v>
      </c>
      <c r="E23" s="9"/>
      <c r="F23" s="9"/>
      <c r="G23" s="9"/>
    </row>
    <row r="24" spans="1:7" ht="27.6">
      <c r="A24" s="16" t="s">
        <v>208</v>
      </c>
      <c r="B24" s="17" t="s">
        <v>2987</v>
      </c>
      <c r="E24" s="9"/>
      <c r="F24" s="9"/>
      <c r="G24" s="9"/>
    </row>
    <row r="25" spans="1:7">
      <c r="A25" s="25" t="s">
        <v>217</v>
      </c>
      <c r="B25" s="26" t="s">
        <v>216</v>
      </c>
      <c r="E25" s="9"/>
      <c r="F25" s="9"/>
      <c r="G25" s="9"/>
    </row>
    <row r="26" spans="1:7" ht="27.6">
      <c r="A26" s="16" t="s">
        <v>222</v>
      </c>
      <c r="B26" s="17" t="s">
        <v>2988</v>
      </c>
      <c r="E26" s="9"/>
      <c r="F26" s="9"/>
      <c r="G26" s="9"/>
    </row>
    <row r="27" spans="1:7">
      <c r="A27" s="28"/>
      <c r="B27" s="17"/>
      <c r="E27" s="9"/>
      <c r="F27" s="9"/>
      <c r="G27" s="9"/>
    </row>
    <row r="28" spans="1:7" ht="27.6">
      <c r="A28" s="16" t="s">
        <v>229</v>
      </c>
      <c r="B28" s="17" t="s">
        <v>2989</v>
      </c>
      <c r="E28" s="9"/>
      <c r="F28" s="9"/>
      <c r="G28" s="9"/>
    </row>
    <row r="29" spans="1:7" ht="27.6">
      <c r="A29" s="16" t="s">
        <v>235</v>
      </c>
      <c r="B29" s="17" t="s">
        <v>2991</v>
      </c>
      <c r="E29" s="9"/>
      <c r="F29" s="9"/>
      <c r="G29" s="9"/>
    </row>
    <row r="30" spans="1:7" ht="27.6">
      <c r="A30" s="16" t="s">
        <v>241</v>
      </c>
      <c r="B30" s="17" t="s">
        <v>2992</v>
      </c>
      <c r="E30" s="9"/>
      <c r="F30" s="9"/>
      <c r="G30" s="9"/>
    </row>
    <row r="31" spans="1:7">
      <c r="A31" s="25" t="s">
        <v>247</v>
      </c>
      <c r="B31" s="26" t="s">
        <v>246</v>
      </c>
    </row>
    <row r="32" spans="1:7">
      <c r="A32" s="25" t="s">
        <v>252</v>
      </c>
      <c r="B32" s="26" t="s">
        <v>251</v>
      </c>
    </row>
    <row r="33" spans="1:2">
      <c r="A33" s="25" t="s">
        <v>259</v>
      </c>
      <c r="B33" s="26" t="s">
        <v>258</v>
      </c>
    </row>
    <row r="34" spans="1:2">
      <c r="A34" s="25" t="s">
        <v>263</v>
      </c>
      <c r="B34" s="26" t="s">
        <v>262</v>
      </c>
    </row>
    <row r="35" spans="1:2">
      <c r="A35" s="29" t="s">
        <v>269</v>
      </c>
      <c r="B35" s="26" t="s">
        <v>268</v>
      </c>
    </row>
    <row r="36" spans="1:2">
      <c r="A36" s="25" t="s">
        <v>275</v>
      </c>
      <c r="B36" s="26" t="s">
        <v>274</v>
      </c>
    </row>
    <row r="37" spans="1:2">
      <c r="A37" s="25" t="s">
        <v>279</v>
      </c>
      <c r="B37" s="26" t="s">
        <v>278</v>
      </c>
    </row>
    <row r="38" spans="1:2" ht="27.6">
      <c r="A38" s="30" t="s">
        <v>284</v>
      </c>
      <c r="B38" s="30" t="s">
        <v>2994</v>
      </c>
    </row>
    <row r="39" spans="1:2">
      <c r="A39" s="25" t="s">
        <v>292</v>
      </c>
      <c r="B39" s="26" t="s">
        <v>291</v>
      </c>
    </row>
    <row r="40" spans="1:2">
      <c r="A40" s="25" t="s">
        <v>298</v>
      </c>
      <c r="B40" s="26" t="s">
        <v>297</v>
      </c>
    </row>
    <row r="41" spans="1:2">
      <c r="A41" s="18" t="s">
        <v>307</v>
      </c>
      <c r="B41" s="26" t="s">
        <v>306</v>
      </c>
    </row>
    <row r="42" spans="1:2">
      <c r="A42" s="26" t="s">
        <v>313</v>
      </c>
      <c r="B42" s="26" t="s">
        <v>312</v>
      </c>
    </row>
    <row r="43" spans="1:2">
      <c r="A43" s="26" t="s">
        <v>318</v>
      </c>
      <c r="B43" s="26" t="s">
        <v>317</v>
      </c>
    </row>
    <row r="44" spans="1:2">
      <c r="A44" s="26" t="s">
        <v>324</v>
      </c>
      <c r="B44" s="26" t="s">
        <v>323</v>
      </c>
    </row>
    <row r="45" spans="1:2">
      <c r="A45" s="26" t="s">
        <v>330</v>
      </c>
      <c r="B45" s="26" t="s">
        <v>329</v>
      </c>
    </row>
    <row r="46" spans="1:2">
      <c r="A46" s="26" t="s">
        <v>336</v>
      </c>
      <c r="B46" s="26" t="s">
        <v>335</v>
      </c>
    </row>
    <row r="47" spans="1:2">
      <c r="A47" s="26" t="s">
        <v>342</v>
      </c>
      <c r="B47" s="26" t="s">
        <v>341</v>
      </c>
    </row>
    <row r="48" spans="1:2">
      <c r="A48" s="26" t="s">
        <v>348</v>
      </c>
      <c r="B48" s="26" t="s">
        <v>347</v>
      </c>
    </row>
    <row r="49" spans="1:2">
      <c r="A49" s="26" t="s">
        <v>354</v>
      </c>
      <c r="B49" s="26" t="s">
        <v>353</v>
      </c>
    </row>
    <row r="50" spans="1:2">
      <c r="A50" s="26" t="s">
        <v>360</v>
      </c>
      <c r="B50" s="26" t="s">
        <v>359</v>
      </c>
    </row>
    <row r="51" spans="1:2">
      <c r="A51" s="26" t="s">
        <v>366</v>
      </c>
      <c r="B51" s="26" t="s">
        <v>365</v>
      </c>
    </row>
    <row r="52" spans="1:2">
      <c r="A52" s="26" t="s">
        <v>372</v>
      </c>
      <c r="B52" s="26" t="s">
        <v>371</v>
      </c>
    </row>
    <row r="53" spans="1:2">
      <c r="A53" s="26" t="s">
        <v>377</v>
      </c>
      <c r="B53" s="26" t="s">
        <v>376</v>
      </c>
    </row>
    <row r="54" spans="1:2">
      <c r="A54" s="25" t="s">
        <v>386</v>
      </c>
      <c r="B54" s="26" t="s">
        <v>385</v>
      </c>
    </row>
    <row r="55" spans="1:2">
      <c r="A55" s="29" t="s">
        <v>391</v>
      </c>
      <c r="B55" s="26" t="s">
        <v>390</v>
      </c>
    </row>
    <row r="56" spans="1:2">
      <c r="A56" s="31" t="s">
        <v>400</v>
      </c>
      <c r="B56" s="5" t="s">
        <v>399</v>
      </c>
    </row>
    <row r="57" spans="1:2">
      <c r="A57" s="25" t="s">
        <v>407</v>
      </c>
      <c r="B57" s="26" t="s">
        <v>406</v>
      </c>
    </row>
    <row r="58" spans="1:2">
      <c r="A58" s="31" t="s">
        <v>414</v>
      </c>
      <c r="B58" s="5" t="s">
        <v>413</v>
      </c>
    </row>
    <row r="59" spans="1:2">
      <c r="A59" s="31" t="s">
        <v>421</v>
      </c>
      <c r="B59" s="5" t="s">
        <v>420</v>
      </c>
    </row>
    <row r="60" spans="1:2">
      <c r="A60" s="31" t="s">
        <v>428</v>
      </c>
      <c r="B60" s="5" t="s">
        <v>427</v>
      </c>
    </row>
    <row r="61" spans="1:2">
      <c r="A61" s="31" t="s">
        <v>433</v>
      </c>
      <c r="B61" s="5" t="s">
        <v>432</v>
      </c>
    </row>
    <row r="62" spans="1:2">
      <c r="A62" s="31" t="s">
        <v>439</v>
      </c>
      <c r="B62" s="5" t="s">
        <v>438</v>
      </c>
    </row>
    <row r="63" spans="1:2">
      <c r="A63" s="31" t="s">
        <v>446</v>
      </c>
      <c r="B63" s="5" t="s">
        <v>445</v>
      </c>
    </row>
    <row r="64" spans="1:2">
      <c r="A64" s="31" t="s">
        <v>449</v>
      </c>
      <c r="B64" s="5" t="s">
        <v>448</v>
      </c>
    </row>
    <row r="65" spans="1:2">
      <c r="A65" s="31" t="s">
        <v>452</v>
      </c>
      <c r="B65" s="5" t="s">
        <v>451</v>
      </c>
    </row>
    <row r="66" spans="1:2">
      <c r="A66" s="31" t="s">
        <v>458</v>
      </c>
      <c r="B66" s="5" t="s">
        <v>457</v>
      </c>
    </row>
    <row r="67" spans="1:2">
      <c r="A67" s="32" t="s">
        <v>463</v>
      </c>
      <c r="B67" s="5"/>
    </row>
    <row r="68" spans="1:2">
      <c r="A68" s="32" t="s">
        <v>466</v>
      </c>
      <c r="B68" s="5"/>
    </row>
    <row r="69" spans="1:2">
      <c r="A69" s="32" t="s">
        <v>469</v>
      </c>
      <c r="B69" s="5"/>
    </row>
    <row r="70" spans="1:2">
      <c r="A70" s="32" t="s">
        <v>472</v>
      </c>
      <c r="B70" s="5"/>
    </row>
    <row r="71" spans="1:2">
      <c r="A71" s="32" t="s">
        <v>475</v>
      </c>
      <c r="B71" s="5"/>
    </row>
    <row r="72" spans="1:2">
      <c r="A72" s="32" t="s">
        <v>478</v>
      </c>
      <c r="B72" s="5"/>
    </row>
    <row r="73" spans="1:2">
      <c r="A73" s="32" t="s">
        <v>481</v>
      </c>
      <c r="B73" s="5"/>
    </row>
    <row r="74" spans="1:2">
      <c r="A74" s="32" t="s">
        <v>484</v>
      </c>
      <c r="B74" s="5"/>
    </row>
    <row r="75" spans="1:2">
      <c r="A75" s="32" t="s">
        <v>487</v>
      </c>
      <c r="B75" s="5"/>
    </row>
    <row r="76" spans="1:2">
      <c r="A76" s="32" t="s">
        <v>490</v>
      </c>
      <c r="B76" s="5"/>
    </row>
    <row r="77" spans="1:2">
      <c r="A77" s="32" t="s">
        <v>493</v>
      </c>
      <c r="B77" s="5"/>
    </row>
    <row r="78" spans="1:2">
      <c r="A78" s="32" t="s">
        <v>496</v>
      </c>
      <c r="B78" s="5"/>
    </row>
    <row r="79" spans="1:2">
      <c r="A79" s="32" t="s">
        <v>499</v>
      </c>
      <c r="B79" s="5"/>
    </row>
    <row r="80" spans="1:2">
      <c r="A80" s="32" t="s">
        <v>502</v>
      </c>
      <c r="B80" s="5"/>
    </row>
    <row r="81" spans="1:2">
      <c r="A81" s="32" t="s">
        <v>505</v>
      </c>
      <c r="B81" s="5"/>
    </row>
    <row r="82" spans="1:2">
      <c r="A82" s="32" t="s">
        <v>508</v>
      </c>
      <c r="B82" s="5"/>
    </row>
    <row r="83" spans="1:2">
      <c r="A83" s="32" t="s">
        <v>511</v>
      </c>
      <c r="B83" s="5"/>
    </row>
    <row r="84" spans="1:2">
      <c r="A84" s="32" t="s">
        <v>514</v>
      </c>
      <c r="B84" s="5"/>
    </row>
    <row r="85" spans="1:2">
      <c r="A85" s="32" t="s">
        <v>517</v>
      </c>
      <c r="B85" s="5"/>
    </row>
    <row r="86" spans="1:2">
      <c r="A86" s="32" t="s">
        <v>520</v>
      </c>
      <c r="B86" s="5"/>
    </row>
    <row r="87" spans="1:2">
      <c r="A87" s="32" t="s">
        <v>523</v>
      </c>
      <c r="B87" s="5"/>
    </row>
    <row r="88" spans="1:2">
      <c r="A88" s="32" t="s">
        <v>526</v>
      </c>
      <c r="B88" s="5"/>
    </row>
    <row r="89" spans="1:2">
      <c r="A89" s="32" t="s">
        <v>529</v>
      </c>
      <c r="B89" s="5"/>
    </row>
    <row r="90" spans="1:2">
      <c r="A90" s="32" t="s">
        <v>532</v>
      </c>
      <c r="B90" s="5"/>
    </row>
    <row r="91" spans="1:2">
      <c r="A91" s="32" t="s">
        <v>535</v>
      </c>
      <c r="B91" s="5"/>
    </row>
    <row r="92" spans="1:2">
      <c r="A92" s="32" t="s">
        <v>538</v>
      </c>
      <c r="B92" s="5"/>
    </row>
    <row r="93" spans="1:2">
      <c r="A93" s="32" t="s">
        <v>541</v>
      </c>
      <c r="B93" s="5"/>
    </row>
    <row r="94" spans="1:2">
      <c r="A94" s="32" t="s">
        <v>544</v>
      </c>
      <c r="B94" s="5"/>
    </row>
    <row r="95" spans="1:2">
      <c r="A95" s="32" t="s">
        <v>547</v>
      </c>
      <c r="B95" s="5"/>
    </row>
    <row r="96" spans="1:2">
      <c r="A96" s="32" t="s">
        <v>550</v>
      </c>
      <c r="B96" s="5"/>
    </row>
    <row r="97" spans="1:2">
      <c r="A97" s="32" t="s">
        <v>553</v>
      </c>
      <c r="B97" s="5"/>
    </row>
    <row r="98" spans="1:2">
      <c r="A98" s="5" t="s">
        <v>557</v>
      </c>
      <c r="B98" s="5" t="s">
        <v>556</v>
      </c>
    </row>
    <row r="99" spans="1:2">
      <c r="A99" s="31" t="s">
        <v>564</v>
      </c>
      <c r="B99" s="5" t="s">
        <v>563</v>
      </c>
    </row>
    <row r="100" spans="1:2">
      <c r="A100" s="31" t="s">
        <v>574</v>
      </c>
      <c r="B100" s="5" t="s">
        <v>573</v>
      </c>
    </row>
    <row r="101" spans="1:2">
      <c r="A101" s="31" t="s">
        <v>578</v>
      </c>
      <c r="B101" s="5" t="s">
        <v>577</v>
      </c>
    </row>
    <row r="102" spans="1:2">
      <c r="A102" s="31" t="s">
        <v>584</v>
      </c>
      <c r="B102" s="5" t="s">
        <v>583</v>
      </c>
    </row>
    <row r="103" spans="1:2">
      <c r="A103" s="5" t="s">
        <v>589</v>
      </c>
      <c r="B103" s="5" t="s">
        <v>589</v>
      </c>
    </row>
    <row r="104" spans="1:2">
      <c r="A104" s="25" t="s">
        <v>595</v>
      </c>
      <c r="B104" s="26" t="s">
        <v>594</v>
      </c>
    </row>
    <row r="105" spans="1:2">
      <c r="A105" s="25" t="s">
        <v>600</v>
      </c>
      <c r="B105" s="26" t="s">
        <v>599</v>
      </c>
    </row>
    <row r="106" spans="1:2">
      <c r="A106" s="25" t="s">
        <v>610</v>
      </c>
      <c r="B106" s="26" t="s">
        <v>609</v>
      </c>
    </row>
    <row r="107" spans="1:2">
      <c r="A107" s="31" t="s">
        <v>614</v>
      </c>
      <c r="B107" s="5" t="s">
        <v>613</v>
      </c>
    </row>
    <row r="108" spans="1:2">
      <c r="A108" s="31" t="s">
        <v>620</v>
      </c>
      <c r="B108" s="5" t="s">
        <v>619</v>
      </c>
    </row>
    <row r="109" spans="1:2">
      <c r="A109" s="31" t="s">
        <v>626</v>
      </c>
      <c r="B109" s="5" t="s">
        <v>625</v>
      </c>
    </row>
    <row r="110" spans="1:2">
      <c r="A110" s="31" t="s">
        <v>632</v>
      </c>
      <c r="B110" s="5" t="s">
        <v>631</v>
      </c>
    </row>
    <row r="111" spans="1:2">
      <c r="A111" s="31" t="s">
        <v>639</v>
      </c>
      <c r="B111" s="5" t="s">
        <v>638</v>
      </c>
    </row>
    <row r="112" spans="1:2">
      <c r="A112" s="31" t="s">
        <v>646</v>
      </c>
      <c r="B112" s="5" t="s">
        <v>645</v>
      </c>
    </row>
    <row r="113" spans="1:2">
      <c r="A113" s="18" t="s">
        <v>650</v>
      </c>
      <c r="B113" s="33" t="s">
        <v>649</v>
      </c>
    </row>
    <row r="114" spans="1:2">
      <c r="A114" s="31" t="s">
        <v>656</v>
      </c>
      <c r="B114" s="5" t="s">
        <v>655</v>
      </c>
    </row>
    <row r="115" spans="1:2">
      <c r="A115" s="31" t="s">
        <v>660</v>
      </c>
      <c r="B115" s="5" t="s">
        <v>659</v>
      </c>
    </row>
    <row r="116" spans="1:2">
      <c r="A116" s="31" t="s">
        <v>665</v>
      </c>
      <c r="B116" s="5" t="s">
        <v>664</v>
      </c>
    </row>
    <row r="117" spans="1:2">
      <c r="A117" s="31" t="s">
        <v>669</v>
      </c>
      <c r="B117" s="5" t="s">
        <v>668</v>
      </c>
    </row>
    <row r="118" spans="1:2">
      <c r="A118" s="31" t="s">
        <v>673</v>
      </c>
      <c r="B118" s="5" t="s">
        <v>672</v>
      </c>
    </row>
    <row r="119" spans="1:2">
      <c r="A119" s="31" t="s">
        <v>679</v>
      </c>
      <c r="B119" s="5" t="s">
        <v>678</v>
      </c>
    </row>
    <row r="120" spans="1:2">
      <c r="A120" s="31" t="s">
        <v>685</v>
      </c>
      <c r="B120" s="5" t="s">
        <v>684</v>
      </c>
    </row>
    <row r="121" spans="1:2">
      <c r="A121" s="31" t="s">
        <v>690</v>
      </c>
      <c r="B121" s="5" t="s">
        <v>689</v>
      </c>
    </row>
    <row r="122" spans="1:2">
      <c r="A122" s="31" t="s">
        <v>693</v>
      </c>
      <c r="B122" s="5" t="s">
        <v>692</v>
      </c>
    </row>
    <row r="123" spans="1:2">
      <c r="A123" s="31" t="s">
        <v>700</v>
      </c>
      <c r="B123" s="5" t="s">
        <v>699</v>
      </c>
    </row>
    <row r="124" spans="1:2">
      <c r="A124" s="31" t="s">
        <v>707</v>
      </c>
      <c r="B124" s="5" t="s">
        <v>706</v>
      </c>
    </row>
    <row r="125" spans="1:2">
      <c r="A125" s="31" t="s">
        <v>712</v>
      </c>
      <c r="B125" s="5" t="s">
        <v>711</v>
      </c>
    </row>
    <row r="126" spans="1:2">
      <c r="A126" s="34"/>
      <c r="B126" s="35"/>
    </row>
    <row r="127" spans="1:2">
      <c r="A127" s="31" t="s">
        <v>721</v>
      </c>
      <c r="B127" s="5" t="s">
        <v>720</v>
      </c>
    </row>
    <row r="128" spans="1:2">
      <c r="A128" s="31" t="s">
        <v>725</v>
      </c>
      <c r="B128" s="5" t="s">
        <v>724</v>
      </c>
    </row>
    <row r="129" spans="1:2">
      <c r="A129" s="31" t="s">
        <v>730</v>
      </c>
      <c r="B129" s="5" t="s">
        <v>729</v>
      </c>
    </row>
    <row r="130" spans="1:2">
      <c r="A130" s="31" t="s">
        <v>736</v>
      </c>
      <c r="B130" s="5" t="s">
        <v>735</v>
      </c>
    </row>
    <row r="131" spans="1:2">
      <c r="A131" s="31" t="s">
        <v>742</v>
      </c>
      <c r="B131" s="5" t="s">
        <v>3039</v>
      </c>
    </row>
    <row r="132" spans="1:2">
      <c r="A132" s="31" t="s">
        <v>746</v>
      </c>
      <c r="B132" s="5"/>
    </row>
    <row r="133" spans="1:2">
      <c r="A133" s="31" t="s">
        <v>754</v>
      </c>
      <c r="B133" s="5" t="s">
        <v>753</v>
      </c>
    </row>
    <row r="134" spans="1:2">
      <c r="A134" s="31" t="s">
        <v>759</v>
      </c>
      <c r="B134" s="5" t="s">
        <v>758</v>
      </c>
    </row>
    <row r="135" spans="1:2">
      <c r="A135" s="31" t="s">
        <v>764</v>
      </c>
      <c r="B135" s="5" t="s">
        <v>763</v>
      </c>
    </row>
    <row r="136" spans="1:2">
      <c r="A136" s="18" t="s">
        <v>772</v>
      </c>
      <c r="B136" s="19" t="s">
        <v>771</v>
      </c>
    </row>
    <row r="137" spans="1:2">
      <c r="A137" s="18" t="s">
        <v>775</v>
      </c>
      <c r="B137" s="35" t="s">
        <v>774</v>
      </c>
    </row>
    <row r="138" spans="1:2">
      <c r="A138" s="31" t="s">
        <v>779</v>
      </c>
      <c r="B138" s="5" t="s">
        <v>778</v>
      </c>
    </row>
    <row r="139" spans="1:2">
      <c r="A139" s="31" t="s">
        <v>784</v>
      </c>
      <c r="B139" s="5" t="s">
        <v>783</v>
      </c>
    </row>
    <row r="140" spans="1:2">
      <c r="A140" s="31" t="s">
        <v>788</v>
      </c>
      <c r="B140" s="5" t="s">
        <v>787</v>
      </c>
    </row>
    <row r="141" spans="1:2">
      <c r="A141" s="31" t="s">
        <v>793</v>
      </c>
      <c r="B141" s="36" t="s">
        <v>3042</v>
      </c>
    </row>
    <row r="142" spans="1:2">
      <c r="A142" s="31" t="s">
        <v>799</v>
      </c>
      <c r="B142" s="5" t="s">
        <v>798</v>
      </c>
    </row>
    <row r="143" spans="1:2">
      <c r="A143" s="31" t="s">
        <v>804</v>
      </c>
      <c r="B143" s="5" t="s">
        <v>803</v>
      </c>
    </row>
    <row r="144" spans="1:2">
      <c r="A144" s="31" t="s">
        <v>810</v>
      </c>
      <c r="B144" s="5" t="s">
        <v>809</v>
      </c>
    </row>
    <row r="145" spans="1:2">
      <c r="A145" s="31" t="s">
        <v>816</v>
      </c>
      <c r="B145" s="5" t="s">
        <v>815</v>
      </c>
    </row>
    <row r="146" spans="1:2">
      <c r="A146" s="31" t="s">
        <v>820</v>
      </c>
      <c r="B146" s="5" t="s">
        <v>819</v>
      </c>
    </row>
    <row r="147" spans="1:2" ht="21.6">
      <c r="A147" s="31" t="s">
        <v>824</v>
      </c>
      <c r="B147" s="5" t="s">
        <v>823</v>
      </c>
    </row>
    <row r="148" spans="1:2">
      <c r="A148" s="31" t="s">
        <v>829</v>
      </c>
      <c r="B148" s="5" t="s">
        <v>828</v>
      </c>
    </row>
    <row r="149" spans="1:2">
      <c r="A149" s="31" t="s">
        <v>833</v>
      </c>
      <c r="B149" s="5" t="s">
        <v>832</v>
      </c>
    </row>
    <row r="150" spans="1:2">
      <c r="A150" s="31" t="s">
        <v>837</v>
      </c>
      <c r="B150" s="5" t="s">
        <v>836</v>
      </c>
    </row>
    <row r="151" spans="1:2">
      <c r="A151" s="31" t="s">
        <v>841</v>
      </c>
      <c r="B151" s="5" t="s">
        <v>840</v>
      </c>
    </row>
    <row r="152" spans="1:2">
      <c r="A152" s="31" t="s">
        <v>845</v>
      </c>
      <c r="B152" s="5" t="s">
        <v>844</v>
      </c>
    </row>
    <row r="153" spans="1:2">
      <c r="A153" s="31" t="s">
        <v>849</v>
      </c>
      <c r="B153" s="5" t="s">
        <v>848</v>
      </c>
    </row>
    <row r="154" spans="1:2">
      <c r="A154" s="31" t="s">
        <v>853</v>
      </c>
      <c r="B154" s="5" t="s">
        <v>852</v>
      </c>
    </row>
    <row r="155" spans="1:2">
      <c r="A155" s="31" t="s">
        <v>857</v>
      </c>
      <c r="B155" s="5" t="s">
        <v>856</v>
      </c>
    </row>
    <row r="156" spans="1:2">
      <c r="A156" s="31" t="s">
        <v>861</v>
      </c>
      <c r="B156" s="5" t="s">
        <v>860</v>
      </c>
    </row>
    <row r="157" spans="1:2">
      <c r="A157" s="31" t="s">
        <v>864</v>
      </c>
      <c r="B157" s="5"/>
    </row>
    <row r="158" spans="1:2">
      <c r="A158" s="31" t="s">
        <v>742</v>
      </c>
      <c r="B158" s="5" t="s">
        <v>741</v>
      </c>
    </row>
    <row r="159" spans="1:2">
      <c r="A159" s="31" t="s">
        <v>874</v>
      </c>
      <c r="B159" s="5" t="s">
        <v>873</v>
      </c>
    </row>
    <row r="160" spans="1:2">
      <c r="A160" s="31" t="s">
        <v>876</v>
      </c>
      <c r="B160" s="5"/>
    </row>
    <row r="161" spans="1:2">
      <c r="A161" s="25" t="s">
        <v>881</v>
      </c>
      <c r="B161" s="26" t="s">
        <v>880</v>
      </c>
    </row>
    <row r="162" spans="1:2">
      <c r="A162" s="31" t="s">
        <v>721</v>
      </c>
      <c r="B162" s="5" t="s">
        <v>886</v>
      </c>
    </row>
    <row r="163" spans="1:2">
      <c r="A163" s="31" t="s">
        <v>891</v>
      </c>
      <c r="B163" s="5" t="s">
        <v>890</v>
      </c>
    </row>
    <row r="164" spans="1:2">
      <c r="A164" s="31" t="s">
        <v>895</v>
      </c>
      <c r="B164" s="5" t="s">
        <v>894</v>
      </c>
    </row>
    <row r="165" spans="1:2">
      <c r="A165" s="37" t="s">
        <v>899</v>
      </c>
      <c r="B165" s="38" t="s">
        <v>898</v>
      </c>
    </row>
    <row r="166" spans="1:2">
      <c r="A166" s="31" t="s">
        <v>904</v>
      </c>
      <c r="B166" s="5" t="s">
        <v>903</v>
      </c>
    </row>
    <row r="167" spans="1:2">
      <c r="A167" s="31" t="s">
        <v>909</v>
      </c>
      <c r="B167" s="5" t="s">
        <v>908</v>
      </c>
    </row>
    <row r="168" spans="1:2">
      <c r="A168" s="31" t="s">
        <v>913</v>
      </c>
      <c r="B168" s="5" t="s">
        <v>912</v>
      </c>
    </row>
    <row r="169" spans="1:2">
      <c r="A169" s="31" t="s">
        <v>917</v>
      </c>
      <c r="B169" s="5" t="s">
        <v>916</v>
      </c>
    </row>
    <row r="170" spans="1:2">
      <c r="A170" s="31" t="s">
        <v>921</v>
      </c>
      <c r="B170" s="5" t="s">
        <v>920</v>
      </c>
    </row>
    <row r="171" spans="1:2" ht="21.6">
      <c r="A171" s="31" t="s">
        <v>926</v>
      </c>
      <c r="B171" s="5" t="s">
        <v>925</v>
      </c>
    </row>
    <row r="172" spans="1:2">
      <c r="A172" s="18" t="s">
        <v>929</v>
      </c>
      <c r="B172" s="39" t="s">
        <v>3045</v>
      </c>
    </row>
    <row r="173" spans="1:2">
      <c r="A173" s="18" t="s">
        <v>929</v>
      </c>
      <c r="B173" s="39" t="s">
        <v>3045</v>
      </c>
    </row>
    <row r="174" spans="1:2">
      <c r="A174" s="18" t="s">
        <v>935</v>
      </c>
      <c r="B174" s="19" t="s">
        <v>934</v>
      </c>
    </row>
    <row r="175" spans="1:2">
      <c r="A175" s="18" t="s">
        <v>938</v>
      </c>
      <c r="B175" s="35" t="s">
        <v>3047</v>
      </c>
    </row>
    <row r="176" spans="1:2" ht="21.6">
      <c r="A176" s="31" t="s">
        <v>917</v>
      </c>
      <c r="B176" s="5" t="s">
        <v>943</v>
      </c>
    </row>
    <row r="177" spans="1:2">
      <c r="A177" s="31" t="s">
        <v>946</v>
      </c>
      <c r="B177" s="5"/>
    </row>
    <row r="178" spans="1:2">
      <c r="A178" s="31" t="s">
        <v>951</v>
      </c>
      <c r="B178" s="5" t="s">
        <v>950</v>
      </c>
    </row>
    <row r="179" spans="1:2">
      <c r="A179" s="40" t="s">
        <v>955</v>
      </c>
      <c r="B179" s="5" t="s">
        <v>954</v>
      </c>
    </row>
    <row r="180" spans="1:2">
      <c r="A180" s="31" t="s">
        <v>960</v>
      </c>
      <c r="B180" s="5" t="s">
        <v>959</v>
      </c>
    </row>
    <row r="181" spans="1:2">
      <c r="A181" s="31" t="s">
        <v>965</v>
      </c>
      <c r="B181" s="5" t="s">
        <v>964</v>
      </c>
    </row>
    <row r="182" spans="1:2">
      <c r="A182" s="31" t="s">
        <v>969</v>
      </c>
      <c r="B182" s="5" t="s">
        <v>968</v>
      </c>
    </row>
    <row r="183" spans="1:2">
      <c r="A183" s="31" t="s">
        <v>973</v>
      </c>
      <c r="B183" s="5" t="s">
        <v>972</v>
      </c>
    </row>
    <row r="184" spans="1:2">
      <c r="A184" s="31" t="s">
        <v>978</v>
      </c>
      <c r="B184" s="5" t="s">
        <v>977</v>
      </c>
    </row>
    <row r="185" spans="1:2">
      <c r="A185" s="31" t="s">
        <v>985</v>
      </c>
      <c r="B185" s="5" t="s">
        <v>984</v>
      </c>
    </row>
    <row r="186" spans="1:2">
      <c r="A186" s="31" t="s">
        <v>990</v>
      </c>
      <c r="B186" s="5" t="s">
        <v>989</v>
      </c>
    </row>
    <row r="187" spans="1:2">
      <c r="A187" s="31" t="s">
        <v>996</v>
      </c>
      <c r="B187" s="5" t="s">
        <v>3050</v>
      </c>
    </row>
    <row r="188" spans="1:2">
      <c r="A188" s="31" t="s">
        <v>1002</v>
      </c>
      <c r="B188" s="5" t="s">
        <v>1001</v>
      </c>
    </row>
    <row r="189" spans="1:2">
      <c r="A189" s="31" t="s">
        <v>1009</v>
      </c>
      <c r="B189" s="5" t="s">
        <v>1008</v>
      </c>
    </row>
    <row r="190" spans="1:2">
      <c r="A190" s="31" t="s">
        <v>1016</v>
      </c>
      <c r="B190" s="5" t="s">
        <v>1015</v>
      </c>
    </row>
    <row r="191" spans="1:2">
      <c r="A191" s="31" t="s">
        <v>1024</v>
      </c>
      <c r="B191" s="5" t="s">
        <v>1023</v>
      </c>
    </row>
    <row r="192" spans="1:2">
      <c r="A192" s="31" t="s">
        <v>1028</v>
      </c>
      <c r="B192" s="5" t="s">
        <v>1027</v>
      </c>
    </row>
    <row r="193" spans="1:2">
      <c r="A193" s="41" t="s">
        <v>1033</v>
      </c>
      <c r="B193" s="42" t="s">
        <v>1032</v>
      </c>
    </row>
    <row r="194" spans="1:2">
      <c r="A194" s="31" t="s">
        <v>1037</v>
      </c>
      <c r="B194" s="5" t="s">
        <v>1036</v>
      </c>
    </row>
    <row r="195" spans="1:2">
      <c r="A195" s="31" t="s">
        <v>1043</v>
      </c>
      <c r="B195" s="5" t="s">
        <v>1042</v>
      </c>
    </row>
    <row r="196" spans="1:2">
      <c r="A196" s="31" t="s">
        <v>1051</v>
      </c>
      <c r="B196" s="5" t="s">
        <v>1050</v>
      </c>
    </row>
    <row r="197" spans="1:2">
      <c r="A197" s="31" t="s">
        <v>1055</v>
      </c>
      <c r="B197" s="5" t="s">
        <v>1054</v>
      </c>
    </row>
    <row r="198" spans="1:2" ht="21.6">
      <c r="A198" s="31" t="s">
        <v>1059</v>
      </c>
      <c r="B198" s="5" t="s">
        <v>1058</v>
      </c>
    </row>
    <row r="199" spans="1:2">
      <c r="A199" s="31" t="s">
        <v>1063</v>
      </c>
      <c r="B199" s="5" t="s">
        <v>1062</v>
      </c>
    </row>
    <row r="200" spans="1:2">
      <c r="A200" s="31" t="s">
        <v>1063</v>
      </c>
      <c r="B200" s="5" t="s">
        <v>1062</v>
      </c>
    </row>
    <row r="201" spans="1:2">
      <c r="A201" s="31" t="s">
        <v>1069</v>
      </c>
      <c r="B201" s="5" t="s">
        <v>1068</v>
      </c>
    </row>
    <row r="202" spans="1:2">
      <c r="A202" s="5" t="s">
        <v>1073</v>
      </c>
      <c r="B202" s="5" t="s">
        <v>1072</v>
      </c>
    </row>
    <row r="203" spans="1:2">
      <c r="A203" s="31" t="s">
        <v>1077</v>
      </c>
      <c r="B203" s="5" t="s">
        <v>1076</v>
      </c>
    </row>
    <row r="204" spans="1:2">
      <c r="A204" s="31" t="s">
        <v>1081</v>
      </c>
      <c r="B204" s="5" t="s">
        <v>1080</v>
      </c>
    </row>
    <row r="205" spans="1:2">
      <c r="A205" s="31" t="s">
        <v>1084</v>
      </c>
      <c r="B205" s="5" t="s">
        <v>1083</v>
      </c>
    </row>
    <row r="206" spans="1:2">
      <c r="A206" s="31" t="s">
        <v>1088</v>
      </c>
      <c r="B206" s="5" t="s">
        <v>1087</v>
      </c>
    </row>
    <row r="207" spans="1:2">
      <c r="A207" s="43" t="s">
        <v>1091</v>
      </c>
      <c r="B207" s="5"/>
    </row>
    <row r="208" spans="1:2">
      <c r="A208" s="5" t="s">
        <v>1096</v>
      </c>
      <c r="B208" s="5" t="s">
        <v>1095</v>
      </c>
    </row>
    <row r="209" spans="1:2">
      <c r="A209" s="5" t="s">
        <v>1100</v>
      </c>
      <c r="B209" s="5" t="s">
        <v>3117</v>
      </c>
    </row>
    <row r="210" spans="1:2">
      <c r="A210" s="5" t="s">
        <v>1104</v>
      </c>
      <c r="B210" s="5" t="s">
        <v>3118</v>
      </c>
    </row>
    <row r="211" spans="1:2" ht="21.6">
      <c r="A211" s="5" t="s">
        <v>1104</v>
      </c>
      <c r="B211" s="5" t="s">
        <v>3119</v>
      </c>
    </row>
    <row r="212" spans="1:2">
      <c r="A212" s="5" t="s">
        <v>1111</v>
      </c>
      <c r="B212" s="5" t="s">
        <v>3120</v>
      </c>
    </row>
    <row r="213" spans="1:2">
      <c r="A213" s="5" t="s">
        <v>1115</v>
      </c>
      <c r="B213" s="5" t="s">
        <v>3121</v>
      </c>
    </row>
    <row r="214" spans="1:2">
      <c r="A214" s="5" t="s">
        <v>1119</v>
      </c>
      <c r="B214" s="5" t="s">
        <v>3122</v>
      </c>
    </row>
    <row r="215" spans="1:2">
      <c r="A215" s="31" t="s">
        <v>1123</v>
      </c>
      <c r="B215" s="5" t="s">
        <v>3123</v>
      </c>
    </row>
    <row r="216" spans="1:2">
      <c r="A216" s="44" t="s">
        <v>1128</v>
      </c>
      <c r="B216" s="45" t="s">
        <v>1127</v>
      </c>
    </row>
    <row r="217" spans="1:2">
      <c r="A217" s="25" t="s">
        <v>1133</v>
      </c>
      <c r="B217" s="26" t="s">
        <v>1132</v>
      </c>
    </row>
    <row r="218" spans="1:2">
      <c r="A218" s="25" t="s">
        <v>1137</v>
      </c>
      <c r="B218" s="26" t="s">
        <v>1136</v>
      </c>
    </row>
    <row r="219" spans="1:2">
      <c r="A219" s="43" t="s">
        <v>1140</v>
      </c>
      <c r="B219" s="5"/>
    </row>
    <row r="220" spans="1:2">
      <c r="A220" s="43" t="s">
        <v>1144</v>
      </c>
      <c r="B220" s="5"/>
    </row>
    <row r="221" spans="1:2">
      <c r="A221" s="31" t="s">
        <v>1148</v>
      </c>
      <c r="B221" s="5" t="s">
        <v>3124</v>
      </c>
    </row>
    <row r="222" spans="1:2">
      <c r="A222" s="31" t="s">
        <v>1152</v>
      </c>
      <c r="B222" s="5" t="s">
        <v>3125</v>
      </c>
    </row>
    <row r="223" spans="1:2">
      <c r="A223" s="31" t="s">
        <v>1157</v>
      </c>
      <c r="B223" s="5" t="s">
        <v>3126</v>
      </c>
    </row>
    <row r="224" spans="1:2" ht="21.6">
      <c r="A224" s="31" t="s">
        <v>1160</v>
      </c>
      <c r="B224" s="5"/>
    </row>
    <row r="225" spans="1:2">
      <c r="A225" s="43" t="s">
        <v>1163</v>
      </c>
      <c r="B225" s="5">
        <v>20190118</v>
      </c>
    </row>
    <row r="226" spans="1:2">
      <c r="A226" s="31" t="s">
        <v>1166</v>
      </c>
      <c r="B226" s="5">
        <v>20190118</v>
      </c>
    </row>
    <row r="227" spans="1:2">
      <c r="A227" s="31" t="s">
        <v>1170</v>
      </c>
      <c r="B227" s="5"/>
    </row>
    <row r="228" spans="1:2">
      <c r="A228" s="31" t="s">
        <v>1173</v>
      </c>
      <c r="B228" s="5"/>
    </row>
    <row r="229" spans="1:2">
      <c r="A229" s="31" t="s">
        <v>1176</v>
      </c>
      <c r="B229" s="5"/>
    </row>
    <row r="230" spans="1:2">
      <c r="A230" s="31" t="s">
        <v>1179</v>
      </c>
      <c r="B230" s="5"/>
    </row>
    <row r="231" spans="1:2">
      <c r="A231" s="31" t="s">
        <v>1182</v>
      </c>
      <c r="B231" s="5"/>
    </row>
    <row r="232" spans="1:2">
      <c r="A232" s="31" t="s">
        <v>1185</v>
      </c>
      <c r="B232" s="5"/>
    </row>
    <row r="233" spans="1:2">
      <c r="A233" s="31" t="s">
        <v>1188</v>
      </c>
      <c r="B233" s="5"/>
    </row>
    <row r="234" spans="1:2">
      <c r="A234" s="31" t="s">
        <v>1191</v>
      </c>
      <c r="B234" s="5"/>
    </row>
    <row r="235" spans="1:2">
      <c r="A235" s="31" t="s">
        <v>1194</v>
      </c>
      <c r="B235" s="5"/>
    </row>
    <row r="236" spans="1:2">
      <c r="A236" s="31" t="s">
        <v>1197</v>
      </c>
      <c r="B236" s="5"/>
    </row>
    <row r="237" spans="1:2">
      <c r="A237" s="31" t="s">
        <v>1200</v>
      </c>
      <c r="B237" s="5"/>
    </row>
    <row r="238" spans="1:2">
      <c r="A238" s="31" t="s">
        <v>1203</v>
      </c>
      <c r="B238" s="5"/>
    </row>
    <row r="239" spans="1:2" ht="21.6">
      <c r="A239" s="31" t="s">
        <v>1206</v>
      </c>
      <c r="B239" s="5"/>
    </row>
    <row r="240" spans="1:2">
      <c r="A240" s="31" t="s">
        <v>1209</v>
      </c>
      <c r="B240" s="5"/>
    </row>
    <row r="241" spans="1:2" ht="21.6">
      <c r="A241" s="31" t="s">
        <v>1212</v>
      </c>
      <c r="B241" s="5"/>
    </row>
    <row r="242" spans="1:2">
      <c r="A242" s="31" t="s">
        <v>1215</v>
      </c>
      <c r="B242" s="5"/>
    </row>
    <row r="243" spans="1:2">
      <c r="A243" s="31" t="s">
        <v>1218</v>
      </c>
      <c r="B243" s="5"/>
    </row>
    <row r="244" spans="1:2">
      <c r="A244" s="31" t="s">
        <v>1221</v>
      </c>
      <c r="B244" s="5"/>
    </row>
    <row r="245" spans="1:2">
      <c r="A245" s="31" t="s">
        <v>1224</v>
      </c>
      <c r="B245" s="5"/>
    </row>
    <row r="246" spans="1:2">
      <c r="A246" s="31" t="s">
        <v>1227</v>
      </c>
      <c r="B246" s="5"/>
    </row>
    <row r="247" spans="1:2">
      <c r="A247" s="31" t="s">
        <v>1230</v>
      </c>
      <c r="B247" s="5"/>
    </row>
    <row r="248" spans="1:2">
      <c r="A248" s="31" t="s">
        <v>1233</v>
      </c>
      <c r="B248" s="5"/>
    </row>
    <row r="249" spans="1:2">
      <c r="A249" s="31" t="s">
        <v>1236</v>
      </c>
      <c r="B249" s="5"/>
    </row>
    <row r="250" spans="1:2">
      <c r="A250" s="31" t="s">
        <v>1240</v>
      </c>
      <c r="B250" s="5" t="s">
        <v>3127</v>
      </c>
    </row>
    <row r="251" spans="1:2">
      <c r="A251" s="31" t="s">
        <v>1244</v>
      </c>
      <c r="B251" s="5" t="s">
        <v>3128</v>
      </c>
    </row>
    <row r="252" spans="1:2">
      <c r="A252" s="31"/>
      <c r="B252" s="5"/>
    </row>
    <row r="253" spans="1:2" ht="21.6">
      <c r="A253" s="31" t="s">
        <v>1247</v>
      </c>
      <c r="B253" s="5"/>
    </row>
    <row r="254" spans="1:2">
      <c r="A254" s="31" t="s">
        <v>1251</v>
      </c>
      <c r="B254" s="5" t="s">
        <v>3129</v>
      </c>
    </row>
    <row r="255" spans="1:2">
      <c r="A255" s="31"/>
      <c r="B255" s="5"/>
    </row>
    <row r="256" spans="1:2">
      <c r="A256" s="31"/>
      <c r="B256" s="5"/>
    </row>
  </sheetData>
  <phoneticPr fontId="5" type="noConversion"/>
  <conditionalFormatting sqref="A3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自2017年7月及其他重点工程</vt:lpstr>
      <vt:lpstr>2017.7接建设委托及16－17原有项目补充</vt:lpstr>
      <vt:lpstr>自2017年7月中心</vt:lpstr>
      <vt:lpstr>Sheet4</vt:lpstr>
      <vt:lpstr>报侯雪莹清单(分公司）</vt:lpstr>
      <vt:lpstr>报侯雪莹清单（中心）</vt:lpstr>
      <vt:lpstr>Sheet1</vt:lpstr>
      <vt:lpstr>Sheet2</vt:lpstr>
      <vt:lpstr>Sheet4!Print_Titles</vt:lpstr>
    </vt:vector>
  </TitlesOfParts>
  <Company>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杨静</dc:creator>
  <cp:lastModifiedBy>wangg</cp:lastModifiedBy>
  <cp:lastPrinted>2018-01-09T04:24:00Z</cp:lastPrinted>
  <dcterms:created xsi:type="dcterms:W3CDTF">2017-07-11T06:03:00Z</dcterms:created>
  <dcterms:modified xsi:type="dcterms:W3CDTF">2019-11-20T01:10:35Z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