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385" windowHeight="8460"/>
  </bookViews>
  <sheets>
    <sheet name="2018.07" sheetId="3" r:id="rId1"/>
  </sheets>
  <calcPr calcId="124519" concurrentCalc="0"/>
</workbook>
</file>

<file path=xl/calcChain.xml><?xml version="1.0" encoding="utf-8"?>
<calcChain xmlns="http://schemas.openxmlformats.org/spreadsheetml/2006/main">
  <c r="K41" i="3"/>
  <c r="J41"/>
  <c r="I41"/>
  <c r="K40"/>
  <c r="J40"/>
  <c r="I40"/>
  <c r="K37"/>
  <c r="N37" s="1"/>
  <c r="J37"/>
  <c r="I37"/>
  <c r="K34"/>
  <c r="O34" s="1"/>
  <c r="Q34" s="1"/>
  <c r="J34"/>
  <c r="I34"/>
  <c r="K25"/>
  <c r="J25"/>
  <c r="I25"/>
  <c r="I21"/>
  <c r="K20"/>
  <c r="J20"/>
  <c r="I20"/>
  <c r="I19"/>
  <c r="K18"/>
  <c r="J18"/>
  <c r="I18"/>
  <c r="K10"/>
  <c r="N10" s="1"/>
  <c r="J10"/>
  <c r="I10"/>
  <c r="K3"/>
  <c r="O3" s="1"/>
  <c r="Q3" s="1"/>
  <c r="J3"/>
  <c r="I3"/>
  <c r="K46"/>
  <c r="O45"/>
  <c r="Q45" s="1"/>
  <c r="N45"/>
  <c r="L45"/>
  <c r="O44"/>
  <c r="Q44" s="1"/>
  <c r="N44"/>
  <c r="L44"/>
  <c r="O43"/>
  <c r="Q43" s="1"/>
  <c r="N43"/>
  <c r="L43"/>
  <c r="O42"/>
  <c r="Q42" s="1"/>
  <c r="N42"/>
  <c r="L42"/>
  <c r="O41"/>
  <c r="Q41" s="1"/>
  <c r="N41"/>
  <c r="L41"/>
  <c r="O40"/>
  <c r="Q40" s="1"/>
  <c r="N40"/>
  <c r="L40"/>
  <c r="O39"/>
  <c r="Q39" s="1"/>
  <c r="N39"/>
  <c r="L39"/>
  <c r="O38"/>
  <c r="Q38" s="1"/>
  <c r="N38"/>
  <c r="L38"/>
  <c r="O37"/>
  <c r="Q37" s="1"/>
  <c r="O36"/>
  <c r="Q36" s="1"/>
  <c r="N36"/>
  <c r="L36"/>
  <c r="O35"/>
  <c r="Q35" s="1"/>
  <c r="N35"/>
  <c r="L35"/>
  <c r="L34"/>
  <c r="O33"/>
  <c r="Q33" s="1"/>
  <c r="N33"/>
  <c r="L33"/>
  <c r="O32"/>
  <c r="Q32" s="1"/>
  <c r="N32"/>
  <c r="L32"/>
  <c r="O31"/>
  <c r="Q31" s="1"/>
  <c r="N31"/>
  <c r="L31"/>
  <c r="O30"/>
  <c r="Q30" s="1"/>
  <c r="N30"/>
  <c r="L30"/>
  <c r="O29"/>
  <c r="Q29" s="1"/>
  <c r="N29"/>
  <c r="L29"/>
  <c r="O28"/>
  <c r="Q28" s="1"/>
  <c r="N28"/>
  <c r="L28"/>
  <c r="O27"/>
  <c r="Q27" s="1"/>
  <c r="N27"/>
  <c r="L27"/>
  <c r="O26"/>
  <c r="Q26" s="1"/>
  <c r="N26"/>
  <c r="L26"/>
  <c r="O25"/>
  <c r="Q25" s="1"/>
  <c r="N25"/>
  <c r="L25"/>
  <c r="O24"/>
  <c r="Q24" s="1"/>
  <c r="N24"/>
  <c r="L24"/>
  <c r="O23"/>
  <c r="Q23" s="1"/>
  <c r="N23"/>
  <c r="L23"/>
  <c r="O22"/>
  <c r="Q22" s="1"/>
  <c r="N22"/>
  <c r="L22"/>
  <c r="O21"/>
  <c r="Q21" s="1"/>
  <c r="N21"/>
  <c r="L21"/>
  <c r="O20"/>
  <c r="Q20" s="1"/>
  <c r="N20"/>
  <c r="L20"/>
  <c r="O19"/>
  <c r="Q19" s="1"/>
  <c r="N19"/>
  <c r="L19"/>
  <c r="O18"/>
  <c r="Q18" s="1"/>
  <c r="N18"/>
  <c r="L18"/>
  <c r="O17"/>
  <c r="Q17" s="1"/>
  <c r="N17"/>
  <c r="L17"/>
  <c r="O16"/>
  <c r="Q16" s="1"/>
  <c r="N16"/>
  <c r="L16"/>
  <c r="O15"/>
  <c r="Q15" s="1"/>
  <c r="N15"/>
  <c r="L15"/>
  <c r="O14"/>
  <c r="Q14" s="1"/>
  <c r="N14"/>
  <c r="L14"/>
  <c r="O13"/>
  <c r="Q13" s="1"/>
  <c r="N13"/>
  <c r="L13"/>
  <c r="O12"/>
  <c r="Q12" s="1"/>
  <c r="N12"/>
  <c r="L12"/>
  <c r="O11"/>
  <c r="Q11" s="1"/>
  <c r="N11"/>
  <c r="L11"/>
  <c r="O10"/>
  <c r="Q10" s="1"/>
  <c r="L10"/>
  <c r="O9"/>
  <c r="Q9" s="1"/>
  <c r="N9"/>
  <c r="L9"/>
  <c r="O8"/>
  <c r="Q8" s="1"/>
  <c r="N8"/>
  <c r="L8"/>
  <c r="O7"/>
  <c r="Q7" s="1"/>
  <c r="N7"/>
  <c r="L7"/>
  <c r="O6"/>
  <c r="Q6" s="1"/>
  <c r="N6"/>
  <c r="L6"/>
  <c r="O5"/>
  <c r="Q5" s="1"/>
  <c r="N5"/>
  <c r="L5"/>
  <c r="O4"/>
  <c r="Q4" s="1"/>
  <c r="N4"/>
  <c r="L4"/>
  <c r="O2"/>
  <c r="N2"/>
  <c r="L2"/>
  <c r="L3" l="1"/>
  <c r="N3"/>
  <c r="O46"/>
  <c r="N34"/>
  <c r="L37"/>
  <c r="Q2"/>
  <c r="Q46" s="1"/>
  <c r="N46" l="1"/>
</calcChain>
</file>

<file path=xl/comments1.xml><?xml version="1.0" encoding="utf-8"?>
<comments xmlns="http://schemas.openxmlformats.org/spreadsheetml/2006/main">
  <authors>
    <author>leno</author>
  </authors>
  <commentList>
    <comment ref="A1" authorId="0">
      <text/>
    </comment>
  </commentList>
</comments>
</file>

<file path=xl/sharedStrings.xml><?xml version="1.0" encoding="utf-8"?>
<sst xmlns="http://schemas.openxmlformats.org/spreadsheetml/2006/main" count="326" uniqueCount="111">
  <si>
    <t>序号</t>
  </si>
  <si>
    <t>影片名称</t>
  </si>
  <si>
    <t>影片编码</t>
  </si>
  <si>
    <t>影院名称</t>
  </si>
  <si>
    <t>影院编码</t>
  </si>
  <si>
    <t>设备归属</t>
  </si>
  <si>
    <t>开始日期</t>
  </si>
  <si>
    <t>结束日期</t>
  </si>
  <si>
    <t>总场次</t>
  </si>
  <si>
    <t>总人次</t>
  </si>
  <si>
    <t>总票房</t>
  </si>
  <si>
    <t>电影专项基金</t>
  </si>
  <si>
    <t>增值税率</t>
  </si>
  <si>
    <t>税金</t>
  </si>
  <si>
    <t>净票房</t>
  </si>
  <si>
    <t>分账比例</t>
  </si>
  <si>
    <t>分账片款</t>
  </si>
  <si>
    <t>重庆UME影城（渝中）</t>
  </si>
  <si>
    <t>50031501</t>
  </si>
  <si>
    <t>中影设备</t>
  </si>
  <si>
    <t>合计</t>
  </si>
  <si>
    <t>最后一球</t>
    <phoneticPr fontId="8" type="noConversion"/>
  </si>
  <si>
    <t>侏罗纪世界2（3D 字幕）</t>
    <phoneticPr fontId="8" type="noConversion"/>
  </si>
  <si>
    <t>兄弟班</t>
    <phoneticPr fontId="8" type="noConversion"/>
  </si>
  <si>
    <t>幸福马上来</t>
    <phoneticPr fontId="8" type="noConversion"/>
  </si>
  <si>
    <t>新大头儿子和小头爸爸3俄罗斯奇遇记</t>
    <phoneticPr fontId="8" type="noConversion"/>
  </si>
  <si>
    <t>泄密者</t>
    <phoneticPr fontId="8" type="noConversion"/>
  </si>
  <si>
    <t>邪不压正（中国巨幕）</t>
  </si>
  <si>
    <t>邪不压正</t>
    <phoneticPr fontId="8" type="noConversion"/>
  </si>
  <si>
    <t>小悟空</t>
    <phoneticPr fontId="8" type="noConversion"/>
  </si>
  <si>
    <t>西虹市首富（中国巨幕）</t>
  </si>
  <si>
    <t>西虹市首富</t>
    <phoneticPr fontId="8" type="noConversion"/>
  </si>
  <si>
    <t>我不是药神（中国巨幕）</t>
  </si>
  <si>
    <t>我不是药神</t>
    <phoneticPr fontId="8" type="noConversion"/>
  </si>
  <si>
    <t>汪星卧底</t>
    <phoneticPr fontId="8" type="noConversion"/>
  </si>
  <si>
    <t>淘气大侦探（3D ）</t>
    <phoneticPr fontId="8" type="noConversion"/>
  </si>
  <si>
    <t>淘气大侦探（2D）</t>
    <phoneticPr fontId="8" type="noConversion"/>
  </si>
  <si>
    <t>神奇马戏团之动物饼干（3D）</t>
    <phoneticPr fontId="8" type="noConversion"/>
  </si>
  <si>
    <t>神奇马戏团之动物饼干（2D）</t>
    <phoneticPr fontId="8" type="noConversion"/>
  </si>
  <si>
    <t>神秘世界历险记4（3D）</t>
    <phoneticPr fontId="8" type="noConversion"/>
  </si>
  <si>
    <t>潜艇总动员：海底两万里（3D）</t>
    <phoneticPr fontId="8" type="noConversion"/>
  </si>
  <si>
    <t>您一定不要错过 内蒙古民族电影70年</t>
    <phoneticPr fontId="8" type="noConversion"/>
  </si>
  <si>
    <t>摩天营救（3D）</t>
    <phoneticPr fontId="8" type="noConversion"/>
  </si>
  <si>
    <t>摩天营救（中国巨幕）</t>
    <phoneticPr fontId="8" type="noConversion"/>
  </si>
  <si>
    <t>猛虫过江</t>
    <phoneticPr fontId="8" type="noConversion"/>
  </si>
  <si>
    <t>龙虾刑警</t>
    <phoneticPr fontId="8" type="noConversion"/>
  </si>
  <si>
    <t>快乐星球之三十六号</t>
    <phoneticPr fontId="8" type="noConversion"/>
  </si>
  <si>
    <t>金蝉脱壳2：冥府</t>
    <phoneticPr fontId="8" type="noConversion"/>
  </si>
  <si>
    <t>寂静之地</t>
    <phoneticPr fontId="8" type="noConversion"/>
  </si>
  <si>
    <t>复仇者联盟3：无限战争（3D）</t>
    <phoneticPr fontId="8" type="noConversion"/>
  </si>
  <si>
    <t>风语咒</t>
    <phoneticPr fontId="8" type="noConversion"/>
  </si>
  <si>
    <t>动物世界（3D）</t>
    <phoneticPr fontId="8" type="noConversion"/>
  </si>
  <si>
    <t>动物世界（中国巨幕）</t>
    <phoneticPr fontId="8" type="noConversion"/>
  </si>
  <si>
    <t>第七个小矮人（配音）</t>
    <phoneticPr fontId="8" type="noConversion"/>
  </si>
  <si>
    <t>狄仁杰之四大天王（3D）</t>
    <phoneticPr fontId="8" type="noConversion"/>
  </si>
  <si>
    <t>狄仁杰之四大天王（中国巨幕）</t>
    <phoneticPr fontId="8" type="noConversion"/>
  </si>
  <si>
    <t>超时空同居</t>
    <phoneticPr fontId="8" type="noConversion"/>
  </si>
  <si>
    <t>超人总动员2</t>
    <phoneticPr fontId="8" type="noConversion"/>
  </si>
  <si>
    <t>超人总动员2（3D）</t>
    <phoneticPr fontId="8" type="noConversion"/>
  </si>
  <si>
    <t>北方一片苍茫</t>
    <phoneticPr fontId="8" type="noConversion"/>
  </si>
  <si>
    <t>阿修罗（3D）</t>
    <phoneticPr fontId="8" type="noConversion"/>
  </si>
  <si>
    <t>阿修罗（2D）</t>
    <phoneticPr fontId="8" type="noConversion"/>
  </si>
  <si>
    <t>阿飞正传</t>
    <phoneticPr fontId="8" type="noConversion"/>
  </si>
  <si>
    <t>侏罗纪世界2（中国巨幕）</t>
    <phoneticPr fontId="8" type="noConversion"/>
  </si>
  <si>
    <t>091101172018</t>
    <phoneticPr fontId="9" type="noConversion"/>
  </si>
  <si>
    <t>051201022018</t>
    <phoneticPr fontId="9" type="noConversion"/>
  </si>
  <si>
    <t>051901022018</t>
    <phoneticPr fontId="9" type="noConversion"/>
  </si>
  <si>
    <t>001104632017</t>
    <phoneticPr fontId="9" type="noConversion"/>
  </si>
  <si>
    <t>001102782017</t>
    <phoneticPr fontId="9" type="noConversion"/>
  </si>
  <si>
    <t>001b03562018</t>
    <phoneticPr fontId="9" type="noConversion"/>
  </si>
  <si>
    <t>001103922018</t>
    <phoneticPr fontId="9" type="noConversion"/>
  </si>
  <si>
    <t>001804952018</t>
    <phoneticPr fontId="9" type="noConversion"/>
  </si>
  <si>
    <t>001104952018</t>
    <phoneticPr fontId="9" type="noConversion"/>
  </si>
  <si>
    <t>001c03982018</t>
    <phoneticPr fontId="9" type="noConversion"/>
  </si>
  <si>
    <t>001806062018</t>
    <phoneticPr fontId="9" type="noConversion"/>
  </si>
  <si>
    <t>001106062018</t>
    <phoneticPr fontId="9" type="noConversion"/>
  </si>
  <si>
    <t>001804962018</t>
    <phoneticPr fontId="9" type="noConversion"/>
  </si>
  <si>
    <t>001104962018</t>
    <phoneticPr fontId="9" type="noConversion"/>
  </si>
  <si>
    <t>051101182018</t>
    <phoneticPr fontId="9" type="noConversion"/>
  </si>
  <si>
    <t>051201262018</t>
    <phoneticPr fontId="9" type="noConversion"/>
  </si>
  <si>
    <t>051101262018</t>
    <phoneticPr fontId="9" type="noConversion"/>
  </si>
  <si>
    <t>001c05642018</t>
    <phoneticPr fontId="9" type="noConversion"/>
  </si>
  <si>
    <t>001b05642018</t>
    <phoneticPr fontId="9" type="noConversion"/>
  </si>
  <si>
    <t>001c05332018</t>
    <phoneticPr fontId="9" type="noConversion"/>
  </si>
  <si>
    <t>001c03542018</t>
    <phoneticPr fontId="9" type="noConversion"/>
  </si>
  <si>
    <r>
      <t>001l0548201</t>
    </r>
    <r>
      <rPr>
        <sz val="9"/>
        <rFont val="宋体"/>
        <family val="3"/>
        <charset val="134"/>
      </rPr>
      <t>7</t>
    </r>
    <phoneticPr fontId="9" type="noConversion"/>
  </si>
  <si>
    <t>051201202018</t>
    <phoneticPr fontId="9" type="noConversion"/>
  </si>
  <si>
    <t>051901202018</t>
    <phoneticPr fontId="9" type="noConversion"/>
  </si>
  <si>
    <t>001104442018</t>
    <phoneticPr fontId="9" type="noConversion"/>
  </si>
  <si>
    <t>001103782018</t>
    <phoneticPr fontId="9" type="noConversion"/>
  </si>
  <si>
    <t>001106792015</t>
    <phoneticPr fontId="9" type="noConversion"/>
  </si>
  <si>
    <t>051101152018</t>
    <phoneticPr fontId="9" type="noConversion"/>
  </si>
  <si>
    <t>051100932018</t>
    <phoneticPr fontId="9" type="noConversion"/>
  </si>
  <si>
    <t>051200922018</t>
    <phoneticPr fontId="9" type="noConversion"/>
  </si>
  <si>
    <t>001b05272018</t>
    <phoneticPr fontId="9" type="noConversion"/>
  </si>
  <si>
    <t>001203772018</t>
    <phoneticPr fontId="9" type="noConversion"/>
  </si>
  <si>
    <t>001903772018</t>
    <phoneticPr fontId="9" type="noConversion"/>
  </si>
  <si>
    <t>066100982018</t>
    <phoneticPr fontId="9" type="noConversion"/>
  </si>
  <si>
    <t>001202172018</t>
    <phoneticPr fontId="9" type="noConversion"/>
  </si>
  <si>
    <t>001902172018</t>
    <phoneticPr fontId="9" type="noConversion"/>
  </si>
  <si>
    <t>001102802018</t>
    <phoneticPr fontId="9" type="noConversion"/>
  </si>
  <si>
    <t>051101112018</t>
    <phoneticPr fontId="9" type="noConversion"/>
  </si>
  <si>
    <t>051201112018</t>
    <phoneticPr fontId="9" type="noConversion"/>
  </si>
  <si>
    <t>001108552017</t>
    <phoneticPr fontId="9" type="noConversion"/>
  </si>
  <si>
    <t>001204972018</t>
    <phoneticPr fontId="9" type="noConversion"/>
  </si>
  <si>
    <t>001104972018</t>
    <phoneticPr fontId="9" type="noConversion"/>
  </si>
  <si>
    <t>002101142018</t>
    <phoneticPr fontId="9" type="noConversion"/>
  </si>
  <si>
    <t>小悟空（3D）</t>
    <phoneticPr fontId="8" type="noConversion"/>
  </si>
  <si>
    <t>001b03982018</t>
    <phoneticPr fontId="9" type="noConversion"/>
  </si>
  <si>
    <t>2018-07-01</t>
    <phoneticPr fontId="9" type="noConversion"/>
  </si>
  <si>
    <t>2018-07-31</t>
    <phoneticPr fontId="9" type="noConversion"/>
  </si>
</sst>
</file>

<file path=xl/styles.xml><?xml version="1.0" encoding="utf-8"?>
<styleSheet xmlns="http://schemas.openxmlformats.org/spreadsheetml/2006/main">
  <numFmts count="3">
    <numFmt numFmtId="7" formatCode="&quot;¥&quot;#,##0.00;&quot;¥&quot;\-#,##0.00"/>
    <numFmt numFmtId="176" formatCode="0.00_ "/>
    <numFmt numFmtId="177" formatCode="0.0000_ "/>
  </numFmts>
  <fonts count="10">
    <font>
      <sz val="10"/>
      <name val="Arial"/>
      <charset val="134"/>
    </font>
    <font>
      <sz val="10"/>
      <color theme="1" tint="0.249977111117893"/>
      <name val="Arial"/>
      <family val="2"/>
    </font>
    <font>
      <b/>
      <sz val="12"/>
      <color theme="1" tint="0.249977111117893"/>
      <name val="Arial"/>
      <family val="2"/>
    </font>
    <font>
      <b/>
      <sz val="12"/>
      <color theme="1" tint="0.249977111117893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0"/>
      <color theme="1"/>
      <name val="Arial"/>
      <family val="2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0" fontId="7" fillId="0" borderId="0"/>
  </cellStyleXfs>
  <cellXfs count="24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 applyProtection="1">
      <alignment horizontal="center" vertical="center" wrapText="1"/>
    </xf>
    <xf numFmtId="49" fontId="3" fillId="2" borderId="1" xfId="0" applyNumberFormat="1" applyFont="1" applyFill="1" applyBorder="1" applyAlignment="1" applyProtection="1">
      <alignment horizontal="center" vertical="center" wrapText="1"/>
    </xf>
    <xf numFmtId="49" fontId="2" fillId="2" borderId="1" xfId="0" applyNumberFormat="1" applyFont="1" applyFill="1" applyBorder="1" applyAlignment="1" applyProtection="1">
      <alignment horizontal="center" vertical="center" wrapText="1"/>
    </xf>
    <xf numFmtId="14" fontId="3" fillId="2" borderId="1" xfId="0" applyNumberFormat="1" applyFont="1" applyFill="1" applyBorder="1" applyAlignment="1" applyProtection="1">
      <alignment horizontal="center" vertical="center" wrapText="1"/>
    </xf>
    <xf numFmtId="0" fontId="0" fillId="0" borderId="1" xfId="0" applyBorder="1" applyAlignment="1">
      <alignment horizontal="center" vertical="center"/>
    </xf>
    <xf numFmtId="49" fontId="5" fillId="0" borderId="2" xfId="0" applyNumberFormat="1" applyFont="1" applyFill="1" applyBorder="1" applyAlignment="1">
      <alignment horizontal="center" vertical="center"/>
    </xf>
    <xf numFmtId="49" fontId="0" fillId="0" borderId="3" xfId="0" applyNumberFormat="1" applyFont="1" applyFill="1" applyBorder="1" applyAlignment="1">
      <alignment horizontal="center" vertical="center"/>
    </xf>
    <xf numFmtId="49" fontId="6" fillId="0" borderId="2" xfId="0" applyNumberFormat="1" applyFont="1" applyFill="1" applyBorder="1" applyAlignment="1">
      <alignment horizontal="center" vertical="center"/>
    </xf>
    <xf numFmtId="176" fontId="3" fillId="2" borderId="1" xfId="0" applyNumberFormat="1" applyFont="1" applyFill="1" applyBorder="1" applyAlignment="1" applyProtection="1">
      <alignment horizontal="center" vertical="center" wrapText="1"/>
    </xf>
    <xf numFmtId="177" fontId="3" fillId="2" borderId="1" xfId="0" applyNumberFormat="1" applyFont="1" applyFill="1" applyBorder="1" applyAlignment="1" applyProtection="1">
      <alignment horizontal="center" vertical="center" wrapText="1"/>
    </xf>
    <xf numFmtId="176" fontId="6" fillId="0" borderId="2" xfId="0" applyNumberFormat="1" applyFont="1" applyFill="1" applyBorder="1" applyAlignment="1">
      <alignment horizontal="right" vertical="center"/>
    </xf>
    <xf numFmtId="176" fontId="6" fillId="0" borderId="2" xfId="0" applyNumberFormat="1" applyFont="1" applyFill="1" applyBorder="1" applyAlignment="1">
      <alignment horizontal="center" vertical="center"/>
    </xf>
    <xf numFmtId="177" fontId="6" fillId="0" borderId="2" xfId="0" applyNumberFormat="1" applyFont="1" applyFill="1" applyBorder="1" applyAlignment="1">
      <alignment horizontal="center" vertical="center"/>
    </xf>
    <xf numFmtId="49" fontId="6" fillId="0" borderId="1" xfId="0" applyNumberFormat="1" applyFont="1" applyFill="1" applyBorder="1" applyAlignment="1">
      <alignment horizontal="center" vertical="center"/>
    </xf>
    <xf numFmtId="0" fontId="0" fillId="0" borderId="1" xfId="0" applyBorder="1"/>
    <xf numFmtId="0" fontId="8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2" xfId="0" applyNumberFormat="1" applyFont="1" applyBorder="1" applyAlignment="1">
      <alignment horizontal="center"/>
    </xf>
    <xf numFmtId="7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49" fontId="4" fillId="0" borderId="2" xfId="0" applyNumberFormat="1" applyFont="1" applyBorder="1" applyAlignment="1">
      <alignment horizontal="center"/>
    </xf>
  </cellXfs>
  <cellStyles count="2">
    <cellStyle name="常规" xfId="0" builtinId="0"/>
    <cellStyle name="常规 2 2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46"/>
  <sheetViews>
    <sheetView tabSelected="1" workbookViewId="0">
      <selection activeCell="H16" sqref="H16"/>
    </sheetView>
  </sheetViews>
  <sheetFormatPr defaultColWidth="9.140625" defaultRowHeight="12.75"/>
  <cols>
    <col min="1" max="1" width="9.140625" style="2"/>
    <col min="2" max="2" width="31.42578125" customWidth="1"/>
    <col min="3" max="3" width="16.42578125" customWidth="1"/>
    <col min="4" max="4" width="20.28515625" customWidth="1"/>
    <col min="5" max="5" width="12.85546875" customWidth="1"/>
    <col min="6" max="6" width="13.7109375" customWidth="1"/>
    <col min="7" max="7" width="12.28515625" customWidth="1"/>
    <col min="8" max="8" width="14.140625" customWidth="1"/>
    <col min="11" max="11" width="14.42578125" customWidth="1"/>
    <col min="12" max="12" width="16.85546875" customWidth="1"/>
    <col min="13" max="13" width="12" customWidth="1"/>
    <col min="14" max="14" width="13" bestFit="1" customWidth="1"/>
    <col min="15" max="15" width="13.85546875" bestFit="1" customWidth="1"/>
    <col min="16" max="16" width="11" customWidth="1"/>
    <col min="17" max="17" width="17" customWidth="1"/>
  </cols>
  <sheetData>
    <row r="1" spans="1:17" s="1" customFormat="1" ht="30" customHeight="1">
      <c r="A1" s="3" t="s">
        <v>0</v>
      </c>
      <c r="B1" s="4" t="s">
        <v>1</v>
      </c>
      <c r="C1" s="5" t="s">
        <v>2</v>
      </c>
      <c r="D1" s="4" t="s">
        <v>3</v>
      </c>
      <c r="E1" s="4" t="s">
        <v>4</v>
      </c>
      <c r="F1" s="4" t="s">
        <v>5</v>
      </c>
      <c r="G1" s="6" t="s">
        <v>6</v>
      </c>
      <c r="H1" s="6" t="s">
        <v>7</v>
      </c>
      <c r="I1" s="4" t="s">
        <v>8</v>
      </c>
      <c r="J1" s="4" t="s">
        <v>9</v>
      </c>
      <c r="K1" s="11" t="s">
        <v>10</v>
      </c>
      <c r="L1" s="11" t="s">
        <v>11</v>
      </c>
      <c r="M1" s="11" t="s">
        <v>12</v>
      </c>
      <c r="N1" s="11" t="s">
        <v>13</v>
      </c>
      <c r="O1" s="11" t="s">
        <v>14</v>
      </c>
      <c r="P1" s="12" t="s">
        <v>15</v>
      </c>
      <c r="Q1" s="11" t="s">
        <v>16</v>
      </c>
    </row>
    <row r="2" spans="1:17">
      <c r="A2" s="7">
        <v>1</v>
      </c>
      <c r="B2" s="18" t="s">
        <v>21</v>
      </c>
      <c r="C2" s="23" t="s">
        <v>64</v>
      </c>
      <c r="D2" s="8" t="s">
        <v>17</v>
      </c>
      <c r="E2" s="9" t="s">
        <v>18</v>
      </c>
      <c r="F2" s="8" t="s">
        <v>19</v>
      </c>
      <c r="G2" s="10" t="s">
        <v>109</v>
      </c>
      <c r="H2" s="10" t="s">
        <v>110</v>
      </c>
      <c r="I2" s="19">
        <v>4</v>
      </c>
      <c r="J2" s="19">
        <v>21</v>
      </c>
      <c r="K2" s="19">
        <v>739.25</v>
      </c>
      <c r="L2" s="13">
        <f>K2*0.05</f>
        <v>36.962499999999999</v>
      </c>
      <c r="M2" s="14">
        <v>0.03</v>
      </c>
      <c r="N2" s="13">
        <f>K2*(1-0.96737864)</f>
        <v>24.115340380000031</v>
      </c>
      <c r="O2" s="13">
        <f>K2*0.91737864</f>
        <v>678.17215962</v>
      </c>
      <c r="P2" s="15">
        <v>0.48</v>
      </c>
      <c r="Q2" s="13">
        <f>O2*P2</f>
        <v>325.52263661759997</v>
      </c>
    </row>
    <row r="3" spans="1:17">
      <c r="A3" s="7">
        <v>2</v>
      </c>
      <c r="B3" s="18" t="s">
        <v>22</v>
      </c>
      <c r="C3" s="23" t="s">
        <v>65</v>
      </c>
      <c r="D3" s="8" t="s">
        <v>17</v>
      </c>
      <c r="E3" s="9" t="s">
        <v>18</v>
      </c>
      <c r="F3" s="8" t="s">
        <v>19</v>
      </c>
      <c r="G3" s="10" t="s">
        <v>109</v>
      </c>
      <c r="H3" s="10" t="s">
        <v>110</v>
      </c>
      <c r="I3" s="19">
        <f>137+76</f>
        <v>213</v>
      </c>
      <c r="J3" s="19">
        <f>2720+1253</f>
        <v>3973</v>
      </c>
      <c r="K3" s="20">
        <f>101978.57+72445.45</f>
        <v>174424.02000000002</v>
      </c>
      <c r="L3" s="13">
        <f t="shared" ref="L3:L34" si="0">K3*0.05</f>
        <v>8721.2010000000009</v>
      </c>
      <c r="M3" s="14">
        <v>0.03</v>
      </c>
      <c r="N3" s="13">
        <f t="shared" ref="N3:N41" si="1">K3*(1-0.96737864)</f>
        <v>5689.9487490672082</v>
      </c>
      <c r="O3" s="13">
        <f t="shared" ref="O3:O39" si="2">K3*0.91737864</f>
        <v>160012.87025093281</v>
      </c>
      <c r="P3" s="15">
        <v>0.48</v>
      </c>
      <c r="Q3" s="13">
        <f t="shared" ref="Q3:Q45" si="3">O3*P3</f>
        <v>76806.177720447755</v>
      </c>
    </row>
    <row r="4" spans="1:17">
      <c r="A4" s="22">
        <v>3</v>
      </c>
      <c r="B4" s="18" t="s">
        <v>63</v>
      </c>
      <c r="C4" s="23" t="s">
        <v>66</v>
      </c>
      <c r="D4" s="8" t="s">
        <v>17</v>
      </c>
      <c r="E4" s="9" t="s">
        <v>18</v>
      </c>
      <c r="F4" s="8" t="s">
        <v>19</v>
      </c>
      <c r="G4" s="10" t="s">
        <v>109</v>
      </c>
      <c r="H4" s="10" t="s">
        <v>110</v>
      </c>
      <c r="I4" s="19">
        <v>1</v>
      </c>
      <c r="J4" s="19">
        <v>7</v>
      </c>
      <c r="K4" s="19">
        <v>235</v>
      </c>
      <c r="L4" s="13">
        <f t="shared" si="0"/>
        <v>11.75</v>
      </c>
      <c r="M4" s="14">
        <v>0.03</v>
      </c>
      <c r="N4" s="13">
        <f t="shared" si="1"/>
        <v>7.66601960000001</v>
      </c>
      <c r="O4" s="13">
        <f t="shared" si="2"/>
        <v>215.5839804</v>
      </c>
      <c r="P4" s="15">
        <v>0.48</v>
      </c>
      <c r="Q4" s="13">
        <f t="shared" si="3"/>
        <v>103.480310592</v>
      </c>
    </row>
    <row r="5" spans="1:17">
      <c r="A5" s="22">
        <v>4</v>
      </c>
      <c r="B5" s="18" t="s">
        <v>23</v>
      </c>
      <c r="C5" s="23" t="s">
        <v>67</v>
      </c>
      <c r="D5" s="8" t="s">
        <v>17</v>
      </c>
      <c r="E5" s="9" t="s">
        <v>18</v>
      </c>
      <c r="F5" s="8" t="s">
        <v>19</v>
      </c>
      <c r="G5" s="10" t="s">
        <v>109</v>
      </c>
      <c r="H5" s="10" t="s">
        <v>110</v>
      </c>
      <c r="I5" s="19">
        <v>13</v>
      </c>
      <c r="J5" s="19">
        <v>11</v>
      </c>
      <c r="K5" s="19">
        <v>414</v>
      </c>
      <c r="L5" s="13">
        <f t="shared" si="0"/>
        <v>20.700000000000003</v>
      </c>
      <c r="M5" s="14">
        <v>0.03</v>
      </c>
      <c r="N5" s="13">
        <f t="shared" si="1"/>
        <v>13.505243040000018</v>
      </c>
      <c r="O5" s="13">
        <f t="shared" si="2"/>
        <v>379.79475696000003</v>
      </c>
      <c r="P5" s="15">
        <v>0.48</v>
      </c>
      <c r="Q5" s="13">
        <f t="shared" si="3"/>
        <v>182.30148334080002</v>
      </c>
    </row>
    <row r="6" spans="1:17">
      <c r="A6" s="22">
        <v>5</v>
      </c>
      <c r="B6" s="18" t="s">
        <v>24</v>
      </c>
      <c r="C6" s="23" t="s">
        <v>68</v>
      </c>
      <c r="D6" s="8" t="s">
        <v>17</v>
      </c>
      <c r="E6" s="9" t="s">
        <v>18</v>
      </c>
      <c r="F6" s="8" t="s">
        <v>19</v>
      </c>
      <c r="G6" s="10" t="s">
        <v>109</v>
      </c>
      <c r="H6" s="10" t="s">
        <v>110</v>
      </c>
      <c r="I6" s="19">
        <v>66</v>
      </c>
      <c r="J6" s="19">
        <v>407</v>
      </c>
      <c r="K6" s="19">
        <v>14123.6</v>
      </c>
      <c r="L6" s="13">
        <f t="shared" si="0"/>
        <v>706.18000000000006</v>
      </c>
      <c r="M6" s="14">
        <v>0.03</v>
      </c>
      <c r="N6" s="13">
        <f t="shared" si="1"/>
        <v>460.73104009600064</v>
      </c>
      <c r="O6" s="13">
        <f t="shared" si="2"/>
        <v>12956.688959904001</v>
      </c>
      <c r="P6" s="15">
        <v>0.48</v>
      </c>
      <c r="Q6" s="13">
        <f t="shared" si="3"/>
        <v>6219.2107007539198</v>
      </c>
    </row>
    <row r="7" spans="1:17">
      <c r="A7" s="22">
        <v>6</v>
      </c>
      <c r="B7" s="18" t="s">
        <v>25</v>
      </c>
      <c r="C7" s="23" t="s">
        <v>69</v>
      </c>
      <c r="D7" s="8" t="s">
        <v>17</v>
      </c>
      <c r="E7" s="9" t="s">
        <v>18</v>
      </c>
      <c r="F7" s="8" t="s">
        <v>19</v>
      </c>
      <c r="G7" s="10" t="s">
        <v>109</v>
      </c>
      <c r="H7" s="10" t="s">
        <v>110</v>
      </c>
      <c r="I7" s="19">
        <v>119</v>
      </c>
      <c r="J7" s="19">
        <v>1595</v>
      </c>
      <c r="K7" s="19">
        <v>57225.3</v>
      </c>
      <c r="L7" s="13">
        <f t="shared" si="0"/>
        <v>2861.2650000000003</v>
      </c>
      <c r="M7" s="14">
        <v>0.03</v>
      </c>
      <c r="N7" s="13">
        <f t="shared" si="1"/>
        <v>1866.7671124080025</v>
      </c>
      <c r="O7" s="13">
        <f t="shared" si="2"/>
        <v>52497.267887592003</v>
      </c>
      <c r="P7" s="15">
        <v>0.48</v>
      </c>
      <c r="Q7" s="13">
        <f t="shared" si="3"/>
        <v>25198.688586044162</v>
      </c>
    </row>
    <row r="8" spans="1:17">
      <c r="A8" s="22">
        <v>7</v>
      </c>
      <c r="B8" s="18" t="s">
        <v>26</v>
      </c>
      <c r="C8" s="23" t="s">
        <v>70</v>
      </c>
      <c r="D8" s="8" t="s">
        <v>17</v>
      </c>
      <c r="E8" s="9" t="s">
        <v>18</v>
      </c>
      <c r="F8" s="8" t="s">
        <v>19</v>
      </c>
      <c r="G8" s="10" t="s">
        <v>109</v>
      </c>
      <c r="H8" s="10" t="s">
        <v>110</v>
      </c>
      <c r="I8" s="19">
        <v>21</v>
      </c>
      <c r="J8" s="19">
        <v>53</v>
      </c>
      <c r="K8" s="19">
        <v>1899.85</v>
      </c>
      <c r="L8" s="13">
        <f t="shared" si="0"/>
        <v>94.992500000000007</v>
      </c>
      <c r="M8" s="14">
        <v>0.03</v>
      </c>
      <c r="N8" s="13">
        <f t="shared" si="1"/>
        <v>61.97569079600008</v>
      </c>
      <c r="O8" s="13">
        <f t="shared" si="2"/>
        <v>1742.8818092039999</v>
      </c>
      <c r="P8" s="15">
        <v>0.48</v>
      </c>
      <c r="Q8" s="13">
        <f t="shared" si="3"/>
        <v>836.58326841791995</v>
      </c>
    </row>
    <row r="9" spans="1:17">
      <c r="A9" s="22">
        <v>8</v>
      </c>
      <c r="B9" s="18" t="s">
        <v>27</v>
      </c>
      <c r="C9" s="23" t="s">
        <v>71</v>
      </c>
      <c r="D9" s="8" t="s">
        <v>17</v>
      </c>
      <c r="E9" s="9" t="s">
        <v>18</v>
      </c>
      <c r="F9" s="8" t="s">
        <v>19</v>
      </c>
      <c r="G9" s="10" t="s">
        <v>109</v>
      </c>
      <c r="H9" s="10" t="s">
        <v>110</v>
      </c>
      <c r="I9" s="19">
        <v>25</v>
      </c>
      <c r="J9" s="19">
        <v>1401</v>
      </c>
      <c r="K9" s="19">
        <v>67207.05</v>
      </c>
      <c r="L9" s="13">
        <f t="shared" si="0"/>
        <v>3360.3525000000004</v>
      </c>
      <c r="M9" s="14">
        <v>0.03</v>
      </c>
      <c r="N9" s="13">
        <f t="shared" si="1"/>
        <v>2192.3853725880031</v>
      </c>
      <c r="O9" s="13">
        <f t="shared" si="2"/>
        <v>61654.312127412006</v>
      </c>
      <c r="P9" s="15">
        <v>0.48</v>
      </c>
      <c r="Q9" s="13">
        <f t="shared" si="3"/>
        <v>29594.069821157762</v>
      </c>
    </row>
    <row r="10" spans="1:17">
      <c r="A10" s="22">
        <v>9</v>
      </c>
      <c r="B10" s="18" t="s">
        <v>28</v>
      </c>
      <c r="C10" s="23" t="s">
        <v>72</v>
      </c>
      <c r="D10" s="8" t="s">
        <v>17</v>
      </c>
      <c r="E10" s="9" t="s">
        <v>18</v>
      </c>
      <c r="F10" s="8" t="s">
        <v>19</v>
      </c>
      <c r="G10" s="10" t="s">
        <v>109</v>
      </c>
      <c r="H10" s="10" t="s">
        <v>110</v>
      </c>
      <c r="I10" s="19">
        <f>285+24</f>
        <v>309</v>
      </c>
      <c r="J10" s="19">
        <f>9396+409</f>
        <v>9805</v>
      </c>
      <c r="K10" s="20">
        <f>366932.45+24648.02</f>
        <v>391580.47000000003</v>
      </c>
      <c r="L10" s="13">
        <f t="shared" si="0"/>
        <v>19579.023500000003</v>
      </c>
      <c r="M10" s="14">
        <v>0.03</v>
      </c>
      <c r="N10" s="13">
        <f t="shared" si="1"/>
        <v>12773.887480839217</v>
      </c>
      <c r="O10" s="13">
        <f t="shared" si="2"/>
        <v>359227.55901916086</v>
      </c>
      <c r="P10" s="15">
        <v>0.48</v>
      </c>
      <c r="Q10" s="13">
        <f t="shared" si="3"/>
        <v>172429.22832919721</v>
      </c>
    </row>
    <row r="11" spans="1:17">
      <c r="A11" s="22">
        <v>10</v>
      </c>
      <c r="B11" s="19" t="s">
        <v>107</v>
      </c>
      <c r="C11" s="23" t="s">
        <v>73</v>
      </c>
      <c r="D11" s="8" t="s">
        <v>17</v>
      </c>
      <c r="E11" s="9" t="s">
        <v>18</v>
      </c>
      <c r="F11" s="8" t="s">
        <v>19</v>
      </c>
      <c r="G11" s="10" t="s">
        <v>109</v>
      </c>
      <c r="H11" s="10" t="s">
        <v>110</v>
      </c>
      <c r="I11" s="19">
        <v>18</v>
      </c>
      <c r="J11" s="19">
        <v>62</v>
      </c>
      <c r="K11" s="19">
        <v>2176</v>
      </c>
      <c r="L11" s="13">
        <f t="shared" si="0"/>
        <v>108.80000000000001</v>
      </c>
      <c r="M11" s="14">
        <v>0.03</v>
      </c>
      <c r="N11" s="13">
        <f t="shared" si="1"/>
        <v>70.984079360000095</v>
      </c>
      <c r="O11" s="13">
        <f t="shared" si="2"/>
        <v>1996.2159206400001</v>
      </c>
      <c r="P11" s="15">
        <v>0.48</v>
      </c>
      <c r="Q11" s="13">
        <f t="shared" si="3"/>
        <v>958.18364190720001</v>
      </c>
    </row>
    <row r="12" spans="1:17">
      <c r="A12" s="22">
        <v>11</v>
      </c>
      <c r="B12" s="19" t="s">
        <v>29</v>
      </c>
      <c r="C12" s="23" t="s">
        <v>108</v>
      </c>
      <c r="D12" s="8" t="s">
        <v>17</v>
      </c>
      <c r="E12" s="9" t="s">
        <v>18</v>
      </c>
      <c r="F12" s="8" t="s">
        <v>19</v>
      </c>
      <c r="G12" s="10" t="s">
        <v>109</v>
      </c>
      <c r="H12" s="10" t="s">
        <v>110</v>
      </c>
      <c r="I12" s="19">
        <v>4</v>
      </c>
      <c r="J12" s="19">
        <v>80</v>
      </c>
      <c r="K12" s="19">
        <v>2870.3</v>
      </c>
      <c r="L12" s="13">
        <f t="shared" si="0"/>
        <v>143.51500000000001</v>
      </c>
      <c r="M12" s="14">
        <v>0.03</v>
      </c>
      <c r="N12" s="13">
        <f t="shared" si="1"/>
        <v>93.633089608000134</v>
      </c>
      <c r="O12" s="13">
        <f t="shared" si="2"/>
        <v>2633.1519103920004</v>
      </c>
      <c r="P12" s="15">
        <v>0.48</v>
      </c>
      <c r="Q12" s="13">
        <f t="shared" si="3"/>
        <v>1263.9129169881601</v>
      </c>
    </row>
    <row r="13" spans="1:17">
      <c r="A13" s="22">
        <v>12</v>
      </c>
      <c r="B13" s="18" t="s">
        <v>30</v>
      </c>
      <c r="C13" s="23" t="s">
        <v>74</v>
      </c>
      <c r="D13" s="8" t="s">
        <v>17</v>
      </c>
      <c r="E13" s="9" t="s">
        <v>18</v>
      </c>
      <c r="F13" s="8" t="s">
        <v>19</v>
      </c>
      <c r="G13" s="10" t="s">
        <v>109</v>
      </c>
      <c r="H13" s="10" t="s">
        <v>110</v>
      </c>
      <c r="I13" s="19">
        <v>24</v>
      </c>
      <c r="J13" s="19">
        <v>3407</v>
      </c>
      <c r="K13" s="20">
        <v>163022.01</v>
      </c>
      <c r="L13" s="13">
        <f t="shared" si="0"/>
        <v>8151.1005000000005</v>
      </c>
      <c r="M13" s="14">
        <v>0.03</v>
      </c>
      <c r="N13" s="13">
        <f t="shared" si="1"/>
        <v>5317.9996761336079</v>
      </c>
      <c r="O13" s="13">
        <f t="shared" si="2"/>
        <v>149552.90982386642</v>
      </c>
      <c r="P13" s="15">
        <v>0.48</v>
      </c>
      <c r="Q13" s="13">
        <f t="shared" si="3"/>
        <v>71785.396715455878</v>
      </c>
    </row>
    <row r="14" spans="1:17">
      <c r="A14" s="22">
        <v>13</v>
      </c>
      <c r="B14" s="18" t="s">
        <v>31</v>
      </c>
      <c r="C14" s="23" t="s">
        <v>75</v>
      </c>
      <c r="D14" s="8" t="s">
        <v>17</v>
      </c>
      <c r="E14" s="9" t="s">
        <v>18</v>
      </c>
      <c r="F14" s="8" t="s">
        <v>19</v>
      </c>
      <c r="G14" s="10" t="s">
        <v>109</v>
      </c>
      <c r="H14" s="10" t="s">
        <v>110</v>
      </c>
      <c r="I14" s="19">
        <v>123</v>
      </c>
      <c r="J14" s="19">
        <v>10233</v>
      </c>
      <c r="K14" s="20">
        <v>409373.74</v>
      </c>
      <c r="L14" s="13">
        <f t="shared" si="0"/>
        <v>20468.687000000002</v>
      </c>
      <c r="M14" s="14">
        <v>0.03</v>
      </c>
      <c r="N14" s="13">
        <f t="shared" si="1"/>
        <v>13354.328147086417</v>
      </c>
      <c r="O14" s="13">
        <f t="shared" si="2"/>
        <v>375550.72485291358</v>
      </c>
      <c r="P14" s="15">
        <v>0.48</v>
      </c>
      <c r="Q14" s="13">
        <f t="shared" si="3"/>
        <v>180264.3479293985</v>
      </c>
    </row>
    <row r="15" spans="1:17">
      <c r="A15" s="7">
        <v>14</v>
      </c>
      <c r="B15" s="18" t="s">
        <v>32</v>
      </c>
      <c r="C15" s="23" t="s">
        <v>76</v>
      </c>
      <c r="D15" s="8" t="s">
        <v>17</v>
      </c>
      <c r="E15" s="9" t="s">
        <v>18</v>
      </c>
      <c r="F15" s="8" t="s">
        <v>19</v>
      </c>
      <c r="G15" s="10" t="s">
        <v>109</v>
      </c>
      <c r="H15" s="10" t="s">
        <v>110</v>
      </c>
      <c r="I15" s="19">
        <v>73</v>
      </c>
      <c r="J15" s="19">
        <v>5928</v>
      </c>
      <c r="K15" s="20">
        <v>271831.69</v>
      </c>
      <c r="L15" s="13">
        <f t="shared" si="0"/>
        <v>13591.584500000001</v>
      </c>
      <c r="M15" s="14">
        <v>0.03</v>
      </c>
      <c r="N15" s="13">
        <f t="shared" si="1"/>
        <v>8867.5194188984115</v>
      </c>
      <c r="O15" s="13">
        <f t="shared" si="2"/>
        <v>249372.58608110162</v>
      </c>
      <c r="P15" s="15">
        <v>0.48</v>
      </c>
      <c r="Q15" s="13">
        <f t="shared" si="3"/>
        <v>119698.84131892877</v>
      </c>
    </row>
    <row r="16" spans="1:17">
      <c r="A16" s="7">
        <v>15</v>
      </c>
      <c r="B16" s="18" t="s">
        <v>33</v>
      </c>
      <c r="C16" s="23" t="s">
        <v>77</v>
      </c>
      <c r="D16" s="8" t="s">
        <v>17</v>
      </c>
      <c r="E16" s="9" t="s">
        <v>18</v>
      </c>
      <c r="F16" s="8" t="s">
        <v>19</v>
      </c>
      <c r="G16" s="10" t="s">
        <v>109</v>
      </c>
      <c r="H16" s="10" t="s">
        <v>110</v>
      </c>
      <c r="I16" s="19">
        <v>607</v>
      </c>
      <c r="J16" s="19">
        <v>32763</v>
      </c>
      <c r="K16" s="20">
        <v>1307140.25</v>
      </c>
      <c r="L16" s="13">
        <f t="shared" si="0"/>
        <v>65357.012500000004</v>
      </c>
      <c r="M16" s="14">
        <v>0.03</v>
      </c>
      <c r="N16" s="13">
        <f t="shared" si="1"/>
        <v>42640.692665740055</v>
      </c>
      <c r="O16" s="13">
        <f t="shared" si="2"/>
        <v>1199142.5448342601</v>
      </c>
      <c r="P16" s="15">
        <v>0.48</v>
      </c>
      <c r="Q16" s="13">
        <f t="shared" si="3"/>
        <v>575588.4215204448</v>
      </c>
    </row>
    <row r="17" spans="1:17">
      <c r="A17" s="7">
        <v>16</v>
      </c>
      <c r="B17" s="18" t="s">
        <v>34</v>
      </c>
      <c r="C17" s="23" t="s">
        <v>78</v>
      </c>
      <c r="D17" s="8" t="s">
        <v>17</v>
      </c>
      <c r="E17" s="9" t="s">
        <v>18</v>
      </c>
      <c r="F17" s="8" t="s">
        <v>19</v>
      </c>
      <c r="G17" s="10" t="s">
        <v>109</v>
      </c>
      <c r="H17" s="10" t="s">
        <v>110</v>
      </c>
      <c r="I17" s="19">
        <v>37</v>
      </c>
      <c r="J17" s="19">
        <v>266</v>
      </c>
      <c r="K17" s="19">
        <v>9018.9</v>
      </c>
      <c r="L17" s="13">
        <f t="shared" si="0"/>
        <v>450.94499999999999</v>
      </c>
      <c r="M17" s="14">
        <v>0.03</v>
      </c>
      <c r="N17" s="13">
        <f t="shared" si="1"/>
        <v>294.20878370400038</v>
      </c>
      <c r="O17" s="13">
        <f t="shared" si="2"/>
        <v>8273.7462162960001</v>
      </c>
      <c r="P17" s="15">
        <v>0.48</v>
      </c>
      <c r="Q17" s="13">
        <f t="shared" si="3"/>
        <v>3971.3981838220798</v>
      </c>
    </row>
    <row r="18" spans="1:17">
      <c r="A18" s="7">
        <v>17</v>
      </c>
      <c r="B18" s="18" t="s">
        <v>35</v>
      </c>
      <c r="C18" s="23" t="s">
        <v>79</v>
      </c>
      <c r="D18" s="8" t="s">
        <v>17</v>
      </c>
      <c r="E18" s="9" t="s">
        <v>18</v>
      </c>
      <c r="F18" s="8" t="s">
        <v>19</v>
      </c>
      <c r="G18" s="10" t="s">
        <v>109</v>
      </c>
      <c r="H18" s="10" t="s">
        <v>110</v>
      </c>
      <c r="I18" s="19">
        <f>20+6</f>
        <v>26</v>
      </c>
      <c r="J18" s="19">
        <f>185+31</f>
        <v>216</v>
      </c>
      <c r="K18" s="19">
        <f>6673+1095.5</f>
        <v>7768.5</v>
      </c>
      <c r="L18" s="13">
        <f t="shared" si="0"/>
        <v>388.42500000000001</v>
      </c>
      <c r="M18" s="14">
        <v>0.03</v>
      </c>
      <c r="N18" s="13">
        <f t="shared" si="1"/>
        <v>253.41903516000033</v>
      </c>
      <c r="O18" s="13">
        <f t="shared" si="2"/>
        <v>7126.6559648399998</v>
      </c>
      <c r="P18" s="15">
        <v>0.48</v>
      </c>
      <c r="Q18" s="13">
        <f t="shared" si="3"/>
        <v>3420.7948631231998</v>
      </c>
    </row>
    <row r="19" spans="1:17">
      <c r="A19" s="7">
        <v>18</v>
      </c>
      <c r="B19" s="18" t="s">
        <v>36</v>
      </c>
      <c r="C19" s="23" t="s">
        <v>80</v>
      </c>
      <c r="D19" s="8" t="s">
        <v>17</v>
      </c>
      <c r="E19" s="9" t="s">
        <v>18</v>
      </c>
      <c r="F19" s="8" t="s">
        <v>19</v>
      </c>
      <c r="G19" s="10" t="s">
        <v>109</v>
      </c>
      <c r="H19" s="10" t="s">
        <v>110</v>
      </c>
      <c r="I19" s="19">
        <f>17+3</f>
        <v>20</v>
      </c>
      <c r="J19" s="19">
        <v>112</v>
      </c>
      <c r="K19" s="19">
        <v>3806.25</v>
      </c>
      <c r="L19" s="13">
        <f t="shared" si="0"/>
        <v>190.3125</v>
      </c>
      <c r="M19" s="14">
        <v>0.03</v>
      </c>
      <c r="N19" s="13">
        <f t="shared" si="1"/>
        <v>124.16505150000016</v>
      </c>
      <c r="O19" s="13">
        <f t="shared" si="2"/>
        <v>3491.7724484999999</v>
      </c>
      <c r="P19" s="15">
        <v>0.48</v>
      </c>
      <c r="Q19" s="13">
        <f t="shared" si="3"/>
        <v>1676.0507752799999</v>
      </c>
    </row>
    <row r="20" spans="1:17">
      <c r="A20" s="7">
        <v>19</v>
      </c>
      <c r="B20" s="18" t="s">
        <v>37</v>
      </c>
      <c r="C20" s="23" t="s">
        <v>81</v>
      </c>
      <c r="D20" s="8" t="s">
        <v>17</v>
      </c>
      <c r="E20" s="9" t="s">
        <v>18</v>
      </c>
      <c r="F20" s="8" t="s">
        <v>19</v>
      </c>
      <c r="G20" s="10" t="s">
        <v>109</v>
      </c>
      <c r="H20" s="10" t="s">
        <v>110</v>
      </c>
      <c r="I20" s="19">
        <f>34+4</f>
        <v>38</v>
      </c>
      <c r="J20" s="19">
        <f>779+44</f>
        <v>823</v>
      </c>
      <c r="K20" s="19">
        <f>26220.75+1799</f>
        <v>28019.75</v>
      </c>
      <c r="L20" s="13">
        <f t="shared" si="0"/>
        <v>1400.9875000000002</v>
      </c>
      <c r="M20" s="14">
        <v>0.03</v>
      </c>
      <c r="N20" s="13">
        <f t="shared" si="1"/>
        <v>914.04235186000119</v>
      </c>
      <c r="O20" s="13">
        <f t="shared" si="2"/>
        <v>25704.720148140001</v>
      </c>
      <c r="P20" s="15">
        <v>0.48</v>
      </c>
      <c r="Q20" s="13">
        <f t="shared" si="3"/>
        <v>12338.2656711072</v>
      </c>
    </row>
    <row r="21" spans="1:17">
      <c r="A21" s="7">
        <v>20</v>
      </c>
      <c r="B21" s="18" t="s">
        <v>38</v>
      </c>
      <c r="C21" s="23" t="s">
        <v>82</v>
      </c>
      <c r="D21" s="8" t="s">
        <v>17</v>
      </c>
      <c r="E21" s="9" t="s">
        <v>18</v>
      </c>
      <c r="F21" s="8" t="s">
        <v>19</v>
      </c>
      <c r="G21" s="10" t="s">
        <v>109</v>
      </c>
      <c r="H21" s="10" t="s">
        <v>110</v>
      </c>
      <c r="I21" s="19">
        <f>1+1</f>
        <v>2</v>
      </c>
      <c r="J21" s="19">
        <v>23</v>
      </c>
      <c r="K21" s="19">
        <v>755.8</v>
      </c>
      <c r="L21" s="13">
        <f t="shared" si="0"/>
        <v>37.79</v>
      </c>
      <c r="M21" s="14">
        <v>0.03</v>
      </c>
      <c r="N21" s="13">
        <f t="shared" si="1"/>
        <v>24.65522388800003</v>
      </c>
      <c r="O21" s="13">
        <f t="shared" si="2"/>
        <v>693.35477611199997</v>
      </c>
      <c r="P21" s="15">
        <v>0.48</v>
      </c>
      <c r="Q21" s="13">
        <f t="shared" si="3"/>
        <v>332.81029253375999</v>
      </c>
    </row>
    <row r="22" spans="1:17">
      <c r="A22" s="7">
        <v>21</v>
      </c>
      <c r="B22" s="18" t="s">
        <v>39</v>
      </c>
      <c r="C22" s="23" t="s">
        <v>83</v>
      </c>
      <c r="D22" s="8" t="s">
        <v>17</v>
      </c>
      <c r="E22" s="9" t="s">
        <v>18</v>
      </c>
      <c r="F22" s="8" t="s">
        <v>19</v>
      </c>
      <c r="G22" s="10" t="s">
        <v>109</v>
      </c>
      <c r="H22" s="10" t="s">
        <v>110</v>
      </c>
      <c r="I22" s="19">
        <v>2</v>
      </c>
      <c r="J22" s="19">
        <v>37</v>
      </c>
      <c r="K22" s="19">
        <v>1400</v>
      </c>
      <c r="L22" s="13">
        <f t="shared" si="0"/>
        <v>70</v>
      </c>
      <c r="M22" s="14">
        <v>0.03</v>
      </c>
      <c r="N22" s="13">
        <f t="shared" si="1"/>
        <v>45.669904000000059</v>
      </c>
      <c r="O22" s="13">
        <f t="shared" si="2"/>
        <v>1284.3300960000001</v>
      </c>
      <c r="P22" s="15">
        <v>0.48</v>
      </c>
      <c r="Q22" s="13">
        <f t="shared" si="3"/>
        <v>616.47844608000003</v>
      </c>
    </row>
    <row r="23" spans="1:17">
      <c r="A23" s="7">
        <v>22</v>
      </c>
      <c r="B23" s="18" t="s">
        <v>40</v>
      </c>
      <c r="C23" s="23" t="s">
        <v>84</v>
      </c>
      <c r="D23" s="8" t="s">
        <v>17</v>
      </c>
      <c r="E23" s="9" t="s">
        <v>18</v>
      </c>
      <c r="F23" s="8" t="s">
        <v>19</v>
      </c>
      <c r="G23" s="10" t="s">
        <v>109</v>
      </c>
      <c r="H23" s="10" t="s">
        <v>110</v>
      </c>
      <c r="I23" s="19">
        <v>12</v>
      </c>
      <c r="J23" s="19">
        <v>29</v>
      </c>
      <c r="K23" s="19">
        <v>1007</v>
      </c>
      <c r="L23" s="13">
        <f t="shared" si="0"/>
        <v>50.35</v>
      </c>
      <c r="M23" s="14">
        <v>0.03</v>
      </c>
      <c r="N23" s="13">
        <f t="shared" si="1"/>
        <v>32.849709520000047</v>
      </c>
      <c r="O23" s="13">
        <f t="shared" si="2"/>
        <v>923.80029048000006</v>
      </c>
      <c r="P23" s="15">
        <v>0.48</v>
      </c>
      <c r="Q23" s="13">
        <f t="shared" si="3"/>
        <v>443.42413943040003</v>
      </c>
    </row>
    <row r="24" spans="1:17">
      <c r="A24" s="7">
        <v>23</v>
      </c>
      <c r="B24" s="18" t="s">
        <v>41</v>
      </c>
      <c r="C24" s="23" t="s">
        <v>85</v>
      </c>
      <c r="D24" s="8" t="s">
        <v>17</v>
      </c>
      <c r="E24" s="9" t="s">
        <v>18</v>
      </c>
      <c r="F24" s="8" t="s">
        <v>19</v>
      </c>
      <c r="G24" s="10" t="s">
        <v>109</v>
      </c>
      <c r="H24" s="10" t="s">
        <v>110</v>
      </c>
      <c r="I24" s="19">
        <v>51</v>
      </c>
      <c r="J24" s="19">
        <v>362</v>
      </c>
      <c r="K24" s="19">
        <v>12413.85</v>
      </c>
      <c r="L24" s="13">
        <f t="shared" si="0"/>
        <v>620.69250000000011</v>
      </c>
      <c r="M24" s="14">
        <v>0.03</v>
      </c>
      <c r="N24" s="13">
        <f t="shared" si="1"/>
        <v>404.95666983600057</v>
      </c>
      <c r="O24" s="13">
        <f t="shared" si="2"/>
        <v>11388.200830164</v>
      </c>
      <c r="P24" s="15">
        <v>0.48</v>
      </c>
      <c r="Q24" s="13">
        <f t="shared" si="3"/>
        <v>5466.3363984787193</v>
      </c>
    </row>
    <row r="25" spans="1:17">
      <c r="A25" s="7">
        <v>24</v>
      </c>
      <c r="B25" s="18" t="s">
        <v>42</v>
      </c>
      <c r="C25" s="23" t="s">
        <v>86</v>
      </c>
      <c r="D25" s="8" t="s">
        <v>17</v>
      </c>
      <c r="E25" s="9" t="s">
        <v>18</v>
      </c>
      <c r="F25" s="8" t="s">
        <v>19</v>
      </c>
      <c r="G25" s="10" t="s">
        <v>109</v>
      </c>
      <c r="H25" s="10" t="s">
        <v>110</v>
      </c>
      <c r="I25" s="19">
        <f>134+59</f>
        <v>193</v>
      </c>
      <c r="J25" s="19">
        <f>5424+1724</f>
        <v>7148</v>
      </c>
      <c r="K25" s="20">
        <f>213024.05+99797.23</f>
        <v>312821.27999999997</v>
      </c>
      <c r="L25" s="13">
        <f t="shared" si="0"/>
        <v>15641.063999999998</v>
      </c>
      <c r="M25" s="14">
        <v>0.03</v>
      </c>
      <c r="N25" s="13">
        <f t="shared" si="1"/>
        <v>10204.655590540813</v>
      </c>
      <c r="O25" s="13">
        <f t="shared" si="2"/>
        <v>286975.56040945917</v>
      </c>
      <c r="P25" s="15">
        <v>0.48</v>
      </c>
      <c r="Q25" s="13">
        <f t="shared" si="3"/>
        <v>137748.2689965404</v>
      </c>
    </row>
    <row r="26" spans="1:17">
      <c r="A26" s="7">
        <v>25</v>
      </c>
      <c r="B26" s="18" t="s">
        <v>43</v>
      </c>
      <c r="C26" s="23" t="s">
        <v>87</v>
      </c>
      <c r="D26" s="8" t="s">
        <v>17</v>
      </c>
      <c r="E26" s="9" t="s">
        <v>18</v>
      </c>
      <c r="F26" s="8" t="s">
        <v>19</v>
      </c>
      <c r="G26" s="10" t="s">
        <v>109</v>
      </c>
      <c r="H26" s="10" t="s">
        <v>110</v>
      </c>
      <c r="I26" s="19">
        <v>53</v>
      </c>
      <c r="J26" s="19">
        <v>3119</v>
      </c>
      <c r="K26" s="20">
        <v>140847.48000000001</v>
      </c>
      <c r="L26" s="13">
        <f t="shared" si="0"/>
        <v>7042.3740000000007</v>
      </c>
      <c r="M26" s="14">
        <v>0.03</v>
      </c>
      <c r="N26" s="13">
        <f t="shared" si="1"/>
        <v>4594.6363501728065</v>
      </c>
      <c r="O26" s="13">
        <f t="shared" si="2"/>
        <v>129210.46964982721</v>
      </c>
      <c r="P26" s="15">
        <v>0.48</v>
      </c>
      <c r="Q26" s="13">
        <f t="shared" si="3"/>
        <v>62021.025431917056</v>
      </c>
    </row>
    <row r="27" spans="1:17">
      <c r="A27" s="7">
        <v>26</v>
      </c>
      <c r="B27" s="18" t="s">
        <v>44</v>
      </c>
      <c r="C27" s="23" t="s">
        <v>88</v>
      </c>
      <c r="D27" s="8" t="s">
        <v>17</v>
      </c>
      <c r="E27" s="9" t="s">
        <v>18</v>
      </c>
      <c r="F27" s="8" t="s">
        <v>19</v>
      </c>
      <c r="G27" s="10" t="s">
        <v>109</v>
      </c>
      <c r="H27" s="10" t="s">
        <v>110</v>
      </c>
      <c r="I27" s="19">
        <v>18</v>
      </c>
      <c r="J27" s="19">
        <v>86</v>
      </c>
      <c r="K27" s="19">
        <v>3316.5</v>
      </c>
      <c r="L27" s="13">
        <f t="shared" si="0"/>
        <v>165.82500000000002</v>
      </c>
      <c r="M27" s="14">
        <v>0.03</v>
      </c>
      <c r="N27" s="13">
        <f t="shared" si="1"/>
        <v>108.18874044000015</v>
      </c>
      <c r="O27" s="13">
        <f t="shared" si="2"/>
        <v>3042.4862595600002</v>
      </c>
      <c r="P27" s="15">
        <v>0.48</v>
      </c>
      <c r="Q27" s="13">
        <f t="shared" si="3"/>
        <v>1460.3934045888</v>
      </c>
    </row>
    <row r="28" spans="1:17">
      <c r="A28" s="7">
        <v>27</v>
      </c>
      <c r="B28" s="18" t="s">
        <v>45</v>
      </c>
      <c r="C28" s="23" t="s">
        <v>89</v>
      </c>
      <c r="D28" s="8" t="s">
        <v>17</v>
      </c>
      <c r="E28" s="9" t="s">
        <v>18</v>
      </c>
      <c r="F28" s="8" t="s">
        <v>19</v>
      </c>
      <c r="G28" s="10" t="s">
        <v>109</v>
      </c>
      <c r="H28" s="10" t="s">
        <v>110</v>
      </c>
      <c r="I28" s="19">
        <v>1</v>
      </c>
      <c r="J28" s="19">
        <v>40</v>
      </c>
      <c r="K28" s="19">
        <v>2000</v>
      </c>
      <c r="L28" s="13">
        <f t="shared" si="0"/>
        <v>100</v>
      </c>
      <c r="M28" s="14">
        <v>0.03</v>
      </c>
      <c r="N28" s="13">
        <f t="shared" si="1"/>
        <v>65.242720000000091</v>
      </c>
      <c r="O28" s="13">
        <f t="shared" si="2"/>
        <v>1834.75728</v>
      </c>
      <c r="P28" s="15">
        <v>0.48</v>
      </c>
      <c r="Q28" s="13">
        <f t="shared" si="3"/>
        <v>880.68349439999997</v>
      </c>
    </row>
    <row r="29" spans="1:17">
      <c r="A29" s="7">
        <v>28</v>
      </c>
      <c r="B29" s="18" t="s">
        <v>46</v>
      </c>
      <c r="C29" s="23" t="s">
        <v>90</v>
      </c>
      <c r="D29" s="8" t="s">
        <v>17</v>
      </c>
      <c r="E29" s="9" t="s">
        <v>18</v>
      </c>
      <c r="F29" s="8" t="s">
        <v>19</v>
      </c>
      <c r="G29" s="10" t="s">
        <v>109</v>
      </c>
      <c r="H29" s="10" t="s">
        <v>110</v>
      </c>
      <c r="I29" s="19">
        <v>1</v>
      </c>
      <c r="J29" s="19">
        <v>0</v>
      </c>
      <c r="K29" s="19">
        <v>0</v>
      </c>
      <c r="L29" s="13">
        <f t="shared" si="0"/>
        <v>0</v>
      </c>
      <c r="M29" s="14">
        <v>0.03</v>
      </c>
      <c r="N29" s="13">
        <f t="shared" si="1"/>
        <v>0</v>
      </c>
      <c r="O29" s="13">
        <f t="shared" si="2"/>
        <v>0</v>
      </c>
      <c r="P29" s="15">
        <v>0.48</v>
      </c>
      <c r="Q29" s="13">
        <f t="shared" si="3"/>
        <v>0</v>
      </c>
    </row>
    <row r="30" spans="1:17">
      <c r="A30" s="7">
        <v>29</v>
      </c>
      <c r="B30" s="18" t="s">
        <v>47</v>
      </c>
      <c r="C30" s="23" t="s">
        <v>91</v>
      </c>
      <c r="D30" s="8" t="s">
        <v>17</v>
      </c>
      <c r="E30" s="9" t="s">
        <v>18</v>
      </c>
      <c r="F30" s="8" t="s">
        <v>19</v>
      </c>
      <c r="G30" s="10" t="s">
        <v>109</v>
      </c>
      <c r="H30" s="10" t="s">
        <v>110</v>
      </c>
      <c r="I30" s="19">
        <v>87</v>
      </c>
      <c r="J30" s="19">
        <v>751</v>
      </c>
      <c r="K30" s="19">
        <v>28499.63</v>
      </c>
      <c r="L30" s="13">
        <f t="shared" si="0"/>
        <v>1424.9815000000001</v>
      </c>
      <c r="M30" s="14">
        <v>0.03</v>
      </c>
      <c r="N30" s="13">
        <f t="shared" si="1"/>
        <v>929.69669009680126</v>
      </c>
      <c r="O30" s="13">
        <f t="shared" si="2"/>
        <v>26144.951809903203</v>
      </c>
      <c r="P30" s="15">
        <v>0.48</v>
      </c>
      <c r="Q30" s="13">
        <f t="shared" si="3"/>
        <v>12549.576868753536</v>
      </c>
    </row>
    <row r="31" spans="1:17">
      <c r="A31" s="7">
        <v>30</v>
      </c>
      <c r="B31" s="18" t="s">
        <v>48</v>
      </c>
      <c r="C31" s="23" t="s">
        <v>92</v>
      </c>
      <c r="D31" s="8" t="s">
        <v>17</v>
      </c>
      <c r="E31" s="9" t="s">
        <v>18</v>
      </c>
      <c r="F31" s="8" t="s">
        <v>19</v>
      </c>
      <c r="G31" s="10" t="s">
        <v>109</v>
      </c>
      <c r="H31" s="10" t="s">
        <v>110</v>
      </c>
      <c r="I31" s="19">
        <v>4</v>
      </c>
      <c r="J31" s="19">
        <v>8</v>
      </c>
      <c r="K31" s="19">
        <v>290.8</v>
      </c>
      <c r="L31" s="13">
        <f t="shared" si="0"/>
        <v>14.540000000000001</v>
      </c>
      <c r="M31" s="14">
        <v>0.03</v>
      </c>
      <c r="N31" s="13">
        <f t="shared" si="1"/>
        <v>9.4862914880000133</v>
      </c>
      <c r="O31" s="13">
        <f t="shared" si="2"/>
        <v>266.77370851200004</v>
      </c>
      <c r="P31" s="15">
        <v>0.48</v>
      </c>
      <c r="Q31" s="13">
        <f t="shared" si="3"/>
        <v>128.05138008576</v>
      </c>
    </row>
    <row r="32" spans="1:17">
      <c r="A32" s="7">
        <v>31</v>
      </c>
      <c r="B32" s="18" t="s">
        <v>49</v>
      </c>
      <c r="C32" s="23" t="s">
        <v>93</v>
      </c>
      <c r="D32" s="8" t="s">
        <v>17</v>
      </c>
      <c r="E32" s="9" t="s">
        <v>18</v>
      </c>
      <c r="F32" s="8" t="s">
        <v>19</v>
      </c>
      <c r="G32" s="10" t="s">
        <v>109</v>
      </c>
      <c r="H32" s="10" t="s">
        <v>110</v>
      </c>
      <c r="I32" s="19">
        <v>13</v>
      </c>
      <c r="J32" s="19">
        <v>94</v>
      </c>
      <c r="K32" s="19">
        <v>3127</v>
      </c>
      <c r="L32" s="13">
        <f t="shared" si="0"/>
        <v>156.35000000000002</v>
      </c>
      <c r="M32" s="14">
        <v>0.03</v>
      </c>
      <c r="N32" s="13">
        <f t="shared" si="1"/>
        <v>102.00699272000014</v>
      </c>
      <c r="O32" s="13">
        <f t="shared" si="2"/>
        <v>2868.6430072799999</v>
      </c>
      <c r="P32" s="15">
        <v>0.48</v>
      </c>
      <c r="Q32" s="13">
        <f t="shared" si="3"/>
        <v>1376.9486434943999</v>
      </c>
    </row>
    <row r="33" spans="1:17">
      <c r="A33" s="7">
        <v>32</v>
      </c>
      <c r="B33" s="18" t="s">
        <v>50</v>
      </c>
      <c r="C33" s="23" t="s">
        <v>94</v>
      </c>
      <c r="D33" s="8" t="s">
        <v>17</v>
      </c>
      <c r="E33" s="9" t="s">
        <v>18</v>
      </c>
      <c r="F33" s="8" t="s">
        <v>19</v>
      </c>
      <c r="G33" s="10" t="s">
        <v>109</v>
      </c>
      <c r="H33" s="10" t="s">
        <v>110</v>
      </c>
      <c r="I33" s="19">
        <v>1</v>
      </c>
      <c r="J33" s="19">
        <v>45</v>
      </c>
      <c r="K33" s="19">
        <v>1814</v>
      </c>
      <c r="L33" s="13">
        <f t="shared" si="0"/>
        <v>90.7</v>
      </c>
      <c r="M33" s="14">
        <v>0.03</v>
      </c>
      <c r="N33" s="13">
        <f t="shared" si="1"/>
        <v>59.175147040000077</v>
      </c>
      <c r="O33" s="13">
        <f t="shared" si="2"/>
        <v>1664.12485296</v>
      </c>
      <c r="P33" s="15">
        <v>0.48</v>
      </c>
      <c r="Q33" s="13">
        <f t="shared" si="3"/>
        <v>798.77992942079993</v>
      </c>
    </row>
    <row r="34" spans="1:17">
      <c r="A34" s="7">
        <v>33</v>
      </c>
      <c r="B34" s="18" t="s">
        <v>51</v>
      </c>
      <c r="C34" s="23" t="s">
        <v>95</v>
      </c>
      <c r="D34" s="8" t="s">
        <v>17</v>
      </c>
      <c r="E34" s="9" t="s">
        <v>18</v>
      </c>
      <c r="F34" s="8" t="s">
        <v>19</v>
      </c>
      <c r="G34" s="10" t="s">
        <v>109</v>
      </c>
      <c r="H34" s="10" t="s">
        <v>110</v>
      </c>
      <c r="I34" s="19">
        <f>214+4</f>
        <v>218</v>
      </c>
      <c r="J34" s="19">
        <f>5565+83</f>
        <v>5648</v>
      </c>
      <c r="K34" s="20">
        <f>215356.45+4465.25</f>
        <v>219821.7</v>
      </c>
      <c r="L34" s="13">
        <f t="shared" si="0"/>
        <v>10991.085000000001</v>
      </c>
      <c r="M34" s="14">
        <v>0.03</v>
      </c>
      <c r="N34" s="13">
        <f t="shared" si="1"/>
        <v>7170.8828115120095</v>
      </c>
      <c r="O34" s="13">
        <f t="shared" si="2"/>
        <v>201659.73218848801</v>
      </c>
      <c r="P34" s="15">
        <v>0.48</v>
      </c>
      <c r="Q34" s="13">
        <f t="shared" si="3"/>
        <v>96796.671450474241</v>
      </c>
    </row>
    <row r="35" spans="1:17">
      <c r="A35" s="7">
        <v>34</v>
      </c>
      <c r="B35" s="18" t="s">
        <v>52</v>
      </c>
      <c r="C35" s="23" t="s">
        <v>96</v>
      </c>
      <c r="D35" s="8" t="s">
        <v>17</v>
      </c>
      <c r="E35" s="9" t="s">
        <v>18</v>
      </c>
      <c r="F35" s="8" t="s">
        <v>19</v>
      </c>
      <c r="G35" s="10" t="s">
        <v>109</v>
      </c>
      <c r="H35" s="10" t="s">
        <v>110</v>
      </c>
      <c r="I35" s="19">
        <v>18</v>
      </c>
      <c r="J35" s="19">
        <v>730</v>
      </c>
      <c r="K35" s="19">
        <v>33878</v>
      </c>
      <c r="L35" s="13">
        <f t="shared" ref="L35:L45" si="4">K35*0.05</f>
        <v>1693.9</v>
      </c>
      <c r="M35" s="14">
        <v>0.03</v>
      </c>
      <c r="N35" s="13">
        <f t="shared" si="1"/>
        <v>1105.1464340800014</v>
      </c>
      <c r="O35" s="13">
        <f t="shared" si="2"/>
        <v>31078.953565920001</v>
      </c>
      <c r="P35" s="15">
        <v>0.48</v>
      </c>
      <c r="Q35" s="13">
        <f t="shared" si="3"/>
        <v>14917.897711641599</v>
      </c>
    </row>
    <row r="36" spans="1:17">
      <c r="A36" s="7">
        <v>35</v>
      </c>
      <c r="B36" s="18" t="s">
        <v>53</v>
      </c>
      <c r="C36" s="23" t="s">
        <v>97</v>
      </c>
      <c r="D36" s="8" t="s">
        <v>17</v>
      </c>
      <c r="E36" s="9" t="s">
        <v>18</v>
      </c>
      <c r="F36" s="8" t="s">
        <v>19</v>
      </c>
      <c r="G36" s="10" t="s">
        <v>109</v>
      </c>
      <c r="H36" s="10" t="s">
        <v>110</v>
      </c>
      <c r="I36" s="19">
        <v>30</v>
      </c>
      <c r="J36" s="19">
        <v>124</v>
      </c>
      <c r="K36" s="19">
        <v>4265.75</v>
      </c>
      <c r="L36" s="13">
        <f t="shared" si="4"/>
        <v>213.28750000000002</v>
      </c>
      <c r="M36" s="14">
        <v>0.03</v>
      </c>
      <c r="N36" s="13">
        <f t="shared" si="1"/>
        <v>139.15456642000018</v>
      </c>
      <c r="O36" s="13">
        <f t="shared" si="2"/>
        <v>3913.3079335800003</v>
      </c>
      <c r="P36" s="15">
        <v>0.48</v>
      </c>
      <c r="Q36" s="13">
        <f t="shared" si="3"/>
        <v>1878.3878081184</v>
      </c>
    </row>
    <row r="37" spans="1:17">
      <c r="A37" s="7">
        <v>36</v>
      </c>
      <c r="B37" s="18" t="s">
        <v>54</v>
      </c>
      <c r="C37" s="23" t="s">
        <v>98</v>
      </c>
      <c r="D37" s="8" t="s">
        <v>17</v>
      </c>
      <c r="E37" s="9" t="s">
        <v>18</v>
      </c>
      <c r="F37" s="8" t="s">
        <v>19</v>
      </c>
      <c r="G37" s="10" t="s">
        <v>109</v>
      </c>
      <c r="H37" s="10" t="s">
        <v>110</v>
      </c>
      <c r="I37" s="19">
        <f>112+18</f>
        <v>130</v>
      </c>
      <c r="J37" s="19">
        <f>4426+424</f>
        <v>4850</v>
      </c>
      <c r="K37" s="20">
        <f>183582.29+25370.1</f>
        <v>208952.39</v>
      </c>
      <c r="L37" s="13">
        <f t="shared" si="4"/>
        <v>10447.619500000001</v>
      </c>
      <c r="M37" s="14">
        <v>0.03</v>
      </c>
      <c r="N37" s="13">
        <f t="shared" si="1"/>
        <v>6816.3111370504093</v>
      </c>
      <c r="O37" s="13">
        <f t="shared" si="2"/>
        <v>191688.45936294962</v>
      </c>
      <c r="P37" s="15">
        <v>0.48</v>
      </c>
      <c r="Q37" s="13">
        <f t="shared" si="3"/>
        <v>92010.460494215818</v>
      </c>
    </row>
    <row r="38" spans="1:17">
      <c r="A38" s="7">
        <v>37</v>
      </c>
      <c r="B38" s="18" t="s">
        <v>55</v>
      </c>
      <c r="C38" s="23" t="s">
        <v>99</v>
      </c>
      <c r="D38" s="8" t="s">
        <v>17</v>
      </c>
      <c r="E38" s="9" t="s">
        <v>18</v>
      </c>
      <c r="F38" s="8" t="s">
        <v>19</v>
      </c>
      <c r="G38" s="10" t="s">
        <v>109</v>
      </c>
      <c r="H38" s="10" t="s">
        <v>110</v>
      </c>
      <c r="I38" s="19">
        <v>8</v>
      </c>
      <c r="J38" s="19">
        <v>393</v>
      </c>
      <c r="K38" s="19">
        <v>17952.45</v>
      </c>
      <c r="L38" s="13">
        <f t="shared" si="4"/>
        <v>897.62250000000006</v>
      </c>
      <c r="M38" s="14">
        <v>0.03</v>
      </c>
      <c r="N38" s="13">
        <f t="shared" si="1"/>
        <v>585.6333343320008</v>
      </c>
      <c r="O38" s="13">
        <f t="shared" si="2"/>
        <v>16469.194165668003</v>
      </c>
      <c r="P38" s="15">
        <v>0.48</v>
      </c>
      <c r="Q38" s="13">
        <f t="shared" si="3"/>
        <v>7905.213199520641</v>
      </c>
    </row>
    <row r="39" spans="1:17">
      <c r="A39" s="7">
        <v>38</v>
      </c>
      <c r="B39" s="18" t="s">
        <v>56</v>
      </c>
      <c r="C39" s="23" t="s">
        <v>100</v>
      </c>
      <c r="D39" s="8" t="s">
        <v>17</v>
      </c>
      <c r="E39" s="9" t="s">
        <v>18</v>
      </c>
      <c r="F39" s="8" t="s">
        <v>19</v>
      </c>
      <c r="G39" s="10" t="s">
        <v>109</v>
      </c>
      <c r="H39" s="10" t="s">
        <v>110</v>
      </c>
      <c r="I39" s="19">
        <v>5</v>
      </c>
      <c r="J39" s="19">
        <v>10</v>
      </c>
      <c r="K39" s="19">
        <v>346</v>
      </c>
      <c r="L39" s="13">
        <f t="shared" si="4"/>
        <v>17.3</v>
      </c>
      <c r="M39" s="14">
        <v>0.03</v>
      </c>
      <c r="N39" s="13">
        <f t="shared" si="1"/>
        <v>11.286990560000016</v>
      </c>
      <c r="O39" s="13">
        <f t="shared" si="2"/>
        <v>317.41300944</v>
      </c>
      <c r="P39" s="15">
        <v>0.48</v>
      </c>
      <c r="Q39" s="13">
        <f t="shared" si="3"/>
        <v>152.3582445312</v>
      </c>
    </row>
    <row r="40" spans="1:17">
      <c r="A40" s="7">
        <v>39</v>
      </c>
      <c r="B40" s="18" t="s">
        <v>57</v>
      </c>
      <c r="C40" s="23" t="s">
        <v>101</v>
      </c>
      <c r="D40" s="8" t="s">
        <v>17</v>
      </c>
      <c r="E40" s="9" t="s">
        <v>18</v>
      </c>
      <c r="F40" s="8" t="s">
        <v>19</v>
      </c>
      <c r="G40" s="10" t="s">
        <v>109</v>
      </c>
      <c r="H40" s="10" t="s">
        <v>110</v>
      </c>
      <c r="I40" s="19">
        <f>76+18</f>
        <v>94</v>
      </c>
      <c r="J40" s="19">
        <f>1058+467</f>
        <v>1525</v>
      </c>
      <c r="K40" s="19">
        <f>39324.05+17033.3</f>
        <v>56357.350000000006</v>
      </c>
      <c r="L40" s="13">
        <f t="shared" si="4"/>
        <v>2817.8675000000003</v>
      </c>
      <c r="M40" s="14">
        <v>0.03</v>
      </c>
      <c r="N40" s="13">
        <f t="shared" si="1"/>
        <v>1838.4534029960028</v>
      </c>
      <c r="O40" s="13">
        <f t="shared" ref="O40:O45" si="5">K40*0.91737864</f>
        <v>51701.029097004008</v>
      </c>
      <c r="P40" s="15">
        <v>0.48</v>
      </c>
      <c r="Q40" s="13">
        <f t="shared" si="3"/>
        <v>24816.493966561924</v>
      </c>
    </row>
    <row r="41" spans="1:17">
      <c r="A41" s="7">
        <v>40</v>
      </c>
      <c r="B41" s="18" t="s">
        <v>58</v>
      </c>
      <c r="C41" s="23" t="s">
        <v>102</v>
      </c>
      <c r="D41" s="8" t="s">
        <v>17</v>
      </c>
      <c r="E41" s="9" t="s">
        <v>18</v>
      </c>
      <c r="F41" s="8" t="s">
        <v>19</v>
      </c>
      <c r="G41" s="10" t="s">
        <v>109</v>
      </c>
      <c r="H41" s="10" t="s">
        <v>110</v>
      </c>
      <c r="I41" s="19">
        <f>48+41</f>
        <v>89</v>
      </c>
      <c r="J41" s="19">
        <f>867+742</f>
        <v>1609</v>
      </c>
      <c r="K41" s="19">
        <f>30600.4+28197.55</f>
        <v>58797.95</v>
      </c>
      <c r="L41" s="13">
        <f t="shared" si="4"/>
        <v>2939.8975</v>
      </c>
      <c r="M41" s="14">
        <v>0.03</v>
      </c>
      <c r="N41" s="13">
        <f t="shared" si="1"/>
        <v>1918.0690942120025</v>
      </c>
      <c r="O41" s="13">
        <f t="shared" si="5"/>
        <v>53939.983405788</v>
      </c>
      <c r="P41" s="15">
        <v>0.48</v>
      </c>
      <c r="Q41" s="13">
        <f t="shared" si="3"/>
        <v>25891.19203477824</v>
      </c>
    </row>
    <row r="42" spans="1:17">
      <c r="A42" s="7">
        <v>41</v>
      </c>
      <c r="B42" s="18" t="s">
        <v>59</v>
      </c>
      <c r="C42" s="23" t="s">
        <v>103</v>
      </c>
      <c r="D42" s="8" t="s">
        <v>17</v>
      </c>
      <c r="E42" s="9" t="s">
        <v>18</v>
      </c>
      <c r="F42" s="8" t="s">
        <v>19</v>
      </c>
      <c r="G42" s="10" t="s">
        <v>109</v>
      </c>
      <c r="H42" s="10" t="s">
        <v>110</v>
      </c>
      <c r="I42" s="19">
        <v>8</v>
      </c>
      <c r="J42" s="19">
        <v>19</v>
      </c>
      <c r="K42" s="19">
        <v>620.1</v>
      </c>
      <c r="L42" s="13">
        <f t="shared" si="4"/>
        <v>31.005000000000003</v>
      </c>
      <c r="M42" s="14">
        <v>0.03</v>
      </c>
      <c r="N42" s="13">
        <f t="shared" ref="N42:N45" si="6">K42*(1-0.96737864)</f>
        <v>20.228505336000026</v>
      </c>
      <c r="O42" s="13">
        <f t="shared" si="5"/>
        <v>568.86649466400002</v>
      </c>
      <c r="P42" s="15">
        <v>0.48</v>
      </c>
      <c r="Q42" s="13">
        <f t="shared" si="3"/>
        <v>273.05591743871997</v>
      </c>
    </row>
    <row r="43" spans="1:17">
      <c r="A43" s="7">
        <v>42</v>
      </c>
      <c r="B43" s="18" t="s">
        <v>60</v>
      </c>
      <c r="C43" s="23" t="s">
        <v>104</v>
      </c>
      <c r="D43" s="8" t="s">
        <v>17</v>
      </c>
      <c r="E43" s="9" t="s">
        <v>18</v>
      </c>
      <c r="F43" s="8" t="s">
        <v>19</v>
      </c>
      <c r="G43" s="10" t="s">
        <v>109</v>
      </c>
      <c r="H43" s="10" t="s">
        <v>110</v>
      </c>
      <c r="I43" s="19">
        <v>36</v>
      </c>
      <c r="J43" s="19">
        <v>334</v>
      </c>
      <c r="K43" s="19">
        <v>13565.25</v>
      </c>
      <c r="L43" s="13">
        <f t="shared" si="4"/>
        <v>678.26250000000005</v>
      </c>
      <c r="M43" s="14">
        <v>0.03</v>
      </c>
      <c r="N43" s="13">
        <f t="shared" si="6"/>
        <v>442.5169037400006</v>
      </c>
      <c r="O43" s="13">
        <f t="shared" si="5"/>
        <v>12444.47059626</v>
      </c>
      <c r="P43" s="15">
        <v>0.48</v>
      </c>
      <c r="Q43" s="13">
        <f t="shared" si="3"/>
        <v>5973.3458862048001</v>
      </c>
    </row>
    <row r="44" spans="1:17">
      <c r="A44" s="7">
        <v>43</v>
      </c>
      <c r="B44" s="18" t="s">
        <v>61</v>
      </c>
      <c r="C44" s="23" t="s">
        <v>105</v>
      </c>
      <c r="D44" s="8" t="s">
        <v>17</v>
      </c>
      <c r="E44" s="9" t="s">
        <v>18</v>
      </c>
      <c r="F44" s="8" t="s">
        <v>19</v>
      </c>
      <c r="G44" s="10" t="s">
        <v>109</v>
      </c>
      <c r="H44" s="10" t="s">
        <v>110</v>
      </c>
      <c r="I44" s="19">
        <v>5</v>
      </c>
      <c r="J44" s="19">
        <v>11</v>
      </c>
      <c r="K44" s="19">
        <v>408</v>
      </c>
      <c r="L44" s="13">
        <f t="shared" si="4"/>
        <v>20.400000000000002</v>
      </c>
      <c r="M44" s="14">
        <v>0.03</v>
      </c>
      <c r="N44" s="13">
        <f t="shared" si="6"/>
        <v>13.309514880000018</v>
      </c>
      <c r="O44" s="13">
        <f t="shared" si="5"/>
        <v>374.29048512000003</v>
      </c>
      <c r="P44" s="15">
        <v>0.48</v>
      </c>
      <c r="Q44" s="13">
        <f t="shared" si="3"/>
        <v>179.6594328576</v>
      </c>
    </row>
    <row r="45" spans="1:17">
      <c r="A45" s="7">
        <v>44</v>
      </c>
      <c r="B45" s="18" t="s">
        <v>62</v>
      </c>
      <c r="C45" s="23" t="s">
        <v>106</v>
      </c>
      <c r="D45" s="8" t="s">
        <v>17</v>
      </c>
      <c r="E45" s="9" t="s">
        <v>18</v>
      </c>
      <c r="F45" s="8" t="s">
        <v>19</v>
      </c>
      <c r="G45" s="10" t="s">
        <v>109</v>
      </c>
      <c r="H45" s="10" t="s">
        <v>110</v>
      </c>
      <c r="I45" s="19">
        <v>23</v>
      </c>
      <c r="J45" s="19">
        <v>152</v>
      </c>
      <c r="K45" s="19">
        <v>5907</v>
      </c>
      <c r="L45" s="13">
        <f t="shared" si="4"/>
        <v>295.35000000000002</v>
      </c>
      <c r="M45" s="14">
        <v>0.03</v>
      </c>
      <c r="N45" s="13">
        <f t="shared" si="6"/>
        <v>192.69437352000025</v>
      </c>
      <c r="O45" s="13">
        <f t="shared" si="5"/>
        <v>5418.9556264800003</v>
      </c>
      <c r="P45" s="15">
        <v>0.48</v>
      </c>
      <c r="Q45" s="13">
        <f t="shared" si="3"/>
        <v>2601.0987007104</v>
      </c>
    </row>
    <row r="46" spans="1:17" ht="27.95" customHeight="1">
      <c r="A46" s="7"/>
      <c r="B46" s="16" t="s">
        <v>20</v>
      </c>
      <c r="C46" s="17"/>
      <c r="D46" s="17"/>
      <c r="E46" s="17"/>
      <c r="F46" s="17"/>
      <c r="G46" s="17"/>
      <c r="H46" s="17"/>
      <c r="I46" s="17"/>
      <c r="J46" s="17"/>
      <c r="K46" s="7">
        <f>SUM(K2:K45)</f>
        <v>4042041.2100000004</v>
      </c>
      <c r="L46" s="7"/>
      <c r="M46" s="7"/>
      <c r="N46" s="21">
        <f>SUM(N2:N45)</f>
        <v>131856.8814462458</v>
      </c>
      <c r="O46" s="21">
        <f>SUM(O2:O45)</f>
        <v>3708082.2680537542</v>
      </c>
      <c r="P46" s="21"/>
      <c r="Q46" s="21">
        <f>SUM(Q2:Q45)</f>
        <v>1779879.4886658029</v>
      </c>
    </row>
  </sheetData>
  <protectedRanges>
    <protectedRange sqref="B46" name="区域1" securityDescriptor=""/>
    <protectedRange sqref="G2:H45" name="区域1_1" securityDescriptor=""/>
    <protectedRange sqref="L2:Q2 P3:P45 M3:M45" name="区域1_2" securityDescriptor=""/>
  </protectedRanges>
  <phoneticPr fontId="9" type="noConversion"/>
  <pageMargins left="0.75" right="0.75" top="1" bottom="1" header="0.51180555555555596" footer="0.51180555555555596"/>
  <pageSetup paperSize="9" orientation="portrait" horizontalDpi="4294967293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2018.07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cxg</dc:creator>
  <cp:lastModifiedBy>User</cp:lastModifiedBy>
  <dcterms:created xsi:type="dcterms:W3CDTF">2015-11-10T02:18:00Z</dcterms:created>
  <dcterms:modified xsi:type="dcterms:W3CDTF">2018-08-01T09:25:36Z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