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64011"/>
  <mc:AlternateContent xmlns:mc="http://schemas.openxmlformats.org/markup-compatibility/2006">
    <mc:Choice Requires="x15">
      <x15ac:absPath xmlns:x15ac="http://schemas.microsoft.com/office/spreadsheetml/2010/11/ac" url="P:\Regional Programs\Public\Planning\7. Special Projects\COVID19\Backlog for services\Surgery\CMAJ Paper\Final Submission Documents\Revision 1\"/>
    </mc:Choice>
  </mc:AlternateContent>
  <bookViews>
    <workbookView xWindow="0" yWindow="0" windowWidth="28800" windowHeight="12144" tabRatio="856" firstSheet="1" activeTab="1"/>
  </bookViews>
  <sheets>
    <sheet name="READ ME" sheetId="35" state="veryHidden" r:id="rId1"/>
    <sheet name="Cover Page" sheetId="34" r:id="rId2"/>
    <sheet name="Data Inputs" sheetId="40" r:id="rId3"/>
    <sheet name="Custom Graphics" sheetId="20" r:id="rId4"/>
    <sheet name="Ontario Graphics" sheetId="29" r:id="rId5"/>
    <sheet name="Regional Graphics" sheetId="22" r:id="rId6"/>
    <sheet name="Documentation" sheetId="37" r:id="rId7"/>
    <sheet name="PPE Inputs" sheetId="42" r:id="rId8"/>
    <sheet name="PPE Outputs" sheetId="43" r:id="rId9"/>
    <sheet name="Resource Data" sheetId="46" state="veryHidden" r:id="rId10"/>
    <sheet name="Backlog Volumes" sheetId="41" state="veryHidden" r:id="rId11"/>
  </sheets>
  <externalReferences>
    <externalReference r:id="rId12"/>
  </externalReferences>
  <definedNames>
    <definedName name="BacklogSizeCV">'[1]Forecasts - Cancer and Vascular'!$V$7:$BK$7</definedName>
    <definedName name="Benign_P2P3">'Data Inputs'!$C$131:$L$136</definedName>
    <definedName name="Benign_P4">'Data Inputs'!$C$140:$L$145</definedName>
    <definedName name="Buffer">'Data Inputs'!$E$179</definedName>
    <definedName name="Cancer_P2P3">'Data Inputs'!$C$68:$L$73</definedName>
    <definedName name="Cancer_P4">'Data Inputs'!$C$77:$L$82</definedName>
    <definedName name="Cardiac_CABG">'Data Inputs'!$C$113:$L$118</definedName>
    <definedName name="Cardiac_Valve">'Data Inputs'!$C$122:$L$127</definedName>
    <definedName name="Central">'Regional Graphics'!$C$264:$E$270</definedName>
    <definedName name="Coverpage">'Cover Page'!$A$6</definedName>
    <definedName name="Custom">'Data Inputs'!$C$22:$L$22</definedName>
    <definedName name="Custom_RegionName">'Data Inputs'!$B$22</definedName>
    <definedName name="customgraphics">'Custom Graphics'!$A$6</definedName>
    <definedName name="Datainputs">'Data Inputs'!$A$6</definedName>
    <definedName name="East">'Regional Graphics'!$C$688:$E$694</definedName>
    <definedName name="ForecastLookupCV">'[1]Forecasts - Cancer and Vascular'!$V$9:$BK$9</definedName>
    <definedName name="LivingDonor" localSheetId="7">'[1]Backlog Model - Time + Resource'!$T$80</definedName>
    <definedName name="LivingDonor" localSheetId="8">'[1]Backlog Model - Time + Resource'!$T$80</definedName>
    <definedName name="LivingDonor">'Custom Graphics'!$T$76</definedName>
    <definedName name="methodology">Documentation!$A$6</definedName>
    <definedName name="North">'Regional Graphics'!$C$901:$E$907</definedName>
    <definedName name="Ontario">'Regional Graphics'!$C$1112:$E$1118</definedName>
    <definedName name="Ontariographics">'Ontario Graphics'!$A$6</definedName>
    <definedName name="ORList">'[1]OR LIST'!$N$12:$Q$17</definedName>
    <definedName name="ORRegion">'[1]OR LIST'!$M$12:$M$17</definedName>
    <definedName name="ORType">'[1]OR LIST'!$N$11:$Q$11</definedName>
    <definedName name="Pediatric_P2P3">'Data Inputs'!$C$149:$L$154</definedName>
    <definedName name="Pediatric_P4">'Data Inputs'!$C$158:$L$163</definedName>
    <definedName name="PPEInputs">'PPE Inputs'!$A$6</definedName>
    <definedName name="PPEOutputs">'PPE Outputs'!$A$9</definedName>
    <definedName name="procedures" localSheetId="7">'[1]Backlog Model - Time + Resource'!$B$120:$B$128</definedName>
    <definedName name="procedures" localSheetId="8">'[1]Backlog Model - Time + Resource'!$B$120:$B$128</definedName>
    <definedName name="procedures">'Data Inputs'!$B$174:$B$185</definedName>
    <definedName name="ProcedureSelection">'Custom Graphics'!$C$10</definedName>
    <definedName name="regionalgraphics">'Regional Graphics'!$A$6</definedName>
    <definedName name="Regions" localSheetId="7">'[1]Backlog Model - Time + Resource'!$B$39:$B$44</definedName>
    <definedName name="Regions" localSheetId="8">'[1]Backlog Model - Time + Resource'!$B$39:$B$44</definedName>
    <definedName name="Regions">'Data Inputs'!$B$68:$B$73</definedName>
    <definedName name="RegionSelection">'Custom Graphics'!$C$11</definedName>
    <definedName name="ResourceDataCVT">'[1]Resource Data'!$M$7:$Q$41</definedName>
    <definedName name="Scenario1">'Regional Graphics'!$C$17:$C$24</definedName>
    <definedName name="Scenario2">'Regional Graphics'!$D$17:$D$24</definedName>
    <definedName name="Scenario3">'Regional Graphics'!$E$17:$E$24</definedName>
    <definedName name="ScenarioInputs">'Data Inputs'!$C$30:$E$35</definedName>
    <definedName name="Scenarios" localSheetId="7">'[1]Backlog Model - Time + Resource'!$C$10:$E$10</definedName>
    <definedName name="Scenarios" localSheetId="8">'[1]Backlog Model - Time + Resource'!$C$10:$E$10</definedName>
    <definedName name="Scenarios">'Data Inputs'!$C$29:$E$29</definedName>
    <definedName name="ScenariosCustom">'Data Inputs'!$C$16:$E$16</definedName>
    <definedName name="Slicer_Custom">#N/A</definedName>
    <definedName name="Toronto">'Regional Graphics'!$C$475:$E$481</definedName>
    <definedName name="Transplant">'Data Inputs'!$C$104:$L$109</definedName>
    <definedName name="uptake">Documentation!$B$17</definedName>
    <definedName name="Vascular_P2P3">'Data Inputs'!$C$86:$L$91</definedName>
    <definedName name="Vascular_P4">'Data Inputs'!$C$95:$L$100</definedName>
    <definedName name="West">'Regional Graphics'!$C$50:$E$56</definedName>
  </definedNames>
  <calcPr calcId="162913"/>
  <pivotCaches>
    <pivotCache cacheId="0"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7" i="40" l="1"/>
  <c r="K162" i="40" l="1"/>
  <c r="K80" i="40" l="1"/>
  <c r="K91" i="40"/>
  <c r="K116" i="40"/>
  <c r="K127" i="40"/>
  <c r="K141" i="40"/>
  <c r="K163" i="40"/>
  <c r="K70" i="40"/>
  <c r="K95" i="40"/>
  <c r="K117" i="40"/>
  <c r="K131" i="40"/>
  <c r="K153" i="40"/>
  <c r="K71" i="40"/>
  <c r="K96" i="40"/>
  <c r="K107" i="40"/>
  <c r="K118" i="40"/>
  <c r="K132" i="40"/>
  <c r="K143" i="40"/>
  <c r="K154" i="40"/>
  <c r="K72" i="40"/>
  <c r="K86" i="40"/>
  <c r="K97" i="40"/>
  <c r="K108" i="40"/>
  <c r="K122" i="40"/>
  <c r="K133" i="40"/>
  <c r="K144" i="40"/>
  <c r="K158" i="40"/>
  <c r="K69" i="40"/>
  <c r="K105" i="40"/>
  <c r="K152" i="40"/>
  <c r="K81" i="40"/>
  <c r="K106" i="40"/>
  <c r="K142" i="40"/>
  <c r="K73" i="40"/>
  <c r="K123" i="40"/>
  <c r="K89" i="40"/>
  <c r="K82" i="40"/>
  <c r="K87" i="40"/>
  <c r="K98" i="40"/>
  <c r="K109" i="40"/>
  <c r="K134" i="40"/>
  <c r="K145" i="40"/>
  <c r="K159" i="40"/>
  <c r="K77" i="40"/>
  <c r="K88" i="40"/>
  <c r="K99" i="40"/>
  <c r="K113" i="40"/>
  <c r="K124" i="40"/>
  <c r="K135" i="40"/>
  <c r="K149" i="40"/>
  <c r="K160" i="40"/>
  <c r="K78" i="40"/>
  <c r="K100" i="40"/>
  <c r="K114" i="40"/>
  <c r="K125" i="40"/>
  <c r="K136" i="40"/>
  <c r="K150" i="40"/>
  <c r="K161" i="40"/>
  <c r="K68" i="40"/>
  <c r="K79" i="40"/>
  <c r="K90" i="40"/>
  <c r="K104" i="40"/>
  <c r="K115" i="40"/>
  <c r="K126" i="40"/>
  <c r="K140" i="40"/>
  <c r="K151" i="40"/>
  <c r="L162" i="40" l="1"/>
  <c r="L69" i="40"/>
  <c r="L80" i="40"/>
  <c r="L91" i="40"/>
  <c r="L105" i="40"/>
  <c r="L116" i="40"/>
  <c r="L127" i="40"/>
  <c r="L141" i="40"/>
  <c r="L152" i="40"/>
  <c r="L70" i="40"/>
  <c r="L95" i="40"/>
  <c r="L106" i="40"/>
  <c r="L117" i="40"/>
  <c r="L142" i="40"/>
  <c r="L82" i="40"/>
  <c r="L132" i="40"/>
  <c r="L86" i="40"/>
  <c r="L158" i="40"/>
  <c r="L96" i="40"/>
  <c r="L118" i="40"/>
  <c r="L154" i="40"/>
  <c r="L97" i="40"/>
  <c r="L122" i="40"/>
  <c r="L73" i="40"/>
  <c r="L87" i="40"/>
  <c r="L98" i="40"/>
  <c r="L123" i="40"/>
  <c r="L134" i="40"/>
  <c r="L159" i="40"/>
  <c r="L77" i="40"/>
  <c r="L99" i="40"/>
  <c r="L124" i="40"/>
  <c r="L135" i="40"/>
  <c r="L149" i="40"/>
  <c r="L160" i="40"/>
  <c r="L78" i="40"/>
  <c r="L89" i="40"/>
  <c r="L100" i="40"/>
  <c r="L114" i="40"/>
  <c r="L125" i="40"/>
  <c r="L136" i="40"/>
  <c r="L150" i="40"/>
  <c r="L161" i="40"/>
  <c r="L163" i="40"/>
  <c r="L81" i="40"/>
  <c r="L131" i="40"/>
  <c r="L153" i="40"/>
  <c r="L71" i="40"/>
  <c r="L107" i="40"/>
  <c r="L143" i="40"/>
  <c r="L72" i="40"/>
  <c r="L108" i="40"/>
  <c r="L133" i="40"/>
  <c r="L144" i="40"/>
  <c r="L109" i="40"/>
  <c r="L145" i="40"/>
  <c r="L88" i="40"/>
  <c r="L113" i="40"/>
  <c r="L68" i="40"/>
  <c r="L79" i="40"/>
  <c r="L90" i="40"/>
  <c r="L104" i="40"/>
  <c r="L115" i="40"/>
  <c r="L126" i="40"/>
  <c r="L140" i="40"/>
  <c r="L151" i="40"/>
  <c r="B198" i="40" l="1" a="1"/>
  <c r="B198" i="40" s="1"/>
  <c r="M187" i="40"/>
  <c r="L187" i="40"/>
  <c r="K187" i="40"/>
  <c r="J187" i="40"/>
  <c r="I187" i="40"/>
  <c r="H187" i="40"/>
  <c r="G187" i="40"/>
  <c r="F187" i="40"/>
  <c r="E187" i="40"/>
  <c r="D187" i="40"/>
  <c r="B201" i="40" l="1"/>
  <c r="B203" i="40"/>
  <c r="B202" i="40"/>
  <c r="B208" i="40"/>
  <c r="B200" i="40"/>
  <c r="B207" i="40"/>
  <c r="B199" i="40"/>
  <c r="B205" i="40"/>
  <c r="B204" i="40"/>
  <c r="B206" i="40"/>
  <c r="AA32" i="41" l="1"/>
  <c r="AB32" i="41"/>
  <c r="AC32" i="41"/>
  <c r="AA33" i="41"/>
  <c r="AB33" i="41"/>
  <c r="AC33" i="41"/>
  <c r="AA34" i="41"/>
  <c r="AB34" i="41"/>
  <c r="AC34" i="41"/>
  <c r="AA35" i="41"/>
  <c r="AB35" i="41"/>
  <c r="AC35" i="41"/>
  <c r="AA36" i="41"/>
  <c r="AB36" i="41"/>
  <c r="AC36" i="41"/>
  <c r="AA37" i="41"/>
  <c r="AB37" i="41"/>
  <c r="AC37" i="41"/>
  <c r="AA38" i="41"/>
  <c r="AB38" i="41"/>
  <c r="AC38" i="41"/>
  <c r="AA39" i="41"/>
  <c r="AB39" i="41"/>
  <c r="AC39" i="41"/>
  <c r="AA40" i="41"/>
  <c r="AB40" i="41"/>
  <c r="AC40" i="41"/>
  <c r="AA41" i="41"/>
  <c r="AB41" i="41"/>
  <c r="AC41" i="41"/>
  <c r="AA42" i="41"/>
  <c r="AB42" i="41"/>
  <c r="AC42" i="41"/>
  <c r="AA43" i="41"/>
  <c r="AB43" i="41"/>
  <c r="AC43" i="41"/>
  <c r="AA44" i="41"/>
  <c r="AB44" i="41"/>
  <c r="AC44" i="41"/>
  <c r="AA45" i="41"/>
  <c r="AB45" i="41"/>
  <c r="AC45" i="41"/>
  <c r="AA46" i="41"/>
  <c r="AB46" i="41"/>
  <c r="AC46" i="41"/>
  <c r="AA47" i="41"/>
  <c r="AB47" i="41"/>
  <c r="AC47" i="41"/>
  <c r="AA48" i="41"/>
  <c r="AB48" i="41"/>
  <c r="AC48" i="41"/>
  <c r="AA49" i="41"/>
  <c r="AB49" i="41"/>
  <c r="AC49" i="41"/>
  <c r="AA50" i="41"/>
  <c r="AB50" i="41"/>
  <c r="AC50" i="41"/>
  <c r="AA51" i="41"/>
  <c r="AB51" i="41"/>
  <c r="AC51" i="41"/>
  <c r="AA52" i="41"/>
  <c r="AB52" i="41"/>
  <c r="AC52" i="41"/>
  <c r="AA53" i="41"/>
  <c r="AB53" i="41"/>
  <c r="AC53" i="41"/>
  <c r="AA54" i="41"/>
  <c r="AB54" i="41"/>
  <c r="AC54" i="41"/>
  <c r="AA55" i="41"/>
  <c r="AB55" i="41"/>
  <c r="AC55" i="41"/>
  <c r="AA56" i="41"/>
  <c r="AB56" i="41"/>
  <c r="AC56" i="41"/>
  <c r="AA60" i="41"/>
  <c r="AA61" i="41"/>
  <c r="AA62" i="41"/>
  <c r="AA63" i="41"/>
  <c r="AA59" i="41"/>
  <c r="W56" i="41" l="1"/>
  <c r="W55" i="41"/>
  <c r="W54" i="41"/>
  <c r="W53" i="41"/>
  <c r="W52" i="41"/>
  <c r="W51" i="41"/>
  <c r="W50" i="41"/>
  <c r="W49" i="41"/>
  <c r="W48" i="41"/>
  <c r="W47" i="41"/>
  <c r="W46" i="41"/>
  <c r="W45" i="41"/>
  <c r="W44" i="41"/>
  <c r="W43" i="41"/>
  <c r="W42" i="41"/>
  <c r="W41" i="41"/>
  <c r="W40" i="41"/>
  <c r="W39" i="41"/>
  <c r="W38" i="41"/>
  <c r="W37" i="41"/>
  <c r="W36" i="41"/>
  <c r="W35" i="41"/>
  <c r="W34" i="41"/>
  <c r="W33" i="41"/>
  <c r="W32" i="41"/>
  <c r="W4" i="41"/>
  <c r="W5" i="41"/>
  <c r="W6" i="41"/>
  <c r="W7" i="41"/>
  <c r="Y7" i="41" s="1"/>
  <c r="W8" i="41"/>
  <c r="Y8" i="41" s="1"/>
  <c r="W9" i="41"/>
  <c r="Y9" i="41" s="1"/>
  <c r="W10" i="41"/>
  <c r="Y10" i="41" s="1"/>
  <c r="W11" i="41"/>
  <c r="W12" i="41"/>
  <c r="W13" i="41"/>
  <c r="W14" i="41"/>
  <c r="W15" i="41"/>
  <c r="Y15" i="41" s="1"/>
  <c r="W16" i="41"/>
  <c r="Y16" i="41" s="1"/>
  <c r="W17" i="41"/>
  <c r="Y17" i="41" s="1"/>
  <c r="W18" i="41"/>
  <c r="Y18" i="41" s="1"/>
  <c r="W19" i="41"/>
  <c r="Y19" i="41" s="1"/>
  <c r="W20" i="41"/>
  <c r="W21" i="41"/>
  <c r="W22" i="41"/>
  <c r="Y22" i="41" s="1"/>
  <c r="W23" i="41"/>
  <c r="Y23" i="41" s="1"/>
  <c r="W24" i="41"/>
  <c r="Y24" i="41" s="1"/>
  <c r="W25" i="41"/>
  <c r="Y25" i="41" s="1"/>
  <c r="W26" i="41"/>
  <c r="Y26" i="41" s="1"/>
  <c r="W27" i="41"/>
  <c r="Y27" i="41" s="1"/>
  <c r="W3" i="41"/>
  <c r="Y11" i="41" l="1"/>
  <c r="Y3" i="41"/>
  <c r="Y21" i="41"/>
  <c r="Y13" i="41"/>
  <c r="Y5" i="41"/>
  <c r="Y14" i="41"/>
  <c r="Y20" i="41"/>
  <c r="Y12" i="41"/>
  <c r="Y4" i="41"/>
  <c r="Y6" i="41"/>
  <c r="C127" i="40"/>
  <c r="I193" i="40" s="1"/>
  <c r="C123" i="40"/>
  <c r="I189" i="40" s="1"/>
  <c r="C115" i="40"/>
  <c r="H190" i="40" s="1"/>
  <c r="C116" i="40"/>
  <c r="H191" i="40" s="1"/>
  <c r="C117" i="40"/>
  <c r="H192" i="40" s="1"/>
  <c r="C118" i="40"/>
  <c r="H193" i="40" s="1"/>
  <c r="C114" i="40"/>
  <c r="H189" i="40" s="1"/>
  <c r="D153" i="41"/>
  <c r="C124" i="40" s="1"/>
  <c r="I190" i="40" s="1"/>
  <c r="D154" i="41"/>
  <c r="C125" i="40" s="1"/>
  <c r="I191" i="40" s="1"/>
  <c r="D155" i="41"/>
  <c r="C126" i="40" s="1"/>
  <c r="I192" i="40" s="1"/>
  <c r="D156" i="41"/>
  <c r="D152" i="41"/>
  <c r="D144" i="41"/>
  <c r="D145" i="41"/>
  <c r="D146" i="41"/>
  <c r="D147" i="41"/>
  <c r="D143" i="41"/>
  <c r="D98" i="42" l="1"/>
  <c r="D101" i="42"/>
  <c r="D39" i="42"/>
  <c r="D42" i="42" s="1"/>
  <c r="C101" i="42"/>
  <c r="D99" i="42"/>
  <c r="C99" i="42"/>
  <c r="C97" i="42"/>
  <c r="C98" i="42"/>
  <c r="C42" i="42"/>
  <c r="D40" i="42" l="1"/>
  <c r="C39" i="42"/>
  <c r="D32" i="42"/>
  <c r="C32" i="42"/>
  <c r="C40" i="42" l="1"/>
  <c r="C41" i="42"/>
  <c r="C38" i="42"/>
  <c r="E1306" i="22"/>
  <c r="D1306" i="22"/>
  <c r="B1306" i="22"/>
  <c r="E1288" i="22"/>
  <c r="D1288" i="22"/>
  <c r="B1288" i="22"/>
  <c r="E1270" i="22"/>
  <c r="D1270" i="22"/>
  <c r="B1270" i="22"/>
  <c r="E1252" i="22"/>
  <c r="D1252" i="22"/>
  <c r="B1252" i="22"/>
  <c r="E1234" i="22"/>
  <c r="D1234" i="22"/>
  <c r="B1234" i="22"/>
  <c r="E1216" i="22"/>
  <c r="D1216" i="22"/>
  <c r="B1216" i="22"/>
  <c r="E1198" i="22"/>
  <c r="D1198" i="22"/>
  <c r="B1198" i="22"/>
  <c r="E1180" i="22"/>
  <c r="D1180" i="22"/>
  <c r="B1180" i="22"/>
  <c r="E1162" i="22"/>
  <c r="D1162" i="22"/>
  <c r="B1162" i="22"/>
  <c r="E1144" i="22"/>
  <c r="D1144" i="22"/>
  <c r="B1144" i="22"/>
  <c r="E1126" i="22"/>
  <c r="D1126" i="22"/>
  <c r="B1126" i="22"/>
  <c r="E1110" i="22"/>
  <c r="D1110" i="22"/>
  <c r="C1167" i="22"/>
  <c r="E1185" i="22"/>
  <c r="D1203" i="22"/>
  <c r="C1185" i="22"/>
  <c r="E1221" i="22"/>
  <c r="E1293" i="22"/>
  <c r="C1239" i="22"/>
  <c r="C1311" i="22"/>
  <c r="E1131" i="22"/>
  <c r="C1221" i="22"/>
  <c r="E1311" i="22"/>
  <c r="D1149" i="22"/>
  <c r="D1221" i="22"/>
  <c r="E1275" i="22"/>
  <c r="C1293" i="22"/>
  <c r="D1167" i="22"/>
  <c r="C1257" i="22"/>
  <c r="D1239" i="22"/>
  <c r="E1167" i="22"/>
  <c r="C1275" i="22"/>
  <c r="D1131" i="22"/>
  <c r="C1131" i="22"/>
  <c r="D1185" i="22"/>
  <c r="E1149" i="22"/>
  <c r="E1203" i="22"/>
  <c r="C1203" i="22"/>
  <c r="D1311" i="22"/>
  <c r="E1239" i="22"/>
  <c r="E1257" i="22"/>
  <c r="D1293" i="22"/>
  <c r="C1149" i="22"/>
  <c r="D1275" i="22"/>
  <c r="D1257" i="22"/>
  <c r="H13" i="20" l="1"/>
  <c r="A23" i="41"/>
  <c r="A24" i="41"/>
  <c r="A25" i="41"/>
  <c r="A26" i="41"/>
  <c r="A52" i="41"/>
  <c r="A53" i="41"/>
  <c r="A54" i="41"/>
  <c r="A55" i="41"/>
  <c r="A56" i="41"/>
  <c r="A51" i="41"/>
  <c r="A50" i="41"/>
  <c r="A49" i="41"/>
  <c r="A48" i="41"/>
  <c r="A47" i="41"/>
  <c r="A46" i="41"/>
  <c r="A45" i="41"/>
  <c r="A44" i="41"/>
  <c r="A43" i="41"/>
  <c r="A42" i="41"/>
  <c r="A41" i="41"/>
  <c r="A40" i="41"/>
  <c r="A39" i="41"/>
  <c r="A38" i="41"/>
  <c r="A37" i="41"/>
  <c r="A36" i="41"/>
  <c r="A35" i="41"/>
  <c r="A34" i="41"/>
  <c r="A33" i="41"/>
  <c r="A32" i="41"/>
  <c r="A4" i="41"/>
  <c r="A5" i="41"/>
  <c r="A6" i="41"/>
  <c r="A7" i="41"/>
  <c r="A8" i="41"/>
  <c r="A9" i="41"/>
  <c r="A10" i="41"/>
  <c r="A11" i="41"/>
  <c r="A12" i="41"/>
  <c r="A13" i="41"/>
  <c r="A14" i="41"/>
  <c r="A15" i="41"/>
  <c r="A16" i="41"/>
  <c r="A17" i="41"/>
  <c r="A18" i="41"/>
  <c r="A19" i="41"/>
  <c r="A20" i="41"/>
  <c r="A21" i="41"/>
  <c r="A22" i="41"/>
  <c r="A27" i="41"/>
  <c r="A3" i="41"/>
  <c r="F105" i="41" l="1"/>
  <c r="D48" i="40" l="1"/>
  <c r="H14" i="22" l="1"/>
  <c r="M42" i="43"/>
  <c r="H14" i="29"/>
  <c r="M43" i="43"/>
  <c r="C105" i="40"/>
  <c r="G189" i="40" s="1"/>
  <c r="C106" i="40"/>
  <c r="G190" i="40" s="1"/>
  <c r="C109" i="40"/>
  <c r="G193" i="40" s="1"/>
  <c r="C107" i="40"/>
  <c r="G191" i="40" s="1"/>
  <c r="C108" i="40"/>
  <c r="G192" i="40" s="1"/>
  <c r="C91" i="40"/>
  <c r="E193" i="40" s="1"/>
  <c r="C100" i="40"/>
  <c r="F193" i="40" s="1"/>
  <c r="C151" i="40"/>
  <c r="L190" i="40" s="1"/>
  <c r="C145" i="40"/>
  <c r="K193" i="40" s="1"/>
  <c r="C99" i="40"/>
  <c r="F192" i="40" s="1"/>
  <c r="C79" i="40"/>
  <c r="D190" i="40" s="1"/>
  <c r="C73" i="40"/>
  <c r="C193" i="40" s="1"/>
  <c r="C142" i="40"/>
  <c r="K190" i="40" s="1"/>
  <c r="C152" i="40"/>
  <c r="L191" i="40" s="1"/>
  <c r="C141" i="40"/>
  <c r="K189" i="40" s="1"/>
  <c r="C80" i="40"/>
  <c r="D191" i="40" s="1"/>
  <c r="C69" i="40"/>
  <c r="C78" i="40"/>
  <c r="D189" i="40" s="1"/>
  <c r="C153" i="40"/>
  <c r="L192" i="40" s="1"/>
  <c r="C133" i="40"/>
  <c r="J190" i="40" s="1"/>
  <c r="C96" i="40"/>
  <c r="F189" i="40" s="1"/>
  <c r="C81" i="40"/>
  <c r="D192" i="40" s="1"/>
  <c r="C82" i="40"/>
  <c r="D193" i="40" s="1"/>
  <c r="C90" i="40"/>
  <c r="E192" i="40" s="1"/>
  <c r="C160" i="40"/>
  <c r="M190" i="40" s="1"/>
  <c r="C154" i="40"/>
  <c r="L193" i="40" s="1"/>
  <c r="C134" i="40"/>
  <c r="J191" i="40" s="1"/>
  <c r="C88" i="40"/>
  <c r="E190" i="40" s="1"/>
  <c r="C136" i="40"/>
  <c r="J193" i="40" s="1"/>
  <c r="C161" i="40"/>
  <c r="M191" i="40" s="1"/>
  <c r="C150" i="40"/>
  <c r="L189" i="40" s="1"/>
  <c r="C135" i="40"/>
  <c r="J192" i="40" s="1"/>
  <c r="C89" i="40"/>
  <c r="E191" i="40" s="1"/>
  <c r="C70" i="40"/>
  <c r="C190" i="40" s="1"/>
  <c r="C162" i="40"/>
  <c r="M192" i="40" s="1"/>
  <c r="C163" i="40"/>
  <c r="M193" i="40" s="1"/>
  <c r="C143" i="40"/>
  <c r="K191" i="40" s="1"/>
  <c r="C132" i="40"/>
  <c r="J189" i="40" s="1"/>
  <c r="C97" i="40"/>
  <c r="F190" i="40" s="1"/>
  <c r="C71" i="40"/>
  <c r="C191" i="40" s="1"/>
  <c r="C159" i="40"/>
  <c r="M189" i="40" s="1"/>
  <c r="C144" i="40"/>
  <c r="K192" i="40" s="1"/>
  <c r="C98" i="40"/>
  <c r="F191" i="40" s="1"/>
  <c r="C87" i="40"/>
  <c r="E189" i="40" s="1"/>
  <c r="C72" i="40"/>
  <c r="C192" i="40" s="1"/>
  <c r="C189" i="40" l="1"/>
  <c r="J77" i="40"/>
  <c r="J68" i="40"/>
  <c r="J158" i="40" l="1"/>
  <c r="J149" i="40"/>
  <c r="J140" i="40"/>
  <c r="J131" i="40"/>
  <c r="H12" i="22" l="1"/>
  <c r="H12" i="29"/>
  <c r="E29" i="40" l="1"/>
  <c r="E987" i="22" s="1"/>
  <c r="D29" i="40"/>
  <c r="D262" i="22" s="1"/>
  <c r="C29" i="40"/>
  <c r="D31" i="40"/>
  <c r="D32" i="40" s="1"/>
  <c r="D33" i="40" s="1"/>
  <c r="D34" i="40" s="1"/>
  <c r="D35" i="40" s="1"/>
  <c r="E31" i="40"/>
  <c r="E32" i="40" s="1"/>
  <c r="E33" i="40" s="1"/>
  <c r="E34" i="40" s="1"/>
  <c r="E35" i="40" s="1"/>
  <c r="C31" i="40"/>
  <c r="C32" i="40" s="1"/>
  <c r="C33" i="40" s="1"/>
  <c r="C34" i="40" s="1"/>
  <c r="C35" i="40" s="1"/>
  <c r="E16" i="40"/>
  <c r="E14" i="20" s="1"/>
  <c r="E17" i="20" s="1"/>
  <c r="D16" i="40"/>
  <c r="D14" i="20" s="1"/>
  <c r="D17" i="20" s="1"/>
  <c r="C16" i="40"/>
  <c r="C14" i="20" s="1"/>
  <c r="C17" i="20" s="1"/>
  <c r="B44" i="43"/>
  <c r="J44" i="43" s="1"/>
  <c r="B35" i="43"/>
  <c r="J42" i="43" s="1"/>
  <c r="B26" i="43"/>
  <c r="B17" i="43"/>
  <c r="B3" i="43"/>
  <c r="B2" i="43"/>
  <c r="B3" i="42"/>
  <c r="B2" i="42"/>
  <c r="C26" i="35"/>
  <c r="B37" i="34" s="1"/>
  <c r="C25" i="35"/>
  <c r="B35" i="34" s="1"/>
  <c r="P160" i="42"/>
  <c r="O160" i="42"/>
  <c r="P159" i="42"/>
  <c r="O159" i="42"/>
  <c r="P158" i="42"/>
  <c r="O158" i="42"/>
  <c r="P157" i="42"/>
  <c r="O157" i="42"/>
  <c r="P156" i="42"/>
  <c r="O156" i="42"/>
  <c r="P155" i="42"/>
  <c r="O155" i="42"/>
  <c r="P154" i="42"/>
  <c r="O154" i="42"/>
  <c r="P153" i="42"/>
  <c r="O153" i="42"/>
  <c r="P152" i="42"/>
  <c r="O152" i="42"/>
  <c r="P151" i="42"/>
  <c r="O151" i="42"/>
  <c r="P150" i="42"/>
  <c r="O150" i="42"/>
  <c r="C77" i="42" s="1"/>
  <c r="C80" i="42" s="1"/>
  <c r="P139" i="42"/>
  <c r="O139" i="42"/>
  <c r="P138" i="42"/>
  <c r="O138" i="42"/>
  <c r="P137" i="42"/>
  <c r="O137" i="42"/>
  <c r="P136" i="42"/>
  <c r="O136" i="42"/>
  <c r="P135" i="42"/>
  <c r="O135" i="42"/>
  <c r="P134" i="42"/>
  <c r="O134" i="42"/>
  <c r="P133" i="42"/>
  <c r="O133" i="42"/>
  <c r="P132" i="42"/>
  <c r="O132" i="42"/>
  <c r="P131" i="42"/>
  <c r="O131" i="42"/>
  <c r="P130" i="42"/>
  <c r="O130" i="42"/>
  <c r="P129" i="42"/>
  <c r="O129" i="42"/>
  <c r="P128" i="42"/>
  <c r="O128" i="42"/>
  <c r="C113" i="42"/>
  <c r="B79" i="42"/>
  <c r="D78" i="42"/>
  <c r="B77" i="42"/>
  <c r="B76" i="42"/>
  <c r="B75" i="42"/>
  <c r="B74" i="42"/>
  <c r="B73" i="42"/>
  <c r="C73" i="42" s="1"/>
  <c r="B72" i="42"/>
  <c r="B71" i="42"/>
  <c r="C71" i="42" s="1"/>
  <c r="B70" i="42"/>
  <c r="B69" i="42"/>
  <c r="B68" i="42"/>
  <c r="B67" i="42"/>
  <c r="D64" i="42"/>
  <c r="B63" i="42"/>
  <c r="B62" i="42"/>
  <c r="B61" i="42"/>
  <c r="C61" i="42" s="1"/>
  <c r="B60" i="42"/>
  <c r="B59" i="42"/>
  <c r="B58" i="42"/>
  <c r="B57" i="42"/>
  <c r="B56" i="42"/>
  <c r="B55" i="42"/>
  <c r="B54" i="42"/>
  <c r="B53" i="42"/>
  <c r="C53" i="42" s="1"/>
  <c r="B52" i="42"/>
  <c r="D38" i="42"/>
  <c r="D41" i="42"/>
  <c r="D18" i="20"/>
  <c r="C18" i="20"/>
  <c r="E18" i="20"/>
  <c r="C16" i="20"/>
  <c r="C208" i="22" l="1"/>
  <c r="C226" i="22"/>
  <c r="C244" i="22"/>
  <c r="D1219" i="22"/>
  <c r="C1306" i="22"/>
  <c r="C1309" i="22" s="1"/>
  <c r="C1126" i="22"/>
  <c r="C1129" i="22" s="1"/>
  <c r="C1288" i="22"/>
  <c r="C1291" i="22" s="1"/>
  <c r="C1270" i="22"/>
  <c r="C1273" i="22" s="1"/>
  <c r="C1162" i="22"/>
  <c r="C1165" i="22" s="1"/>
  <c r="C1252" i="22"/>
  <c r="C1255" i="22" s="1"/>
  <c r="C1110" i="22"/>
  <c r="C1234" i="22"/>
  <c r="C1237" i="22" s="1"/>
  <c r="C1198" i="22"/>
  <c r="C1201" i="22" s="1"/>
  <c r="C1216" i="22"/>
  <c r="C1219" i="22" s="1"/>
  <c r="C1180" i="22"/>
  <c r="C1183" i="22" s="1"/>
  <c r="C1144" i="22"/>
  <c r="C1147" i="22" s="1"/>
  <c r="E1165" i="22"/>
  <c r="D1201" i="22"/>
  <c r="D1237" i="22"/>
  <c r="E1237" i="22"/>
  <c r="D1273" i="22"/>
  <c r="E1255" i="22"/>
  <c r="D1165" i="22"/>
  <c r="E1183" i="22"/>
  <c r="E1219" i="22"/>
  <c r="D1183" i="22"/>
  <c r="E1309" i="22"/>
  <c r="E1147" i="22"/>
  <c r="D1291" i="22"/>
  <c r="E1201" i="22"/>
  <c r="E1273" i="22"/>
  <c r="D1255" i="22"/>
  <c r="D1309" i="22"/>
  <c r="D1147" i="22"/>
  <c r="E1291" i="22"/>
  <c r="D1129" i="22"/>
  <c r="E1129" i="22"/>
  <c r="C350" i="22"/>
  <c r="C489" i="22"/>
  <c r="C48" i="22"/>
  <c r="C64" i="22"/>
  <c r="C633" i="22"/>
  <c r="C136" i="22"/>
  <c r="C774" i="22"/>
  <c r="C190" i="22"/>
  <c r="C933" i="22"/>
  <c r="D651" i="22"/>
  <c r="D951" i="22"/>
  <c r="D314" i="22"/>
  <c r="D738" i="22"/>
  <c r="D368" i="22"/>
  <c r="D507" i="22"/>
  <c r="D792" i="22"/>
  <c r="D458" i="22"/>
  <c r="D597" i="22"/>
  <c r="D882" i="22"/>
  <c r="D350" i="22"/>
  <c r="D489" i="22"/>
  <c r="D633" i="22"/>
  <c r="D774" i="22"/>
  <c r="D933" i="22"/>
  <c r="D386" i="22"/>
  <c r="D525" i="22"/>
  <c r="D669" i="22"/>
  <c r="D810" i="22"/>
  <c r="D969" i="22"/>
  <c r="C278" i="22"/>
  <c r="C422" i="22"/>
  <c r="C561" i="22"/>
  <c r="C702" i="22"/>
  <c r="C846" i="22"/>
  <c r="C1005" i="22"/>
  <c r="D278" i="22"/>
  <c r="D422" i="22"/>
  <c r="D561" i="22"/>
  <c r="D702" i="22"/>
  <c r="D846" i="22"/>
  <c r="D1005" i="22"/>
  <c r="C82" i="22"/>
  <c r="D296" i="22"/>
  <c r="D440" i="22"/>
  <c r="D579" i="22"/>
  <c r="D720" i="22"/>
  <c r="D864" i="22"/>
  <c r="D1023" i="22"/>
  <c r="C296" i="22"/>
  <c r="C368" i="22"/>
  <c r="C440" i="22"/>
  <c r="C507" i="22"/>
  <c r="C579" i="22"/>
  <c r="C651" i="22"/>
  <c r="C720" i="22"/>
  <c r="C864" i="22"/>
  <c r="C951" i="22"/>
  <c r="C1023" i="22"/>
  <c r="C100" i="22"/>
  <c r="C262" i="22"/>
  <c r="C118" i="22"/>
  <c r="C899" i="22"/>
  <c r="C314" i="22"/>
  <c r="C386" i="22"/>
  <c r="C458" i="22"/>
  <c r="C525" i="22"/>
  <c r="C597" i="22"/>
  <c r="C669" i="22"/>
  <c r="C738" i="22"/>
  <c r="C810" i="22"/>
  <c r="C882" i="22"/>
  <c r="C969" i="22"/>
  <c r="C1041" i="22"/>
  <c r="D1041" i="22"/>
  <c r="C1059" i="22"/>
  <c r="C15" i="29"/>
  <c r="C154" i="22"/>
  <c r="C332" i="22"/>
  <c r="C404" i="22"/>
  <c r="C473" i="22"/>
  <c r="C543" i="22"/>
  <c r="C615" i="22"/>
  <c r="C686" i="22"/>
  <c r="C756" i="22"/>
  <c r="C828" i="22"/>
  <c r="C915" i="22"/>
  <c r="C987" i="22"/>
  <c r="C15" i="22"/>
  <c r="C172" i="22"/>
  <c r="D332" i="22"/>
  <c r="D404" i="22"/>
  <c r="D473" i="22"/>
  <c r="D543" i="22"/>
  <c r="D615" i="22"/>
  <c r="D686" i="22"/>
  <c r="D756" i="22"/>
  <c r="D828" i="22"/>
  <c r="D915" i="22"/>
  <c r="D987" i="22"/>
  <c r="D1059" i="22"/>
  <c r="C1077" i="22"/>
  <c r="D1077" i="22"/>
  <c r="C792" i="22"/>
  <c r="C1095" i="22"/>
  <c r="D1095" i="22"/>
  <c r="E597" i="22"/>
  <c r="E738" i="22"/>
  <c r="E507" i="22"/>
  <c r="E64" i="22"/>
  <c r="E458" i="22"/>
  <c r="E1041" i="22"/>
  <c r="E651" i="22"/>
  <c r="E368" i="22"/>
  <c r="E951" i="22"/>
  <c r="E792" i="22"/>
  <c r="E314" i="22"/>
  <c r="E882" i="22"/>
  <c r="E1095" i="22"/>
  <c r="L34" i="43"/>
  <c r="J41" i="43"/>
  <c r="C54" i="42"/>
  <c r="C56" i="42"/>
  <c r="J43" i="43"/>
  <c r="K34" i="43"/>
  <c r="E332" i="22"/>
  <c r="E473" i="22"/>
  <c r="E615" i="22"/>
  <c r="E756" i="22"/>
  <c r="E915" i="22"/>
  <c r="E1059" i="22"/>
  <c r="E386" i="22"/>
  <c r="E525" i="22"/>
  <c r="E669" i="22"/>
  <c r="E810" i="22"/>
  <c r="E969" i="22"/>
  <c r="E296" i="22"/>
  <c r="E720" i="22"/>
  <c r="E864" i="22"/>
  <c r="E350" i="22"/>
  <c r="E489" i="22"/>
  <c r="E633" i="22"/>
  <c r="E774" i="22"/>
  <c r="E933" i="22"/>
  <c r="E1077" i="22"/>
  <c r="E278" i="22"/>
  <c r="E422" i="22"/>
  <c r="E561" i="22"/>
  <c r="E702" i="22"/>
  <c r="E846" i="22"/>
  <c r="E1005" i="22"/>
  <c r="E440" i="22"/>
  <c r="E579" i="22"/>
  <c r="E1023" i="22"/>
  <c r="E15" i="22"/>
  <c r="E404" i="22"/>
  <c r="E543" i="22"/>
  <c r="E686" i="22"/>
  <c r="E828" i="22"/>
  <c r="E48" i="22"/>
  <c r="E82" i="22"/>
  <c r="D136" i="22"/>
  <c r="E226" i="22"/>
  <c r="E208" i="22"/>
  <c r="E118" i="22"/>
  <c r="D172" i="22"/>
  <c r="D15" i="29"/>
  <c r="E136" i="22"/>
  <c r="D190" i="22"/>
  <c r="D118" i="22"/>
  <c r="E262" i="22"/>
  <c r="D899" i="22"/>
  <c r="D48" i="22"/>
  <c r="D82" i="22"/>
  <c r="E172" i="22"/>
  <c r="D226" i="22"/>
  <c r="E899" i="22"/>
  <c r="E15" i="29"/>
  <c r="D100" i="22"/>
  <c r="E190" i="22"/>
  <c r="D244" i="22"/>
  <c r="E100" i="22"/>
  <c r="D154" i="22"/>
  <c r="E244" i="22"/>
  <c r="D15" i="22"/>
  <c r="D64" i="22"/>
  <c r="E154" i="22"/>
  <c r="D208" i="22"/>
  <c r="C57" i="42"/>
  <c r="C67" i="42"/>
  <c r="C75" i="42"/>
  <c r="C62" i="42"/>
  <c r="C72" i="42"/>
  <c r="C58" i="42"/>
  <c r="C68" i="42"/>
  <c r="C76" i="42"/>
  <c r="C59" i="42"/>
  <c r="C69" i="42"/>
  <c r="C52" i="42"/>
  <c r="C60" i="42"/>
  <c r="C74" i="42"/>
  <c r="C55" i="42"/>
  <c r="C63" i="42"/>
  <c r="C70" i="42"/>
  <c r="C82" i="42"/>
  <c r="E1184" i="22"/>
  <c r="D1238" i="22"/>
  <c r="E1166" i="22"/>
  <c r="E1274" i="22"/>
  <c r="E1202" i="22"/>
  <c r="D1256" i="22"/>
  <c r="C1202" i="22"/>
  <c r="D1130" i="22"/>
  <c r="C1130" i="22"/>
  <c r="D1184" i="22"/>
  <c r="D1166" i="22"/>
  <c r="C1274" i="22"/>
  <c r="C1184" i="22"/>
  <c r="E1310" i="22"/>
  <c r="D1310" i="22"/>
  <c r="E1256" i="22"/>
  <c r="E1238" i="22"/>
  <c r="E1220" i="22"/>
  <c r="C1166" i="22"/>
  <c r="E1130" i="22"/>
  <c r="C1256" i="22"/>
  <c r="D1292" i="22"/>
  <c r="E1148" i="22"/>
  <c r="C1292" i="22"/>
  <c r="C1238" i="22"/>
  <c r="C1148" i="22"/>
  <c r="E1292" i="22"/>
  <c r="D1274" i="22"/>
  <c r="D1202" i="22"/>
  <c r="C1220" i="22"/>
  <c r="C1310" i="22"/>
  <c r="D1148" i="22"/>
  <c r="D1220" i="22"/>
  <c r="C111" i="42" l="1"/>
  <c r="C110" i="42"/>
  <c r="C104" i="42" l="1"/>
  <c r="C112" i="42" s="1"/>
  <c r="C158" i="40" l="1"/>
  <c r="M188" i="40" s="1"/>
  <c r="C140" i="40"/>
  <c r="K188" i="40" s="1"/>
  <c r="C113" i="40"/>
  <c r="H188" i="40" s="1"/>
  <c r="C122" i="40"/>
  <c r="I188" i="40" s="1"/>
  <c r="C149" i="40"/>
  <c r="L188" i="40" s="1"/>
  <c r="C131" i="40"/>
  <c r="J188" i="40" s="1"/>
  <c r="C104" i="40"/>
  <c r="G188" i="40" s="1"/>
  <c r="C1098" i="22"/>
  <c r="E1098" i="22"/>
  <c r="D1098" i="22"/>
  <c r="B1095" i="22"/>
  <c r="C1080" i="22"/>
  <c r="E1080" i="22"/>
  <c r="D1080" i="22"/>
  <c r="B1077" i="22"/>
  <c r="C1062" i="22"/>
  <c r="E1062" i="22"/>
  <c r="D1062" i="22"/>
  <c r="B1059" i="22"/>
  <c r="C1044" i="22"/>
  <c r="E1044" i="22"/>
  <c r="D1044" i="22"/>
  <c r="B1041" i="22"/>
  <c r="D885" i="22"/>
  <c r="C885" i="22"/>
  <c r="E885" i="22"/>
  <c r="B882" i="22"/>
  <c r="E867" i="22"/>
  <c r="D867" i="22"/>
  <c r="C867" i="22"/>
  <c r="B864" i="22"/>
  <c r="E849" i="22"/>
  <c r="D849" i="22"/>
  <c r="C849" i="22"/>
  <c r="B846" i="22"/>
  <c r="E831" i="22"/>
  <c r="D831" i="22"/>
  <c r="C831" i="22"/>
  <c r="B828" i="22"/>
  <c r="C672" i="22"/>
  <c r="E672" i="22"/>
  <c r="D672" i="22"/>
  <c r="B669" i="22"/>
  <c r="E654" i="22"/>
  <c r="D654" i="22"/>
  <c r="C654" i="22"/>
  <c r="B651" i="22"/>
  <c r="C636" i="22"/>
  <c r="E636" i="22"/>
  <c r="D636" i="22"/>
  <c r="B633" i="22"/>
  <c r="E618" i="22"/>
  <c r="D618" i="22"/>
  <c r="C618" i="22"/>
  <c r="B615" i="22"/>
  <c r="E461" i="22"/>
  <c r="D461" i="22"/>
  <c r="C461" i="22"/>
  <c r="B458" i="22"/>
  <c r="E443" i="22"/>
  <c r="D443" i="22"/>
  <c r="C443" i="22"/>
  <c r="B440" i="22"/>
  <c r="E425" i="22"/>
  <c r="D425" i="22"/>
  <c r="C425" i="22"/>
  <c r="B422" i="22"/>
  <c r="E407" i="22"/>
  <c r="D407" i="22"/>
  <c r="C407" i="22"/>
  <c r="B404" i="22"/>
  <c r="E247" i="22"/>
  <c r="D247" i="22"/>
  <c r="C247" i="22"/>
  <c r="B244" i="22"/>
  <c r="C229" i="22"/>
  <c r="E229" i="22"/>
  <c r="D229" i="22"/>
  <c r="B226" i="22"/>
  <c r="E211" i="22"/>
  <c r="D211" i="22"/>
  <c r="C211" i="22"/>
  <c r="B208" i="22"/>
  <c r="E193" i="22"/>
  <c r="D193" i="22"/>
  <c r="C193" i="22"/>
  <c r="B190" i="22"/>
  <c r="C85" i="22"/>
  <c r="E830" i="22"/>
  <c r="E1272" i="22"/>
  <c r="E1064" i="22"/>
  <c r="E671" i="22"/>
  <c r="C246" i="22"/>
  <c r="C656" i="22"/>
  <c r="C833" i="22"/>
  <c r="C637" i="22"/>
  <c r="C635" i="22"/>
  <c r="D406" i="22"/>
  <c r="E460" i="22"/>
  <c r="E673" i="22"/>
  <c r="C462" i="22"/>
  <c r="C442" i="22"/>
  <c r="C1043" i="22"/>
  <c r="D884" i="22"/>
  <c r="E850" i="22"/>
  <c r="C1272" i="22"/>
  <c r="D1272" i="22"/>
  <c r="D212" i="22"/>
  <c r="D848" i="22"/>
  <c r="E249" i="22"/>
  <c r="D1046" i="22"/>
  <c r="C1061" i="22"/>
  <c r="E1063" i="22"/>
  <c r="C86" i="22"/>
  <c r="D1064" i="22"/>
  <c r="C1079" i="22"/>
  <c r="D869" i="22"/>
  <c r="E213" i="22"/>
  <c r="C1218" i="22"/>
  <c r="D653" i="22"/>
  <c r="E637" i="22"/>
  <c r="D1100" i="22"/>
  <c r="C1254" i="22"/>
  <c r="D833" i="22"/>
  <c r="C424" i="22"/>
  <c r="D195" i="22"/>
  <c r="E869" i="22"/>
  <c r="D638" i="22"/>
  <c r="E246" i="22"/>
  <c r="C619" i="22"/>
  <c r="E406" i="22"/>
  <c r="D427" i="22"/>
  <c r="D887" i="22"/>
  <c r="E192" i="22"/>
  <c r="C1099" i="22"/>
  <c r="E656" i="22"/>
  <c r="D637" i="22"/>
  <c r="D409" i="22"/>
  <c r="D1079" i="22"/>
  <c r="E424" i="22"/>
  <c r="E887" i="22"/>
  <c r="C655" i="22"/>
  <c r="E1099" i="22"/>
  <c r="D886" i="22"/>
  <c r="E866" i="22"/>
  <c r="C671" i="22"/>
  <c r="E210" i="22"/>
  <c r="E1082" i="22"/>
  <c r="C848" i="22"/>
  <c r="E674" i="22"/>
  <c r="D656" i="22"/>
  <c r="C884" i="22"/>
  <c r="D620" i="22"/>
  <c r="C1046" i="22"/>
  <c r="E444" i="22"/>
  <c r="E408" i="22"/>
  <c r="D228" i="22"/>
  <c r="C212" i="22"/>
  <c r="C850" i="22"/>
  <c r="C638" i="22"/>
  <c r="C1064" i="22"/>
  <c r="D850" i="22"/>
  <c r="E445" i="22"/>
  <c r="E409" i="22"/>
  <c r="C230" i="22"/>
  <c r="E833" i="22"/>
  <c r="C192" i="22"/>
  <c r="D462" i="22"/>
  <c r="C1045" i="22"/>
  <c r="E1081" i="22"/>
  <c r="E442" i="22"/>
  <c r="D1308" i="22"/>
  <c r="D213" i="22"/>
  <c r="E195" i="22"/>
  <c r="E212" i="22"/>
  <c r="E1218" i="22"/>
  <c r="C1200" i="22"/>
  <c r="C886" i="22"/>
  <c r="E1061" i="22"/>
  <c r="E851" i="22"/>
  <c r="E462" i="22"/>
  <c r="E248" i="22"/>
  <c r="E1236" i="22"/>
  <c r="C1290" i="22"/>
  <c r="E194" i="22"/>
  <c r="C444" i="22"/>
  <c r="C409" i="22"/>
  <c r="D1061" i="22"/>
  <c r="D460" i="22"/>
  <c r="E635" i="22"/>
  <c r="D851" i="22"/>
  <c r="E1097" i="22"/>
  <c r="C868" i="22"/>
  <c r="E619" i="22"/>
  <c r="C830" i="22"/>
  <c r="E832" i="22"/>
  <c r="C228" i="22"/>
  <c r="D671" i="22"/>
  <c r="C406" i="22"/>
  <c r="D1290" i="22"/>
  <c r="D444" i="22"/>
  <c r="E1043" i="22"/>
  <c r="C1308" i="22"/>
  <c r="C620" i="22"/>
  <c r="E427" i="22"/>
  <c r="C1082" i="22"/>
  <c r="C1081" i="22"/>
  <c r="D635" i="22"/>
  <c r="E617" i="22"/>
  <c r="D1254" i="22"/>
  <c r="C1097" i="22"/>
  <c r="E1045" i="22"/>
  <c r="C463" i="22"/>
  <c r="C213" i="22"/>
  <c r="D1218" i="22"/>
  <c r="E653" i="22"/>
  <c r="C248" i="22"/>
  <c r="E231" i="22"/>
  <c r="E1100" i="22"/>
  <c r="D832" i="22"/>
  <c r="E638" i="22"/>
  <c r="D424" i="22"/>
  <c r="D1099" i="22"/>
  <c r="C1063" i="22"/>
  <c r="C1236" i="22"/>
  <c r="D1081" i="22"/>
  <c r="C249" i="22"/>
  <c r="D230" i="22"/>
  <c r="C617" i="22"/>
  <c r="E426" i="22"/>
  <c r="D408" i="22"/>
  <c r="D463" i="22"/>
  <c r="E620" i="22"/>
  <c r="D231" i="22"/>
  <c r="C887" i="22"/>
  <c r="D619" i="22"/>
  <c r="C460" i="22"/>
  <c r="E1200" i="22"/>
  <c r="D248" i="22"/>
  <c r="C427" i="22"/>
  <c r="E1290" i="22"/>
  <c r="C653" i="22"/>
  <c r="D1200" i="22"/>
  <c r="D442" i="22"/>
  <c r="E463" i="22"/>
  <c r="D673" i="22"/>
  <c r="C851" i="22"/>
  <c r="C1100" i="22"/>
  <c r="C869" i="22"/>
  <c r="E1308" i="22"/>
  <c r="D210" i="22"/>
  <c r="C408" i="22"/>
  <c r="D655" i="22"/>
  <c r="E228" i="22"/>
  <c r="D674" i="22"/>
  <c r="E868" i="22"/>
  <c r="E886" i="22"/>
  <c r="E655" i="22"/>
  <c r="D830" i="22"/>
  <c r="E848" i="22"/>
  <c r="D1045" i="22"/>
  <c r="C674" i="22"/>
  <c r="C445" i="22"/>
  <c r="E230" i="22"/>
  <c r="D1082" i="22"/>
  <c r="E1254" i="22"/>
  <c r="C832" i="22"/>
  <c r="C866" i="22"/>
  <c r="E1046" i="22"/>
  <c r="D866" i="22"/>
  <c r="E884" i="22"/>
  <c r="C194" i="22"/>
  <c r="D445" i="22"/>
  <c r="E1079" i="22"/>
  <c r="D194" i="22"/>
  <c r="D617" i="22"/>
  <c r="D1063" i="22"/>
  <c r="D249" i="22"/>
  <c r="D1236" i="22"/>
  <c r="D1043" i="22"/>
  <c r="C195" i="22"/>
  <c r="C231" i="22"/>
  <c r="D1097" i="22"/>
  <c r="D426" i="22"/>
  <c r="D192" i="22"/>
  <c r="C210" i="22"/>
  <c r="D246" i="22"/>
  <c r="D868" i="22"/>
  <c r="C426" i="22"/>
  <c r="C673" i="22"/>
  <c r="C1204" i="22" l="1"/>
  <c r="C1206" i="22" s="1"/>
  <c r="E1204" i="22"/>
  <c r="E1206" i="22" s="1"/>
  <c r="D1204" i="22"/>
  <c r="D1206" i="22" s="1"/>
  <c r="D1240" i="22"/>
  <c r="D1242" i="22" s="1"/>
  <c r="C1240" i="22"/>
  <c r="C1242" i="22" s="1"/>
  <c r="E1240" i="22"/>
  <c r="E1242" i="22" s="1"/>
  <c r="E1222" i="22"/>
  <c r="E1224" i="22" s="1"/>
  <c r="D1222" i="22"/>
  <c r="D1224" i="22" s="1"/>
  <c r="C1222" i="22"/>
  <c r="C1224" i="22" s="1"/>
  <c r="E1258" i="22"/>
  <c r="E1260" i="22" s="1"/>
  <c r="C1258" i="22"/>
  <c r="C1260" i="22" s="1"/>
  <c r="D1258" i="22"/>
  <c r="D1260" i="22" s="1"/>
  <c r="D1294" i="22"/>
  <c r="D1296" i="22" s="1"/>
  <c r="C1294" i="22"/>
  <c r="C1296" i="22" s="1"/>
  <c r="E1294" i="22"/>
  <c r="E1296" i="22" s="1"/>
  <c r="C1276" i="22"/>
  <c r="C1278" i="22" s="1"/>
  <c r="E1276" i="22"/>
  <c r="E1278" i="22" s="1"/>
  <c r="D1276" i="22"/>
  <c r="D1278" i="22" s="1"/>
  <c r="E1312" i="22"/>
  <c r="E1314" i="22" s="1"/>
  <c r="D1312" i="22"/>
  <c r="D1314" i="22" s="1"/>
  <c r="C1312" i="22"/>
  <c r="C1314" i="22" s="1"/>
  <c r="C20" i="42"/>
  <c r="D36" i="43" s="1"/>
  <c r="C19" i="42"/>
  <c r="D888" i="22"/>
  <c r="D890" i="22" s="1"/>
  <c r="E870" i="22"/>
  <c r="E872" i="22" s="1"/>
  <c r="E852" i="22"/>
  <c r="E854" i="22" s="1"/>
  <c r="D852" i="22"/>
  <c r="D854" i="22" s="1"/>
  <c r="E464" i="22"/>
  <c r="E466" i="22" s="1"/>
  <c r="C232" i="22"/>
  <c r="C234" i="22" s="1"/>
  <c r="C1263" i="22"/>
  <c r="D1297" i="22"/>
  <c r="E1207" i="22"/>
  <c r="D1209" i="22"/>
  <c r="C1208" i="22"/>
  <c r="D1316" i="22"/>
  <c r="D1280" i="22"/>
  <c r="C1244" i="22"/>
  <c r="D1245" i="22"/>
  <c r="D1262" i="22"/>
  <c r="C1315" i="22"/>
  <c r="E1261" i="22"/>
  <c r="E1316" i="22"/>
  <c r="E1299" i="22"/>
  <c r="C1225" i="22"/>
  <c r="E1281" i="22"/>
  <c r="E1243" i="22"/>
  <c r="C1298" i="22"/>
  <c r="E1227" i="22"/>
  <c r="C1280" i="22"/>
  <c r="D1225" i="22"/>
  <c r="C36" i="43" l="1"/>
  <c r="C39" i="43" s="1"/>
  <c r="D27" i="43"/>
  <c r="C27" i="43"/>
  <c r="D40" i="43"/>
  <c r="D39" i="43"/>
  <c r="D42" i="43"/>
  <c r="D38" i="43"/>
  <c r="D41" i="43"/>
  <c r="D1101" i="22"/>
  <c r="D1103" i="22" s="1"/>
  <c r="C1101" i="22"/>
  <c r="C1103" i="22" s="1"/>
  <c r="E1101" i="22"/>
  <c r="E1103" i="22" s="1"/>
  <c r="D1083" i="22"/>
  <c r="D1085" i="22" s="1"/>
  <c r="C1083" i="22"/>
  <c r="C1085" i="22" s="1"/>
  <c r="E1083" i="22"/>
  <c r="E1085" i="22" s="1"/>
  <c r="E1065" i="22"/>
  <c r="E1067" i="22" s="1"/>
  <c r="C1065" i="22"/>
  <c r="C1067" i="22" s="1"/>
  <c r="D1065" i="22"/>
  <c r="D1067" i="22" s="1"/>
  <c r="C1047" i="22"/>
  <c r="C1049" i="22" s="1"/>
  <c r="E1047" i="22"/>
  <c r="E1049" i="22" s="1"/>
  <c r="D1047" i="22"/>
  <c r="D1049" i="22" s="1"/>
  <c r="E888" i="22"/>
  <c r="E890" i="22" s="1"/>
  <c r="C888" i="22"/>
  <c r="C890" i="22" s="1"/>
  <c r="D870" i="22"/>
  <c r="D872" i="22" s="1"/>
  <c r="C870" i="22"/>
  <c r="C872" i="22" s="1"/>
  <c r="C852" i="22"/>
  <c r="C854" i="22" s="1"/>
  <c r="C834" i="22"/>
  <c r="C836" i="22" s="1"/>
  <c r="E834" i="22"/>
  <c r="E836" i="22" s="1"/>
  <c r="D834" i="22"/>
  <c r="D836" i="22" s="1"/>
  <c r="D675" i="22"/>
  <c r="D677" i="22" s="1"/>
  <c r="E675" i="22"/>
  <c r="E677" i="22" s="1"/>
  <c r="C675" i="22"/>
  <c r="C677" i="22" s="1"/>
  <c r="E657" i="22"/>
  <c r="E659" i="22" s="1"/>
  <c r="D657" i="22"/>
  <c r="D659" i="22" s="1"/>
  <c r="C657" i="22"/>
  <c r="C659" i="22" s="1"/>
  <c r="C639" i="22"/>
  <c r="C641" i="22" s="1"/>
  <c r="D639" i="22"/>
  <c r="D641" i="22" s="1"/>
  <c r="E639" i="22"/>
  <c r="E641" i="22" s="1"/>
  <c r="D621" i="22"/>
  <c r="D623" i="22" s="1"/>
  <c r="C621" i="22"/>
  <c r="C623" i="22" s="1"/>
  <c r="E621" i="22"/>
  <c r="E623" i="22" s="1"/>
  <c r="D464" i="22"/>
  <c r="D466" i="22" s="1"/>
  <c r="C464" i="22"/>
  <c r="C466" i="22" s="1"/>
  <c r="D446" i="22"/>
  <c r="D448" i="22" s="1"/>
  <c r="C446" i="22"/>
  <c r="C448" i="22" s="1"/>
  <c r="E446" i="22"/>
  <c r="E448" i="22" s="1"/>
  <c r="C428" i="22"/>
  <c r="C430" i="22" s="1"/>
  <c r="E428" i="22"/>
  <c r="E430" i="22" s="1"/>
  <c r="D428" i="22"/>
  <c r="D430" i="22" s="1"/>
  <c r="E410" i="22"/>
  <c r="E412" i="22" s="1"/>
  <c r="D410" i="22"/>
  <c r="D412" i="22" s="1"/>
  <c r="C410" i="22"/>
  <c r="C412" i="22" s="1"/>
  <c r="E250" i="22"/>
  <c r="E252" i="22" s="1"/>
  <c r="D250" i="22"/>
  <c r="D252" i="22" s="1"/>
  <c r="C250" i="22"/>
  <c r="C252" i="22" s="1"/>
  <c r="D232" i="22"/>
  <c r="D234" i="22" s="1"/>
  <c r="E232" i="22"/>
  <c r="E234" i="22" s="1"/>
  <c r="D214" i="22"/>
  <c r="D216" i="22" s="1"/>
  <c r="C214" i="22"/>
  <c r="C216" i="22" s="1"/>
  <c r="E214" i="22"/>
  <c r="E216" i="22" s="1"/>
  <c r="E196" i="22"/>
  <c r="E198" i="22" s="1"/>
  <c r="D196" i="22"/>
  <c r="D198" i="22" s="1"/>
  <c r="C196" i="22"/>
  <c r="C198" i="22" s="1"/>
  <c r="E1245" i="22"/>
  <c r="D1207" i="22"/>
  <c r="D1317" i="22"/>
  <c r="D1226" i="22"/>
  <c r="D1298" i="22"/>
  <c r="C1299" i="22"/>
  <c r="C1297" i="22"/>
  <c r="E1298" i="22"/>
  <c r="D857" i="22"/>
  <c r="E469" i="22"/>
  <c r="C1207" i="22"/>
  <c r="E855" i="22"/>
  <c r="E1225" i="22"/>
  <c r="D855" i="22"/>
  <c r="D1227" i="22"/>
  <c r="E1317" i="22"/>
  <c r="E1226" i="22"/>
  <c r="D892" i="22"/>
  <c r="E1208" i="22"/>
  <c r="E875" i="22"/>
  <c r="D893" i="22"/>
  <c r="C1262" i="22"/>
  <c r="E1279" i="22"/>
  <c r="D1244" i="22"/>
  <c r="D1208" i="22"/>
  <c r="C1316" i="22"/>
  <c r="D1263" i="22"/>
  <c r="E856" i="22"/>
  <c r="D856" i="22"/>
  <c r="C1261" i="22"/>
  <c r="C236" i="22"/>
  <c r="D1261" i="22"/>
  <c r="C1279" i="22"/>
  <c r="C1243" i="22"/>
  <c r="E874" i="22"/>
  <c r="C1317" i="22"/>
  <c r="C237" i="22"/>
  <c r="C1227" i="22"/>
  <c r="D1299" i="22"/>
  <c r="C1226" i="22"/>
  <c r="E1262" i="22"/>
  <c r="C1281" i="22"/>
  <c r="E1315" i="22"/>
  <c r="E1244" i="22"/>
  <c r="C1209" i="22"/>
  <c r="E467" i="22"/>
  <c r="E1280" i="22"/>
  <c r="C1245" i="22"/>
  <c r="E857" i="22"/>
  <c r="E873" i="22"/>
  <c r="E1263" i="22"/>
  <c r="E468" i="22"/>
  <c r="C235" i="22"/>
  <c r="E1297" i="22"/>
  <c r="D1243" i="22"/>
  <c r="D1315" i="22"/>
  <c r="E1209" i="22"/>
  <c r="D1281" i="22"/>
  <c r="D1279" i="22"/>
  <c r="D891" i="22"/>
  <c r="C40" i="43" l="1"/>
  <c r="E40" i="43" s="1"/>
  <c r="M37" i="43" s="1"/>
  <c r="C42" i="43"/>
  <c r="E42" i="43" s="1"/>
  <c r="M39" i="43" s="1"/>
  <c r="C38" i="43"/>
  <c r="E38" i="43" s="1"/>
  <c r="M35" i="43" s="1"/>
  <c r="C41" i="43"/>
  <c r="E41" i="43" s="1"/>
  <c r="M38" i="43" s="1"/>
  <c r="E36" i="43"/>
  <c r="K42" i="43" s="1"/>
  <c r="E27" i="43"/>
  <c r="E39" i="43"/>
  <c r="M36" i="43" s="1"/>
  <c r="H11" i="20"/>
  <c r="C624" i="22"/>
  <c r="E219" i="22"/>
  <c r="E1069" i="22"/>
  <c r="C679" i="22"/>
  <c r="D1070" i="22"/>
  <c r="E431" i="22"/>
  <c r="D644" i="22"/>
  <c r="C643" i="22"/>
  <c r="C433" i="22"/>
  <c r="C1070" i="22"/>
  <c r="D1068" i="22"/>
  <c r="E838" i="22"/>
  <c r="D432" i="22"/>
  <c r="C469" i="22"/>
  <c r="E662" i="22"/>
  <c r="D199" i="22"/>
  <c r="C431" i="22"/>
  <c r="D219" i="22"/>
  <c r="E893" i="22"/>
  <c r="C626" i="22"/>
  <c r="C254" i="22"/>
  <c r="E625" i="22"/>
  <c r="D1105" i="22"/>
  <c r="C838" i="22"/>
  <c r="C451" i="22"/>
  <c r="C856" i="22"/>
  <c r="C837" i="22"/>
  <c r="C219" i="22"/>
  <c r="E415" i="22"/>
  <c r="E236" i="22"/>
  <c r="E678" i="22"/>
  <c r="D642" i="22"/>
  <c r="C678" i="22"/>
  <c r="C449" i="22"/>
  <c r="C200" i="22"/>
  <c r="E680" i="22"/>
  <c r="E1051" i="22"/>
  <c r="D624" i="22"/>
  <c r="C680" i="22"/>
  <c r="D838" i="22"/>
  <c r="C662" i="22"/>
  <c r="D414" i="22"/>
  <c r="C218" i="22"/>
  <c r="E1052" i="22"/>
  <c r="E255" i="22"/>
  <c r="D625" i="22"/>
  <c r="E626" i="22"/>
  <c r="D201" i="22"/>
  <c r="E1068" i="22"/>
  <c r="D253" i="22"/>
  <c r="E201" i="22"/>
  <c r="D837" i="22"/>
  <c r="E892" i="22"/>
  <c r="C253" i="22"/>
  <c r="D1086" i="22"/>
  <c r="E235" i="22"/>
  <c r="D1052" i="22"/>
  <c r="E218" i="22"/>
  <c r="E414" i="22"/>
  <c r="C1052" i="22"/>
  <c r="E891" i="22"/>
  <c r="E1088" i="22"/>
  <c r="C467" i="22"/>
  <c r="C661" i="22"/>
  <c r="D1069" i="22"/>
  <c r="C413" i="22"/>
  <c r="C892" i="22"/>
  <c r="E661" i="22"/>
  <c r="C893" i="22"/>
  <c r="C644" i="22"/>
  <c r="D254" i="22"/>
  <c r="D469" i="22"/>
  <c r="C1086" i="22"/>
  <c r="C660" i="22"/>
  <c r="D413" i="22"/>
  <c r="D433" i="22"/>
  <c r="E433" i="22"/>
  <c r="D1106" i="22"/>
  <c r="D467" i="22"/>
  <c r="E679" i="22"/>
  <c r="D237" i="22"/>
  <c r="E624" i="22"/>
  <c r="D255" i="22"/>
  <c r="D679" i="22"/>
  <c r="E254" i="22"/>
  <c r="E644" i="22"/>
  <c r="D217" i="22"/>
  <c r="C432" i="22"/>
  <c r="D839" i="22"/>
  <c r="C1105" i="22"/>
  <c r="D450" i="22"/>
  <c r="E642" i="22"/>
  <c r="D875" i="22"/>
  <c r="E253" i="22"/>
  <c r="D873" i="22"/>
  <c r="E450" i="22"/>
  <c r="D680" i="22"/>
  <c r="D1050" i="22"/>
  <c r="D236" i="22"/>
  <c r="D468" i="22"/>
  <c r="D218" i="22"/>
  <c r="C625" i="22"/>
  <c r="C1069" i="22"/>
  <c r="E237" i="22"/>
  <c r="C1104" i="22"/>
  <c r="D660" i="22"/>
  <c r="D1051" i="22"/>
  <c r="E217" i="22"/>
  <c r="E837" i="22"/>
  <c r="C891" i="22"/>
  <c r="C873" i="22"/>
  <c r="D662" i="22"/>
  <c r="E1104" i="22"/>
  <c r="D1104" i="22"/>
  <c r="D626" i="22"/>
  <c r="C468" i="22"/>
  <c r="C1106" i="22"/>
  <c r="D200" i="22"/>
  <c r="D1088" i="22"/>
  <c r="E839" i="22"/>
  <c r="E1086" i="22"/>
  <c r="C255" i="22"/>
  <c r="E449" i="22"/>
  <c r="E1070" i="22"/>
  <c r="C415" i="22"/>
  <c r="C1088" i="22"/>
  <c r="C855" i="22"/>
  <c r="D431" i="22"/>
  <c r="E432" i="22"/>
  <c r="D451" i="22"/>
  <c r="E413" i="22"/>
  <c r="E1087" i="22"/>
  <c r="C199" i="22"/>
  <c r="E199" i="22"/>
  <c r="C414" i="22"/>
  <c r="C839" i="22"/>
  <c r="D415" i="22"/>
  <c r="E1105" i="22"/>
  <c r="D1087" i="22"/>
  <c r="C1087" i="22"/>
  <c r="E200" i="22"/>
  <c r="C857" i="22"/>
  <c r="D874" i="22"/>
  <c r="C875" i="22"/>
  <c r="C642" i="22"/>
  <c r="E643" i="22"/>
  <c r="D643" i="22"/>
  <c r="C450" i="22"/>
  <c r="E451" i="22"/>
  <c r="C1050" i="22"/>
  <c r="D449" i="22"/>
  <c r="D661" i="22"/>
  <c r="C217" i="22"/>
  <c r="E1050" i="22"/>
  <c r="D678" i="22"/>
  <c r="C874" i="22"/>
  <c r="E1106" i="22"/>
  <c r="C1051" i="22"/>
  <c r="C1068" i="22"/>
  <c r="E660" i="22"/>
  <c r="C201" i="22"/>
  <c r="D235" i="22"/>
  <c r="D30" i="43" l="1"/>
  <c r="K41" i="43"/>
  <c r="C33" i="43"/>
  <c r="D33" i="43"/>
  <c r="C32" i="43"/>
  <c r="C30" i="43"/>
  <c r="C31" i="43"/>
  <c r="D32" i="43"/>
  <c r="C29" i="43"/>
  <c r="D29" i="43"/>
  <c r="D31" i="43"/>
  <c r="C68" i="40"/>
  <c r="C188" i="40" s="1"/>
  <c r="C95" i="40"/>
  <c r="F188" i="40" s="1"/>
  <c r="C86" i="40"/>
  <c r="E188" i="40" s="1"/>
  <c r="C77" i="40"/>
  <c r="D188" i="40" s="1"/>
  <c r="D1182" i="22"/>
  <c r="E1164" i="22"/>
  <c r="E1128" i="22"/>
  <c r="D1128" i="22"/>
  <c r="D1164" i="22"/>
  <c r="C1182" i="22"/>
  <c r="C1164" i="22"/>
  <c r="E1146" i="22"/>
  <c r="C1146" i="22"/>
  <c r="C1128" i="22"/>
  <c r="D1146" i="22"/>
  <c r="E1182" i="22"/>
  <c r="C198" i="40" l="1" a="1"/>
  <c r="E30" i="43"/>
  <c r="L36" i="43" s="1"/>
  <c r="C1168" i="22"/>
  <c r="C1170" i="22" s="1"/>
  <c r="E1168" i="22"/>
  <c r="E1170" i="22" s="1"/>
  <c r="D1168" i="22"/>
  <c r="D1170" i="22" s="1"/>
  <c r="E1150" i="22"/>
  <c r="E1152" i="22" s="1"/>
  <c r="D1150" i="22"/>
  <c r="D1152" i="22" s="1"/>
  <c r="C1150" i="22"/>
  <c r="C1152" i="22" s="1"/>
  <c r="D1186" i="22"/>
  <c r="D1188" i="22" s="1"/>
  <c r="C1186" i="22"/>
  <c r="C1188" i="22" s="1"/>
  <c r="E1186" i="22"/>
  <c r="E1188" i="22" s="1"/>
  <c r="C1112" i="22"/>
  <c r="C1132" i="22"/>
  <c r="C1134" i="22" s="1"/>
  <c r="E1112" i="22"/>
  <c r="E1132" i="22"/>
  <c r="E1134" i="22" s="1"/>
  <c r="D1112" i="22"/>
  <c r="D1132" i="22"/>
  <c r="E33" i="43"/>
  <c r="L39" i="43" s="1"/>
  <c r="E32" i="43"/>
  <c r="L38" i="43" s="1"/>
  <c r="E31" i="43"/>
  <c r="L37" i="43" s="1"/>
  <c r="E29" i="43"/>
  <c r="L35" i="43" s="1"/>
  <c r="C21" i="42"/>
  <c r="C18" i="42"/>
  <c r="C20" i="35"/>
  <c r="B25" i="34" s="1"/>
  <c r="B3" i="40"/>
  <c r="B2" i="40"/>
  <c r="D1173" i="22"/>
  <c r="C1172" i="22"/>
  <c r="E1191" i="22"/>
  <c r="C1154" i="22"/>
  <c r="E1171" i="22"/>
  <c r="C1171" i="22"/>
  <c r="E1137" i="22"/>
  <c r="C1135" i="22"/>
  <c r="E1153" i="22"/>
  <c r="C1173" i="22"/>
  <c r="E1173" i="22"/>
  <c r="C1190" i="22"/>
  <c r="D1190" i="22"/>
  <c r="D1154" i="22"/>
  <c r="H205" i="40" l="1"/>
  <c r="D202" i="40"/>
  <c r="F200" i="40"/>
  <c r="E200" i="40"/>
  <c r="E198" i="40"/>
  <c r="E201" i="40"/>
  <c r="G200" i="40"/>
  <c r="G203" i="40"/>
  <c r="H202" i="40"/>
  <c r="H203" i="40"/>
  <c r="C201" i="40"/>
  <c r="F202" i="40"/>
  <c r="D205" i="40"/>
  <c r="F201" i="40"/>
  <c r="F199" i="40"/>
  <c r="G202" i="40"/>
  <c r="H204" i="40"/>
  <c r="C204" i="40"/>
  <c r="H208" i="40"/>
  <c r="H199" i="40"/>
  <c r="G205" i="40"/>
  <c r="H200" i="40"/>
  <c r="C200" i="40"/>
  <c r="D206" i="40"/>
  <c r="F207" i="40"/>
  <c r="F203" i="40"/>
  <c r="D199" i="40"/>
  <c r="C207" i="40"/>
  <c r="C199" i="40"/>
  <c r="F208" i="40"/>
  <c r="F204" i="40"/>
  <c r="E207" i="40"/>
  <c r="D208" i="40"/>
  <c r="G199" i="40"/>
  <c r="G207" i="40"/>
  <c r="C198" i="40"/>
  <c r="E205" i="40"/>
  <c r="E202" i="40"/>
  <c r="G208" i="40"/>
  <c r="C205" i="40"/>
  <c r="H201" i="40"/>
  <c r="H207" i="40"/>
  <c r="E203" i="40"/>
  <c r="D207" i="40"/>
  <c r="E199" i="40"/>
  <c r="F206" i="40"/>
  <c r="E206" i="40"/>
  <c r="F205" i="40"/>
  <c r="H198" i="40"/>
  <c r="D200" i="40"/>
  <c r="D204" i="40"/>
  <c r="G198" i="40"/>
  <c r="C202" i="40"/>
  <c r="E204" i="40"/>
  <c r="D203" i="40"/>
  <c r="G201" i="40"/>
  <c r="F198" i="40"/>
  <c r="H206" i="40"/>
  <c r="D198" i="40"/>
  <c r="G204" i="40"/>
  <c r="C208" i="40"/>
  <c r="C206" i="40"/>
  <c r="D201" i="40"/>
  <c r="C203" i="40"/>
  <c r="E208" i="40"/>
  <c r="G206" i="40"/>
  <c r="E1113" i="22"/>
  <c r="E1115" i="22" s="1"/>
  <c r="C1113" i="22"/>
  <c r="C1115" i="22" s="1"/>
  <c r="D1134" i="22"/>
  <c r="D1113" i="22"/>
  <c r="D1115" i="22" s="1"/>
  <c r="D18" i="43"/>
  <c r="C18" i="43"/>
  <c r="C45" i="43"/>
  <c r="D45" i="43"/>
  <c r="C24" i="35"/>
  <c r="B3" i="37"/>
  <c r="B2" i="37"/>
  <c r="D19" i="20"/>
  <c r="C1155" i="22"/>
  <c r="D1153" i="22"/>
  <c r="D1189" i="22"/>
  <c r="C1189" i="22"/>
  <c r="C1191" i="22"/>
  <c r="E1154" i="22"/>
  <c r="C1136" i="22"/>
  <c r="D16" i="20"/>
  <c r="E1136" i="22"/>
  <c r="D1172" i="22"/>
  <c r="D1171" i="22"/>
  <c r="C19" i="20"/>
  <c r="C1137" i="22"/>
  <c r="D1155" i="22"/>
  <c r="E19" i="20"/>
  <c r="E1189" i="22"/>
  <c r="E1190" i="22"/>
  <c r="E1135" i="22"/>
  <c r="E1172" i="22"/>
  <c r="D1191" i="22"/>
  <c r="E1155" i="22"/>
  <c r="C1153" i="22"/>
  <c r="E16" i="20"/>
  <c r="D1137" i="22"/>
  <c r="F209" i="40" l="1"/>
  <c r="O198" i="40" s="1"/>
  <c r="D209" i="40"/>
  <c r="H209" i="40"/>
  <c r="E209" i="40"/>
  <c r="G209" i="40"/>
  <c r="C209" i="40"/>
  <c r="I205" i="40" s="1"/>
  <c r="O199" i="40"/>
  <c r="D48" i="43"/>
  <c r="D47" i="43"/>
  <c r="D51" i="43"/>
  <c r="D50" i="43"/>
  <c r="D49" i="43"/>
  <c r="C20" i="43"/>
  <c r="C22" i="43"/>
  <c r="E18" i="43"/>
  <c r="K43" i="43" s="1"/>
  <c r="C21" i="43"/>
  <c r="C24" i="43"/>
  <c r="C23" i="43"/>
  <c r="E45" i="43"/>
  <c r="K44" i="43" s="1"/>
  <c r="C50" i="43"/>
  <c r="C49" i="43"/>
  <c r="C48" i="43"/>
  <c r="C51" i="43"/>
  <c r="C47" i="43"/>
  <c r="D23" i="43"/>
  <c r="D22" i="43"/>
  <c r="D24" i="43"/>
  <c r="D20" i="43"/>
  <c r="D21" i="43"/>
  <c r="B33" i="34"/>
  <c r="B40" i="34"/>
  <c r="B3" i="22"/>
  <c r="B2" i="22"/>
  <c r="B3" i="29"/>
  <c r="B2" i="29"/>
  <c r="B3" i="20"/>
  <c r="B2" i="20"/>
  <c r="B2" i="34"/>
  <c r="B3" i="34"/>
  <c r="C23" i="35"/>
  <c r="C22" i="35"/>
  <c r="C21" i="35"/>
  <c r="C19" i="35"/>
  <c r="D1136" i="22"/>
  <c r="D1135" i="22"/>
  <c r="O208" i="40" l="1"/>
  <c r="O206" i="40"/>
  <c r="N209" i="40"/>
  <c r="E210" i="40"/>
  <c r="N200" i="40"/>
  <c r="M209" i="40"/>
  <c r="D210" i="40"/>
  <c r="P200" i="40"/>
  <c r="G210" i="40"/>
  <c r="Q209" i="40"/>
  <c r="H210" i="40"/>
  <c r="Q199" i="40"/>
  <c r="O205" i="40"/>
  <c r="F210" i="40"/>
  <c r="Q203" i="40"/>
  <c r="O203" i="40"/>
  <c r="O201" i="40"/>
  <c r="Q207" i="40"/>
  <c r="Q200" i="40"/>
  <c r="O200" i="40"/>
  <c r="N198" i="40"/>
  <c r="O204" i="40"/>
  <c r="N205" i="40"/>
  <c r="N206" i="40"/>
  <c r="N199" i="40"/>
  <c r="O207" i="40"/>
  <c r="N202" i="40"/>
  <c r="Q202" i="40"/>
  <c r="M202" i="40"/>
  <c r="M207" i="40"/>
  <c r="P203" i="40"/>
  <c r="M208" i="40"/>
  <c r="M198" i="40"/>
  <c r="M201" i="40"/>
  <c r="P198" i="40"/>
  <c r="N201" i="40"/>
  <c r="M206" i="40"/>
  <c r="Q201" i="40"/>
  <c r="N207" i="40"/>
  <c r="P199" i="40"/>
  <c r="P208" i="40"/>
  <c r="M203" i="40"/>
  <c r="M205" i="40"/>
  <c r="N208" i="40"/>
  <c r="P201" i="40"/>
  <c r="P206" i="40"/>
  <c r="P205" i="40"/>
  <c r="M199" i="40"/>
  <c r="N203" i="40"/>
  <c r="I206" i="40"/>
  <c r="I201" i="40"/>
  <c r="L201" i="40"/>
  <c r="I204" i="40"/>
  <c r="P204" i="40"/>
  <c r="P209" i="40"/>
  <c r="P202" i="40"/>
  <c r="I203" i="40"/>
  <c r="Q198" i="40"/>
  <c r="Q208" i="40"/>
  <c r="I207" i="40"/>
  <c r="L202" i="40"/>
  <c r="L203" i="40"/>
  <c r="L207" i="40"/>
  <c r="I202" i="40"/>
  <c r="Q205" i="40"/>
  <c r="O202" i="40"/>
  <c r="O209" i="40"/>
  <c r="P207" i="40"/>
  <c r="L198" i="40"/>
  <c r="I200" i="40"/>
  <c r="L208" i="40"/>
  <c r="Q206" i="40"/>
  <c r="L200" i="40"/>
  <c r="I198" i="40"/>
  <c r="I199" i="40"/>
  <c r="I208" i="40"/>
  <c r="N204" i="40"/>
  <c r="Q204" i="40"/>
  <c r="M200" i="40"/>
  <c r="M204" i="40"/>
  <c r="L204" i="40"/>
  <c r="L209" i="40"/>
  <c r="L199" i="40"/>
  <c r="L206" i="40"/>
  <c r="L205" i="40"/>
  <c r="E23" i="43"/>
  <c r="K38" i="43" s="1"/>
  <c r="E49" i="43"/>
  <c r="N37" i="43" s="1"/>
  <c r="E20" i="43"/>
  <c r="K35" i="43" s="1"/>
  <c r="E47" i="43"/>
  <c r="N35" i="43" s="1"/>
  <c r="E51" i="43"/>
  <c r="N39" i="43" s="1"/>
  <c r="E48" i="43"/>
  <c r="N36" i="43" s="1"/>
  <c r="E22" i="43"/>
  <c r="K37" i="43" s="1"/>
  <c r="E50" i="43"/>
  <c r="N38" i="43" s="1"/>
  <c r="E24" i="43"/>
  <c r="E21" i="43"/>
  <c r="B27" i="34"/>
  <c r="B23" i="34"/>
  <c r="B29" i="34"/>
  <c r="B31" i="34"/>
  <c r="O37" i="43" l="1"/>
  <c r="O35" i="43"/>
  <c r="O38" i="43"/>
  <c r="C54" i="43"/>
  <c r="K47" i="43" s="1"/>
  <c r="C56" i="43"/>
  <c r="K49" i="43" s="1"/>
  <c r="C57" i="43"/>
  <c r="K48" i="43" s="1"/>
  <c r="K39" i="43"/>
  <c r="O39" i="43" s="1"/>
  <c r="C58" i="43"/>
  <c r="K51" i="43" s="1"/>
  <c r="K36" i="43"/>
  <c r="O36" i="43" s="1"/>
  <c r="C55" i="43"/>
  <c r="K50" i="43" s="1"/>
  <c r="J16" i="29"/>
  <c r="H16" i="29"/>
  <c r="B172" i="22"/>
  <c r="B154" i="22"/>
  <c r="B136" i="22"/>
  <c r="B118" i="22"/>
  <c r="B100" i="22"/>
  <c r="B82" i="22"/>
  <c r="B64" i="22"/>
  <c r="L16" i="29"/>
  <c r="B1023" i="22"/>
  <c r="B1005" i="22"/>
  <c r="B987" i="22"/>
  <c r="B969" i="22"/>
  <c r="B951" i="22"/>
  <c r="B933" i="22"/>
  <c r="B915" i="22"/>
  <c r="B810" i="22"/>
  <c r="B792" i="22"/>
  <c r="B774" i="22"/>
  <c r="B756" i="22"/>
  <c r="B738" i="22"/>
  <c r="B720" i="22"/>
  <c r="B702" i="22"/>
  <c r="B597" i="22"/>
  <c r="B579" i="22"/>
  <c r="B561" i="22"/>
  <c r="B543" i="22"/>
  <c r="B525" i="22"/>
  <c r="B507" i="22"/>
  <c r="B489" i="22"/>
  <c r="B386" i="22"/>
  <c r="B368" i="22"/>
  <c r="B350" i="22"/>
  <c r="B332" i="22"/>
  <c r="B314" i="22"/>
  <c r="B296" i="22"/>
  <c r="B278" i="22"/>
  <c r="D512" i="22"/>
  <c r="E370" i="22"/>
  <c r="E87" i="22"/>
  <c r="D388" i="22"/>
  <c r="E992" i="22"/>
  <c r="E105" i="22"/>
  <c r="D974" i="22"/>
  <c r="E1007" i="22"/>
  <c r="D141" i="22"/>
  <c r="D337" i="22"/>
  <c r="D319" i="22"/>
  <c r="D794" i="22"/>
  <c r="C584" i="22"/>
  <c r="C581" i="22"/>
  <c r="C319" i="22"/>
  <c r="E301" i="22"/>
  <c r="D530" i="22"/>
  <c r="D1028" i="22"/>
  <c r="C105" i="22"/>
  <c r="D355" i="22"/>
  <c r="C761" i="22"/>
  <c r="D138" i="22"/>
  <c r="C920" i="22"/>
  <c r="D548" i="22"/>
  <c r="D370" i="22"/>
  <c r="C530" i="22"/>
  <c r="C989" i="22"/>
  <c r="C599" i="22"/>
  <c r="C548" i="22"/>
  <c r="D563" i="22"/>
  <c r="D69" i="22"/>
  <c r="C602" i="22"/>
  <c r="E174" i="22"/>
  <c r="C337" i="22"/>
  <c r="D797" i="22"/>
  <c r="E512" i="22"/>
  <c r="C938" i="22"/>
  <c r="E563" i="22"/>
  <c r="D159" i="22"/>
  <c r="E779" i="22"/>
  <c r="E355" i="22"/>
  <c r="C388" i="22"/>
  <c r="D920" i="22"/>
  <c r="C1028" i="22"/>
  <c r="C177" i="22"/>
  <c r="C797" i="22"/>
  <c r="E159" i="22"/>
  <c r="D725" i="22"/>
  <c r="D992" i="22"/>
  <c r="C794" i="22"/>
  <c r="E530" i="22"/>
  <c r="E797" i="22"/>
  <c r="C138" i="22"/>
  <c r="E581" i="22"/>
  <c r="E599" i="22"/>
  <c r="C812" i="22"/>
  <c r="E707" i="22"/>
  <c r="C156" i="22"/>
  <c r="E602" i="22"/>
  <c r="E812" i="22"/>
  <c r="D584" i="22"/>
  <c r="D566" i="22"/>
  <c r="C159" i="22"/>
  <c r="D815" i="22"/>
  <c r="C283" i="22"/>
  <c r="E156" i="22"/>
  <c r="C373" i="22"/>
  <c r="C352" i="22"/>
  <c r="E743" i="22"/>
  <c r="C707" i="22"/>
  <c r="D956" i="22"/>
  <c r="C494" i="22"/>
  <c r="C563" i="22"/>
  <c r="D174" i="22"/>
  <c r="E566" i="22"/>
  <c r="D352" i="22"/>
  <c r="D123" i="22"/>
  <c r="E494" i="22"/>
  <c r="C370" i="22"/>
  <c r="D1025" i="22"/>
  <c r="C69" i="22"/>
  <c r="E1025" i="22"/>
  <c r="D599" i="22"/>
  <c r="D779" i="22"/>
  <c r="E815" i="22"/>
  <c r="D177" i="22"/>
  <c r="D373" i="22"/>
  <c r="C992" i="22"/>
  <c r="E584" i="22"/>
  <c r="E337" i="22"/>
  <c r="C301" i="22"/>
  <c r="E141" i="22"/>
  <c r="D743" i="22"/>
  <c r="E920" i="22"/>
  <c r="C1025" i="22"/>
  <c r="C141" i="22"/>
  <c r="E761" i="22"/>
  <c r="C1010" i="22"/>
  <c r="C743" i="22"/>
  <c r="C174" i="22"/>
  <c r="C779" i="22"/>
  <c r="C815" i="22"/>
  <c r="C87" i="22"/>
  <c r="E177" i="22"/>
  <c r="E1010" i="22"/>
  <c r="C123" i="22"/>
  <c r="D391" i="22"/>
  <c r="D105" i="22"/>
  <c r="E938" i="22"/>
  <c r="D1010" i="22"/>
  <c r="E989" i="22"/>
  <c r="E283" i="22"/>
  <c r="D87" i="22"/>
  <c r="E548" i="22"/>
  <c r="C355" i="22"/>
  <c r="E352" i="22"/>
  <c r="C725" i="22"/>
  <c r="E69" i="22"/>
  <c r="E974" i="22"/>
  <c r="D989" i="22"/>
  <c r="C566" i="22"/>
  <c r="C391" i="22"/>
  <c r="D283" i="22"/>
  <c r="D494" i="22"/>
  <c r="C974" i="22"/>
  <c r="E373" i="22"/>
  <c r="E388" i="22"/>
  <c r="E391" i="22"/>
  <c r="E1028" i="22"/>
  <c r="E794" i="22"/>
  <c r="C512" i="22"/>
  <c r="D581" i="22"/>
  <c r="D938" i="22"/>
  <c r="E138" i="22"/>
  <c r="D301" i="22"/>
  <c r="E956" i="22"/>
  <c r="E319" i="22"/>
  <c r="E725" i="22"/>
  <c r="D707" i="22"/>
  <c r="D602" i="22"/>
  <c r="D761" i="22"/>
  <c r="D812" i="22"/>
  <c r="E123" i="22"/>
  <c r="C1007" i="22"/>
  <c r="C956" i="22"/>
  <c r="D156" i="22"/>
  <c r="D1007" i="22"/>
  <c r="L16" i="22" l="1"/>
  <c r="J16" i="22"/>
  <c r="H16" i="22"/>
  <c r="E103" i="22" l="1"/>
  <c r="D972" i="22"/>
  <c r="E353" i="22"/>
  <c r="D67" i="22"/>
  <c r="C1026" i="22"/>
  <c r="E936" i="22"/>
  <c r="D759" i="22"/>
  <c r="D353" i="22"/>
  <c r="C67" i="22"/>
  <c r="E990" i="22"/>
  <c r="D510" i="22"/>
  <c r="C741" i="22"/>
  <c r="C335" i="22"/>
  <c r="E972" i="22"/>
  <c r="D705" i="22"/>
  <c r="E564" i="22"/>
  <c r="C281" i="22"/>
  <c r="C777" i="22"/>
  <c r="E1008" i="22"/>
  <c r="E121" i="22"/>
  <c r="D582" i="22"/>
  <c r="E175" i="22"/>
  <c r="E600" i="22"/>
  <c r="D918" i="22"/>
  <c r="E157" i="22"/>
  <c r="C972" i="22"/>
  <c r="C705" i="22"/>
  <c r="E723" i="22"/>
  <c r="C1008" i="22"/>
  <c r="C723" i="22"/>
  <c r="E759" i="22"/>
  <c r="D528" i="22"/>
  <c r="E741" i="22"/>
  <c r="D281" i="22"/>
  <c r="D175" i="22"/>
  <c r="D121" i="22"/>
  <c r="C371" i="22"/>
  <c r="C121" i="22"/>
  <c r="E371" i="22"/>
  <c r="E281" i="22"/>
  <c r="D1026" i="22"/>
  <c r="D795" i="22"/>
  <c r="D564" i="22"/>
  <c r="D600" i="22"/>
  <c r="C813" i="22"/>
  <c r="D103" i="22"/>
  <c r="E795" i="22"/>
  <c r="E777" i="22"/>
  <c r="D371" i="22"/>
  <c r="D139" i="22"/>
  <c r="E389" i="22"/>
  <c r="E528" i="22"/>
  <c r="C175" i="22"/>
  <c r="E299" i="22"/>
  <c r="C546" i="22"/>
  <c r="C157" i="22"/>
  <c r="C582" i="22"/>
  <c r="E546" i="22"/>
  <c r="E317" i="22"/>
  <c r="E67" i="22"/>
  <c r="E1026" i="22"/>
  <c r="E813" i="22"/>
  <c r="C600" i="22"/>
  <c r="E705" i="22"/>
  <c r="D492" i="22"/>
  <c r="C954" i="22"/>
  <c r="C492" i="22"/>
  <c r="D741" i="22"/>
  <c r="D299" i="22"/>
  <c r="D813" i="22"/>
  <c r="C759" i="22"/>
  <c r="C139" i="22"/>
  <c r="E918" i="22"/>
  <c r="C936" i="22"/>
  <c r="E954" i="22"/>
  <c r="C528" i="22"/>
  <c r="D777" i="22"/>
  <c r="E85" i="22"/>
  <c r="D723" i="22"/>
  <c r="C317" i="22"/>
  <c r="C103" i="22"/>
  <c r="D1008" i="22"/>
  <c r="D335" i="22"/>
  <c r="E582" i="22"/>
  <c r="C564" i="22"/>
  <c r="C918" i="22"/>
  <c r="C299" i="22"/>
  <c r="E335" i="22"/>
  <c r="D954" i="22"/>
  <c r="D990" i="22"/>
  <c r="C353" i="22"/>
  <c r="C795" i="22"/>
  <c r="D389" i="22"/>
  <c r="E510" i="22"/>
  <c r="E139" i="22"/>
  <c r="C510" i="22"/>
  <c r="D936" i="22"/>
  <c r="C389" i="22"/>
  <c r="E492" i="22"/>
  <c r="C990" i="22"/>
  <c r="D546" i="22"/>
  <c r="D85" i="22"/>
  <c r="D317" i="22"/>
  <c r="D157" i="22"/>
  <c r="D1009" i="22"/>
  <c r="D955" i="22"/>
  <c r="E86" i="22"/>
  <c r="E706" i="22"/>
  <c r="D742" i="22"/>
  <c r="E547" i="22"/>
  <c r="E724" i="22"/>
  <c r="E334" i="22"/>
  <c r="C354" i="22"/>
  <c r="E390" i="22"/>
  <c r="C724" i="22"/>
  <c r="C104" i="22"/>
  <c r="E529" i="22"/>
  <c r="E1027" i="22"/>
  <c r="E742" i="22"/>
  <c r="E971" i="22"/>
  <c r="D529" i="22"/>
  <c r="E565" i="22"/>
  <c r="C955" i="22"/>
  <c r="E955" i="22"/>
  <c r="E919" i="22"/>
  <c r="C742" i="22"/>
  <c r="D158" i="22"/>
  <c r="C511" i="22"/>
  <c r="C176" i="22"/>
  <c r="E493" i="22"/>
  <c r="D68" i="22"/>
  <c r="E814" i="22"/>
  <c r="D334" i="22"/>
  <c r="D140" i="22"/>
  <c r="D724" i="22"/>
  <c r="D509" i="22"/>
  <c r="C282" i="22"/>
  <c r="E973" i="22"/>
  <c r="D300" i="22"/>
  <c r="D778" i="22"/>
  <c r="D23" i="20"/>
  <c r="E583" i="22"/>
  <c r="C493" i="22"/>
  <c r="C23" i="20"/>
  <c r="D336" i="22"/>
  <c r="C565" i="22"/>
  <c r="D706" i="22"/>
  <c r="C334" i="22"/>
  <c r="D971" i="22"/>
  <c r="D760" i="22"/>
  <c r="D282" i="22"/>
  <c r="D84" i="22"/>
  <c r="C760" i="22"/>
  <c r="C300" i="22"/>
  <c r="D390" i="22"/>
  <c r="E778" i="22"/>
  <c r="E796" i="22"/>
  <c r="C1027" i="22"/>
  <c r="C814" i="22"/>
  <c r="E104" i="22"/>
  <c r="E122" i="22"/>
  <c r="D547" i="22"/>
  <c r="C390" i="22"/>
  <c r="E511" i="22"/>
  <c r="D973" i="22"/>
  <c r="E991" i="22"/>
  <c r="E23" i="20"/>
  <c r="D583" i="22"/>
  <c r="C158" i="22"/>
  <c r="E84" i="22"/>
  <c r="E318" i="22"/>
  <c r="C991" i="22"/>
  <c r="E68" i="22"/>
  <c r="C706" i="22"/>
  <c r="E176" i="22"/>
  <c r="E140" i="22"/>
  <c r="C68" i="22"/>
  <c r="E158" i="22"/>
  <c r="E601" i="22"/>
  <c r="D511" i="22"/>
  <c r="C971" i="22"/>
  <c r="D1027" i="22"/>
  <c r="C336" i="22"/>
  <c r="E300" i="22"/>
  <c r="C84" i="22"/>
  <c r="D919" i="22"/>
  <c r="E937" i="22"/>
  <c r="D991" i="22"/>
  <c r="C796" i="22"/>
  <c r="C547" i="22"/>
  <c r="E509" i="22"/>
  <c r="D565" i="22"/>
  <c r="E372" i="22"/>
  <c r="D372" i="22"/>
  <c r="E282" i="22"/>
  <c r="D493" i="22"/>
  <c r="C318" i="22"/>
  <c r="E1009" i="22"/>
  <c r="C140" i="22"/>
  <c r="D354" i="22"/>
  <c r="C973" i="22"/>
  <c r="D814" i="22"/>
  <c r="D796" i="22"/>
  <c r="E354" i="22"/>
  <c r="D122" i="22"/>
  <c r="C778" i="22"/>
  <c r="C919" i="22"/>
  <c r="D86" i="22"/>
  <c r="C509" i="22"/>
  <c r="E760" i="22"/>
  <c r="D176" i="22"/>
  <c r="D937" i="22"/>
  <c r="D104" i="22"/>
  <c r="C583" i="22"/>
  <c r="C937" i="22"/>
  <c r="C122" i="22"/>
  <c r="E336" i="22"/>
  <c r="D318" i="22"/>
  <c r="C529" i="22"/>
  <c r="C372" i="22"/>
  <c r="C1009" i="22"/>
  <c r="C601" i="22"/>
  <c r="D601" i="22"/>
  <c r="D160" i="22" l="1"/>
  <c r="D162" i="22" s="1"/>
  <c r="D392" i="22"/>
  <c r="D394" i="22" s="1"/>
  <c r="E1029" i="22"/>
  <c r="E1031" i="22" s="1"/>
  <c r="C160" i="22"/>
  <c r="C162" i="22" s="1"/>
  <c r="E585" i="22"/>
  <c r="E587" i="22" s="1"/>
  <c r="D374" i="22"/>
  <c r="D376" i="22" s="1"/>
  <c r="C816" i="22"/>
  <c r="C818" i="22" s="1"/>
  <c r="D798" i="22"/>
  <c r="D800" i="22" s="1"/>
  <c r="E160" i="22"/>
  <c r="E162" i="22" s="1"/>
  <c r="D585" i="22"/>
  <c r="D587" i="22" s="1"/>
  <c r="C392" i="22"/>
  <c r="C394" i="22" s="1"/>
  <c r="C374" i="22"/>
  <c r="C376" i="22" s="1"/>
  <c r="D1011" i="22"/>
  <c r="D1013" i="22" s="1"/>
  <c r="D1029" i="22"/>
  <c r="D1031" i="22" s="1"/>
  <c r="C1011" i="22"/>
  <c r="C1013" i="22" s="1"/>
  <c r="C178" i="22"/>
  <c r="C180" i="22" s="1"/>
  <c r="D603" i="22"/>
  <c r="D605" i="22" s="1"/>
  <c r="D178" i="22"/>
  <c r="D180" i="22" s="1"/>
  <c r="E603" i="22"/>
  <c r="E605" i="22" s="1"/>
  <c r="E1011" i="22"/>
  <c r="E1013" i="22" s="1"/>
  <c r="C798" i="22"/>
  <c r="C800" i="22" s="1"/>
  <c r="E178" i="22"/>
  <c r="E180" i="22" s="1"/>
  <c r="C1029" i="22"/>
  <c r="C1031" i="22" s="1"/>
  <c r="C603" i="22"/>
  <c r="C605" i="22" s="1"/>
  <c r="E816" i="22"/>
  <c r="E818" i="22" s="1"/>
  <c r="E798" i="22"/>
  <c r="E800" i="22" s="1"/>
  <c r="D816" i="22"/>
  <c r="D818" i="22" s="1"/>
  <c r="C585" i="22"/>
  <c r="C587" i="22" s="1"/>
  <c r="E392" i="22"/>
  <c r="E394" i="22" s="1"/>
  <c r="E374" i="22"/>
  <c r="E376" i="22" s="1"/>
  <c r="J16" i="20"/>
  <c r="L16" i="20"/>
  <c r="H16" i="20"/>
  <c r="D917" i="22"/>
  <c r="C740" i="22"/>
  <c r="D704" i="22"/>
  <c r="C527" i="22"/>
  <c r="E740" i="22"/>
  <c r="E704" i="22"/>
  <c r="C491" i="22"/>
  <c r="E953" i="22"/>
  <c r="E545" i="22"/>
  <c r="D935" i="22"/>
  <c r="C316" i="22"/>
  <c r="C953" i="22"/>
  <c r="D66" i="22"/>
  <c r="E102" i="22"/>
  <c r="C102" i="22"/>
  <c r="C120" i="22"/>
  <c r="E527" i="22"/>
  <c r="D527" i="22"/>
  <c r="E316" i="22"/>
  <c r="C704" i="22"/>
  <c r="E120" i="22"/>
  <c r="D280" i="22"/>
  <c r="C545" i="22"/>
  <c r="E722" i="22"/>
  <c r="C935" i="22"/>
  <c r="E917" i="22"/>
  <c r="E66" i="22"/>
  <c r="E298" i="22"/>
  <c r="D102" i="22"/>
  <c r="D298" i="22"/>
  <c r="D953" i="22"/>
  <c r="C280" i="22"/>
  <c r="E758" i="22"/>
  <c r="C298" i="22"/>
  <c r="C917" i="22"/>
  <c r="D758" i="22"/>
  <c r="C722" i="22"/>
  <c r="D722" i="22"/>
  <c r="D545" i="22"/>
  <c r="D120" i="22"/>
  <c r="E280" i="22"/>
  <c r="D740" i="22"/>
  <c r="E491" i="22"/>
  <c r="C66" i="22"/>
  <c r="C758" i="22"/>
  <c r="D491" i="22"/>
  <c r="D316" i="22"/>
  <c r="E935" i="22"/>
  <c r="E901" i="22" l="1"/>
  <c r="D901" i="22"/>
  <c r="C901" i="22"/>
  <c r="D475" i="22"/>
  <c r="E475" i="22"/>
  <c r="C475" i="22"/>
  <c r="E50" i="22"/>
  <c r="D50" i="22"/>
  <c r="C50" i="22"/>
  <c r="E264" i="22"/>
  <c r="D264" i="22"/>
  <c r="C264" i="22"/>
  <c r="D495" i="22"/>
  <c r="D497" i="22" s="1"/>
  <c r="C495" i="22"/>
  <c r="C497" i="22" s="1"/>
  <c r="E495" i="22"/>
  <c r="E497" i="22" s="1"/>
  <c r="E975" i="22"/>
  <c r="E977" i="22" s="1"/>
  <c r="D975" i="22"/>
  <c r="D977" i="22" s="1"/>
  <c r="C975" i="22"/>
  <c r="C977" i="22" s="1"/>
  <c r="C531" i="22"/>
  <c r="C533" i="22" s="1"/>
  <c r="E531" i="22"/>
  <c r="E533" i="22" s="1"/>
  <c r="D531" i="22"/>
  <c r="D533" i="22" s="1"/>
  <c r="E567" i="22"/>
  <c r="E569" i="22" s="1"/>
  <c r="D567" i="22"/>
  <c r="D569" i="22" s="1"/>
  <c r="C567" i="22"/>
  <c r="C569" i="22" s="1"/>
  <c r="E124" i="22"/>
  <c r="E126" i="22" s="1"/>
  <c r="D124" i="22"/>
  <c r="D126" i="22" s="1"/>
  <c r="C124" i="22"/>
  <c r="C126" i="22" s="1"/>
  <c r="E338" i="22"/>
  <c r="E340" i="22" s="1"/>
  <c r="C338" i="22"/>
  <c r="C340" i="22" s="1"/>
  <c r="D338" i="22"/>
  <c r="D340" i="22" s="1"/>
  <c r="E993" i="22"/>
  <c r="E995" i="22" s="1"/>
  <c r="C993" i="22"/>
  <c r="C995" i="22" s="1"/>
  <c r="D993" i="22"/>
  <c r="D995" i="22" s="1"/>
  <c r="E356" i="22"/>
  <c r="E358" i="22" s="1"/>
  <c r="D356" i="22"/>
  <c r="D358" i="22" s="1"/>
  <c r="C356" i="22"/>
  <c r="C358" i="22" s="1"/>
  <c r="D708" i="22"/>
  <c r="D710" i="22" s="1"/>
  <c r="C708" i="22"/>
  <c r="C710" i="22" s="1"/>
  <c r="E708" i="22"/>
  <c r="E710" i="22" s="1"/>
  <c r="E549" i="22"/>
  <c r="E551" i="22" s="1"/>
  <c r="D549" i="22"/>
  <c r="D551" i="22" s="1"/>
  <c r="C549" i="22"/>
  <c r="C551" i="22" s="1"/>
  <c r="E88" i="22"/>
  <c r="E90" i="22" s="1"/>
  <c r="D88" i="22"/>
  <c r="D90" i="22" s="1"/>
  <c r="C88" i="22"/>
  <c r="C90" i="22" s="1"/>
  <c r="E106" i="22"/>
  <c r="E108" i="22" s="1"/>
  <c r="D106" i="22"/>
  <c r="D108" i="22" s="1"/>
  <c r="C106" i="22"/>
  <c r="C108" i="22" s="1"/>
  <c r="D939" i="22"/>
  <c r="D941" i="22" s="1"/>
  <c r="C939" i="22"/>
  <c r="C941" i="22" s="1"/>
  <c r="E939" i="22"/>
  <c r="E941" i="22" s="1"/>
  <c r="D70" i="22"/>
  <c r="D72" i="22" s="1"/>
  <c r="C70" i="22"/>
  <c r="C72" i="22" s="1"/>
  <c r="E70" i="22"/>
  <c r="E72" i="22" s="1"/>
  <c r="E284" i="22"/>
  <c r="E286" i="22" s="1"/>
  <c r="D284" i="22"/>
  <c r="D286" i="22" s="1"/>
  <c r="C284" i="22"/>
  <c r="C286" i="22" s="1"/>
  <c r="E302" i="22"/>
  <c r="E304" i="22" s="1"/>
  <c r="D302" i="22"/>
  <c r="D304" i="22" s="1"/>
  <c r="C302" i="22"/>
  <c r="C304" i="22" s="1"/>
  <c r="E762" i="22"/>
  <c r="E764" i="22" s="1"/>
  <c r="D762" i="22"/>
  <c r="D764" i="22" s="1"/>
  <c r="C762" i="22"/>
  <c r="C764" i="22" s="1"/>
  <c r="E744" i="22"/>
  <c r="E746" i="22" s="1"/>
  <c r="D744" i="22"/>
  <c r="D746" i="22" s="1"/>
  <c r="C744" i="22"/>
  <c r="C746" i="22" s="1"/>
  <c r="E513" i="22"/>
  <c r="E515" i="22" s="1"/>
  <c r="D513" i="22"/>
  <c r="D515" i="22" s="1"/>
  <c r="C513" i="22"/>
  <c r="C515" i="22" s="1"/>
  <c r="D142" i="22"/>
  <c r="D144" i="22" s="1"/>
  <c r="E142" i="22"/>
  <c r="E144" i="22" s="1"/>
  <c r="C142" i="22"/>
  <c r="C144" i="22" s="1"/>
  <c r="E726" i="22"/>
  <c r="E728" i="22" s="1"/>
  <c r="D726" i="22"/>
  <c r="D728" i="22" s="1"/>
  <c r="C726" i="22"/>
  <c r="C728" i="22" s="1"/>
  <c r="E921" i="22"/>
  <c r="D921" i="22"/>
  <c r="C921" i="22"/>
  <c r="E320" i="22"/>
  <c r="E322" i="22" s="1"/>
  <c r="D320" i="22"/>
  <c r="D322" i="22" s="1"/>
  <c r="C320" i="22"/>
  <c r="C322" i="22" s="1"/>
  <c r="E957" i="22"/>
  <c r="E959" i="22" s="1"/>
  <c r="D957" i="22"/>
  <c r="D959" i="22" s="1"/>
  <c r="C957" i="22"/>
  <c r="C959" i="22" s="1"/>
  <c r="E819" i="22"/>
  <c r="D1016" i="22"/>
  <c r="D589" i="22"/>
  <c r="C377" i="22"/>
  <c r="C163" i="22"/>
  <c r="E164" i="22"/>
  <c r="E182" i="22"/>
  <c r="E396" i="22"/>
  <c r="D1034" i="22"/>
  <c r="E181" i="22"/>
  <c r="C821" i="22"/>
  <c r="D803" i="22"/>
  <c r="C1016" i="22"/>
  <c r="E397" i="22"/>
  <c r="D182" i="22"/>
  <c r="C182" i="22"/>
  <c r="E1015" i="22"/>
  <c r="E1032" i="22"/>
  <c r="E607" i="22"/>
  <c r="D377" i="22"/>
  <c r="D397" i="22"/>
  <c r="C1033" i="22"/>
  <c r="E1033" i="22"/>
  <c r="D1033" i="22"/>
  <c r="D801" i="22"/>
  <c r="C397" i="22"/>
  <c r="C165" i="22"/>
  <c r="C590" i="22"/>
  <c r="C396" i="22"/>
  <c r="D379" i="22"/>
  <c r="E379" i="22"/>
  <c r="C820" i="22"/>
  <c r="C1032" i="22"/>
  <c r="D590" i="22"/>
  <c r="D163" i="22"/>
  <c r="E163" i="22"/>
  <c r="E1034" i="22"/>
  <c r="D608" i="22"/>
  <c r="C1034" i="22"/>
  <c r="D395" i="22"/>
  <c r="D776" i="22"/>
  <c r="D588" i="22"/>
  <c r="D607" i="22"/>
  <c r="D396" i="22"/>
  <c r="C607" i="22"/>
  <c r="C395" i="22"/>
  <c r="E1014" i="22"/>
  <c r="D802" i="22"/>
  <c r="E377" i="22"/>
  <c r="E590" i="22"/>
  <c r="E588" i="22"/>
  <c r="C608" i="22"/>
  <c r="D183" i="22"/>
  <c r="D819" i="22"/>
  <c r="D821" i="22"/>
  <c r="C1015" i="22"/>
  <c r="C1014" i="22"/>
  <c r="E801" i="22"/>
  <c r="E183" i="22"/>
  <c r="C589" i="22"/>
  <c r="E820" i="22"/>
  <c r="D181" i="22"/>
  <c r="D1032" i="22"/>
  <c r="D164" i="22"/>
  <c r="D820" i="22"/>
  <c r="E802" i="22"/>
  <c r="E165" i="22"/>
  <c r="E821" i="22"/>
  <c r="E803" i="22"/>
  <c r="D1015" i="22"/>
  <c r="E606" i="22"/>
  <c r="C183" i="22"/>
  <c r="D606" i="22"/>
  <c r="C776" i="22"/>
  <c r="D165" i="22"/>
  <c r="E1016" i="22"/>
  <c r="D1014" i="22"/>
  <c r="C606" i="22"/>
  <c r="C378" i="22"/>
  <c r="C588" i="22"/>
  <c r="E776" i="22"/>
  <c r="E608" i="22"/>
  <c r="C802" i="22"/>
  <c r="C801" i="22"/>
  <c r="C164" i="22"/>
  <c r="C181" i="22"/>
  <c r="D378" i="22"/>
  <c r="C379" i="22"/>
  <c r="C819" i="22"/>
  <c r="E589" i="22"/>
  <c r="C803" i="22"/>
  <c r="E378" i="22"/>
  <c r="E395" i="22"/>
  <c r="C74" i="22"/>
  <c r="D923" i="22" l="1"/>
  <c r="D1118" i="22" s="1"/>
  <c r="D902" i="22"/>
  <c r="D904" i="22" s="1"/>
  <c r="E923" i="22"/>
  <c r="E1117" i="22" s="1"/>
  <c r="E902" i="22"/>
  <c r="E904" i="22" s="1"/>
  <c r="C923" i="22"/>
  <c r="C1116" i="22" s="1"/>
  <c r="C902" i="22"/>
  <c r="C904" i="22" s="1"/>
  <c r="C996" i="22"/>
  <c r="E996" i="22"/>
  <c r="D996" i="22"/>
  <c r="E359" i="22"/>
  <c r="C359" i="22"/>
  <c r="D359" i="22"/>
  <c r="D688" i="22"/>
  <c r="E688" i="22"/>
  <c r="E476" i="22"/>
  <c r="E478" i="22" s="1"/>
  <c r="D476" i="22"/>
  <c r="D478" i="22" s="1"/>
  <c r="C476" i="22"/>
  <c r="C478" i="22" s="1"/>
  <c r="E265" i="22"/>
  <c r="E267" i="22" s="1"/>
  <c r="D265" i="22"/>
  <c r="D267" i="22" s="1"/>
  <c r="C265" i="22"/>
  <c r="C267" i="22" s="1"/>
  <c r="D51" i="22"/>
  <c r="E51" i="22"/>
  <c r="C51" i="22"/>
  <c r="C20" i="20"/>
  <c r="C688" i="22"/>
  <c r="C780" i="22"/>
  <c r="C782" i="22" s="1"/>
  <c r="E780" i="22"/>
  <c r="E782" i="22" s="1"/>
  <c r="D780" i="22"/>
  <c r="D782" i="22" s="1"/>
  <c r="D20" i="20"/>
  <c r="E20" i="20"/>
  <c r="E22" i="20" s="1"/>
  <c r="M17" i="20"/>
  <c r="K17" i="20"/>
  <c r="I17" i="20"/>
  <c r="H19" i="20" s="1"/>
  <c r="C288" i="22"/>
  <c r="D766" i="22"/>
  <c r="D962" i="22"/>
  <c r="D306" i="22"/>
  <c r="D765" i="22"/>
  <c r="D942" i="22"/>
  <c r="E145" i="22"/>
  <c r="C748" i="22"/>
  <c r="E500" i="22"/>
  <c r="D517" i="22"/>
  <c r="E343" i="22"/>
  <c r="D518" i="22"/>
  <c r="E517" i="22"/>
  <c r="C360" i="22"/>
  <c r="C129" i="22"/>
  <c r="D146" i="22"/>
  <c r="D961" i="22"/>
  <c r="E713" i="22"/>
  <c r="C571" i="22"/>
  <c r="E91" i="22"/>
  <c r="D73" i="22"/>
  <c r="E498" i="22"/>
  <c r="D287" i="22"/>
  <c r="D960" i="22"/>
  <c r="E289" i="22"/>
  <c r="D17" i="22"/>
  <c r="D127" i="22"/>
  <c r="E287" i="22"/>
  <c r="C960" i="22"/>
  <c r="E361" i="22"/>
  <c r="C517" i="22"/>
  <c r="E980" i="22"/>
  <c r="D748" i="22"/>
  <c r="E360" i="22"/>
  <c r="E552" i="22"/>
  <c r="C127" i="22"/>
  <c r="E75" i="22"/>
  <c r="C534" i="22"/>
  <c r="E572" i="22"/>
  <c r="D75" i="22"/>
  <c r="C747" i="22"/>
  <c r="E518" i="22"/>
  <c r="E979" i="22"/>
  <c r="E748" i="22"/>
  <c r="E127" i="22"/>
  <c r="D341" i="22"/>
  <c r="C325" i="22"/>
  <c r="C729" i="22"/>
  <c r="C91" i="22"/>
  <c r="D323" i="22"/>
  <c r="C306" i="22"/>
  <c r="D729" i="22"/>
  <c r="C361" i="22"/>
  <c r="C730" i="22"/>
  <c r="D145" i="22"/>
  <c r="D516" i="22"/>
  <c r="C997" i="22"/>
  <c r="C341" i="22"/>
  <c r="D747" i="22"/>
  <c r="E305" i="22"/>
  <c r="C962" i="22"/>
  <c r="E288" i="22"/>
  <c r="E731" i="22"/>
  <c r="D552" i="22"/>
  <c r="C552" i="22"/>
  <c r="E997" i="22"/>
  <c r="D343" i="22"/>
  <c r="C535" i="22"/>
  <c r="C17" i="22"/>
  <c r="E74" i="22"/>
  <c r="D731" i="22"/>
  <c r="C749" i="22"/>
  <c r="C944" i="22"/>
  <c r="D535" i="22"/>
  <c r="D307" i="22"/>
  <c r="E729" i="22"/>
  <c r="E111" i="22"/>
  <c r="C73" i="22"/>
  <c r="C961" i="22"/>
  <c r="D111" i="22"/>
  <c r="E536" i="22"/>
  <c r="E747" i="22"/>
  <c r="E730" i="22"/>
  <c r="C765" i="22"/>
  <c r="E553" i="22"/>
  <c r="D500" i="22"/>
  <c r="E147" i="22"/>
  <c r="C324" i="22"/>
  <c r="E341" i="22"/>
  <c r="C146" i="22"/>
  <c r="D711" i="22"/>
  <c r="E306" i="22"/>
  <c r="E146" i="22"/>
  <c r="E323" i="22"/>
  <c r="C93" i="22"/>
  <c r="D998" i="22"/>
  <c r="E324" i="22"/>
  <c r="C536" i="22"/>
  <c r="E998" i="22"/>
  <c r="C554" i="22"/>
  <c r="C287" i="22"/>
  <c r="D93" i="22"/>
  <c r="C978" i="22"/>
  <c r="C75" i="22"/>
  <c r="C111" i="22"/>
  <c r="C289" i="22"/>
  <c r="E749" i="22"/>
  <c r="E944" i="22"/>
  <c r="D571" i="22"/>
  <c r="D997" i="22"/>
  <c r="C92" i="22"/>
  <c r="D498" i="22"/>
  <c r="C342" i="22"/>
  <c r="C767" i="22"/>
  <c r="E17" i="22"/>
  <c r="E535" i="22"/>
  <c r="D360" i="22"/>
  <c r="C731" i="22"/>
  <c r="E766" i="22"/>
  <c r="D554" i="22"/>
  <c r="E712" i="22"/>
  <c r="E93" i="22"/>
  <c r="D342" i="22"/>
  <c r="C766" i="22"/>
  <c r="C980" i="22"/>
  <c r="E325" i="22"/>
  <c r="D712" i="22"/>
  <c r="C343" i="22"/>
  <c r="C128" i="22"/>
  <c r="D553" i="22"/>
  <c r="E110" i="22"/>
  <c r="D534" i="22"/>
  <c r="E109" i="22"/>
  <c r="D536" i="22"/>
  <c r="C110" i="22"/>
  <c r="C145" i="22"/>
  <c r="C943" i="22"/>
  <c r="D109" i="22"/>
  <c r="E92" i="22"/>
  <c r="C109" i="22"/>
  <c r="E307" i="22"/>
  <c r="C516" i="22"/>
  <c r="C307" i="22"/>
  <c r="C998" i="22"/>
  <c r="E342" i="22"/>
  <c r="D572" i="22"/>
  <c r="C572" i="22"/>
  <c r="D92" i="22"/>
  <c r="E128" i="22"/>
  <c r="D110" i="22"/>
  <c r="C713" i="22"/>
  <c r="D324" i="22"/>
  <c r="C553" i="22"/>
  <c r="E978" i="22"/>
  <c r="C979" i="22"/>
  <c r="D91" i="22"/>
  <c r="D361" i="22"/>
  <c r="E499" i="22"/>
  <c r="E516" i="22"/>
  <c r="D128" i="22"/>
  <c r="D74" i="22"/>
  <c r="D767" i="22"/>
  <c r="D944" i="22"/>
  <c r="C147" i="22"/>
  <c r="D943" i="22"/>
  <c r="C305" i="22"/>
  <c r="C518" i="22"/>
  <c r="D147" i="22"/>
  <c r="C942" i="22"/>
  <c r="D129" i="22"/>
  <c r="C712" i="22"/>
  <c r="E570" i="22"/>
  <c r="C711" i="22"/>
  <c r="E711" i="22"/>
  <c r="C499" i="22"/>
  <c r="D288" i="22"/>
  <c r="D978" i="22"/>
  <c r="E960" i="22"/>
  <c r="E534" i="22"/>
  <c r="E962" i="22"/>
  <c r="E554" i="22"/>
  <c r="E571" i="22"/>
  <c r="C500" i="22"/>
  <c r="E767" i="22"/>
  <c r="E942" i="22"/>
  <c r="D499" i="22"/>
  <c r="D305" i="22"/>
  <c r="C323" i="22"/>
  <c r="E73" i="22"/>
  <c r="C498" i="22"/>
  <c r="D980" i="22"/>
  <c r="D325" i="22"/>
  <c r="E943" i="22"/>
  <c r="C570" i="22"/>
  <c r="E765" i="22"/>
  <c r="D749" i="22"/>
  <c r="E961" i="22"/>
  <c r="D570" i="22"/>
  <c r="D730" i="22"/>
  <c r="D289" i="22"/>
  <c r="D979" i="22"/>
  <c r="D713" i="22"/>
  <c r="E129" i="22"/>
  <c r="C22" i="20" l="1"/>
  <c r="D1117" i="22"/>
  <c r="C1117" i="22"/>
  <c r="C1118" i="22"/>
  <c r="D1116" i="22"/>
  <c r="E1116" i="22"/>
  <c r="E1118" i="22"/>
  <c r="C479" i="22"/>
  <c r="D479" i="22"/>
  <c r="E479" i="22"/>
  <c r="C480" i="22"/>
  <c r="D480" i="22"/>
  <c r="D481" i="22"/>
  <c r="E480" i="22"/>
  <c r="C481" i="22"/>
  <c r="E481" i="22"/>
  <c r="D268" i="22"/>
  <c r="E268" i="22"/>
  <c r="C268" i="22"/>
  <c r="C269" i="22"/>
  <c r="C270" i="22"/>
  <c r="E270" i="22"/>
  <c r="D270" i="22"/>
  <c r="E269" i="22"/>
  <c r="D269" i="22"/>
  <c r="E17" i="29"/>
  <c r="M17" i="29" s="1"/>
  <c r="D17" i="29"/>
  <c r="K17" i="29" s="1"/>
  <c r="E54" i="22"/>
  <c r="C54" i="22"/>
  <c r="D54" i="22"/>
  <c r="C53" i="22"/>
  <c r="C17" i="29"/>
  <c r="C689" i="22"/>
  <c r="C691" i="22" s="1"/>
  <c r="E689" i="22"/>
  <c r="E691" i="22" s="1"/>
  <c r="D689" i="22"/>
  <c r="D691" i="22" s="1"/>
  <c r="E56" i="22"/>
  <c r="E53" i="22"/>
  <c r="D53" i="22"/>
  <c r="M17" i="22"/>
  <c r="I17" i="22"/>
  <c r="H19" i="22" s="1"/>
  <c r="K17" i="22"/>
  <c r="L18" i="20"/>
  <c r="L20" i="20" s="1"/>
  <c r="J18" i="20"/>
  <c r="J20" i="20" s="1"/>
  <c r="D784" i="22"/>
  <c r="C18" i="22"/>
  <c r="C785" i="22"/>
  <c r="C24" i="20"/>
  <c r="E926" i="22"/>
  <c r="C926" i="22"/>
  <c r="E924" i="22"/>
  <c r="E24" i="20"/>
  <c r="C783" i="22"/>
  <c r="E925" i="22"/>
  <c r="D924" i="22"/>
  <c r="D925" i="22"/>
  <c r="D785" i="22"/>
  <c r="D18" i="22"/>
  <c r="C925" i="22"/>
  <c r="E784" i="22"/>
  <c r="C784" i="22"/>
  <c r="E783" i="22"/>
  <c r="D926" i="22"/>
  <c r="C924" i="22"/>
  <c r="E25" i="20"/>
  <c r="D783" i="22"/>
  <c r="E785" i="22"/>
  <c r="E18" i="22"/>
  <c r="D907" i="22" l="1"/>
  <c r="D906" i="22"/>
  <c r="E905" i="22"/>
  <c r="C907" i="22"/>
  <c r="D905" i="22"/>
  <c r="C906" i="22"/>
  <c r="E907" i="22"/>
  <c r="E906" i="22"/>
  <c r="C905" i="22"/>
  <c r="D693" i="22"/>
  <c r="E692" i="22"/>
  <c r="E25" i="29" s="1"/>
  <c r="E694" i="22"/>
  <c r="C693" i="22"/>
  <c r="E693" i="22"/>
  <c r="C694" i="22"/>
  <c r="C692" i="22"/>
  <c r="D692" i="22"/>
  <c r="D694" i="22"/>
  <c r="C22" i="29"/>
  <c r="D22" i="29"/>
  <c r="E22" i="29"/>
  <c r="C21" i="29"/>
  <c r="E21" i="29"/>
  <c r="D21" i="29"/>
  <c r="D19" i="29"/>
  <c r="E19" i="29"/>
  <c r="C19" i="29"/>
  <c r="C18" i="29"/>
  <c r="D18" i="29" s="1"/>
  <c r="E18" i="29" s="1"/>
  <c r="I17" i="29"/>
  <c r="H19" i="29" s="1"/>
  <c r="D19" i="22"/>
  <c r="C19" i="22"/>
  <c r="E19" i="22"/>
  <c r="E55" i="22"/>
  <c r="C56" i="22"/>
  <c r="D56" i="22"/>
  <c r="D55" i="22"/>
  <c r="C55" i="22"/>
  <c r="E21" i="22"/>
  <c r="D21" i="22"/>
  <c r="C21" i="22"/>
  <c r="L18" i="22"/>
  <c r="L20" i="22" s="1"/>
  <c r="J18" i="22"/>
  <c r="J20" i="22" s="1"/>
  <c r="H18" i="22"/>
  <c r="H20" i="22" s="1"/>
  <c r="H18" i="20"/>
  <c r="H20" i="20" s="1"/>
  <c r="D22" i="20"/>
  <c r="C22" i="22"/>
  <c r="D24" i="22"/>
  <c r="D22" i="22"/>
  <c r="C24" i="22"/>
  <c r="C25" i="20"/>
  <c r="E23" i="22"/>
  <c r="E24" i="22"/>
  <c r="D23" i="22"/>
  <c r="C23" i="22"/>
  <c r="E22" i="22"/>
  <c r="C25" i="29" l="1"/>
  <c r="D25" i="29"/>
  <c r="C24" i="29"/>
  <c r="D24" i="29"/>
  <c r="E24" i="29"/>
  <c r="L18" i="29"/>
  <c r="E20" i="29"/>
  <c r="J18" i="29"/>
  <c r="D20" i="29"/>
  <c r="C20" i="29"/>
  <c r="E26" i="29"/>
  <c r="D26" i="29"/>
  <c r="D27" i="29"/>
  <c r="C27" i="29"/>
  <c r="E27" i="29"/>
  <c r="C26" i="29"/>
  <c r="H18" i="29"/>
  <c r="D25" i="20"/>
  <c r="D24" i="20"/>
  <c r="L20" i="29" l="1"/>
  <c r="J20" i="29"/>
  <c r="H20" i="29"/>
</calcChain>
</file>

<file path=xl/sharedStrings.xml><?xml version="1.0" encoding="utf-8"?>
<sst xmlns="http://schemas.openxmlformats.org/spreadsheetml/2006/main" count="2038" uniqueCount="410">
  <si>
    <t>Region</t>
  </si>
  <si>
    <t>West</t>
  </si>
  <si>
    <t>Transplant</t>
  </si>
  <si>
    <t>Central</t>
  </si>
  <si>
    <t>Toronto</t>
  </si>
  <si>
    <t>East</t>
  </si>
  <si>
    <t>North</t>
  </si>
  <si>
    <t>% to ward</t>
  </si>
  <si>
    <t>% to ICU</t>
  </si>
  <si>
    <t>Backlog size</t>
  </si>
  <si>
    <t>Room turnover time</t>
  </si>
  <si>
    <t>Time to clear (weeks)</t>
  </si>
  <si>
    <t>Surge scenarios</t>
  </si>
  <si>
    <t>Backlog size (number of patients)</t>
  </si>
  <si>
    <t>Weekly Incremental Resource Requirements</t>
  </si>
  <si>
    <t>Average OR time</t>
  </si>
  <si>
    <t>Ward ALOS</t>
  </si>
  <si>
    <t>ICU ALOS</t>
  </si>
  <si>
    <t>Available OR hours per day</t>
  </si>
  <si>
    <t>Output tables</t>
  </si>
  <si>
    <t>Incremental days per week to clear backlog</t>
  </si>
  <si>
    <t>Estimating backlog clearance time</t>
  </si>
  <si>
    <t>Lookup List</t>
  </si>
  <si>
    <t>Data Inputs</t>
  </si>
  <si>
    <t>For Graphing</t>
  </si>
  <si>
    <t>Select the procedure type and regional level</t>
  </si>
  <si>
    <t>Cancer_P2P3</t>
  </si>
  <si>
    <t>Cancer_P4</t>
  </si>
  <si>
    <t>Cardiac_CABG</t>
  </si>
  <si>
    <t>Cardiac_TAVI</t>
  </si>
  <si>
    <t>OR time (hours) per week</t>
  </si>
  <si>
    <t>Ward (beds) per week</t>
  </si>
  <si>
    <t>ICU (beds) per week</t>
  </si>
  <si>
    <t>Vascular_P2P3</t>
  </si>
  <si>
    <t>Vascular_P4</t>
  </si>
  <si>
    <t>Cardiac_PCI</t>
  </si>
  <si>
    <t>Chart title</t>
  </si>
  <si>
    <t>Patients per week (rounded down) per OR</t>
  </si>
  <si>
    <t>Total Patients per week</t>
  </si>
  <si>
    <t>% uptake</t>
  </si>
  <si>
    <t>Attrition Rate</t>
  </si>
  <si>
    <t>Ontario</t>
  </si>
  <si>
    <t>Data outputs</t>
  </si>
  <si>
    <t># of ORs in the region (rounded down)</t>
  </si>
  <si>
    <t>Use selection below to flip the graph</t>
  </si>
  <si>
    <t>Average Patients per week</t>
  </si>
  <si>
    <t>Cardiac_Valve</t>
  </si>
  <si>
    <t>Custom</t>
  </si>
  <si>
    <t># of ORs</t>
  </si>
  <si>
    <t>1. Edit the text within the boxes highlighted in blue</t>
  </si>
  <si>
    <t>These reference values populate the navigation header and home page</t>
  </si>
  <si>
    <r>
      <rPr>
        <b/>
        <sz val="11"/>
        <color theme="1"/>
        <rFont val="Calibri"/>
        <family val="2"/>
        <scheme val="minor"/>
      </rPr>
      <t>Document Information</t>
    </r>
    <r>
      <rPr>
        <i/>
        <sz val="11"/>
        <color theme="1"/>
        <rFont val="Calibri"/>
        <family val="2"/>
        <scheme val="minor"/>
      </rPr>
      <t xml:space="preserve"> &lt;</t>
    </r>
    <r>
      <rPr>
        <i/>
        <sz val="11"/>
        <color theme="1"/>
        <rFont val="Calibri Light"/>
        <family val="2"/>
        <scheme val="major"/>
      </rPr>
      <t xml:space="preserve"> this is displayed in the navigation bar of every sheet</t>
    </r>
  </si>
  <si>
    <t>Title</t>
  </si>
  <si>
    <t>Subtitle</t>
  </si>
  <si>
    <t>Version</t>
  </si>
  <si>
    <r>
      <rPr>
        <b/>
        <sz val="11"/>
        <color theme="1"/>
        <rFont val="Calibri"/>
        <family val="2"/>
        <scheme val="minor"/>
      </rPr>
      <t>Contact Information</t>
    </r>
    <r>
      <rPr>
        <i/>
        <sz val="11"/>
        <color theme="1"/>
        <rFont val="Calibri Light"/>
        <family val="2"/>
        <scheme val="major"/>
      </rPr>
      <t xml:space="preserve"> &lt; this is displayed on the "Home" sheet</t>
    </r>
  </si>
  <si>
    <t>Author</t>
  </si>
  <si>
    <t>Email</t>
  </si>
  <si>
    <t>Team</t>
  </si>
  <si>
    <t xml:space="preserve">2. Rename sheets </t>
  </si>
  <si>
    <r>
      <t>Do not edit these lookup values</t>
    </r>
    <r>
      <rPr>
        <i/>
        <sz val="11"/>
        <color theme="5"/>
        <rFont val="Calibri"/>
        <family val="2"/>
        <scheme val="minor"/>
      </rPr>
      <t xml:space="preserve"> &lt; these are displayed in the navigation bar tabs</t>
    </r>
  </si>
  <si>
    <t>Tab 1</t>
  </si>
  <si>
    <t>Tab 2</t>
  </si>
  <si>
    <t>Tab 3</t>
  </si>
  <si>
    <t>Tab 4</t>
  </si>
  <si>
    <t>Please do not use this information, either alone or with other information to identify an individual. This includes attempting to decrypt information that is encrypted, attempting to identify an individual based on encrypted information and attempting to identify an individual based on prior knowledge.</t>
  </si>
  <si>
    <t>Worksheets</t>
  </si>
  <si>
    <t>Description</t>
  </si>
  <si>
    <t>System and Infrastructure Planning</t>
  </si>
  <si>
    <t>planning@ontariohealth.ca</t>
  </si>
  <si>
    <t>Note: to view aggregated results in Ontario, see Ontario Graphics or Regional Graphics tab</t>
  </si>
  <si>
    <t>Input Cells</t>
  </si>
  <si>
    <t>Legend</t>
  </si>
  <si>
    <t>Tab 5</t>
  </si>
  <si>
    <t>A description of the methodology employed to estimate the backlog and time to clear</t>
  </si>
  <si>
    <t>Allows for user to enter custom data or view the Ontario specific assumptions</t>
  </si>
  <si>
    <t>A display of the aggregated time to clear and resources required graphics for Ontario</t>
  </si>
  <si>
    <t>A display of the regional time to clear and resources required graphics for Ontario regions</t>
  </si>
  <si>
    <t>Password for unlocking the spreadsheets: "backlog"</t>
  </si>
  <si>
    <t>the input assumptions for Ontario</t>
  </si>
  <si>
    <t>Custom Data Inputs</t>
  </si>
  <si>
    <t>Tab 6</t>
  </si>
  <si>
    <t>Ontario Data Inputs</t>
  </si>
  <si>
    <t xml:space="preserve">This tab shows the time to clear and resource requirements for </t>
  </si>
  <si>
    <t>Incremental days per week available to clear backlog</t>
  </si>
  <si>
    <t>Input the name of your facility/jurisdiction here:</t>
  </si>
  <si>
    <t>% of total to ward</t>
  </si>
  <si>
    <t>% of total to ICU</t>
  </si>
  <si>
    <t>Cancer_P2P3Central</t>
  </si>
  <si>
    <t>Cancer_P2P3East</t>
  </si>
  <si>
    <t>Cancer_P2P3North</t>
  </si>
  <si>
    <t>Cancer_P2P3Toronto</t>
  </si>
  <si>
    <t>Cancer_P2P3West</t>
  </si>
  <si>
    <t>Cancer_P4Central</t>
  </si>
  <si>
    <t>Cancer_P4East</t>
  </si>
  <si>
    <t>Cancer_P4North</t>
  </si>
  <si>
    <t>Cancer_P4Toronto</t>
  </si>
  <si>
    <t>Cancer_P4West</t>
  </si>
  <si>
    <t>Vascular_P2P3Central</t>
  </si>
  <si>
    <t>Vascular_P2P3East</t>
  </si>
  <si>
    <t>Vascular_P2P3North</t>
  </si>
  <si>
    <t>Vascular_P2P3Toronto</t>
  </si>
  <si>
    <t>Vascular_P2P3West</t>
  </si>
  <si>
    <t>Vascular_P4Central</t>
  </si>
  <si>
    <t>Vascular_P4East</t>
  </si>
  <si>
    <t>Vascular_P4North</t>
  </si>
  <si>
    <t>Vascular_P4Toronto</t>
  </si>
  <si>
    <t>Vascular_P4West</t>
  </si>
  <si>
    <t>READ ME</t>
  </si>
  <si>
    <t>A display of the time to clear and resources required graphics for custom data inputs</t>
  </si>
  <si>
    <t>Benign_P2P3</t>
  </si>
  <si>
    <t>Benign_P4</t>
  </si>
  <si>
    <t>Pediatric_P2P3</t>
  </si>
  <si>
    <t>Pediatric_P4</t>
  </si>
  <si>
    <t>Average OR time (hours) per week</t>
  </si>
  <si>
    <t>Average Ward (beds) per week</t>
  </si>
  <si>
    <t>Average ICU (beds) per week</t>
  </si>
  <si>
    <t>Use this selection panel to select the procedures you want displayed on the Ontario/Regional graphics</t>
  </si>
  <si>
    <t>Procedures</t>
  </si>
  <si>
    <t>To adjust input parameters, go to the Data Inputs tab.</t>
  </si>
  <si>
    <t>Data, inputs and assumptions</t>
  </si>
  <si>
    <t>AGMP = Aerosol generating medical procedures</t>
  </si>
  <si>
    <t>Total size of the surgery backlog</t>
  </si>
  <si>
    <t>Provincial Backlog Estimates</t>
  </si>
  <si>
    <t>&gt; Use these cells to input local estimates of the backlog by category</t>
  </si>
  <si>
    <t>Vascular</t>
  </si>
  <si>
    <t>Standard PPE Assumptions</t>
  </si>
  <si>
    <t>AGMP</t>
  </si>
  <si>
    <t>non-AGMP</t>
  </si>
  <si>
    <t>Medical Doctor</t>
  </si>
  <si>
    <t>&gt; Use these cells to input local estimates of staffing requirements per case</t>
  </si>
  <si>
    <t>Registered Nurse</t>
  </si>
  <si>
    <t>Anesthesia</t>
  </si>
  <si>
    <t>Anesthesia Assistant</t>
  </si>
  <si>
    <t>Total # of medical staff per case</t>
  </si>
  <si>
    <t>Units of PPE per case</t>
  </si>
  <si>
    <t>&gt; Use these cells to input local estimates of PPE requirements per case</t>
  </si>
  <si>
    <t>Type of Equipment</t>
  </si>
  <si>
    <t>Notes</t>
  </si>
  <si>
    <t>N95</t>
  </si>
  <si>
    <t>For AGMP, all medical staff require. For non-AGMP, only Anesthesia team requires + nurse assisting</t>
  </si>
  <si>
    <t>Surgical Mask</t>
  </si>
  <si>
    <t>MDs and RNs require surgical masks. For AGMP, no surgical masks are required as all wearing N95s.</t>
  </si>
  <si>
    <t>Face/eye protection</t>
  </si>
  <si>
    <t>All medical staff require face/eye protection</t>
  </si>
  <si>
    <t>Gown</t>
  </si>
  <si>
    <t>All medical staff require gowns</t>
  </si>
  <si>
    <t>Gloves (pairs)</t>
  </si>
  <si>
    <t xml:space="preserve">For non-AGMP, triple the glove requirement for the anesthesia team (3 people). </t>
  </si>
  <si>
    <t>For AGMP, triple the glove requirement for the anesthesia team (3 people) and double the glove requirement for the rest (6 people)</t>
  </si>
  <si>
    <t>Estimating the % of total that are AGMP</t>
  </si>
  <si>
    <t>Note: All procedures without a % AGMP are considered to require the non-AGMP PPE protocol</t>
  </si>
  <si>
    <t xml:space="preserve">Note: There is some variation in practice in terms of whether centres view laparoscropic as AGMP. </t>
  </si>
  <si>
    <t>We've downadjusted laparoscopic %s down by 10% to account for the variability.</t>
  </si>
  <si>
    <t>% of total oncology surgery volumes - Provincial</t>
  </si>
  <si>
    <t>% of total oncology surgery volume - site specific</t>
  </si>
  <si>
    <t>% of volume that are AGMP</t>
  </si>
  <si>
    <t>Notes on assumptions</t>
  </si>
  <si>
    <t xml:space="preserve">Based on QBP data, 45% of GI are laparoscopic and 55% are open. A reduction of 10% was applied as there is significant variation in practice regarding whether AGMP protection is practiced as there is no consensus on laparoscopic surgery being an AGMP. </t>
  </si>
  <si>
    <t>10% of GU surgeries are AGMP</t>
  </si>
  <si>
    <t>Estimated 35% are laparoscopic and 65% are open. With a reduction of 10% to account for variation in practice, about 25% of GI procedures would be AGMP</t>
  </si>
  <si>
    <t>80% of H&amp;N surgeries are AGMP</t>
  </si>
  <si>
    <t>85% of lung surgeries are AGMP</t>
  </si>
  <si>
    <t>Please ensure total % in column D adds up to 100%</t>
  </si>
  <si>
    <t>% of total non-oncology surgery volumes - Provincial</t>
  </si>
  <si>
    <t>% of total non-oncology surgery volume - site specific</t>
  </si>
  <si>
    <t xml:space="preserve">Estimated 50% of benign general surgery is GI and 50% of GI surgery is laparoscopic. A reduction of 10% was applied as there is significant variation in practice regarding whether AGMP protection is practiced as there is no consensus on laparoscopic surgery being an AGMP. </t>
  </si>
  <si>
    <t xml:space="preserve">Estimated 60% are laparoscopic. A reduction of 10% was applied as there is significant variation in practice regarding whether AGMP protection is practiced as there is no consensus on laparoscopic surgery being an AGMP. </t>
  </si>
  <si>
    <t>10% of neurosurgery (skull base surgery and pituitary) are AGMP.</t>
  </si>
  <si>
    <t>All OMS&amp;D procedures are AGMP</t>
  </si>
  <si>
    <t>80% of otolaryngic surgeries are AGMP</t>
  </si>
  <si>
    <t>85% of thoracic surgeries are AGMP</t>
  </si>
  <si>
    <t>See row 70 for ophthalmic surgery estimates</t>
  </si>
  <si>
    <t>% of total non-oncology surgery volumes</t>
  </si>
  <si>
    <t>% of ophthalmic that are non-cataract</t>
  </si>
  <si>
    <t>&gt; Use this cell to adjust the % of ophthalmic surgeries that are non-cataract</t>
  </si>
  <si>
    <t>% of total that are AGMP</t>
  </si>
  <si>
    <t>The personnel requirements for ophthalmic surgery are different</t>
  </si>
  <si>
    <t xml:space="preserve">Typically there will be one MD in non teach setting and 2 in teach setting. There are 2 nurses in the room post covid one scrubbed one not and one anesthesiologist or AA not both </t>
  </si>
  <si>
    <t>For non-AGMP, staff who use the scope will not require face/eye protection.</t>
  </si>
  <si>
    <t xml:space="preserve">For non-AGMP, triple the glove requirement for the anesthesia team. </t>
  </si>
  <si>
    <t>For AGMP, triple the glove requirement for the anesthesia team and double the glove requirement for the rest</t>
  </si>
  <si>
    <t>Assume the average of the adult oncology and non-oncology rates</t>
  </si>
  <si>
    <t>Assumptions for Vascular Procedures</t>
  </si>
  <si>
    <t>Full N95/PPE protection needed for thoraco-abdominal aneurysm repair due to bronchoscopy use</t>
  </si>
  <si>
    <t>Excluding ophthalmic surgery</t>
  </si>
  <si>
    <t>Buffer factor</t>
  </si>
  <si>
    <t>To account for shift changes, wastage and other unforeseen usage, all PPE estimates are increased by the buffer factor</t>
  </si>
  <si>
    <t>Provincial Data from ATC</t>
  </si>
  <si>
    <t>Procedure</t>
  </si>
  <si>
    <t>2019 Wait 2 Volume P2</t>
  </si>
  <si>
    <t>2020 Wait 2 Volume P2</t>
  </si>
  <si>
    <t>% Change Wait 2 P2</t>
  </si>
  <si>
    <t>2019 Wait 2 Volume P3</t>
  </si>
  <si>
    <t>2020 Wait 2 Volume P3</t>
  </si>
  <si>
    <t>% Change Wait 2 P3</t>
  </si>
  <si>
    <t>2019 Wait 2 Volume P4</t>
  </si>
  <si>
    <t>2020 Wait 2 Volume P4</t>
  </si>
  <si>
    <t>% Change Wait 2 P4</t>
  </si>
  <si>
    <t>2019 Wait 2 Volume P2-4</t>
  </si>
  <si>
    <t>2020 Wait 2 Volume P2-4</t>
  </si>
  <si>
    <t xml:space="preserve">% Change Wait 2  </t>
  </si>
  <si>
    <t>% of total</t>
  </si>
  <si>
    <t>P2-4</t>
  </si>
  <si>
    <t>All Cancer Surgery</t>
  </si>
  <si>
    <t>Breast</t>
  </si>
  <si>
    <t>Endocrine</t>
  </si>
  <si>
    <t>Gastrointestinal</t>
  </si>
  <si>
    <t>Genitourinary</t>
  </si>
  <si>
    <t>Gynaecological</t>
  </si>
  <si>
    <t>Head and Neck (Excluding Thyroid)</t>
  </si>
  <si>
    <t>Liver and Pancreatic</t>
  </si>
  <si>
    <t>Lung</t>
  </si>
  <si>
    <t>Bone, Joint and Muscle</t>
  </si>
  <si>
    <t>Neurological</t>
  </si>
  <si>
    <t>Ophthalmic</t>
  </si>
  <si>
    <t>Prostate</t>
  </si>
  <si>
    <t>All Non-Cancer Surgery</t>
  </si>
  <si>
    <t>Ophthalmic Surgery</t>
  </si>
  <si>
    <t>General Surgery</t>
  </si>
  <si>
    <t>Gynaecologic Surgery</t>
  </si>
  <si>
    <t>Orthopaedic Surgery</t>
  </si>
  <si>
    <t>Neurosurgery</t>
  </si>
  <si>
    <t>Oral and Maxillofacial Surgery and Dentistry</t>
  </si>
  <si>
    <t>Otolaryngic Surgery</t>
  </si>
  <si>
    <t>Plastic and Reconstructive Surgery</t>
  </si>
  <si>
    <t>Thoracic Surgery</t>
  </si>
  <si>
    <t>Urologic Surgery</t>
  </si>
  <si>
    <t>Vascular Surgery</t>
  </si>
  <si>
    <t>Total</t>
  </si>
  <si>
    <t>Estimated number of procedures in backlog</t>
  </si>
  <si>
    <t>Total PPE Requirements</t>
  </si>
  <si>
    <t>GRAPH Titles</t>
  </si>
  <si>
    <t>Tab 7</t>
  </si>
  <si>
    <t>Tab 8</t>
  </si>
  <si>
    <t>From Anesthesia: 3 pairs each (inner glove x 1 pair + outer glove x 2 pairs – a pair for intubation and a pair for extubation).  For non-anesthesia team members in AGMP – protocols often say to double glove.  But because they are not involved in intubation/extubation, the baseline would be that there are two procedures where they would need to change gloves.  So those 6 people would require 12 pairs of gloves.</t>
  </si>
  <si>
    <t>Allows the user to specify the assumptions underlying the model as well as summarizing current state data on surgical volumes from 2019 and 2020</t>
  </si>
  <si>
    <t xml:space="preserve">Shows the PPE requirements to clear the backlog in tabular and graphical form </t>
  </si>
  <si>
    <t>Summary of changes from Version 1.0</t>
  </si>
  <si>
    <t>This model was created to illustrate Ontario's estimate of the size of the surgical backlog as well as the time to clear the backlog and the corresponding resources required. The model has been adjusted to allow for custom, local data to be inputted to estimate the time to clear and resources required. This model is intended as a planning tool to assist regions in scenario planning.</t>
  </si>
  <si>
    <t>Backlog Modelling for Surgery in Ontario for Ramp Up Planning (+ PPE Requirements)</t>
  </si>
  <si>
    <t>NOTE: go to the "PPE Inputs" tab to adjust the site specific backlog estimates</t>
  </si>
  <si>
    <t>Pediatric</t>
  </si>
  <si>
    <t xml:space="preserve">PPE estimates are only for oncology, non-oncology, pediatric and vascular. </t>
  </si>
  <si>
    <t>Cardiac and transplant procedures are excluded from this analysis.</t>
  </si>
  <si>
    <t>Added benign and pediatrics to the backlog tool</t>
  </si>
  <si>
    <t>Custom inputs are now separated out from the outputs and consolidated on 1 input tab</t>
  </si>
  <si>
    <t>Added PPE estimates to this tool linked to the backlog estimates</t>
  </si>
  <si>
    <t>1)</t>
  </si>
  <si>
    <t>2)</t>
  </si>
  <si>
    <t>3)</t>
  </si>
  <si>
    <t>4)</t>
  </si>
  <si>
    <t>5)</t>
  </si>
  <si>
    <t>6)</t>
  </si>
  <si>
    <t>Benign_P2P3Central</t>
  </si>
  <si>
    <t>Benign_P2P3East</t>
  </si>
  <si>
    <t>Benign_P2P3North</t>
  </si>
  <si>
    <t>Benign_P2P3Toronto</t>
  </si>
  <si>
    <t>Benign_P2P3West</t>
  </si>
  <si>
    <t>Benign_P4Central</t>
  </si>
  <si>
    <t>Benign_P4East</t>
  </si>
  <si>
    <t>Benign_P4North</t>
  </si>
  <si>
    <t>Benign_P4Toronto</t>
  </si>
  <si>
    <t>Benign_P4West</t>
  </si>
  <si>
    <t>Pediatric_P2P3Central</t>
  </si>
  <si>
    <t>Pediatric_P2P3East</t>
  </si>
  <si>
    <t>Pediatric_P2P3North</t>
  </si>
  <si>
    <t>Pediatric_P2P3Toronto</t>
  </si>
  <si>
    <t>Pediatric_P2P3West</t>
  </si>
  <si>
    <t>Pediatric_P4Central</t>
  </si>
  <si>
    <t>Pediatric_P4East</t>
  </si>
  <si>
    <t>Pediatric_P4North</t>
  </si>
  <si>
    <t>Pediatric_P4Toronto</t>
  </si>
  <si>
    <t>Pediatric_P4West</t>
  </si>
  <si>
    <t xml:space="preserve">These provincial backlog estimates are linked to the "Data Inputs" tab. </t>
  </si>
  <si>
    <t>If they are zeroed out, please go to the "Data Inputs" tab to reselect the procedures under consideration.</t>
  </si>
  <si>
    <t>Time to clear (years)</t>
  </si>
  <si>
    <t>This selection affects the backlog size in the Ontario and Regional Graphics tabs as well as the PPE estimates.</t>
  </si>
  <si>
    <t>Total backlog size (# of patients)</t>
  </si>
  <si>
    <t>Average regional time to clear (weeks)</t>
  </si>
  <si>
    <t>Average regional time to clear (years)</t>
  </si>
  <si>
    <t>Average regional backlog size (# of patients)</t>
  </si>
  <si>
    <r>
      <rPr>
        <b/>
        <sz val="10"/>
        <color theme="1"/>
        <rFont val="Calibri Light"/>
        <family val="2"/>
        <scheme val="major"/>
      </rPr>
      <t>Correction:</t>
    </r>
    <r>
      <rPr>
        <sz val="10"/>
        <color theme="1"/>
        <rFont val="Calibri Light"/>
        <family val="2"/>
        <scheme val="major"/>
      </rPr>
      <t xml:space="preserve"> % ICU was misapplied in version 1. It has been corrected here as % of total to ICU.</t>
    </r>
  </si>
  <si>
    <t>Facility</t>
  </si>
  <si>
    <t>Diff 2019-2020</t>
  </si>
  <si>
    <t>Benign P4</t>
  </si>
  <si>
    <t>Benign P2+P3</t>
  </si>
  <si>
    <t>Cancer P4</t>
  </si>
  <si>
    <t>Cancer P2+P3</t>
  </si>
  <si>
    <t>Paeds</t>
  </si>
  <si>
    <t>Community Hospital with Cancer Centre</t>
  </si>
  <si>
    <t>Large Academic Centre</t>
  </si>
  <si>
    <t>Backlog size estimate from March 15, 2020 to May 16, 2020</t>
  </si>
  <si>
    <t>Vascular P4</t>
  </si>
  <si>
    <t>Vascular P2+P3</t>
  </si>
  <si>
    <t>Regional Assumptions</t>
  </si>
  <si>
    <t>OR numbers</t>
  </si>
  <si>
    <t>Minimum regional time to clear (weeks)</t>
  </si>
  <si>
    <t>Maximum regional time to clear (weeks)</t>
  </si>
  <si>
    <t>Backlog estimates are linked to the "Data Inputs" tab.</t>
  </si>
  <si>
    <t>Benign</t>
  </si>
  <si>
    <t>Cancer</t>
  </si>
  <si>
    <t>Assumptions for Cancer Procedures</t>
  </si>
  <si>
    <t>Assumptions for Benign Procedures</t>
  </si>
  <si>
    <t>Assumptions for Pediatric Procedures</t>
  </si>
  <si>
    <t>Downstream resource requirement calculation was changed to show the average of the regional requirements, rather than the total requirements.</t>
  </si>
  <si>
    <t>Time to clear is expressed as the regional average time to clear. Minimum and maximum regional time to clear are also shown to provide a range of estimates.</t>
  </si>
  <si>
    <t>7)</t>
  </si>
  <si>
    <t>The backlog is accumulated starting March 15, 2020, corresponding with the provincial ramp down policy.</t>
  </si>
  <si>
    <t>Variable Name</t>
  </si>
  <si>
    <t>This variable is an estimate of the number of patients that would have accumulated in the backlog as a result of the pandemic.</t>
  </si>
  <si>
    <t>This variable is an estimate of the duration of each procedure in each region.</t>
  </si>
  <si>
    <t>This variable is an estimate of the percentage of the total backlog size that require a ward bed.</t>
  </si>
  <si>
    <t>This variable is an estimate of the percentage of the total backlog size that require an ICU bed.</t>
  </si>
  <si>
    <t>This variable is the average length of stay of patients in a ward bed for each procedure in each region.</t>
  </si>
  <si>
    <t>This variable is the average length of stay of patients in an ICU bed for each procedure in each region.</t>
  </si>
  <si>
    <t>This variable is an estimate of the number of operating rooms in the region, based on facilities that perform the procedure type.</t>
  </si>
  <si>
    <t>This variable is a standard estimate of the hours per day.</t>
  </si>
  <si>
    <t>This is an estimate of the attrition on the backlog by procedure type.</t>
  </si>
  <si>
    <t xml:space="preserve">This variable is set to 50% to account for possibilities such as partial uptake of surge policies in identified hospitals, as well as possibility of competing with backlog of other elective surgeries not included here. 
</t>
  </si>
  <si>
    <t>NOTE: For a description of each variable, please see the methodology tab</t>
  </si>
  <si>
    <t>Average regional OR time (hours) per week</t>
  </si>
  <si>
    <t>Average regional patients per week</t>
  </si>
  <si>
    <t>Average regional ward (beds) per week</t>
  </si>
  <si>
    <t>Average regional ICU (beds) per week</t>
  </si>
  <si>
    <t>Total PPE Requirements for Backlog Surgeries (Oncology, Non-Oncology, Pediatric and Vascular)</t>
  </si>
  <si>
    <t>Select duration of ramp up (weeks):</t>
  </si>
  <si>
    <t>Select start ramp up date:</t>
  </si>
  <si>
    <t>Expected</t>
  </si>
  <si>
    <t>Actual</t>
  </si>
  <si>
    <t>Ramp Up</t>
  </si>
  <si>
    <t>Filler</t>
  </si>
  <si>
    <t>The full backlog is accumulated from March 15, 2020 to the ramp up date. From the ramp up date to return to full occupancy date, half of the volumes accumulated in that time are added to the backlog to correspond with a linear ramp up to pre-pandemic volumes.</t>
  </si>
  <si>
    <t>The following graphs illustrate how the backlog was accumulated during the linear ramp up period:</t>
  </si>
  <si>
    <t>Backlog forecasts were updated to include more recent actual data up to May 16, 2020, for cancer, non-cancer (excluding cardiac and transplant), vascular and pediatric.</t>
  </si>
  <si>
    <t>Start ramp up date</t>
  </si>
  <si>
    <t>See "Documentation" tab for full methodology for estimating the ramp up backlog accumulation.</t>
  </si>
  <si>
    <t>Introduction to the surgery backlog model developed in Ontario</t>
  </si>
  <si>
    <t>Sample illustration of the accumulation of the backlog:</t>
  </si>
  <si>
    <t xml:space="preserve">Please specify the start/end ramp up date to accumulate the backlog. </t>
  </si>
  <si>
    <t>Scroll Down</t>
  </si>
  <si>
    <t>[10:48 AM] Vahid, Saba</t>
  </si>
  <si>
    <t>Row Labels</t>
  </si>
  <si>
    <t>Sum of Transplant</t>
  </si>
  <si>
    <t>Sum of Vasc</t>
  </si>
  <si>
    <t>Sum of Cardiac</t>
  </si>
  <si>
    <t>Sum of Cancer</t>
  </si>
  <si>
    <t>Sum of benign</t>
  </si>
  <si>
    <t>Sum of Paeds</t>
  </si>
  <si>
    <t>Sum of paeds &gt;20</t>
  </si>
  <si>
    <t>Sum of paeds &gt;50</t>
  </si>
  <si>
    <t>Grand Total</t>
  </si>
  <si>
    <t>Added a ramp up period back to full operations to account for a more realistic increase.</t>
  </si>
  <si>
    <t>These cells can be used to adjust the assumptions and volumes to local considerations</t>
  </si>
  <si>
    <t>the custom inputs from the "Data Inputs" tab</t>
  </si>
  <si>
    <t xml:space="preserve">Note: to adjust this graphic, go to the "Data Inputs" tab to adjust </t>
  </si>
  <si>
    <t>Select Provincial or Site Specific Volume Estimates:</t>
  </si>
  <si>
    <t>Room turnover time (hours)</t>
  </si>
  <si>
    <t>Average OR time (hours)</t>
  </si>
  <si>
    <t>Ward ALOS (days)</t>
  </si>
  <si>
    <t>ICU ALOS (days)</t>
  </si>
  <si>
    <t>NOTE: the % uptake rate can be adjusted.</t>
  </si>
  <si>
    <t>Backlog Size Estimates and Resource Requirements by Procedure by Region</t>
  </si>
  <si>
    <t>Incremental patients per week (rounded down) per OR</t>
  </si>
  <si>
    <t>Backlog Size Estimates and Resource Requirements</t>
  </si>
  <si>
    <t>Custom Backlog Estimates</t>
  </si>
  <si>
    <t>The duration of ramp up (0 to 16 weeks) corresponds to how long the ramp up to normal volumes is expected to take (default is set to 4 weeks). The "end ramp up date" shows the date when the accumulation of the backlog is over (i.e., return to full occupancy date)</t>
  </si>
  <si>
    <t>End ramp up date (back to full occupancy):</t>
  </si>
  <si>
    <t>Average patients per week</t>
  </si>
  <si>
    <t>Weekly average incremental resource requirements</t>
  </si>
  <si>
    <t>8)</t>
  </si>
  <si>
    <t>Please use the yellow cells to add your custom parameters for your respective site/region.</t>
  </si>
  <si>
    <t>Summary of changes from Version 2.0</t>
  </si>
  <si>
    <t>Adjusted PPE assumptions to correspond with provincial IPAC recommendations - included PPE requirements for pre-op care, post-anesthesia recovery and cleaning team</t>
  </si>
  <si>
    <t>Adjusted the number of pediatric OR to correspond with facilities with more than 100 surgeries per year</t>
  </si>
  <si>
    <t>Surgical Procedure</t>
  </si>
  <si>
    <t>Pre-operative care</t>
  </si>
  <si>
    <t>Surgical masks required by IPAC recommendations</t>
  </si>
  <si>
    <t>Post anesthesiology recovery</t>
  </si>
  <si>
    <t>Surgical masks and eye protection required by IPAC recommendations</t>
  </si>
  <si>
    <t>Cleaning and Disinfecting Team</t>
  </si>
  <si>
    <t>Surgical masks, gloves and eye protection required by IPAC recommendations</t>
  </si>
  <si>
    <t>Total # of medical staff in procedure</t>
  </si>
  <si>
    <t># of staff per case</t>
  </si>
  <si>
    <t>For PPE staffing assumptions, MDs and Nurses during surgery were adjusted to 2 and 2 to reflect community practice. These can be altered by hospitals where the complement is different (i.e. academic)</t>
  </si>
  <si>
    <t>End date</t>
  </si>
  <si>
    <t>This selection only works for cancer, benign, vascular, transplant and pediatric surgeries. Cardiac surgeries are accumulated to June 13, due to lack of additional data.</t>
  </si>
  <si>
    <t>Updated backlog information for cardiac up to June 13, 2020. Backlog for transplants has been updated to include ramp up period.</t>
  </si>
  <si>
    <t>Surgical Procedure Category</t>
  </si>
  <si>
    <t>Health Region</t>
  </si>
  <si>
    <t>Backlog from March 15 to June 13</t>
  </si>
  <si>
    <t>Cardiac backlog is accumulated from March 15 to June 13</t>
  </si>
  <si>
    <t>Total Ontario Backlog (without cardiac)</t>
  </si>
  <si>
    <t>Buffer threshold (hours)</t>
  </si>
  <si>
    <t>If there is more than the buffer hours at the end of the day, assume that 1 additional patient can be added to the day.</t>
  </si>
  <si>
    <t>To ensure the full day is used, add 1 extra patient per day per OR whenever there is more than 1.5 hours left available in a day (except for transplant).</t>
  </si>
  <si>
    <t>The "start ramp up date" corresponds to the date when facilities begin to ramp up. It is currently set to June 14, which accumulates volumes from March 15 to June 14, 2020.</t>
  </si>
  <si>
    <t>Column Labels</t>
  </si>
  <si>
    <t>Version 4.0</t>
  </si>
  <si>
    <t>Summary of changes from Version 3.0</t>
  </si>
  <si>
    <t>Ontario Health (Cancer Care Ontario)</t>
  </si>
  <si>
    <t>Sum of avg_perc_icu</t>
  </si>
  <si>
    <t>Sum of avg_perc_inpatient</t>
  </si>
  <si>
    <t>Sum of avg_ward_los_days</t>
  </si>
  <si>
    <t>Sum of avg_icu_los_days</t>
  </si>
  <si>
    <t>Sum of avg_surg_duration_hours</t>
  </si>
  <si>
    <r>
      <rPr>
        <b/>
        <sz val="10"/>
        <rFont val="Calibri Light"/>
        <family val="2"/>
        <scheme val="major"/>
      </rPr>
      <t>Correction:</t>
    </r>
    <r>
      <rPr>
        <sz val="10"/>
        <rFont val="Calibri Light"/>
        <family val="2"/>
        <scheme val="major"/>
      </rPr>
      <t xml:space="preserve"> A bug was found in the code for the resource utilization estimates. They have been fixed in this version. Primary impact is a reduction in the ICU LOS for cancer and vascular.</t>
    </r>
  </si>
  <si>
    <t>Quick toggles</t>
  </si>
  <si>
    <t>This variable is an estimate of the time between each surgery. In this model, it has been set to 0.37 hours by default, which is representative of the median provincial turnover time.</t>
  </si>
  <si>
    <t>Date: August 6,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</si>
</sst>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0.0"/>
    <numFmt numFmtId="166" formatCode="0.0"/>
    <numFmt numFmtId="167" formatCode="0.00000"/>
    <numFmt numFmtId="168" formatCode="#,##0.00000"/>
    <numFmt numFmtId="169" formatCode="[$-409]mmmm\ d\,\ yyyy;@"/>
    <numFmt numFmtId="170" formatCode="[$-409]d\-mmm\-yy;@"/>
  </numFmts>
  <fonts count="62"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Light"/>
      <family val="2"/>
      <scheme val="major"/>
    </font>
    <font>
      <b/>
      <sz val="11"/>
      <color theme="1"/>
      <name val="Calibri Light"/>
      <family val="2"/>
      <scheme val="major"/>
    </font>
    <font>
      <i/>
      <sz val="11"/>
      <color theme="1"/>
      <name val="Calibri"/>
      <family val="2"/>
      <scheme val="minor"/>
    </font>
    <font>
      <u/>
      <sz val="11"/>
      <color theme="10"/>
      <name val="Calibri"/>
      <family val="2"/>
      <scheme val="minor"/>
    </font>
    <font>
      <b/>
      <sz val="14"/>
      <color theme="1"/>
      <name val="Calibri Light"/>
      <family val="2"/>
      <scheme val="major"/>
    </font>
    <font>
      <b/>
      <sz val="12"/>
      <color theme="1"/>
      <name val="Calibri Light"/>
      <family val="2"/>
      <scheme val="major"/>
    </font>
    <font>
      <i/>
      <sz val="11"/>
      <color theme="1"/>
      <name val="Calibri Light"/>
      <family val="2"/>
      <scheme val="major"/>
    </font>
    <font>
      <sz val="11"/>
      <color theme="0"/>
      <name val="Calibri Light"/>
      <family val="2"/>
      <scheme val="major"/>
    </font>
    <font>
      <b/>
      <sz val="20"/>
      <color theme="1"/>
      <name val="Calibri"/>
      <family val="2"/>
      <scheme val="minor"/>
    </font>
    <font>
      <b/>
      <i/>
      <sz val="11"/>
      <color theme="5"/>
      <name val="Calibri"/>
      <family val="2"/>
      <scheme val="minor"/>
    </font>
    <font>
      <i/>
      <sz val="11"/>
      <color theme="5"/>
      <name val="Calibri"/>
      <family val="2"/>
      <scheme val="minor"/>
    </font>
    <font>
      <b/>
      <sz val="14"/>
      <color theme="3"/>
      <name val="Calibri"/>
      <family val="2"/>
      <scheme val="minor"/>
    </font>
    <font>
      <sz val="11"/>
      <color theme="0"/>
      <name val="Calibri"/>
      <family val="2"/>
      <scheme val="minor"/>
    </font>
    <font>
      <sz val="11"/>
      <color rgb="FF000000"/>
      <name val="Calibri Light"/>
      <family val="2"/>
    </font>
    <font>
      <sz val="11"/>
      <color rgb="FFFF0000"/>
      <name val="Calibri Light"/>
      <family val="2"/>
      <scheme val="major"/>
    </font>
    <font>
      <b/>
      <sz val="11"/>
      <color rgb="FFFF0000"/>
      <name val="Calibri Light"/>
      <family val="2"/>
      <scheme val="major"/>
    </font>
    <font>
      <b/>
      <sz val="11"/>
      <color theme="0"/>
      <name val="Calibri Light"/>
      <family val="2"/>
      <scheme val="major"/>
    </font>
    <font>
      <u/>
      <sz val="11"/>
      <color theme="10"/>
      <name val="Calibri Light"/>
      <family val="2"/>
      <scheme val="major"/>
    </font>
    <font>
      <sz val="11"/>
      <name val="Calibri Light"/>
      <family val="2"/>
      <scheme val="major"/>
    </font>
    <font>
      <b/>
      <sz val="11"/>
      <color rgb="FF000000"/>
      <name val="Calibri Light"/>
      <family val="2"/>
      <scheme val="major"/>
    </font>
    <font>
      <sz val="11"/>
      <color rgb="FF000000"/>
      <name val="Calibri Light"/>
      <family val="2"/>
      <scheme val="major"/>
    </font>
    <font>
      <sz val="10"/>
      <color theme="1"/>
      <name val="Calibri Light"/>
      <family val="2"/>
      <scheme val="major"/>
    </font>
    <font>
      <i/>
      <sz val="11"/>
      <color rgb="FF000000"/>
      <name val="Calibri Light"/>
      <family val="2"/>
      <scheme val="major"/>
    </font>
    <font>
      <b/>
      <sz val="40"/>
      <color rgb="FF000000"/>
      <name val="Calibri Light"/>
      <family val="2"/>
      <scheme val="major"/>
    </font>
    <font>
      <sz val="14"/>
      <color rgb="FF000000"/>
      <name val="Calibri Light"/>
      <family val="2"/>
      <scheme val="major"/>
    </font>
    <font>
      <b/>
      <sz val="8"/>
      <color rgb="FFFFFFFF"/>
      <name val="Calibri Light"/>
      <family val="2"/>
      <scheme val="major"/>
    </font>
    <font>
      <b/>
      <sz val="10"/>
      <color rgb="FF000000"/>
      <name val="Calibri Light"/>
      <family val="2"/>
      <scheme val="major"/>
    </font>
    <font>
      <sz val="10"/>
      <color rgb="FF000000"/>
      <name val="Calibri Light"/>
      <family val="2"/>
      <scheme val="major"/>
    </font>
    <font>
      <sz val="10"/>
      <color rgb="FFC00000"/>
      <name val="Calibri Light"/>
      <family val="2"/>
      <scheme val="major"/>
    </font>
    <font>
      <sz val="10.5"/>
      <color rgb="FFFF0000"/>
      <name val="Calibri Light"/>
      <family val="2"/>
      <scheme val="major"/>
    </font>
    <font>
      <sz val="10.5"/>
      <color rgb="FF000000"/>
      <name val="Calibri Light"/>
      <family val="2"/>
      <scheme val="major"/>
    </font>
    <font>
      <b/>
      <sz val="11"/>
      <name val="Calibri Light"/>
      <family val="2"/>
      <scheme val="major"/>
    </font>
    <font>
      <b/>
      <sz val="10"/>
      <color theme="1"/>
      <name val="Calibri Light"/>
      <family val="2"/>
      <scheme val="major"/>
    </font>
    <font>
      <sz val="11"/>
      <color rgb="FF000000"/>
      <name val="Calibri"/>
      <family val="2"/>
      <scheme val="minor"/>
    </font>
    <font>
      <sz val="11"/>
      <color rgb="FFFF0000"/>
      <name val="Calibri"/>
      <family val="2"/>
      <scheme val="minor"/>
    </font>
    <font>
      <sz val="11"/>
      <color rgb="FFC00000"/>
      <name val="Calibri Light"/>
      <family val="2"/>
      <scheme val="major"/>
    </font>
    <font>
      <sz val="11"/>
      <color rgb="FFC00000"/>
      <name val="Calibri"/>
      <family val="2"/>
      <scheme val="minor"/>
    </font>
    <font>
      <b/>
      <sz val="11"/>
      <color rgb="FFC00000"/>
      <name val="Calibri"/>
      <family val="2"/>
      <scheme val="minor"/>
    </font>
    <font>
      <b/>
      <sz val="11"/>
      <color rgb="FFC00000"/>
      <name val="Calibri Light"/>
      <family val="2"/>
      <scheme val="major"/>
    </font>
    <font>
      <b/>
      <sz val="16"/>
      <color theme="1"/>
      <name val="Calibri Light"/>
      <family val="2"/>
      <scheme val="major"/>
    </font>
    <font>
      <sz val="8"/>
      <color theme="1"/>
      <name val="Segoe UI"/>
      <family val="2"/>
    </font>
    <font>
      <sz val="11"/>
      <color theme="1"/>
      <name val="Segoe UI"/>
      <family val="2"/>
    </font>
    <font>
      <b/>
      <sz val="11"/>
      <color theme="1"/>
      <name val="Segoe UI"/>
      <family val="2"/>
    </font>
    <font>
      <sz val="9"/>
      <color theme="1"/>
      <name val="Calibri Light"/>
      <family val="2"/>
      <scheme val="maj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0"/>
      <name val="Calibri Light"/>
      <family val="2"/>
      <scheme val="major"/>
    </font>
    <font>
      <b/>
      <sz val="10"/>
      <name val="Calibri Light"/>
      <family val="2"/>
      <scheme val="major"/>
    </font>
  </fonts>
  <fills count="52">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1"/>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rgb="FFFFF2CC"/>
        <bgColor indexed="64"/>
      </patternFill>
    </fill>
    <fill>
      <patternFill patternType="solid">
        <fgColor rgb="FF2D2D8A"/>
        <bgColor indexed="64"/>
      </patternFill>
    </fill>
    <fill>
      <patternFill patternType="solid">
        <fgColor rgb="FFCDCDDA"/>
        <bgColor indexed="64"/>
      </patternFill>
    </fill>
    <fill>
      <patternFill patternType="solid">
        <fgColor rgb="FFE8E8ED"/>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0"/>
        <bgColor indexed="64"/>
      </patternFill>
    </fill>
    <fill>
      <patternFill patternType="solid">
        <fgColor theme="2" tint="-9.9978637043366805E-2"/>
        <bgColor indexed="64"/>
      </patternFill>
    </fill>
  </fills>
  <borders count="32">
    <border>
      <left/>
      <right/>
      <top/>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rgb="FF00B2E3"/>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right style="thin">
        <color theme="0" tint="-0.34998626667073579"/>
      </right>
      <top/>
      <bottom/>
      <diagonal/>
    </border>
    <border>
      <left style="medium">
        <color rgb="FFFFFFFF"/>
      </left>
      <right style="medium">
        <color rgb="FFFFFFFF"/>
      </right>
      <top style="medium">
        <color rgb="FFFFFFFF"/>
      </top>
      <bottom/>
      <diagonal/>
    </border>
    <border>
      <left style="medium">
        <color rgb="FFFFFFFF"/>
      </left>
      <right/>
      <top/>
      <bottom/>
      <diagonal/>
    </border>
    <border>
      <left style="medium">
        <color rgb="FFFFFFFF"/>
      </left>
      <right style="medium">
        <color rgb="FFFFFFFF"/>
      </right>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9" fontId="1" fillId="0" borderId="0" applyFont="0" applyFill="0" applyBorder="0" applyAlignment="0" applyProtection="0"/>
    <xf numFmtId="0" fontId="6" fillId="0" borderId="0" applyNumberFormat="0" applyFill="0" applyBorder="0" applyAlignment="0" applyProtection="0"/>
    <xf numFmtId="0" fontId="47" fillId="0" borderId="0" applyNumberFormat="0" applyFill="0" applyBorder="0" applyAlignment="0" applyProtection="0"/>
    <xf numFmtId="0" fontId="48" fillId="0" borderId="23" applyNumberFormat="0" applyFill="0" applyAlignment="0" applyProtection="0"/>
    <xf numFmtId="0" fontId="49" fillId="0" borderId="24" applyNumberFormat="0" applyFill="0" applyAlignment="0" applyProtection="0"/>
    <xf numFmtId="0" fontId="50" fillId="0" borderId="25" applyNumberFormat="0" applyFill="0" applyAlignment="0" applyProtection="0"/>
    <xf numFmtId="0" fontId="50" fillId="0" borderId="0" applyNumberFormat="0" applyFill="0" applyBorder="0" applyAlignment="0" applyProtection="0"/>
    <xf numFmtId="0" fontId="51" fillId="18" borderId="0" applyNumberFormat="0" applyBorder="0" applyAlignment="0" applyProtection="0"/>
    <xf numFmtId="0" fontId="52" fillId="19" borderId="0" applyNumberFormat="0" applyBorder="0" applyAlignment="0" applyProtection="0"/>
    <xf numFmtId="0" fontId="53" fillId="20" borderId="0" applyNumberFormat="0" applyBorder="0" applyAlignment="0" applyProtection="0"/>
    <xf numFmtId="0" fontId="54" fillId="21" borderId="26" applyNumberFormat="0" applyAlignment="0" applyProtection="0"/>
    <xf numFmtId="0" fontId="55" fillId="22" borderId="27" applyNumberFormat="0" applyAlignment="0" applyProtection="0"/>
    <xf numFmtId="0" fontId="56" fillId="22" borderId="26" applyNumberFormat="0" applyAlignment="0" applyProtection="0"/>
    <xf numFmtId="0" fontId="57" fillId="0" borderId="28" applyNumberFormat="0" applyFill="0" applyAlignment="0" applyProtection="0"/>
    <xf numFmtId="0" fontId="58" fillId="23" borderId="29" applyNumberFormat="0" applyAlignment="0" applyProtection="0"/>
    <xf numFmtId="0" fontId="37" fillId="0" borderId="0" applyNumberFormat="0" applyFill="0" applyBorder="0" applyAlignment="0" applyProtection="0"/>
    <xf numFmtId="0" fontId="1" fillId="24" borderId="30" applyNumberFormat="0" applyFont="0" applyAlignment="0" applyProtection="0"/>
    <xf numFmtId="0" fontId="59" fillId="0" borderId="0" applyNumberFormat="0" applyFill="0" applyBorder="0" applyAlignment="0" applyProtection="0"/>
    <xf numFmtId="0" fontId="2" fillId="0" borderId="31" applyNumberFormat="0" applyFill="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5" fillId="40" borderId="0" applyNumberFormat="0" applyBorder="0" applyAlignment="0" applyProtection="0"/>
    <xf numFmtId="0" fontId="15"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5" fillId="44" borderId="0" applyNumberFormat="0" applyBorder="0" applyAlignment="0" applyProtection="0"/>
    <xf numFmtId="0" fontId="15" fillId="45"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5" fillId="48" borderId="0" applyNumberFormat="0" applyBorder="0" applyAlignment="0" applyProtection="0"/>
  </cellStyleXfs>
  <cellXfs count="306">
    <xf numFmtId="0" fontId="0" fillId="0" borderId="0" xfId="0"/>
    <xf numFmtId="0" fontId="3" fillId="0" borderId="0" xfId="0" applyFont="1" applyAlignment="1">
      <alignment horizontal="center"/>
    </xf>
    <xf numFmtId="0" fontId="4" fillId="0" borderId="0" xfId="0" applyFont="1" applyAlignment="1">
      <alignment horizontal="center"/>
    </xf>
    <xf numFmtId="0" fontId="3" fillId="0" borderId="0" xfId="0" applyFont="1" applyAlignment="1">
      <alignment horizontal="left"/>
    </xf>
    <xf numFmtId="0" fontId="2" fillId="0" borderId="0" xfId="0" applyFont="1"/>
    <xf numFmtId="0" fontId="0" fillId="0" borderId="0" xfId="0" applyFont="1"/>
    <xf numFmtId="0" fontId="0" fillId="0" borderId="0" xfId="0" applyAlignment="1">
      <alignment horizontal="left"/>
    </xf>
    <xf numFmtId="0" fontId="0" fillId="0" borderId="0" xfId="0" applyAlignment="1">
      <alignment horizontal="left" indent="1"/>
    </xf>
    <xf numFmtId="0" fontId="3" fillId="0" borderId="0" xfId="0" applyFont="1"/>
    <xf numFmtId="0" fontId="7" fillId="0" borderId="0" xfId="0" applyFont="1"/>
    <xf numFmtId="0" fontId="9" fillId="0" borderId="0" xfId="0" applyFont="1"/>
    <xf numFmtId="0" fontId="4" fillId="3" borderId="6" xfId="0" applyFont="1" applyFill="1" applyBorder="1" applyAlignment="1">
      <alignment horizontal="center"/>
    </xf>
    <xf numFmtId="0" fontId="4" fillId="0" borderId="0" xfId="0" applyFont="1"/>
    <xf numFmtId="0" fontId="7" fillId="0" borderId="0" xfId="0" applyFont="1" applyAlignment="1">
      <alignment vertical="top"/>
    </xf>
    <xf numFmtId="9" fontId="4" fillId="0" borderId="7" xfId="0" quotePrefix="1" applyNumberFormat="1" applyFont="1" applyBorder="1" applyAlignment="1">
      <alignment horizontal="center" vertical="top" wrapText="1"/>
    </xf>
    <xf numFmtId="9" fontId="4" fillId="0" borderId="8" xfId="0" quotePrefix="1" applyNumberFormat="1" applyFont="1" applyBorder="1" applyAlignment="1">
      <alignment horizontal="center" vertical="top" wrapText="1"/>
    </xf>
    <xf numFmtId="9" fontId="4" fillId="0" borderId="9" xfId="0" quotePrefix="1" applyNumberFormat="1" applyFont="1" applyBorder="1" applyAlignment="1">
      <alignment horizontal="center" vertical="top" wrapText="1"/>
    </xf>
    <xf numFmtId="0" fontId="3" fillId="6" borderId="4" xfId="0" applyFont="1" applyFill="1" applyBorder="1"/>
    <xf numFmtId="0" fontId="3" fillId="6" borderId="5" xfId="0" applyFont="1" applyFill="1" applyBorder="1"/>
    <xf numFmtId="0" fontId="3" fillId="6" borderId="2" xfId="0" applyFont="1" applyFill="1" applyBorder="1"/>
    <xf numFmtId="0" fontId="3" fillId="0" borderId="0" xfId="0" applyFont="1" applyAlignment="1">
      <alignment horizontal="left" indent="1"/>
    </xf>
    <xf numFmtId="3" fontId="3" fillId="0" borderId="6" xfId="0" applyNumberFormat="1" applyFont="1" applyBorder="1" applyAlignment="1">
      <alignment horizontal="center"/>
    </xf>
    <xf numFmtId="9" fontId="3" fillId="0" borderId="0" xfId="0" applyNumberFormat="1" applyFont="1"/>
    <xf numFmtId="3" fontId="3" fillId="0" borderId="6" xfId="0" applyNumberFormat="1" applyFont="1" applyFill="1" applyBorder="1" applyAlignment="1">
      <alignment horizontal="center"/>
    </xf>
    <xf numFmtId="3" fontId="3" fillId="0" borderId="0" xfId="0" applyNumberFormat="1" applyFont="1"/>
    <xf numFmtId="166" fontId="3" fillId="0" borderId="0" xfId="0" applyNumberFormat="1" applyFont="1"/>
    <xf numFmtId="0" fontId="3" fillId="2" borderId="0" xfId="0" applyFont="1" applyFill="1" applyAlignment="1">
      <alignment horizontal="left" indent="1"/>
    </xf>
    <xf numFmtId="166" fontId="3" fillId="2" borderId="6" xfId="0" applyNumberFormat="1" applyFont="1" applyFill="1" applyBorder="1" applyAlignment="1">
      <alignment horizontal="center"/>
    </xf>
    <xf numFmtId="0" fontId="3" fillId="6" borderId="3" xfId="0" applyFont="1" applyFill="1" applyBorder="1" applyAlignment="1">
      <alignment horizontal="center"/>
    </xf>
    <xf numFmtId="0" fontId="3" fillId="6" borderId="0" xfId="0" applyFont="1" applyFill="1" applyBorder="1" applyAlignment="1">
      <alignment horizontal="center"/>
    </xf>
    <xf numFmtId="0" fontId="3" fillId="6" borderId="1" xfId="0" applyFont="1" applyFill="1" applyBorder="1" applyAlignment="1">
      <alignment horizontal="center"/>
    </xf>
    <xf numFmtId="0" fontId="9" fillId="0" borderId="0" xfId="0" applyFont="1" applyAlignment="1">
      <alignment horizontal="left" indent="1"/>
    </xf>
    <xf numFmtId="3" fontId="9" fillId="0" borderId="6" xfId="0" applyNumberFormat="1" applyFont="1" applyBorder="1" applyAlignment="1">
      <alignment horizontal="center"/>
    </xf>
    <xf numFmtId="165" fontId="3" fillId="0" borderId="6" xfId="0" applyNumberFormat="1" applyFont="1" applyBorder="1" applyAlignment="1">
      <alignment horizontal="center"/>
    </xf>
    <xf numFmtId="0" fontId="3" fillId="0" borderId="0" xfId="0" applyFont="1" applyFill="1" applyBorder="1" applyAlignment="1">
      <alignment horizontal="left" indent="1"/>
    </xf>
    <xf numFmtId="0" fontId="3" fillId="0" borderId="0" xfId="0" applyFont="1" applyFill="1"/>
    <xf numFmtId="168" fontId="3" fillId="0" borderId="0" xfId="0" applyNumberFormat="1" applyFont="1" applyBorder="1"/>
    <xf numFmtId="0" fontId="9" fillId="0" borderId="0" xfId="0" applyFont="1" applyFill="1" applyBorder="1" applyAlignment="1">
      <alignment horizontal="left"/>
    </xf>
    <xf numFmtId="165" fontId="3" fillId="0" borderId="0" xfId="0" applyNumberFormat="1" applyFont="1" applyBorder="1"/>
    <xf numFmtId="167" fontId="3" fillId="0" borderId="0" xfId="0" applyNumberFormat="1" applyFont="1"/>
    <xf numFmtId="0" fontId="3" fillId="5" borderId="0" xfId="0" applyFont="1" applyFill="1"/>
    <xf numFmtId="0" fontId="7" fillId="0" borderId="0" xfId="0" applyFont="1" applyAlignment="1">
      <alignment horizontal="left"/>
    </xf>
    <xf numFmtId="0" fontId="3" fillId="0" borderId="0" xfId="0" applyFont="1" applyBorder="1"/>
    <xf numFmtId="165" fontId="3" fillId="0" borderId="6" xfId="0" applyNumberFormat="1" applyFont="1" applyFill="1" applyBorder="1" applyAlignment="1">
      <alignment horizontal="center"/>
    </xf>
    <xf numFmtId="165" fontId="3" fillId="0" borderId="0" xfId="0" applyNumberFormat="1" applyFont="1" applyBorder="1" applyAlignment="1">
      <alignment horizontal="center"/>
    </xf>
    <xf numFmtId="0" fontId="4" fillId="0" borderId="0" xfId="0" applyFont="1" applyBorder="1"/>
    <xf numFmtId="0" fontId="3" fillId="0" borderId="0" xfId="0" applyFont="1" applyBorder="1" applyAlignment="1">
      <alignment horizontal="center"/>
    </xf>
    <xf numFmtId="0" fontId="3" fillId="0" borderId="0" xfId="0" applyFont="1" applyBorder="1" applyAlignment="1">
      <alignment vertical="center"/>
    </xf>
    <xf numFmtId="0" fontId="3" fillId="0" borderId="0" xfId="0" applyFont="1" applyBorder="1" applyAlignment="1">
      <alignment horizontal="center" vertical="center" wrapText="1"/>
    </xf>
    <xf numFmtId="1" fontId="3" fillId="0" borderId="0" xfId="0" applyNumberFormat="1" applyFont="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9" fontId="3" fillId="0" borderId="6" xfId="0" applyNumberFormat="1" applyFont="1" applyBorder="1" applyAlignment="1">
      <alignment horizontal="center"/>
    </xf>
    <xf numFmtId="0" fontId="3" fillId="9" borderId="0" xfId="0" applyFont="1" applyFill="1" applyAlignment="1">
      <alignment horizontal="left" indent="1"/>
    </xf>
    <xf numFmtId="165" fontId="3" fillId="9" borderId="0" xfId="0" applyNumberFormat="1" applyFont="1" applyFill="1" applyBorder="1" applyAlignment="1">
      <alignment horizontal="center"/>
    </xf>
    <xf numFmtId="0" fontId="3" fillId="9" borderId="0" xfId="0" applyFont="1" applyFill="1" applyAlignment="1">
      <alignment horizontal="center"/>
    </xf>
    <xf numFmtId="0" fontId="3" fillId="9" borderId="0" xfId="0" applyFont="1" applyFill="1"/>
    <xf numFmtId="2" fontId="3" fillId="0" borderId="6" xfId="0" applyNumberFormat="1" applyFont="1" applyBorder="1" applyAlignment="1">
      <alignment horizontal="center"/>
    </xf>
    <xf numFmtId="9" fontId="3" fillId="0" borderId="6" xfId="1" applyFont="1" applyBorder="1" applyAlignment="1">
      <alignment horizontal="center"/>
    </xf>
    <xf numFmtId="164" fontId="3" fillId="0" borderId="6" xfId="1" applyNumberFormat="1" applyFont="1" applyBorder="1" applyAlignment="1">
      <alignment horizontal="center"/>
    </xf>
    <xf numFmtId="0" fontId="3" fillId="0" borderId="0" xfId="0" applyFont="1" applyFill="1" applyBorder="1" applyAlignment="1">
      <alignment horizontal="left"/>
    </xf>
    <xf numFmtId="164" fontId="3" fillId="0" borderId="6" xfId="0" applyNumberFormat="1" applyFont="1" applyBorder="1" applyAlignment="1">
      <alignment horizontal="center"/>
    </xf>
    <xf numFmtId="9" fontId="3" fillId="0" borderId="0" xfId="1" applyFont="1" applyAlignment="1">
      <alignment horizontal="center"/>
    </xf>
    <xf numFmtId="9" fontId="3" fillId="0" borderId="0" xfId="1" applyFont="1" applyBorder="1" applyAlignment="1">
      <alignment horizontal="center"/>
    </xf>
    <xf numFmtId="1" fontId="3" fillId="0" borderId="6" xfId="0" applyNumberFormat="1" applyFont="1" applyBorder="1" applyAlignment="1">
      <alignment horizontal="center"/>
    </xf>
    <xf numFmtId="2" fontId="3" fillId="0" borderId="6" xfId="0" applyNumberFormat="1" applyFont="1" applyFill="1" applyBorder="1" applyAlignment="1">
      <alignment horizontal="center"/>
    </xf>
    <xf numFmtId="9" fontId="3" fillId="0" borderId="6" xfId="0" applyNumberFormat="1" applyFont="1" applyFill="1" applyBorder="1" applyAlignment="1">
      <alignment horizontal="center"/>
    </xf>
    <xf numFmtId="9" fontId="3" fillId="8" borderId="6" xfId="0" applyNumberFormat="1" applyFont="1" applyFill="1" applyBorder="1" applyAlignment="1">
      <alignment horizontal="center"/>
    </xf>
    <xf numFmtId="0" fontId="3" fillId="0" borderId="0" xfId="0" applyFont="1" applyFill="1" applyBorder="1" applyAlignment="1">
      <alignment horizontal="center"/>
    </xf>
    <xf numFmtId="0" fontId="3" fillId="0" borderId="0" xfId="0" applyFont="1" applyFill="1" applyAlignment="1">
      <alignment horizontal="center"/>
    </xf>
    <xf numFmtId="9" fontId="4" fillId="0" borderId="6" xfId="0" quotePrefix="1" applyNumberFormat="1" applyFont="1" applyBorder="1" applyAlignment="1">
      <alignment horizontal="center" vertical="top" wrapText="1"/>
    </xf>
    <xf numFmtId="0" fontId="4" fillId="0" borderId="0" xfId="0" applyFont="1" applyAlignment="1">
      <alignment horizontal="left" indent="1"/>
    </xf>
    <xf numFmtId="0" fontId="3" fillId="0" borderId="0" xfId="0" applyFont="1" applyAlignment="1">
      <alignment horizontal="left" indent="2"/>
    </xf>
    <xf numFmtId="165" fontId="3" fillId="2" borderId="6" xfId="0" applyNumberFormat="1" applyFont="1" applyFill="1" applyBorder="1" applyAlignment="1">
      <alignment horizontal="center"/>
    </xf>
    <xf numFmtId="0" fontId="8" fillId="0" borderId="0" xfId="0" applyFont="1" applyAlignment="1">
      <alignment horizontal="left"/>
    </xf>
    <xf numFmtId="0" fontId="10" fillId="0" borderId="0" xfId="0" applyFont="1"/>
    <xf numFmtId="0" fontId="7" fillId="0" borderId="10" xfId="0" applyFont="1" applyBorder="1"/>
    <xf numFmtId="0" fontId="3" fillId="0" borderId="10" xfId="0" applyFont="1" applyBorder="1"/>
    <xf numFmtId="0" fontId="4" fillId="2" borderId="0" xfId="0" applyFont="1" applyFill="1" applyAlignment="1">
      <alignment horizontal="left" indent="1"/>
    </xf>
    <xf numFmtId="166" fontId="4" fillId="2" borderId="6" xfId="0" applyNumberFormat="1" applyFont="1" applyFill="1" applyBorder="1" applyAlignment="1">
      <alignment horizontal="center"/>
    </xf>
    <xf numFmtId="0" fontId="4" fillId="2" borderId="0" xfId="0" applyFont="1" applyFill="1" applyAlignment="1">
      <alignment horizontal="left" indent="2"/>
    </xf>
    <xf numFmtId="165" fontId="4" fillId="2" borderId="6" xfId="0" applyNumberFormat="1" applyFont="1" applyFill="1" applyBorder="1" applyAlignment="1">
      <alignment horizontal="center"/>
    </xf>
    <xf numFmtId="0" fontId="11" fillId="0" borderId="0" xfId="0" applyFont="1"/>
    <xf numFmtId="0" fontId="5" fillId="0" borderId="0" xfId="0" applyFont="1" applyAlignment="1">
      <alignment horizontal="left"/>
    </xf>
    <xf numFmtId="0" fontId="9" fillId="0" borderId="0" xfId="0" applyFont="1" applyAlignment="1">
      <alignment horizontal="right"/>
    </xf>
    <xf numFmtId="0" fontId="3" fillId="10" borderId="0" xfId="0" applyFont="1" applyFill="1" applyAlignment="1">
      <alignment horizontal="left" indent="1"/>
    </xf>
    <xf numFmtId="0" fontId="5" fillId="0" borderId="0" xfId="0" applyFont="1" applyAlignment="1">
      <alignment horizontal="right"/>
    </xf>
    <xf numFmtId="0" fontId="12" fillId="0" borderId="0" xfId="0" applyFont="1" applyAlignment="1">
      <alignment horizontal="left"/>
    </xf>
    <xf numFmtId="0" fontId="3" fillId="11" borderId="0" xfId="0" applyFont="1" applyFill="1" applyAlignment="1">
      <alignment horizontal="left" indent="1"/>
    </xf>
    <xf numFmtId="0" fontId="6" fillId="10" borderId="0" xfId="2" applyFill="1" applyAlignment="1">
      <alignment horizontal="left" indent="1"/>
    </xf>
    <xf numFmtId="0" fontId="14" fillId="0" borderId="0" xfId="0" applyFont="1"/>
    <xf numFmtId="0" fontId="3" fillId="3" borderId="6" xfId="0" applyFont="1" applyFill="1" applyBorder="1" applyAlignment="1">
      <alignment horizontal="center" vertical="center"/>
    </xf>
    <xf numFmtId="0" fontId="9" fillId="0" borderId="0" xfId="0" applyFont="1" applyAlignment="1">
      <alignment vertical="center" wrapText="1"/>
    </xf>
    <xf numFmtId="165" fontId="3" fillId="3" borderId="6" xfId="0" applyNumberFormat="1" applyFont="1" applyFill="1" applyBorder="1" applyAlignment="1" applyProtection="1">
      <alignment horizontal="center"/>
      <protection locked="0"/>
    </xf>
    <xf numFmtId="3" fontId="3" fillId="3" borderId="6" xfId="0" applyNumberFormat="1" applyFont="1" applyFill="1" applyBorder="1" applyAlignment="1" applyProtection="1">
      <alignment horizontal="center"/>
      <protection locked="0"/>
    </xf>
    <xf numFmtId="2" fontId="3" fillId="3" borderId="6" xfId="0" applyNumberFormat="1" applyFont="1" applyFill="1" applyBorder="1" applyAlignment="1" applyProtection="1">
      <alignment horizontal="center"/>
      <protection locked="0"/>
    </xf>
    <xf numFmtId="9" fontId="3" fillId="3" borderId="6" xfId="1" applyFont="1" applyFill="1" applyBorder="1" applyAlignment="1" applyProtection="1">
      <alignment horizontal="center"/>
      <protection locked="0"/>
    </xf>
    <xf numFmtId="0" fontId="3" fillId="3" borderId="6" xfId="0" applyFont="1" applyFill="1" applyBorder="1" applyAlignment="1" applyProtection="1">
      <alignment horizontal="center"/>
      <protection locked="0"/>
    </xf>
    <xf numFmtId="9" fontId="3" fillId="3" borderId="6" xfId="0" applyNumberFormat="1" applyFont="1" applyFill="1" applyBorder="1" applyAlignment="1" applyProtection="1">
      <alignment horizontal="center"/>
      <protection locked="0"/>
    </xf>
    <xf numFmtId="14" fontId="0" fillId="0" borderId="0" xfId="0" applyNumberFormat="1"/>
    <xf numFmtId="1" fontId="0" fillId="0" borderId="0" xfId="0" applyNumberFormat="1"/>
    <xf numFmtId="0" fontId="4" fillId="3" borderId="0" xfId="0" applyFont="1" applyFill="1" applyBorder="1" applyAlignment="1" applyProtection="1">
      <alignment horizontal="center"/>
    </xf>
    <xf numFmtId="0" fontId="15" fillId="0" borderId="0" xfId="0" applyFont="1" applyBorder="1"/>
    <xf numFmtId="0" fontId="16" fillId="0" borderId="0" xfId="0" applyFont="1"/>
    <xf numFmtId="0" fontId="17" fillId="0" borderId="0" xfId="0" applyFont="1"/>
    <xf numFmtId="0" fontId="8" fillId="3" borderId="6" xfId="0" applyFont="1" applyFill="1" applyBorder="1" applyAlignment="1" applyProtection="1">
      <alignment horizontal="center" vertical="top"/>
      <protection locked="0"/>
    </xf>
    <xf numFmtId="9" fontId="3" fillId="0" borderId="6" xfId="1" applyNumberFormat="1" applyFont="1" applyBorder="1" applyAlignment="1">
      <alignment horizontal="center"/>
    </xf>
    <xf numFmtId="1" fontId="0" fillId="0" borderId="0" xfId="0" applyNumberFormat="1" applyAlignment="1">
      <alignment wrapText="1"/>
    </xf>
    <xf numFmtId="3" fontId="0" fillId="5" borderId="0" xfId="0" applyNumberFormat="1" applyFill="1"/>
    <xf numFmtId="0" fontId="18" fillId="0" borderId="0" xfId="0" applyFont="1"/>
    <xf numFmtId="0" fontId="8" fillId="3" borderId="0" xfId="0" applyFont="1" applyFill="1" applyAlignment="1" applyProtection="1">
      <alignment vertical="top"/>
      <protection locked="0"/>
    </xf>
    <xf numFmtId="2" fontId="3" fillId="0" borderId="0" xfId="0" applyNumberFormat="1" applyFont="1" applyBorder="1" applyAlignment="1">
      <alignment horizontal="center"/>
    </xf>
    <xf numFmtId="2" fontId="3" fillId="0" borderId="0" xfId="0" applyNumberFormat="1" applyFont="1" applyFill="1" applyBorder="1" applyAlignment="1">
      <alignment horizontal="center"/>
    </xf>
    <xf numFmtId="9" fontId="3" fillId="0" borderId="0" xfId="0" applyNumberFormat="1" applyFont="1" applyFill="1" applyBorder="1" applyAlignment="1">
      <alignment horizontal="center"/>
    </xf>
    <xf numFmtId="9" fontId="3" fillId="0" borderId="0" xfId="1" applyNumberFormat="1" applyFont="1" applyBorder="1" applyAlignment="1">
      <alignment horizontal="center"/>
    </xf>
    <xf numFmtId="3" fontId="3" fillId="0" borderId="0" xfId="0" applyNumberFormat="1" applyFont="1" applyBorder="1" applyAlignment="1">
      <alignment horizontal="center"/>
    </xf>
    <xf numFmtId="9" fontId="3" fillId="0" borderId="0" xfId="0" applyNumberFormat="1" applyFont="1" applyBorder="1" applyAlignment="1">
      <alignment horizontal="center"/>
    </xf>
    <xf numFmtId="0" fontId="3" fillId="0" borderId="0" xfId="0" applyFont="1" applyAlignment="1">
      <alignment horizontal="right"/>
    </xf>
    <xf numFmtId="0" fontId="0" fillId="0" borderId="10" xfId="0" applyBorder="1"/>
    <xf numFmtId="3" fontId="4" fillId="0" borderId="0" xfId="0" applyNumberFormat="1" applyFont="1" applyBorder="1" applyAlignment="1">
      <alignment horizontal="center"/>
    </xf>
    <xf numFmtId="0" fontId="20" fillId="0" borderId="0" xfId="2" applyFont="1"/>
    <xf numFmtId="0" fontId="17" fillId="12" borderId="0" xfId="0" applyFont="1" applyFill="1"/>
    <xf numFmtId="0" fontId="3" fillId="0" borderId="0" xfId="0" applyFont="1" applyAlignment="1">
      <alignment horizontal="center" wrapText="1"/>
    </xf>
    <xf numFmtId="3" fontId="4" fillId="3" borderId="6" xfId="0" applyNumberFormat="1" applyFont="1" applyFill="1" applyBorder="1" applyAlignment="1" applyProtection="1">
      <alignment horizontal="center"/>
      <protection locked="0"/>
    </xf>
    <xf numFmtId="0" fontId="3" fillId="12" borderId="0" xfId="0" applyFont="1" applyFill="1"/>
    <xf numFmtId="0" fontId="4" fillId="0" borderId="6" xfId="0" applyFont="1" applyBorder="1" applyAlignment="1">
      <alignment horizontal="center"/>
    </xf>
    <xf numFmtId="0" fontId="4" fillId="0" borderId="0" xfId="0" applyFont="1" applyFill="1" applyBorder="1" applyAlignment="1">
      <alignment horizontal="left" indent="1"/>
    </xf>
    <xf numFmtId="0" fontId="4" fillId="0" borderId="0" xfId="0" applyFont="1" applyFill="1" applyBorder="1" applyAlignment="1">
      <alignment horizontal="left"/>
    </xf>
    <xf numFmtId="0" fontId="3" fillId="0" borderId="0" xfId="0" applyFont="1" applyAlignment="1">
      <alignment horizontal="center" vertical="top" wrapText="1"/>
    </xf>
    <xf numFmtId="9" fontId="21" fillId="3" borderId="6" xfId="1" applyFont="1" applyFill="1" applyBorder="1" applyAlignment="1" applyProtection="1">
      <alignment horizontal="center"/>
      <protection locked="0"/>
    </xf>
    <xf numFmtId="3" fontId="3" fillId="0" borderId="0" xfId="0" applyNumberFormat="1" applyFont="1" applyBorder="1" applyAlignment="1">
      <alignment horizontal="left"/>
    </xf>
    <xf numFmtId="9" fontId="17" fillId="3" borderId="6" xfId="1" applyFont="1" applyFill="1" applyBorder="1" applyAlignment="1" applyProtection="1">
      <alignment horizontal="center"/>
      <protection locked="0"/>
    </xf>
    <xf numFmtId="9" fontId="4" fillId="0" borderId="0" xfId="0" applyNumberFormat="1" applyFont="1" applyAlignment="1">
      <alignment horizontal="center"/>
    </xf>
    <xf numFmtId="164" fontId="3" fillId="3" borderId="6" xfId="1" applyNumberFormat="1" applyFont="1" applyFill="1" applyBorder="1" applyAlignment="1" applyProtection="1">
      <alignment horizontal="center"/>
      <protection locked="0"/>
    </xf>
    <xf numFmtId="164" fontId="21" fillId="3" borderId="6" xfId="1" applyNumberFormat="1" applyFont="1" applyFill="1" applyBorder="1" applyAlignment="1" applyProtection="1">
      <alignment horizontal="center"/>
      <protection locked="0"/>
    </xf>
    <xf numFmtId="164" fontId="4" fillId="0" borderId="6" xfId="1" applyNumberFormat="1" applyFont="1" applyBorder="1" applyAlignment="1">
      <alignment horizontal="center"/>
    </xf>
    <xf numFmtId="164" fontId="3" fillId="0" borderId="0" xfId="1" applyNumberFormat="1" applyFont="1" applyBorder="1" applyAlignment="1">
      <alignment horizontal="center"/>
    </xf>
    <xf numFmtId="0" fontId="22" fillId="0" borderId="0" xfId="0" applyFont="1" applyAlignment="1">
      <alignment horizontal="left" vertical="center" indent="2"/>
    </xf>
    <xf numFmtId="0" fontId="22" fillId="0" borderId="0" xfId="0" applyFont="1" applyAlignment="1">
      <alignment horizontal="center" vertical="center"/>
    </xf>
    <xf numFmtId="0" fontId="23" fillId="0" borderId="0" xfId="0" applyFont="1" applyAlignment="1">
      <alignment horizontal="left" vertical="center" indent="2"/>
    </xf>
    <xf numFmtId="0" fontId="23" fillId="13" borderId="6" xfId="0" applyFont="1" applyFill="1" applyBorder="1" applyAlignment="1" applyProtection="1">
      <alignment horizontal="center" vertical="center"/>
      <protection locked="0"/>
    </xf>
    <xf numFmtId="0" fontId="24" fillId="0" borderId="0" xfId="0" applyFont="1" applyAlignment="1">
      <alignment horizontal="left" indent="2"/>
    </xf>
    <xf numFmtId="0" fontId="24" fillId="0" borderId="0" xfId="0" applyFont="1"/>
    <xf numFmtId="0" fontId="25" fillId="0" borderId="0" xfId="0" applyFont="1" applyAlignment="1">
      <alignment horizontal="left" vertical="center" indent="2"/>
    </xf>
    <xf numFmtId="9" fontId="3" fillId="3" borderId="6" xfId="1" applyNumberFormat="1" applyFont="1" applyFill="1" applyBorder="1" applyAlignment="1" applyProtection="1">
      <alignment horizontal="center"/>
      <protection locked="0"/>
    </xf>
    <xf numFmtId="9" fontId="4" fillId="0" borderId="6" xfId="0" applyNumberFormat="1" applyFont="1" applyFill="1" applyBorder="1" applyAlignment="1">
      <alignment horizontal="center"/>
    </xf>
    <xf numFmtId="9" fontId="4" fillId="3" borderId="6" xfId="1" applyFont="1" applyFill="1" applyBorder="1" applyAlignment="1" applyProtection="1">
      <alignment horizontal="center"/>
      <protection locked="0"/>
    </xf>
    <xf numFmtId="0" fontId="26" fillId="0" borderId="0" xfId="0" applyFont="1" applyAlignment="1">
      <alignment horizontal="left" vertical="center" readingOrder="1"/>
    </xf>
    <xf numFmtId="0" fontId="27" fillId="0" borderId="0" xfId="0" applyFont="1" applyAlignment="1">
      <alignment horizontal="left" vertical="center" readingOrder="1"/>
    </xf>
    <xf numFmtId="0" fontId="28" fillId="14" borderId="18" xfId="0" applyFont="1" applyFill="1" applyBorder="1" applyAlignment="1">
      <alignment horizontal="center" vertical="center" wrapText="1" readingOrder="1"/>
    </xf>
    <xf numFmtId="0" fontId="28" fillId="14" borderId="20" xfId="0" applyFont="1" applyFill="1" applyBorder="1" applyAlignment="1">
      <alignment horizontal="center" vertical="center" wrapText="1" readingOrder="1"/>
    </xf>
    <xf numFmtId="0" fontId="29" fillId="15" borderId="21" xfId="0" applyFont="1" applyFill="1" applyBorder="1" applyAlignment="1">
      <alignment horizontal="left" wrapText="1" readingOrder="1"/>
    </xf>
    <xf numFmtId="3" fontId="30" fillId="15" borderId="21" xfId="0" applyNumberFormat="1" applyFont="1" applyFill="1" applyBorder="1" applyAlignment="1">
      <alignment horizontal="right" vertical="center" wrapText="1" readingOrder="1"/>
    </xf>
    <xf numFmtId="0" fontId="30" fillId="15" borderId="21" xfId="0" applyFont="1" applyFill="1" applyBorder="1" applyAlignment="1">
      <alignment horizontal="right" vertical="center" wrapText="1" readingOrder="1"/>
    </xf>
    <xf numFmtId="9" fontId="30" fillId="15" borderId="21" xfId="0" applyNumberFormat="1" applyFont="1" applyFill="1" applyBorder="1" applyAlignment="1">
      <alignment horizontal="right" vertical="center" wrapText="1" readingOrder="1"/>
    </xf>
    <xf numFmtId="0" fontId="31" fillId="15" borderId="21" xfId="0" applyFont="1" applyFill="1" applyBorder="1" applyAlignment="1">
      <alignment horizontal="left" wrapText="1" readingOrder="1"/>
    </xf>
    <xf numFmtId="0" fontId="32" fillId="15" borderId="21" xfId="0" applyFont="1" applyFill="1" applyBorder="1" applyAlignment="1">
      <alignment horizontal="right" wrapText="1" readingOrder="1"/>
    </xf>
    <xf numFmtId="9" fontId="32" fillId="15" borderId="21" xfId="0" applyNumberFormat="1" applyFont="1" applyFill="1" applyBorder="1" applyAlignment="1">
      <alignment horizontal="right" wrapText="1" readingOrder="1"/>
    </xf>
    <xf numFmtId="3" fontId="32" fillId="15" borderId="21" xfId="0" applyNumberFormat="1" applyFont="1" applyFill="1" applyBorder="1" applyAlignment="1">
      <alignment horizontal="right" wrapText="1" readingOrder="1"/>
    </xf>
    <xf numFmtId="164" fontId="3" fillId="0" borderId="0" xfId="1" applyNumberFormat="1" applyFont="1"/>
    <xf numFmtId="0" fontId="30" fillId="16" borderId="22" xfId="0" applyFont="1" applyFill="1" applyBorder="1" applyAlignment="1">
      <alignment horizontal="left" wrapText="1" readingOrder="1"/>
    </xf>
    <xf numFmtId="0" fontId="33" fillId="16" borderId="22" xfId="0" applyFont="1" applyFill="1" applyBorder="1" applyAlignment="1">
      <alignment horizontal="right" wrapText="1" readingOrder="1"/>
    </xf>
    <xf numFmtId="9" fontId="33" fillId="16" borderId="22" xfId="0" applyNumberFormat="1" applyFont="1" applyFill="1" applyBorder="1" applyAlignment="1">
      <alignment horizontal="right" wrapText="1" readingOrder="1"/>
    </xf>
    <xf numFmtId="0" fontId="31" fillId="15" borderId="22" xfId="0" applyFont="1" applyFill="1" applyBorder="1" applyAlignment="1">
      <alignment horizontal="left" wrapText="1" readingOrder="1"/>
    </xf>
    <xf numFmtId="0" fontId="32" fillId="15" borderId="22" xfId="0" applyFont="1" applyFill="1" applyBorder="1" applyAlignment="1">
      <alignment horizontal="right" wrapText="1" readingOrder="1"/>
    </xf>
    <xf numFmtId="9" fontId="32" fillId="15" borderId="22" xfId="0" applyNumberFormat="1" applyFont="1" applyFill="1" applyBorder="1" applyAlignment="1">
      <alignment horizontal="right" wrapText="1" readingOrder="1"/>
    </xf>
    <xf numFmtId="0" fontId="31" fillId="16" borderId="22" xfId="0" applyFont="1" applyFill="1" applyBorder="1" applyAlignment="1">
      <alignment horizontal="left" wrapText="1" readingOrder="1"/>
    </xf>
    <xf numFmtId="0" fontId="32" fillId="16" borderId="22" xfId="0" applyFont="1" applyFill="1" applyBorder="1" applyAlignment="1">
      <alignment horizontal="right" wrapText="1" readingOrder="1"/>
    </xf>
    <xf numFmtId="9" fontId="32" fillId="16" borderId="22" xfId="0" applyNumberFormat="1" applyFont="1" applyFill="1" applyBorder="1" applyAlignment="1">
      <alignment horizontal="right" wrapText="1" readingOrder="1"/>
    </xf>
    <xf numFmtId="3" fontId="32" fillId="16" borderId="22" xfId="0" applyNumberFormat="1" applyFont="1" applyFill="1" applyBorder="1" applyAlignment="1">
      <alignment horizontal="right" wrapText="1" readingOrder="1"/>
    </xf>
    <xf numFmtId="0" fontId="30" fillId="15" borderId="22" xfId="0" applyFont="1" applyFill="1" applyBorder="1" applyAlignment="1">
      <alignment horizontal="left" wrapText="1" readingOrder="1"/>
    </xf>
    <xf numFmtId="0" fontId="33" fillId="15" borderId="22" xfId="0" applyFont="1" applyFill="1" applyBorder="1" applyAlignment="1">
      <alignment horizontal="right" wrapText="1" readingOrder="1"/>
    </xf>
    <xf numFmtId="9" fontId="33" fillId="15" borderId="22" xfId="0" applyNumberFormat="1" applyFont="1" applyFill="1" applyBorder="1" applyAlignment="1">
      <alignment horizontal="right" wrapText="1" readingOrder="1"/>
    </xf>
    <xf numFmtId="0" fontId="33" fillId="15" borderId="22" xfId="0" applyFont="1" applyFill="1" applyBorder="1" applyAlignment="1">
      <alignment horizontal="left" wrapText="1" readingOrder="1"/>
    </xf>
    <xf numFmtId="0" fontId="31" fillId="16" borderId="22" xfId="0" applyFont="1" applyFill="1" applyBorder="1" applyAlignment="1">
      <alignment horizontal="right" vertical="center" wrapText="1" readingOrder="1"/>
    </xf>
    <xf numFmtId="9" fontId="31" fillId="16" borderId="22" xfId="0" applyNumberFormat="1" applyFont="1" applyFill="1" applyBorder="1" applyAlignment="1">
      <alignment horizontal="right" vertical="center" wrapText="1" readingOrder="1"/>
    </xf>
    <xf numFmtId="3" fontId="31" fillId="16" borderId="22" xfId="0" applyNumberFormat="1" applyFont="1" applyFill="1" applyBorder="1" applyAlignment="1">
      <alignment horizontal="right" vertical="center" wrapText="1" readingOrder="1"/>
    </xf>
    <xf numFmtId="0" fontId="31" fillId="15" borderId="22" xfId="0" applyFont="1" applyFill="1" applyBorder="1" applyAlignment="1">
      <alignment horizontal="right" vertical="center" wrapText="1" readingOrder="1"/>
    </xf>
    <xf numFmtId="9" fontId="31" fillId="15" borderId="22" xfId="0" applyNumberFormat="1" applyFont="1" applyFill="1" applyBorder="1" applyAlignment="1">
      <alignment horizontal="right" vertical="center" wrapText="1" readingOrder="1"/>
    </xf>
    <xf numFmtId="3" fontId="31" fillId="15" borderId="22" xfId="0" applyNumberFormat="1" applyFont="1" applyFill="1" applyBorder="1" applyAlignment="1">
      <alignment horizontal="right" vertical="center" wrapText="1" readingOrder="1"/>
    </xf>
    <xf numFmtId="0" fontId="30" fillId="16" borderId="22" xfId="0" applyFont="1" applyFill="1" applyBorder="1" applyAlignment="1">
      <alignment horizontal="right" vertical="center" wrapText="1" readingOrder="1"/>
    </xf>
    <xf numFmtId="9" fontId="30" fillId="16" borderId="22" xfId="0" applyNumberFormat="1" applyFont="1" applyFill="1" applyBorder="1" applyAlignment="1">
      <alignment horizontal="right" vertical="center" wrapText="1" readingOrder="1"/>
    </xf>
    <xf numFmtId="3" fontId="30" fillId="16" borderId="22" xfId="0" applyNumberFormat="1" applyFont="1" applyFill="1" applyBorder="1" applyAlignment="1">
      <alignment horizontal="right" vertical="center" wrapText="1" readingOrder="1"/>
    </xf>
    <xf numFmtId="0" fontId="30" fillId="15" borderId="22" xfId="0" applyFont="1" applyFill="1" applyBorder="1" applyAlignment="1">
      <alignment horizontal="right" vertical="center" wrapText="1" readingOrder="1"/>
    </xf>
    <xf numFmtId="9" fontId="30" fillId="15" borderId="22" xfId="0" applyNumberFormat="1" applyFont="1" applyFill="1" applyBorder="1" applyAlignment="1">
      <alignment horizontal="right" vertical="center" wrapText="1" readingOrder="1"/>
    </xf>
    <xf numFmtId="3" fontId="30" fillId="15" borderId="22" xfId="0" applyNumberFormat="1" applyFont="1" applyFill="1" applyBorder="1" applyAlignment="1">
      <alignment horizontal="right" vertical="center" wrapText="1" readingOrder="1"/>
    </xf>
    <xf numFmtId="0" fontId="4" fillId="17" borderId="0" xfId="0" applyFont="1" applyFill="1"/>
    <xf numFmtId="0" fontId="4" fillId="17" borderId="0" xfId="0" applyFont="1" applyFill="1" applyAlignment="1">
      <alignment horizontal="center"/>
    </xf>
    <xf numFmtId="3" fontId="4" fillId="0" borderId="6" xfId="0" applyNumberFormat="1" applyFont="1" applyBorder="1" applyAlignment="1">
      <alignment horizontal="center"/>
    </xf>
    <xf numFmtId="3" fontId="3" fillId="17" borderId="0" xfId="0" applyNumberFormat="1" applyFont="1" applyFill="1" applyBorder="1" applyAlignment="1">
      <alignment horizontal="center"/>
    </xf>
    <xf numFmtId="3" fontId="4" fillId="17" borderId="0" xfId="0" applyNumberFormat="1" applyFont="1" applyFill="1" applyBorder="1" applyAlignment="1">
      <alignment horizontal="center"/>
    </xf>
    <xf numFmtId="0" fontId="21" fillId="0" borderId="0" xfId="0" applyFont="1"/>
    <xf numFmtId="0" fontId="19" fillId="0" borderId="0" xfId="0" applyFont="1"/>
    <xf numFmtId="9" fontId="10" fillId="0" borderId="0" xfId="0" applyNumberFormat="1" applyFont="1"/>
    <xf numFmtId="3" fontId="10" fillId="0" borderId="0" xfId="0" applyNumberFormat="1" applyFont="1"/>
    <xf numFmtId="166" fontId="10" fillId="0" borderId="0" xfId="0" applyNumberFormat="1" applyFont="1"/>
    <xf numFmtId="0" fontId="10" fillId="0" borderId="0" xfId="0" applyFont="1" applyFill="1"/>
    <xf numFmtId="0" fontId="24" fillId="0" borderId="0" xfId="0" applyFont="1" applyAlignment="1">
      <alignment horizontal="left"/>
    </xf>
    <xf numFmtId="3" fontId="0" fillId="5" borderId="0" xfId="0" applyNumberFormat="1" applyFill="1" applyAlignment="1">
      <alignment wrapText="1"/>
    </xf>
    <xf numFmtId="3" fontId="0" fillId="0" borderId="0" xfId="0" applyNumberFormat="1"/>
    <xf numFmtId="0" fontId="0" fillId="0" borderId="0" xfId="0" applyAlignment="1">
      <alignment wrapText="1"/>
    </xf>
    <xf numFmtId="0" fontId="21" fillId="0" borderId="0" xfId="0" applyFont="1" applyAlignment="1">
      <alignment horizontal="center" wrapText="1"/>
    </xf>
    <xf numFmtId="3" fontId="34" fillId="0" borderId="6" xfId="0" applyNumberFormat="1" applyFont="1" applyFill="1" applyBorder="1" applyAlignment="1">
      <alignment horizontal="center"/>
    </xf>
    <xf numFmtId="1" fontId="10" fillId="0" borderId="0" xfId="0" applyNumberFormat="1" applyFont="1" applyBorder="1" applyAlignment="1">
      <alignment horizontal="center"/>
    </xf>
    <xf numFmtId="0" fontId="10" fillId="0" borderId="0" xfId="0" applyFont="1" applyBorder="1" applyAlignment="1">
      <alignment horizontal="center"/>
    </xf>
    <xf numFmtId="0" fontId="10" fillId="0" borderId="0" xfId="0" applyFont="1" applyFill="1" applyBorder="1" applyAlignment="1">
      <alignment horizontal="center"/>
    </xf>
    <xf numFmtId="0" fontId="3" fillId="0" borderId="0" xfId="0" applyFont="1" applyFill="1" applyBorder="1"/>
    <xf numFmtId="166" fontId="3" fillId="0" borderId="0" xfId="1" applyNumberFormat="1" applyFont="1" applyBorder="1" applyAlignment="1">
      <alignment horizontal="center"/>
    </xf>
    <xf numFmtId="0" fontId="36" fillId="0" borderId="0" xfId="0" applyFont="1"/>
    <xf numFmtId="0" fontId="3" fillId="0" borderId="0" xfId="0" applyFont="1" applyAlignment="1">
      <alignment horizontal="left" vertical="center"/>
    </xf>
    <xf numFmtId="166" fontId="3" fillId="0" borderId="6" xfId="0" applyNumberFormat="1" applyFont="1" applyBorder="1" applyAlignment="1">
      <alignment horizontal="center"/>
    </xf>
    <xf numFmtId="0" fontId="3" fillId="0" borderId="0" xfId="0" applyFont="1" applyAlignment="1">
      <alignment horizontal="left" indent="3"/>
    </xf>
    <xf numFmtId="0" fontId="21" fillId="0" borderId="0" xfId="0" applyFont="1" applyFill="1"/>
    <xf numFmtId="0" fontId="3" fillId="0" borderId="0" xfId="0" applyFont="1" applyBorder="1" applyAlignment="1">
      <alignment horizontal="left" vertical="center"/>
    </xf>
    <xf numFmtId="1" fontId="3" fillId="0" borderId="0" xfId="0" applyNumberFormat="1" applyFont="1" applyBorder="1" applyAlignment="1">
      <alignment horizontal="left" vertical="center"/>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3" fillId="0" borderId="0" xfId="0" applyFont="1" applyAlignment="1"/>
    <xf numFmtId="0" fontId="3" fillId="0" borderId="0" xfId="0" applyFont="1" applyBorder="1" applyAlignment="1">
      <alignment horizontal="left"/>
    </xf>
    <xf numFmtId="0" fontId="6" fillId="0" borderId="0" xfId="2" applyFill="1" applyAlignment="1">
      <alignment horizontal="center" vertical="center" wrapText="1"/>
    </xf>
    <xf numFmtId="0" fontId="38" fillId="0" borderId="0" xfId="0" applyFont="1"/>
    <xf numFmtId="0" fontId="39" fillId="0" borderId="0" xfId="0" applyFont="1"/>
    <xf numFmtId="9" fontId="38" fillId="0" borderId="0" xfId="0" applyNumberFormat="1" applyFont="1"/>
    <xf numFmtId="0" fontId="40" fillId="0" borderId="0" xfId="0" applyFont="1"/>
    <xf numFmtId="0" fontId="38" fillId="0" borderId="0" xfId="0" applyFont="1" applyAlignment="1">
      <alignment horizontal="left" indent="1"/>
    </xf>
    <xf numFmtId="1" fontId="3" fillId="3" borderId="6" xfId="0" applyNumberFormat="1" applyFont="1" applyFill="1" applyBorder="1" applyAlignment="1" applyProtection="1">
      <alignment horizontal="center"/>
      <protection locked="0"/>
    </xf>
    <xf numFmtId="169" fontId="3" fillId="0" borderId="0" xfId="0" applyNumberFormat="1" applyFont="1"/>
    <xf numFmtId="0" fontId="41" fillId="0" borderId="0" xfId="0" applyFont="1"/>
    <xf numFmtId="0" fontId="0" fillId="0" borderId="0" xfId="0" applyNumberFormat="1"/>
    <xf numFmtId="0" fontId="42" fillId="0" borderId="0" xfId="0" applyFont="1"/>
    <xf numFmtId="0" fontId="3" fillId="0" borderId="0" xfId="0" applyFont="1" applyAlignment="1">
      <alignment horizontal="left" vertical="center"/>
    </xf>
    <xf numFmtId="0" fontId="43" fillId="0" borderId="0" xfId="0" applyFont="1" applyAlignment="1">
      <alignment vertical="center" wrapText="1"/>
    </xf>
    <xf numFmtId="0" fontId="44" fillId="0" borderId="0" xfId="0" applyFont="1" applyAlignment="1">
      <alignment vertical="center" wrapText="1"/>
    </xf>
    <xf numFmtId="0" fontId="21" fillId="0" borderId="0" xfId="0" applyFont="1" applyAlignment="1">
      <alignment horizontal="center" vertical="center" wrapText="1"/>
    </xf>
    <xf numFmtId="3" fontId="21" fillId="0" borderId="6" xfId="0" applyNumberFormat="1" applyFont="1" applyBorder="1" applyAlignment="1">
      <alignment horizontal="center"/>
    </xf>
    <xf numFmtId="0" fontId="45" fillId="0" borderId="0" xfId="0" applyFont="1" applyAlignment="1">
      <alignment vertical="center" wrapText="1"/>
    </xf>
    <xf numFmtId="0" fontId="34" fillId="0" borderId="0" xfId="0" applyFont="1"/>
    <xf numFmtId="4" fontId="3" fillId="0" borderId="0" xfId="0" applyNumberFormat="1" applyFont="1" applyAlignment="1">
      <alignment horizontal="center" vertical="center" wrapText="1"/>
    </xf>
    <xf numFmtId="4" fontId="3" fillId="0" borderId="6" xfId="0" applyNumberFormat="1" applyFont="1" applyBorder="1" applyAlignment="1">
      <alignment horizontal="center"/>
    </xf>
    <xf numFmtId="4" fontId="3" fillId="0" borderId="0" xfId="0" applyNumberFormat="1" applyFont="1" applyAlignment="1">
      <alignment horizontal="center"/>
    </xf>
    <xf numFmtId="4" fontId="3" fillId="0" borderId="6" xfId="0" applyNumberFormat="1" applyFont="1" applyFill="1" applyBorder="1" applyAlignment="1">
      <alignment horizontal="center"/>
    </xf>
    <xf numFmtId="4" fontId="3" fillId="0" borderId="0" xfId="0" applyNumberFormat="1" applyFont="1" applyFill="1"/>
    <xf numFmtId="4" fontId="3" fillId="0" borderId="0" xfId="0" applyNumberFormat="1" applyFont="1" applyFill="1" applyAlignment="1">
      <alignment horizontal="center"/>
    </xf>
    <xf numFmtId="4" fontId="3" fillId="0" borderId="0" xfId="0" applyNumberFormat="1" applyFont="1"/>
    <xf numFmtId="4" fontId="3" fillId="0" borderId="0" xfId="0" applyNumberFormat="1" applyFont="1" applyFill="1" applyBorder="1" applyAlignment="1">
      <alignment horizontal="center"/>
    </xf>
    <xf numFmtId="0" fontId="4" fillId="0" borderId="0" xfId="0" applyFont="1" applyAlignment="1">
      <alignment horizontal="left" vertical="center"/>
    </xf>
    <xf numFmtId="0" fontId="3" fillId="3" borderId="6" xfId="0" applyFont="1" applyFill="1" applyBorder="1" applyAlignment="1" applyProtection="1">
      <alignment horizontal="center"/>
      <protection locked="0"/>
    </xf>
    <xf numFmtId="0" fontId="4" fillId="0" borderId="0" xfId="0" applyFont="1" applyAlignment="1">
      <alignment horizontal="left"/>
    </xf>
    <xf numFmtId="0" fontId="4" fillId="0" borderId="0" xfId="0" applyFont="1" applyAlignment="1">
      <alignment horizontal="left" indent="2"/>
    </xf>
    <xf numFmtId="0" fontId="23" fillId="0" borderId="0" xfId="0" applyFont="1" applyAlignment="1">
      <alignment horizontal="left" vertical="center" indent="3"/>
    </xf>
    <xf numFmtId="0" fontId="25" fillId="0" borderId="0" xfId="0" applyFont="1" applyAlignment="1">
      <alignment horizontal="left" vertical="center" indent="3"/>
    </xf>
    <xf numFmtId="0" fontId="25" fillId="0" borderId="6" xfId="0" applyFont="1" applyBorder="1" applyAlignment="1">
      <alignment horizontal="center" vertical="center"/>
    </xf>
    <xf numFmtId="0" fontId="10" fillId="0" borderId="0" xfId="0" applyFont="1" applyAlignment="1">
      <alignment horizontal="right"/>
    </xf>
    <xf numFmtId="0" fontId="10" fillId="0" borderId="0" xfId="0" applyFont="1" applyAlignment="1">
      <alignment horizontal="left" indent="1"/>
    </xf>
    <xf numFmtId="0" fontId="46" fillId="0" borderId="0" xfId="0" applyFont="1" applyBorder="1" applyAlignment="1">
      <alignment horizontal="left"/>
    </xf>
    <xf numFmtId="0" fontId="0" fillId="5" borderId="0" xfId="0" applyFill="1"/>
    <xf numFmtId="14" fontId="0" fillId="0" borderId="0" xfId="0" applyNumberFormat="1"/>
    <xf numFmtId="0" fontId="2" fillId="0" borderId="0" xfId="0" applyFont="1"/>
    <xf numFmtId="3" fontId="0" fillId="0" borderId="0" xfId="0" applyNumberFormat="1"/>
    <xf numFmtId="1" fontId="0" fillId="0" borderId="0" xfId="0" applyNumberFormat="1"/>
    <xf numFmtId="9" fontId="0" fillId="0" borderId="0" xfId="1" applyFont="1"/>
    <xf numFmtId="0" fontId="4" fillId="0" borderId="0" xfId="0" applyFont="1" applyBorder="1" applyAlignment="1">
      <alignment vertical="center"/>
    </xf>
    <xf numFmtId="3" fontId="3" fillId="0" borderId="0" xfId="0" applyNumberFormat="1" applyFont="1" applyAlignment="1">
      <alignment horizontal="center"/>
    </xf>
    <xf numFmtId="3" fontId="4" fillId="0" borderId="0" xfId="0" applyNumberFormat="1" applyFont="1" applyAlignment="1">
      <alignment horizontal="center"/>
    </xf>
    <xf numFmtId="0" fontId="4" fillId="49" borderId="0" xfId="0" applyFont="1" applyFill="1" applyBorder="1" applyAlignment="1">
      <alignment horizontal="center"/>
    </xf>
    <xf numFmtId="3" fontId="3" fillId="49" borderId="0" xfId="0" applyNumberFormat="1" applyFont="1" applyFill="1" applyAlignment="1">
      <alignment horizontal="center"/>
    </xf>
    <xf numFmtId="3" fontId="4" fillId="49" borderId="0" xfId="0" applyNumberFormat="1" applyFont="1" applyFill="1" applyAlignment="1">
      <alignment horizontal="center"/>
    </xf>
    <xf numFmtId="0" fontId="3" fillId="49" borderId="0" xfId="0" applyFont="1" applyFill="1"/>
    <xf numFmtId="164" fontId="3" fillId="0" borderId="0" xfId="1" applyNumberFormat="1" applyFont="1" applyAlignment="1">
      <alignment horizontal="center"/>
    </xf>
    <xf numFmtId="3" fontId="3" fillId="50" borderId="0" xfId="0" applyNumberFormat="1" applyFont="1" applyFill="1" applyAlignment="1">
      <alignment horizontal="center"/>
    </xf>
    <xf numFmtId="3" fontId="4" fillId="50" borderId="0" xfId="0" applyNumberFormat="1" applyFont="1" applyFill="1" applyAlignment="1">
      <alignment horizontal="center"/>
    </xf>
    <xf numFmtId="0" fontId="3" fillId="51" borderId="0" xfId="0" applyFont="1" applyFill="1" applyAlignment="1">
      <alignment horizontal="center"/>
    </xf>
    <xf numFmtId="0" fontId="4" fillId="49" borderId="0" xfId="0" applyFont="1" applyFill="1" applyAlignment="1">
      <alignment horizontal="center"/>
    </xf>
    <xf numFmtId="170" fontId="3" fillId="0" borderId="6" xfId="0" applyNumberFormat="1" applyFont="1" applyBorder="1" applyAlignment="1">
      <alignment horizontal="center"/>
    </xf>
    <xf numFmtId="170" fontId="3" fillId="3" borderId="6" xfId="0" applyNumberFormat="1" applyFont="1" applyFill="1" applyBorder="1" applyAlignment="1" applyProtection="1">
      <alignment horizontal="center"/>
      <protection locked="0"/>
    </xf>
    <xf numFmtId="165" fontId="0" fillId="0" borderId="0" xfId="0" applyNumberFormat="1"/>
    <xf numFmtId="0" fontId="3" fillId="3" borderId="0" xfId="0" applyFont="1" applyFill="1" applyAlignment="1">
      <alignment horizontal="center"/>
    </xf>
    <xf numFmtId="0" fontId="3" fillId="3" borderId="6" xfId="0" applyFont="1" applyFill="1" applyBorder="1" applyAlignment="1">
      <alignment horizontal="center"/>
    </xf>
    <xf numFmtId="9" fontId="0" fillId="3" borderId="0" xfId="0" applyNumberFormat="1" applyFill="1" applyAlignment="1">
      <alignment horizontal="center"/>
    </xf>
    <xf numFmtId="165" fontId="3" fillId="0" borderId="0" xfId="0" applyNumberFormat="1" applyFont="1"/>
    <xf numFmtId="164" fontId="0" fillId="0" borderId="0" xfId="0" applyNumberFormat="1"/>
    <xf numFmtId="0" fontId="60" fillId="0" borderId="0" xfId="0" applyFont="1" applyAlignment="1">
      <alignment horizontal="left"/>
    </xf>
    <xf numFmtId="166" fontId="0" fillId="0" borderId="0" xfId="0" applyNumberFormat="1"/>
    <xf numFmtId="0" fontId="3" fillId="0" borderId="11" xfId="0" applyFont="1" applyBorder="1" applyAlignment="1">
      <alignment horizontal="left" vertical="center" wrapText="1" indent="1"/>
    </xf>
    <xf numFmtId="0" fontId="3" fillId="0" borderId="12" xfId="0" applyFont="1" applyBorder="1" applyAlignment="1">
      <alignment horizontal="left" vertical="center" wrapText="1" indent="1"/>
    </xf>
    <xf numFmtId="0" fontId="3" fillId="0" borderId="13" xfId="0" applyFont="1" applyBorder="1" applyAlignment="1">
      <alignment horizontal="left" vertical="center" wrapText="1" indent="1"/>
    </xf>
    <xf numFmtId="0" fontId="3" fillId="0" borderId="14" xfId="0" applyFont="1" applyBorder="1" applyAlignment="1">
      <alignment horizontal="left" vertical="center" wrapText="1" indent="1"/>
    </xf>
    <xf numFmtId="0" fontId="3" fillId="0" borderId="15" xfId="0" applyFont="1" applyBorder="1" applyAlignment="1">
      <alignment horizontal="left" vertical="center" wrapText="1" indent="1"/>
    </xf>
    <xf numFmtId="0" fontId="3" fillId="0" borderId="16" xfId="0" applyFont="1" applyBorder="1" applyAlignment="1">
      <alignment horizontal="left" vertical="center" wrapText="1" indent="1"/>
    </xf>
    <xf numFmtId="0" fontId="3" fillId="0" borderId="0" xfId="0" applyFont="1" applyAlignment="1">
      <alignment horizontal="left" vertical="center"/>
    </xf>
    <xf numFmtId="0" fontId="3" fillId="0" borderId="17" xfId="0" applyFont="1" applyBorder="1" applyAlignment="1">
      <alignment horizontal="left" vertical="center"/>
    </xf>
    <xf numFmtId="0" fontId="9" fillId="0" borderId="0" xfId="0" applyFont="1" applyAlignment="1">
      <alignment horizontal="left" vertical="center" wrapText="1"/>
    </xf>
    <xf numFmtId="0" fontId="3" fillId="4" borderId="0" xfId="0" quotePrefix="1" applyFont="1" applyFill="1" applyAlignment="1">
      <alignment horizontal="left" vertical="center" wrapText="1"/>
    </xf>
    <xf numFmtId="0" fontId="3" fillId="0" borderId="0" xfId="0" applyFont="1" applyAlignment="1">
      <alignment horizontal="center" wrapText="1"/>
    </xf>
    <xf numFmtId="0" fontId="3" fillId="0" borderId="0" xfId="0" applyFont="1" applyAlignment="1">
      <alignment horizontal="left" wrapText="1"/>
    </xf>
    <xf numFmtId="0" fontId="4" fillId="49" borderId="0" xfId="0" applyFont="1" applyFill="1" applyAlignment="1">
      <alignment horizontal="center"/>
    </xf>
    <xf numFmtId="0" fontId="4" fillId="7" borderId="6"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9" xfId="0" applyFont="1" applyFill="1" applyBorder="1" applyAlignment="1">
      <alignment horizontal="center"/>
    </xf>
    <xf numFmtId="0" fontId="28" fillId="14" borderId="18" xfId="0" applyFont="1" applyFill="1" applyBorder="1" applyAlignment="1">
      <alignment horizontal="center" vertical="center" wrapText="1" readingOrder="1"/>
    </xf>
    <xf numFmtId="0" fontId="28" fillId="14" borderId="20" xfId="0" applyFont="1" applyFill="1" applyBorder="1" applyAlignment="1">
      <alignment horizontal="center" vertical="center" wrapText="1" readingOrder="1"/>
    </xf>
    <xf numFmtId="0" fontId="3" fillId="0" borderId="19" xfId="0" applyFont="1" applyBorder="1" applyAlignment="1">
      <alignment horizontal="center" vertical="top"/>
    </xf>
    <xf numFmtId="0" fontId="3" fillId="0" borderId="0" xfId="0" applyFont="1" applyAlignment="1">
      <alignment horizontal="center" vertical="top"/>
    </xf>
    <xf numFmtId="0" fontId="3" fillId="3" borderId="6" xfId="0" applyFont="1" applyFill="1" applyBorder="1" applyAlignment="1" applyProtection="1">
      <alignment horizontal="center"/>
      <protection locked="0"/>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2" builtinId="8"/>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1" builtinId="5"/>
    <cellStyle name="Title" xfId="3" builtinId="15" customBuiltin="1"/>
    <cellStyle name="Total" xfId="19" builtinId="25" customBuiltin="1"/>
    <cellStyle name="Warning Text" xfId="16" builtinId="11" customBuiltin="1"/>
  </cellStyles>
  <dxfs count="82">
    <dxf>
      <font>
        <name val="Calibri Light"/>
        <scheme val="major"/>
      </font>
    </dxf>
    <dxf>
      <font>
        <name val="Calibri Light"/>
        <scheme val="major"/>
      </font>
    </dxf>
    <dxf>
      <font>
        <b/>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dxf>
    <dxf>
      <font>
        <color theme="0"/>
      </font>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left/>
        <right/>
        <top/>
        <bottom/>
      </border>
    </dxf>
  </dxfs>
  <tableStyles count="0" defaultTableStyle="TableStyleMedium2" defaultPivotStyle="PivotStyleLight16"/>
  <colors>
    <mruColors>
      <color rgb="FF00B2E3"/>
      <color rgb="FFE2E2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'Custom Graphics'!$H$13</c:f>
          <c:strCache>
            <c:ptCount val="1"/>
            <c:pt idx="0">
              <c:v>Estimated backlog size and 
time to clear the backlog for Custom</c:v>
            </c:pt>
          </c:strCache>
        </c:strRef>
      </c:tx>
      <c:layout>
        <c:manualLayout>
          <c:xMode val="edge"/>
          <c:yMode val="edge"/>
          <c:x val="1.0337485449352425E-3"/>
          <c:y val="0"/>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lotArea>
      <c:layout/>
      <c:scatterChart>
        <c:scatterStyle val="lineMarker"/>
        <c:varyColors val="0"/>
        <c:ser>
          <c:idx val="0"/>
          <c:order val="0"/>
          <c:tx>
            <c:strRef>
              <c:f>'Custom Graphics'!$C$14</c:f>
              <c:strCache>
                <c:ptCount val="1"/>
                <c:pt idx="0">
                  <c:v>Scenario 1:
+1 day a week</c:v>
                </c:pt>
              </c:strCache>
            </c:strRef>
          </c:tx>
          <c:spPr>
            <a:ln w="12700" cap="rnd">
              <a:solidFill>
                <a:schemeClr val="tx2"/>
              </a:solidFill>
              <a:prstDash val="dash"/>
              <a:round/>
            </a:ln>
            <a:effectLst/>
          </c:spPr>
          <c:marker>
            <c:symbol val="circle"/>
            <c:size val="5"/>
            <c:spPr>
              <a:solidFill>
                <a:schemeClr val="tx2"/>
              </a:solidFill>
              <a:ln w="12700">
                <a:solidFill>
                  <a:schemeClr val="tx2"/>
                </a:solidFill>
              </a:ln>
              <a:effectLst/>
            </c:spPr>
          </c:marker>
          <c:dLbls>
            <c:dLbl>
              <c:idx val="0"/>
              <c:layout>
                <c:manualLayout>
                  <c:x val="0"/>
                  <c:y val="-3.6745485101608723E-2"/>
                </c:manualLayout>
              </c:layout>
              <c:tx>
                <c:rich>
                  <a:bodyPr/>
                  <a:lstStyle/>
                  <a:p>
                    <a:fld id="{946799A0-6D1B-40EA-8D15-ECB78A35B76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5-72A9-4382-AFE7-14FA65EA4D21}"/>
                </c:ext>
              </c:extLst>
            </c:dLbl>
            <c:dLbl>
              <c:idx val="1"/>
              <c:layout>
                <c:manualLayout>
                  <c:x val="-6.7201045438992912E-3"/>
                  <c:y val="-3.5568323569989936E-2"/>
                </c:manualLayout>
              </c:layout>
              <c:tx>
                <c:rich>
                  <a:bodyPr/>
                  <a:lstStyle/>
                  <a:p>
                    <a:fld id="{65296842-382C-4D1C-95B5-52DE76288AD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52E2-4E1F-B690-3B7F00ED80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'Custom Graphics'!$H$17:$H$18</c:f>
              <c:numCache>
                <c:formatCode>0.0</c:formatCode>
                <c:ptCount val="2"/>
                <c:pt idx="0" formatCode="General">
                  <c:v>0</c:v>
                </c:pt>
                <c:pt idx="1">
                  <c:v>4.5599999999999996</c:v>
                </c:pt>
              </c:numCache>
            </c:numRef>
          </c:xVal>
          <c:yVal>
            <c:numRef>
              <c:f>'Custom Graphics'!$I$17:$I$18</c:f>
              <c:numCache>
                <c:formatCode>General</c:formatCode>
                <c:ptCount val="2"/>
                <c:pt idx="0" formatCode="#,##0">
                  <c:v>228</c:v>
                </c:pt>
                <c:pt idx="1">
                  <c:v>0</c:v>
                </c:pt>
              </c:numCache>
            </c:numRef>
          </c:yVal>
          <c:smooth val="0"/>
          <c:extLst>
            <c:ext xmlns:c15="http://schemas.microsoft.com/office/drawing/2012/chart" uri="{02D57815-91ED-43cb-92C2-25804820EDAC}">
              <c15:datalabelsRange>
                <c15:f>'Custom Graphics'!$H$19:$H$20</c15:f>
                <c15:dlblRangeCache>
                  <c:ptCount val="2"/>
                  <c:pt idx="0">
                    <c:v>228</c:v>
                  </c:pt>
                  <c:pt idx="1">
                    <c:v>4.6 weeks</c:v>
                  </c:pt>
                </c15:dlblRangeCache>
              </c15:datalabelsRange>
            </c:ext>
            <c:ext xmlns:c16="http://schemas.microsoft.com/office/drawing/2014/chart" uri="{C3380CC4-5D6E-409C-BE32-E72D297353CC}">
              <c16:uniqueId val="{00000000-72A9-4382-AFE7-14FA65EA4D21}"/>
            </c:ext>
          </c:extLst>
        </c:ser>
        <c:ser>
          <c:idx val="1"/>
          <c:order val="1"/>
          <c:tx>
            <c:strRef>
              <c:f>'Custom Graphics'!$D$14</c:f>
              <c:strCache>
                <c:ptCount val="1"/>
                <c:pt idx="0">
                  <c:v>Scenario 2:
+2 days a week</c:v>
                </c:pt>
              </c:strCache>
            </c:strRef>
          </c:tx>
          <c:spPr>
            <a:ln w="12700" cap="rnd">
              <a:solidFill>
                <a:schemeClr val="accent2"/>
              </a:solidFill>
              <a:prstDash val="dash"/>
              <a:round/>
            </a:ln>
            <a:effectLst/>
          </c:spPr>
          <c:marker>
            <c:symbol val="circle"/>
            <c:size val="5"/>
            <c:spPr>
              <a:solidFill>
                <a:schemeClr val="accent2"/>
              </a:solidFill>
              <a:ln w="9525">
                <a:solidFill>
                  <a:schemeClr val="accent2"/>
                </a:solidFill>
              </a:ln>
              <a:effectLst/>
            </c:spPr>
          </c:marker>
          <c:dLbls>
            <c:dLbl>
              <c:idx val="0"/>
              <c:layout/>
              <c:tx>
                <c:rich>
                  <a:bodyPr/>
                  <a:lstStyle/>
                  <a:p>
                    <a:fld id="{ABC82623-394D-4525-9786-D835F019E23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6-72A9-4382-AFE7-14FA65EA4D21}"/>
                </c:ext>
              </c:extLst>
            </c:dLbl>
            <c:dLbl>
              <c:idx val="1"/>
              <c:layout>
                <c:manualLayout>
                  <c:x val="-4.9980741190842233E-3"/>
                  <c:y val="-3.552367842198785E-2"/>
                </c:manualLayout>
              </c:layout>
              <c:tx>
                <c:rich>
                  <a:bodyPr/>
                  <a:lstStyle/>
                  <a:p>
                    <a:fld id="{D42FB9C9-1B11-493A-A8ED-F76C5BDDA97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52E2-4E1F-B690-3B7F00ED80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'Custom Graphics'!$J$17:$J$18</c:f>
              <c:numCache>
                <c:formatCode>0.0</c:formatCode>
                <c:ptCount val="2"/>
                <c:pt idx="0" formatCode="General">
                  <c:v>0</c:v>
                </c:pt>
                <c:pt idx="1">
                  <c:v>2.2799999999999998</c:v>
                </c:pt>
              </c:numCache>
            </c:numRef>
          </c:xVal>
          <c:yVal>
            <c:numRef>
              <c:f>'Custom Graphics'!$K$17:$K$18</c:f>
              <c:numCache>
                <c:formatCode>General</c:formatCode>
                <c:ptCount val="2"/>
                <c:pt idx="0" formatCode="#,##0">
                  <c:v>228</c:v>
                </c:pt>
                <c:pt idx="1">
                  <c:v>0</c:v>
                </c:pt>
              </c:numCache>
            </c:numRef>
          </c:yVal>
          <c:smooth val="0"/>
          <c:extLst>
            <c:ext xmlns:c15="http://schemas.microsoft.com/office/drawing/2012/chart" uri="{02D57815-91ED-43cb-92C2-25804820EDAC}">
              <c15:datalabelsRange>
                <c15:f>'Custom Graphics'!$J$19:$J$20</c15:f>
                <c15:dlblRangeCache>
                  <c:ptCount val="2"/>
                  <c:pt idx="1">
                    <c:v>2.3 weeks</c:v>
                  </c:pt>
                </c15:dlblRangeCache>
              </c15:datalabelsRange>
            </c:ext>
            <c:ext xmlns:c16="http://schemas.microsoft.com/office/drawing/2014/chart" uri="{C3380CC4-5D6E-409C-BE32-E72D297353CC}">
              <c16:uniqueId val="{00000001-72A9-4382-AFE7-14FA65EA4D21}"/>
            </c:ext>
          </c:extLst>
        </c:ser>
        <c:ser>
          <c:idx val="2"/>
          <c:order val="2"/>
          <c:tx>
            <c:strRef>
              <c:f>'Custom Graphics'!$E$14</c:f>
              <c:strCache>
                <c:ptCount val="1"/>
                <c:pt idx="0">
                  <c:v>Scenario 3:
+3 days a week</c:v>
                </c:pt>
              </c:strCache>
            </c:strRef>
          </c:tx>
          <c:spPr>
            <a:ln w="12700" cap="rnd">
              <a:solidFill>
                <a:schemeClr val="accent3"/>
              </a:solidFill>
              <a:prstDash val="dash"/>
              <a:round/>
            </a:ln>
            <a:effectLst/>
          </c:spPr>
          <c:marker>
            <c:symbol val="circle"/>
            <c:size val="5"/>
            <c:spPr>
              <a:solidFill>
                <a:schemeClr val="accent3"/>
              </a:solidFill>
              <a:ln w="9525">
                <a:solidFill>
                  <a:schemeClr val="accent3"/>
                </a:solidFill>
              </a:ln>
              <a:effectLst/>
            </c:spPr>
          </c:marker>
          <c:dLbls>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294CFC9-1AD6-4906-AE39-2C8272EB729C}"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72A9-4382-AFE7-14FA65EA4D21}"/>
                </c:ext>
              </c:extLst>
            </c:dLbl>
            <c:dLbl>
              <c:idx val="1"/>
              <c:layout>
                <c:manualLayout>
                  <c:x val="-9.0342096704800687E-3"/>
                  <c:y val="-3.556832356998993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CB1FECC-B7C2-4D3C-81AF-75F36BC62758}"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4-72A9-4382-AFE7-14FA65EA4D21}"/>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'Custom Graphics'!$L$17:$L$18</c:f>
              <c:numCache>
                <c:formatCode>0.0</c:formatCode>
                <c:ptCount val="2"/>
                <c:pt idx="0" formatCode="General">
                  <c:v>0</c:v>
                </c:pt>
                <c:pt idx="1">
                  <c:v>1.52</c:v>
                </c:pt>
              </c:numCache>
            </c:numRef>
          </c:xVal>
          <c:yVal>
            <c:numRef>
              <c:f>'Custom Graphics'!$M$17:$M$18</c:f>
              <c:numCache>
                <c:formatCode>General</c:formatCode>
                <c:ptCount val="2"/>
                <c:pt idx="0" formatCode="#,##0">
                  <c:v>228</c:v>
                </c:pt>
                <c:pt idx="1">
                  <c:v>0</c:v>
                </c:pt>
              </c:numCache>
            </c:numRef>
          </c:yVal>
          <c:smooth val="0"/>
          <c:extLst>
            <c:ext xmlns:c15="http://schemas.microsoft.com/office/drawing/2012/chart" uri="{02D57815-91ED-43cb-92C2-25804820EDAC}">
              <c15:datalabelsRange>
                <c15:f>'Custom Graphics'!$L$19:$L$20</c15:f>
                <c15:dlblRangeCache>
                  <c:ptCount val="2"/>
                  <c:pt idx="1">
                    <c:v>1.5 weeks</c:v>
                  </c:pt>
                </c15:dlblRangeCache>
              </c15:datalabelsRange>
            </c:ext>
            <c:ext xmlns:c16="http://schemas.microsoft.com/office/drawing/2014/chart" uri="{C3380CC4-5D6E-409C-BE32-E72D297353CC}">
              <c16:uniqueId val="{00000002-72A9-4382-AFE7-14FA65EA4D21}"/>
            </c:ext>
          </c:extLst>
        </c:ser>
        <c:dLbls>
          <c:showLegendKey val="0"/>
          <c:showVal val="0"/>
          <c:showCatName val="0"/>
          <c:showSerName val="0"/>
          <c:showPercent val="0"/>
          <c:showBubbleSize val="0"/>
        </c:dLbls>
        <c:axId val="734578248"/>
        <c:axId val="734580872"/>
      </c:scatterChart>
      <c:valAx>
        <c:axId val="734578248"/>
        <c:scaling>
          <c:orientation val="minMax"/>
        </c:scaling>
        <c:delete val="0"/>
        <c:axPos val="b"/>
        <c:majorGridlines>
          <c:spPr>
            <a:ln w="9525" cap="flat" cmpd="sng" algn="ctr">
              <a:solidFill>
                <a:schemeClr val="bg1">
                  <a:lumMod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'Custom Graphics'!$H$11</c:f>
              <c:strCache>
                <c:ptCount val="1"/>
                <c:pt idx="0">
                  <c:v>Weeks after Jun 14, 2020</c:v>
                </c:pt>
              </c:strCache>
            </c:strRef>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580872"/>
        <c:crosses val="autoZero"/>
        <c:crossBetween val="midCat"/>
      </c:valAx>
      <c:valAx>
        <c:axId val="734580872"/>
        <c:scaling>
          <c:orientation val="minMax"/>
        </c:scaling>
        <c:delete val="0"/>
        <c:axPos val="l"/>
        <c:majorGridlines>
          <c:spPr>
            <a:ln w="9525" cap="flat" cmpd="sng" algn="ctr">
              <a:solidFill>
                <a:schemeClr val="bg1">
                  <a:lumMod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Backlog Size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578248"/>
        <c:crosses val="autoZero"/>
        <c:crossBetween val="midCat"/>
      </c:valAx>
      <c:spPr>
        <a:noFill/>
        <a:ln>
          <a:solidFill>
            <a:schemeClr val="bg1">
              <a:lumMod val="85000"/>
            </a:schemeClr>
          </a:soli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'Ontario Graphics'!$H$14</c:f>
          <c:strCache>
            <c:ptCount val="1"/>
            <c:pt idx="0">
              <c:v>Estimated backlog size (Mar 15 to Jun 13, 2020, with ramp up starting Jun 14, 2020) and 
average regional time to clear the backlog for surgical procedures in Ontario</c:v>
            </c:pt>
          </c:strCache>
        </c:strRef>
      </c:tx>
      <c:layout>
        <c:manualLayout>
          <c:xMode val="edge"/>
          <c:yMode val="edge"/>
          <c:x val="9.7875059483909965E-4"/>
          <c:y val="0"/>
        </c:manualLayout>
      </c:layout>
      <c:overlay val="0"/>
      <c:spPr>
        <a:noFill/>
        <a:ln>
          <a:noFill/>
        </a:ln>
        <a:effectLst/>
      </c:spPr>
      <c:txPr>
        <a:bodyPr rot="0" spcFirstLastPara="1" vertOverflow="ellipsis" vert="horz" wrap="square" anchor="ctr" anchorCtr="1"/>
        <a:lstStyle/>
        <a:p>
          <a:pPr algn="l">
            <a:defRPr sz="1200" b="0" i="0" u="none" strike="noStrike" kern="1200" spc="0" baseline="0">
              <a:solidFill>
                <a:schemeClr val="tx1">
                  <a:lumMod val="65000"/>
                  <a:lumOff val="35000"/>
                </a:schemeClr>
              </a:solidFill>
              <a:latin typeface="+mj-lt"/>
              <a:ea typeface="+mn-ea"/>
              <a:cs typeface="+mn-cs"/>
            </a:defRPr>
          </a:pPr>
          <a:endParaRPr lang="en-US"/>
        </a:p>
      </c:txPr>
    </c:title>
    <c:autoTitleDeleted val="0"/>
    <c:plotArea>
      <c:layout/>
      <c:scatterChart>
        <c:scatterStyle val="lineMarker"/>
        <c:varyColors val="0"/>
        <c:ser>
          <c:idx val="0"/>
          <c:order val="0"/>
          <c:tx>
            <c:strRef>
              <c:f>'Ontario Graphics'!$C$15</c:f>
              <c:strCache>
                <c:ptCount val="1"/>
                <c:pt idx="0">
                  <c:v>Scenario 1:
+1 day a week</c:v>
                </c:pt>
              </c:strCache>
            </c:strRef>
          </c:tx>
          <c:spPr>
            <a:ln w="12700" cap="rnd">
              <a:solidFill>
                <a:schemeClr val="tx2"/>
              </a:solidFill>
              <a:prstDash val="dash"/>
              <a:round/>
            </a:ln>
            <a:effectLst/>
          </c:spPr>
          <c:marker>
            <c:symbol val="circle"/>
            <c:size val="5"/>
            <c:spPr>
              <a:solidFill>
                <a:schemeClr val="tx2"/>
              </a:solidFill>
              <a:ln w="12700">
                <a:solidFill>
                  <a:schemeClr val="tx2"/>
                </a:solidFill>
              </a:ln>
              <a:effectLst/>
            </c:spPr>
          </c:marker>
          <c:dLbls>
            <c:dLbl>
              <c:idx val="0"/>
              <c:layout/>
              <c:tx>
                <c:rich>
                  <a:bodyPr/>
                  <a:lstStyle/>
                  <a:p>
                    <a:fld id="{70FC310C-DECA-404B-9815-21F40B7334C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0CD0-41AD-9DE0-50F51E51E468}"/>
                </c:ext>
              </c:extLst>
            </c:dLbl>
            <c:dLbl>
              <c:idx val="1"/>
              <c:layout>
                <c:manualLayout>
                  <c:x val="-6.7201045438992912E-3"/>
                  <c:y val="-3.5568323569989936E-2"/>
                </c:manualLayout>
              </c:layout>
              <c:tx>
                <c:rich>
                  <a:bodyPr/>
                  <a:lstStyle/>
                  <a:p>
                    <a:fld id="{D8B865AB-005F-482B-ACCD-8F76ECFA4C6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0CD0-41AD-9DE0-50F51E51E4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'Ontario Graphics'!$H$17:$H$18</c:f>
              <c:numCache>
                <c:formatCode>0.0</c:formatCode>
                <c:ptCount val="2"/>
                <c:pt idx="0" formatCode="General">
                  <c:v>0</c:v>
                </c:pt>
                <c:pt idx="1">
                  <c:v>84.392121119086042</c:v>
                </c:pt>
              </c:numCache>
            </c:numRef>
          </c:xVal>
          <c:yVal>
            <c:numRef>
              <c:f>'Ontario Graphics'!$I$17:$I$18</c:f>
              <c:numCache>
                <c:formatCode>General</c:formatCode>
                <c:ptCount val="2"/>
                <c:pt idx="0" formatCode="#,##0">
                  <c:v>148364.09597698748</c:v>
                </c:pt>
                <c:pt idx="1">
                  <c:v>0</c:v>
                </c:pt>
              </c:numCache>
            </c:numRef>
          </c:yVal>
          <c:smooth val="0"/>
          <c:extLst>
            <c:ext xmlns:c15="http://schemas.microsoft.com/office/drawing/2012/chart" uri="{02D57815-91ED-43cb-92C2-25804820EDAC}">
              <c15:datalabelsRange>
                <c15:f>'Ontario Graphics'!$H$19:$H$20</c15:f>
                <c15:dlblRangeCache>
                  <c:ptCount val="2"/>
                  <c:pt idx="0">
                    <c:v>148,364</c:v>
                  </c:pt>
                  <c:pt idx="1">
                    <c:v>84.4 weeks</c:v>
                  </c:pt>
                </c15:dlblRangeCache>
              </c15:datalabelsRange>
            </c:ext>
            <c:ext xmlns:c16="http://schemas.microsoft.com/office/drawing/2014/chart" uri="{C3380CC4-5D6E-409C-BE32-E72D297353CC}">
              <c16:uniqueId val="{00000002-0CD0-41AD-9DE0-50F51E51E468}"/>
            </c:ext>
          </c:extLst>
        </c:ser>
        <c:ser>
          <c:idx val="1"/>
          <c:order val="1"/>
          <c:tx>
            <c:strRef>
              <c:f>'Ontario Graphics'!$D$15</c:f>
              <c:strCache>
                <c:ptCount val="1"/>
                <c:pt idx="0">
                  <c:v>Scenario 2:
+2 days a week</c:v>
                </c:pt>
              </c:strCache>
            </c:strRef>
          </c:tx>
          <c:spPr>
            <a:ln w="12700" cap="rnd">
              <a:solidFill>
                <a:schemeClr val="accent2"/>
              </a:solidFill>
              <a:prstDash val="dash"/>
              <a:round/>
            </a:ln>
            <a:effectLst/>
          </c:spPr>
          <c:marker>
            <c:symbol val="circle"/>
            <c:size val="5"/>
            <c:spPr>
              <a:solidFill>
                <a:schemeClr val="accent2"/>
              </a:solidFill>
              <a:ln w="9525">
                <a:solidFill>
                  <a:schemeClr val="accent2"/>
                </a:solidFill>
              </a:ln>
              <a:effectLst/>
            </c:spPr>
          </c:marker>
          <c:dLbls>
            <c:dLbl>
              <c:idx val="0"/>
              <c:layout/>
              <c:tx>
                <c:rich>
                  <a:bodyPr/>
                  <a:lstStyle/>
                  <a:p>
                    <a:fld id="{83A75EF6-7FB8-4F72-A588-FE2E3B598AF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0CD0-41AD-9DE0-50F51E51E468}"/>
                </c:ext>
              </c:extLst>
            </c:dLbl>
            <c:dLbl>
              <c:idx val="1"/>
              <c:layout>
                <c:manualLayout>
                  <c:x val="-4.9980741190842233E-3"/>
                  <c:y val="-3.552367842198785E-2"/>
                </c:manualLayout>
              </c:layout>
              <c:tx>
                <c:rich>
                  <a:bodyPr/>
                  <a:lstStyle/>
                  <a:p>
                    <a:fld id="{5B7C8E80-3E56-488C-978E-58A6FD3D698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4-0CD0-41AD-9DE0-50F51E51E4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'Ontario Graphics'!$J$17:$J$18</c:f>
              <c:numCache>
                <c:formatCode>0.0</c:formatCode>
                <c:ptCount val="2"/>
                <c:pt idx="0" formatCode="General">
                  <c:v>0</c:v>
                </c:pt>
                <c:pt idx="1">
                  <c:v>39.662059327041383</c:v>
                </c:pt>
              </c:numCache>
            </c:numRef>
          </c:xVal>
          <c:yVal>
            <c:numRef>
              <c:f>'Ontario Graphics'!$K$17:$K$18</c:f>
              <c:numCache>
                <c:formatCode>General</c:formatCode>
                <c:ptCount val="2"/>
                <c:pt idx="0" formatCode="#,##0">
                  <c:v>148364.09597698748</c:v>
                </c:pt>
                <c:pt idx="1">
                  <c:v>0</c:v>
                </c:pt>
              </c:numCache>
            </c:numRef>
          </c:yVal>
          <c:smooth val="0"/>
          <c:extLst>
            <c:ext xmlns:c15="http://schemas.microsoft.com/office/drawing/2012/chart" uri="{02D57815-91ED-43cb-92C2-25804820EDAC}">
              <c15:datalabelsRange>
                <c15:f>'Ontario Graphics'!$J$19:$J$20</c15:f>
                <c15:dlblRangeCache>
                  <c:ptCount val="2"/>
                  <c:pt idx="1">
                    <c:v>39.7 weeks</c:v>
                  </c:pt>
                </c15:dlblRangeCache>
              </c15:datalabelsRange>
            </c:ext>
            <c:ext xmlns:c16="http://schemas.microsoft.com/office/drawing/2014/chart" uri="{C3380CC4-5D6E-409C-BE32-E72D297353CC}">
              <c16:uniqueId val="{00000005-0CD0-41AD-9DE0-50F51E51E468}"/>
            </c:ext>
          </c:extLst>
        </c:ser>
        <c:ser>
          <c:idx val="2"/>
          <c:order val="2"/>
          <c:tx>
            <c:strRef>
              <c:f>'Ontario Graphics'!$E$15</c:f>
              <c:strCache>
                <c:ptCount val="1"/>
                <c:pt idx="0">
                  <c:v>Scenario 3:
+3 days a week</c:v>
                </c:pt>
              </c:strCache>
            </c:strRef>
          </c:tx>
          <c:spPr>
            <a:ln w="12700" cap="rnd">
              <a:solidFill>
                <a:schemeClr val="accent3"/>
              </a:solidFill>
              <a:prstDash val="dash"/>
              <a:round/>
            </a:ln>
            <a:effectLst/>
          </c:spPr>
          <c:marker>
            <c:symbol val="circle"/>
            <c:size val="5"/>
            <c:spPr>
              <a:solidFill>
                <a:schemeClr val="accent3"/>
              </a:solidFill>
              <a:ln w="9525">
                <a:solidFill>
                  <a:schemeClr val="accent3"/>
                </a:solidFill>
              </a:ln>
              <a:effectLst/>
            </c:spPr>
          </c:marker>
          <c:dLbls>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DF47265-5B67-4823-BF54-155AF2D88822}"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6-0CD0-41AD-9DE0-50F51E51E468}"/>
                </c:ext>
              </c:extLst>
            </c:dLbl>
            <c:dLbl>
              <c:idx val="1"/>
              <c:layout>
                <c:manualLayout>
                  <c:x val="-9.0342096704800687E-3"/>
                  <c:y val="-3.556832356998993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D00C447-140F-4B5C-B118-789FF255D625}"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7-0CD0-41AD-9DE0-50F51E51E468}"/>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'Ontario Graphics'!$L$17:$L$18</c:f>
              <c:numCache>
                <c:formatCode>0.0</c:formatCode>
                <c:ptCount val="2"/>
                <c:pt idx="0" formatCode="General">
                  <c:v>0</c:v>
                </c:pt>
                <c:pt idx="1">
                  <c:v>25.912995823279331</c:v>
                </c:pt>
              </c:numCache>
            </c:numRef>
          </c:xVal>
          <c:yVal>
            <c:numRef>
              <c:f>'Ontario Graphics'!$M$17:$M$18</c:f>
              <c:numCache>
                <c:formatCode>General</c:formatCode>
                <c:ptCount val="2"/>
                <c:pt idx="0" formatCode="#,##0">
                  <c:v>148364.09597698748</c:v>
                </c:pt>
                <c:pt idx="1">
                  <c:v>0</c:v>
                </c:pt>
              </c:numCache>
            </c:numRef>
          </c:yVal>
          <c:smooth val="0"/>
          <c:extLst>
            <c:ext xmlns:c15="http://schemas.microsoft.com/office/drawing/2012/chart" uri="{02D57815-91ED-43cb-92C2-25804820EDAC}">
              <c15:datalabelsRange>
                <c15:f>'Ontario Graphics'!$L$19:$L$20</c15:f>
                <c15:dlblRangeCache>
                  <c:ptCount val="2"/>
                  <c:pt idx="1">
                    <c:v>25.9 weeks</c:v>
                  </c:pt>
                </c15:dlblRangeCache>
              </c15:datalabelsRange>
            </c:ext>
            <c:ext xmlns:c16="http://schemas.microsoft.com/office/drawing/2014/chart" uri="{C3380CC4-5D6E-409C-BE32-E72D297353CC}">
              <c16:uniqueId val="{00000008-0CD0-41AD-9DE0-50F51E51E468}"/>
            </c:ext>
          </c:extLst>
        </c:ser>
        <c:dLbls>
          <c:showLegendKey val="0"/>
          <c:showVal val="0"/>
          <c:showCatName val="0"/>
          <c:showSerName val="0"/>
          <c:showPercent val="0"/>
          <c:showBubbleSize val="0"/>
        </c:dLbls>
        <c:axId val="734578248"/>
        <c:axId val="734580872"/>
      </c:scatterChart>
      <c:valAx>
        <c:axId val="734578248"/>
        <c:scaling>
          <c:orientation val="minMax"/>
        </c:scaling>
        <c:delete val="0"/>
        <c:axPos val="b"/>
        <c:majorGridlines>
          <c:spPr>
            <a:ln w="9525" cap="flat" cmpd="sng" algn="ctr">
              <a:noFill/>
              <a:round/>
            </a:ln>
            <a:effectLst/>
          </c:spPr>
        </c:majorGridlines>
        <c:minorGridlines>
          <c:spPr>
            <a:ln w="9525" cap="flat" cmpd="sng" algn="ctr">
              <a:solidFill>
                <a:schemeClr val="tx1">
                  <a:lumMod val="5000"/>
                  <a:lumOff val="95000"/>
                </a:schemeClr>
              </a:solidFill>
              <a:round/>
            </a:ln>
            <a:effectLst/>
          </c:spPr>
        </c:minorGridlines>
        <c:title>
          <c:tx>
            <c:strRef>
              <c:f>'Ontario Graphics'!$H$12</c:f>
              <c:strCache>
                <c:ptCount val="1"/>
                <c:pt idx="0">
                  <c:v>Average Time to Clear: Weeks after Jun 14, 2020</c:v>
                </c:pt>
              </c:strCache>
            </c:strRef>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580872"/>
        <c:crosses val="autoZero"/>
        <c:crossBetween val="midCat"/>
      </c:valAx>
      <c:valAx>
        <c:axId val="734580872"/>
        <c:scaling>
          <c:orientation val="minMax"/>
        </c:scaling>
        <c:delete val="0"/>
        <c:axPos val="l"/>
        <c:majorGridlines>
          <c:spPr>
            <a:ln w="9525" cap="flat" cmpd="sng" algn="ctr">
              <a:solidFill>
                <a:schemeClr val="bg1">
                  <a:lumMod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Backlog Size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578248"/>
        <c:crosses val="autoZero"/>
        <c:crossBetween val="midCat"/>
      </c:valAx>
      <c:spPr>
        <a:noFill/>
        <a:ln>
          <a:solidFill>
            <a:schemeClr val="bg1">
              <a:lumMod val="85000"/>
            </a:schemeClr>
          </a:soli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'Regional Graphics'!$H$14</c:f>
          <c:strCache>
            <c:ptCount val="1"/>
            <c:pt idx="0">
              <c:v>Estimated backlog size (Mar 15 to Jun 13, 2020, with ramp up starting Jun 14, 2020) and 
time to clear the backlog for surgical procedures in the North region</c:v>
            </c:pt>
          </c:strCache>
        </c:strRef>
      </c:tx>
      <c:layout>
        <c:manualLayout>
          <c:xMode val="edge"/>
          <c:yMode val="edge"/>
          <c:x val="9.0414706357188333E-4"/>
          <c:y val="0"/>
        </c:manualLayout>
      </c:layout>
      <c:overlay val="0"/>
      <c:spPr>
        <a:noFill/>
        <a:ln>
          <a:noFill/>
        </a:ln>
        <a:effectLst/>
      </c:spPr>
      <c:txPr>
        <a:bodyPr rot="0" spcFirstLastPara="1" vertOverflow="ellipsis" vert="horz" wrap="square" anchor="ctr" anchorCtr="1"/>
        <a:lstStyle/>
        <a:p>
          <a:pPr algn="l">
            <a:defRPr sz="1200" b="0" i="0" u="none" strike="noStrike" kern="1200" spc="0" baseline="0">
              <a:solidFill>
                <a:schemeClr val="tx1">
                  <a:lumMod val="65000"/>
                  <a:lumOff val="35000"/>
                </a:schemeClr>
              </a:solidFill>
              <a:latin typeface="+mj-lt"/>
              <a:ea typeface="+mn-ea"/>
              <a:cs typeface="+mn-cs"/>
            </a:defRPr>
          </a:pPr>
          <a:endParaRPr lang="en-US"/>
        </a:p>
      </c:txPr>
    </c:title>
    <c:autoTitleDeleted val="0"/>
    <c:plotArea>
      <c:layout/>
      <c:scatterChart>
        <c:scatterStyle val="lineMarker"/>
        <c:varyColors val="0"/>
        <c:ser>
          <c:idx val="0"/>
          <c:order val="0"/>
          <c:tx>
            <c:strRef>
              <c:f>'Regional Graphics'!$C$15</c:f>
              <c:strCache>
                <c:ptCount val="1"/>
                <c:pt idx="0">
                  <c:v>Scenario 1:
+1 day a week</c:v>
                </c:pt>
              </c:strCache>
            </c:strRef>
          </c:tx>
          <c:spPr>
            <a:ln w="12700" cap="rnd">
              <a:solidFill>
                <a:schemeClr val="tx2"/>
              </a:solidFill>
              <a:prstDash val="dash"/>
              <a:round/>
            </a:ln>
            <a:effectLst/>
          </c:spPr>
          <c:marker>
            <c:symbol val="circle"/>
            <c:size val="5"/>
            <c:spPr>
              <a:solidFill>
                <a:schemeClr val="tx2"/>
              </a:solidFill>
              <a:ln w="12700">
                <a:solidFill>
                  <a:schemeClr val="tx2"/>
                </a:solidFill>
              </a:ln>
              <a:effectLst/>
            </c:spPr>
          </c:marker>
          <c:dLbls>
            <c:dLbl>
              <c:idx val="0"/>
              <c:layout/>
              <c:tx>
                <c:rich>
                  <a:bodyPr/>
                  <a:lstStyle/>
                  <a:p>
                    <a:fld id="{75AC2B92-6F1F-4B7C-843A-E2A5BC8CCF8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3A80-4B61-9028-CD88967DD1E8}"/>
                </c:ext>
              </c:extLst>
            </c:dLbl>
            <c:dLbl>
              <c:idx val="1"/>
              <c:layout>
                <c:manualLayout>
                  <c:x val="-6.7201045438992912E-3"/>
                  <c:y val="-3.5568323569989936E-2"/>
                </c:manualLayout>
              </c:layout>
              <c:tx>
                <c:rich>
                  <a:bodyPr/>
                  <a:lstStyle/>
                  <a:p>
                    <a:fld id="{103C2DF5-6FAB-4C3B-BC90-8495E8C112F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3A80-4B61-9028-CD88967DD1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'Regional Graphics'!$H$17:$H$18</c:f>
              <c:numCache>
                <c:formatCode>0.0</c:formatCode>
                <c:ptCount val="2"/>
                <c:pt idx="0" formatCode="General">
                  <c:v>0</c:v>
                </c:pt>
                <c:pt idx="1">
                  <c:v>57.830040716233476</c:v>
                </c:pt>
              </c:numCache>
            </c:numRef>
          </c:xVal>
          <c:yVal>
            <c:numRef>
              <c:f>'Regional Graphics'!$I$17:$I$18</c:f>
              <c:numCache>
                <c:formatCode>General</c:formatCode>
                <c:ptCount val="2"/>
                <c:pt idx="0" formatCode="#,##0">
                  <c:v>9398.8491544843801</c:v>
                </c:pt>
                <c:pt idx="1">
                  <c:v>0</c:v>
                </c:pt>
              </c:numCache>
            </c:numRef>
          </c:yVal>
          <c:smooth val="0"/>
          <c:extLst>
            <c:ext xmlns:c15="http://schemas.microsoft.com/office/drawing/2012/chart" uri="{02D57815-91ED-43cb-92C2-25804820EDAC}">
              <c15:datalabelsRange>
                <c15:f>'Regional Graphics'!$H$19:$H$20</c15:f>
                <c15:dlblRangeCache>
                  <c:ptCount val="2"/>
                  <c:pt idx="0">
                    <c:v>9,399</c:v>
                  </c:pt>
                  <c:pt idx="1">
                    <c:v>57.8 weeks</c:v>
                  </c:pt>
                </c15:dlblRangeCache>
              </c15:datalabelsRange>
            </c:ext>
            <c:ext xmlns:c16="http://schemas.microsoft.com/office/drawing/2014/chart" uri="{C3380CC4-5D6E-409C-BE32-E72D297353CC}">
              <c16:uniqueId val="{00000002-3A80-4B61-9028-CD88967DD1E8}"/>
            </c:ext>
          </c:extLst>
        </c:ser>
        <c:ser>
          <c:idx val="1"/>
          <c:order val="1"/>
          <c:tx>
            <c:strRef>
              <c:f>'Regional Graphics'!$D$15</c:f>
              <c:strCache>
                <c:ptCount val="1"/>
                <c:pt idx="0">
                  <c:v>Scenario 2:
+2 days a week</c:v>
                </c:pt>
              </c:strCache>
            </c:strRef>
          </c:tx>
          <c:spPr>
            <a:ln w="12700" cap="rnd">
              <a:solidFill>
                <a:schemeClr val="accent2"/>
              </a:solidFill>
              <a:prstDash val="dash"/>
              <a:round/>
            </a:ln>
            <a:effectLst/>
          </c:spPr>
          <c:marker>
            <c:symbol val="circle"/>
            <c:size val="5"/>
            <c:spPr>
              <a:solidFill>
                <a:schemeClr val="accent2"/>
              </a:solidFill>
              <a:ln w="9525">
                <a:solidFill>
                  <a:schemeClr val="accent2"/>
                </a:solidFill>
              </a:ln>
              <a:effectLst/>
            </c:spPr>
          </c:marker>
          <c:dLbls>
            <c:dLbl>
              <c:idx val="0"/>
              <c:layout/>
              <c:tx>
                <c:rich>
                  <a:bodyPr/>
                  <a:lstStyle/>
                  <a:p>
                    <a:fld id="{154B3DF5-A1E1-482E-8EE9-58A19278AB2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3A80-4B61-9028-CD88967DD1E8}"/>
                </c:ext>
              </c:extLst>
            </c:dLbl>
            <c:dLbl>
              <c:idx val="1"/>
              <c:layout>
                <c:manualLayout>
                  <c:x val="-4.9980741190842233E-3"/>
                  <c:y val="-3.552367842198785E-2"/>
                </c:manualLayout>
              </c:layout>
              <c:tx>
                <c:rich>
                  <a:bodyPr/>
                  <a:lstStyle/>
                  <a:p>
                    <a:fld id="{EDFA2E56-C8DE-467A-8CBD-DC5CF408F8A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4-3A80-4B61-9028-CD88967DD1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'Regional Graphics'!$J$17:$J$18</c:f>
              <c:numCache>
                <c:formatCode>0.0</c:formatCode>
                <c:ptCount val="2"/>
                <c:pt idx="0" formatCode="General">
                  <c:v>0</c:v>
                </c:pt>
                <c:pt idx="1">
                  <c:v>26.628001334400036</c:v>
                </c:pt>
              </c:numCache>
            </c:numRef>
          </c:xVal>
          <c:yVal>
            <c:numRef>
              <c:f>'Regional Graphics'!$K$17:$K$18</c:f>
              <c:numCache>
                <c:formatCode>General</c:formatCode>
                <c:ptCount val="2"/>
                <c:pt idx="0" formatCode="#,##0">
                  <c:v>9398.8491544843801</c:v>
                </c:pt>
                <c:pt idx="1">
                  <c:v>0</c:v>
                </c:pt>
              </c:numCache>
            </c:numRef>
          </c:yVal>
          <c:smooth val="0"/>
          <c:extLst>
            <c:ext xmlns:c15="http://schemas.microsoft.com/office/drawing/2012/chart" uri="{02D57815-91ED-43cb-92C2-25804820EDAC}">
              <c15:datalabelsRange>
                <c15:f>'Regional Graphics'!$J$19:$J$20</c15:f>
                <c15:dlblRangeCache>
                  <c:ptCount val="2"/>
                  <c:pt idx="1">
                    <c:v>26.6 weeks</c:v>
                  </c:pt>
                </c15:dlblRangeCache>
              </c15:datalabelsRange>
            </c:ext>
            <c:ext xmlns:c16="http://schemas.microsoft.com/office/drawing/2014/chart" uri="{C3380CC4-5D6E-409C-BE32-E72D297353CC}">
              <c16:uniqueId val="{00000005-3A80-4B61-9028-CD88967DD1E8}"/>
            </c:ext>
          </c:extLst>
        </c:ser>
        <c:ser>
          <c:idx val="2"/>
          <c:order val="2"/>
          <c:tx>
            <c:strRef>
              <c:f>'Regional Graphics'!$E$15</c:f>
              <c:strCache>
                <c:ptCount val="1"/>
                <c:pt idx="0">
                  <c:v>Scenario 3:
+3 days a week</c:v>
                </c:pt>
              </c:strCache>
            </c:strRef>
          </c:tx>
          <c:spPr>
            <a:ln w="12700" cap="rnd">
              <a:solidFill>
                <a:schemeClr val="accent3"/>
              </a:solidFill>
              <a:prstDash val="dash"/>
              <a:round/>
            </a:ln>
            <a:effectLst/>
          </c:spPr>
          <c:marker>
            <c:symbol val="circle"/>
            <c:size val="5"/>
            <c:spPr>
              <a:solidFill>
                <a:schemeClr val="accent3"/>
              </a:solidFill>
              <a:ln w="9525">
                <a:solidFill>
                  <a:schemeClr val="accent3"/>
                </a:solidFill>
              </a:ln>
              <a:effectLst/>
            </c:spPr>
          </c:marker>
          <c:dLbls>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516964E-0667-4514-BCC0-EB0362155302}"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6-3A80-4B61-9028-CD88967DD1E8}"/>
                </c:ext>
              </c:extLst>
            </c:dLbl>
            <c:dLbl>
              <c:idx val="1"/>
              <c:layout>
                <c:manualLayout>
                  <c:x val="-9.0342096704800687E-3"/>
                  <c:y val="-3.556832356998993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A4072D-6B35-45E6-8CA9-17BAC3395B7A}"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7-3A80-4B61-9028-CD88967DD1E8}"/>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'Regional Graphics'!$L$17:$L$18</c:f>
              <c:numCache>
                <c:formatCode>0.0</c:formatCode>
                <c:ptCount val="2"/>
                <c:pt idx="0" formatCode="General">
                  <c:v>0</c:v>
                </c:pt>
                <c:pt idx="1">
                  <c:v>17.34690310678489</c:v>
                </c:pt>
              </c:numCache>
            </c:numRef>
          </c:xVal>
          <c:yVal>
            <c:numRef>
              <c:f>'Regional Graphics'!$M$17:$M$18</c:f>
              <c:numCache>
                <c:formatCode>General</c:formatCode>
                <c:ptCount val="2"/>
                <c:pt idx="0" formatCode="#,##0">
                  <c:v>9398.8491544843801</c:v>
                </c:pt>
                <c:pt idx="1">
                  <c:v>0</c:v>
                </c:pt>
              </c:numCache>
            </c:numRef>
          </c:yVal>
          <c:smooth val="0"/>
          <c:extLst>
            <c:ext xmlns:c15="http://schemas.microsoft.com/office/drawing/2012/chart" uri="{02D57815-91ED-43cb-92C2-25804820EDAC}">
              <c15:datalabelsRange>
                <c15:f>'Regional Graphics'!$L$19:$L$20</c15:f>
                <c15:dlblRangeCache>
                  <c:ptCount val="2"/>
                  <c:pt idx="1">
                    <c:v>17.3 weeks</c:v>
                  </c:pt>
                </c15:dlblRangeCache>
              </c15:datalabelsRange>
            </c:ext>
            <c:ext xmlns:c16="http://schemas.microsoft.com/office/drawing/2014/chart" uri="{C3380CC4-5D6E-409C-BE32-E72D297353CC}">
              <c16:uniqueId val="{00000008-3A80-4B61-9028-CD88967DD1E8}"/>
            </c:ext>
          </c:extLst>
        </c:ser>
        <c:dLbls>
          <c:showLegendKey val="0"/>
          <c:showVal val="0"/>
          <c:showCatName val="0"/>
          <c:showSerName val="0"/>
          <c:showPercent val="0"/>
          <c:showBubbleSize val="0"/>
        </c:dLbls>
        <c:axId val="734578248"/>
        <c:axId val="734580872"/>
      </c:scatterChart>
      <c:valAx>
        <c:axId val="734578248"/>
        <c:scaling>
          <c:orientation val="minMax"/>
        </c:scaling>
        <c:delete val="0"/>
        <c:axPos val="b"/>
        <c:majorGridlines>
          <c:spPr>
            <a:ln w="9525" cap="flat" cmpd="sng" algn="ctr">
              <a:noFill/>
              <a:round/>
            </a:ln>
            <a:effectLst/>
          </c:spPr>
        </c:majorGridlines>
        <c:minorGridlines>
          <c:spPr>
            <a:ln w="9525" cap="flat" cmpd="sng" algn="ctr">
              <a:solidFill>
                <a:schemeClr val="tx1">
                  <a:lumMod val="5000"/>
                  <a:lumOff val="95000"/>
                </a:schemeClr>
              </a:solidFill>
              <a:round/>
            </a:ln>
            <a:effectLst/>
          </c:spPr>
        </c:minorGridlines>
        <c:title>
          <c:tx>
            <c:strRef>
              <c:f>'Regional Graphics'!$H$12</c:f>
              <c:strCache>
                <c:ptCount val="1"/>
                <c:pt idx="0">
                  <c:v>Time to Clear: Weeks after Jun 14, 2020</c:v>
                </c:pt>
              </c:strCache>
            </c:strRef>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580872"/>
        <c:crosses val="autoZero"/>
        <c:crossBetween val="midCat"/>
      </c:valAx>
      <c:valAx>
        <c:axId val="734580872"/>
        <c:scaling>
          <c:orientation val="minMax"/>
        </c:scaling>
        <c:delete val="0"/>
        <c:axPos val="l"/>
        <c:majorGridlines>
          <c:spPr>
            <a:ln w="9525" cap="flat" cmpd="sng" algn="ctr">
              <a:solidFill>
                <a:schemeClr val="bg1">
                  <a:lumMod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Backlog Size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578248"/>
        <c:crosses val="autoZero"/>
        <c:crossBetween val="midCat"/>
      </c:valAx>
      <c:spPr>
        <a:noFill/>
        <a:ln>
          <a:solidFill>
            <a:schemeClr val="bg1">
              <a:lumMod val="85000"/>
            </a:schemeClr>
          </a:soli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US"/>
              <a:t>Derivation of the backlog size given linear ramp up</a:t>
            </a:r>
          </a:p>
        </c:rich>
      </c:tx>
      <c:layout>
        <c:manualLayout>
          <c:xMode val="edge"/>
          <c:yMode val="edge"/>
          <c:x val="9.4222933734654213E-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lotArea>
      <c:layout/>
      <c:lineChart>
        <c:grouping val="standard"/>
        <c:varyColors val="0"/>
        <c:ser>
          <c:idx val="0"/>
          <c:order val="0"/>
          <c:tx>
            <c:strRef>
              <c:f>'Backlog Volumes'!$F$104</c:f>
              <c:strCache>
                <c:ptCount val="1"/>
                <c:pt idx="0">
                  <c:v>Actual</c:v>
                </c:pt>
              </c:strCache>
            </c:strRef>
          </c:tx>
          <c:spPr>
            <a:ln w="28575" cap="rnd">
              <a:solidFill>
                <a:schemeClr val="tx2"/>
              </a:solidFill>
              <a:round/>
            </a:ln>
            <a:effectLst/>
          </c:spPr>
          <c:marker>
            <c:symbol val="none"/>
          </c:marker>
          <c:cat>
            <c:numRef>
              <c:f>'Backlog Volumes'!$B$105:$B$114</c:f>
              <c:numCache>
                <c:formatCode>m/d/yyyy</c:formatCode>
                <c:ptCount val="10"/>
                <c:pt idx="0">
                  <c:v>43905</c:v>
                </c:pt>
                <c:pt idx="1">
                  <c:v>43912</c:v>
                </c:pt>
                <c:pt idx="2">
                  <c:v>43919</c:v>
                </c:pt>
                <c:pt idx="3">
                  <c:v>43926</c:v>
                </c:pt>
                <c:pt idx="4">
                  <c:v>43933</c:v>
                </c:pt>
                <c:pt idx="5">
                  <c:v>43940</c:v>
                </c:pt>
                <c:pt idx="6">
                  <c:v>43947</c:v>
                </c:pt>
                <c:pt idx="7">
                  <c:v>43954</c:v>
                </c:pt>
                <c:pt idx="8">
                  <c:v>43961</c:v>
                </c:pt>
                <c:pt idx="9">
                  <c:v>43968</c:v>
                </c:pt>
              </c:numCache>
            </c:numRef>
          </c:cat>
          <c:val>
            <c:numRef>
              <c:f>'Backlog Volumes'!$F$105:$F$114</c:f>
              <c:numCache>
                <c:formatCode>#,##0</c:formatCode>
                <c:ptCount val="10"/>
                <c:pt idx="0">
                  <c:v>533.83926781023342</c:v>
                </c:pt>
                <c:pt idx="1">
                  <c:v>419</c:v>
                </c:pt>
                <c:pt idx="2">
                  <c:v>255</c:v>
                </c:pt>
                <c:pt idx="3">
                  <c:v>273</c:v>
                </c:pt>
                <c:pt idx="4">
                  <c:v>148</c:v>
                </c:pt>
                <c:pt idx="5">
                  <c:v>126</c:v>
                </c:pt>
              </c:numCache>
            </c:numRef>
          </c:val>
          <c:smooth val="0"/>
          <c:extLst>
            <c:ext xmlns:c16="http://schemas.microsoft.com/office/drawing/2014/chart" uri="{C3380CC4-5D6E-409C-BE32-E72D297353CC}">
              <c16:uniqueId val="{00000000-F5AA-4FF0-ACBC-FF61AF54CCA1}"/>
            </c:ext>
          </c:extLst>
        </c:ser>
        <c:ser>
          <c:idx val="1"/>
          <c:order val="1"/>
          <c:tx>
            <c:strRef>
              <c:f>'Backlog Volumes'!$G$104</c:f>
              <c:strCache>
                <c:ptCount val="1"/>
                <c:pt idx="0">
                  <c:v>Expected</c:v>
                </c:pt>
              </c:strCache>
            </c:strRef>
          </c:tx>
          <c:spPr>
            <a:ln w="28575" cap="rnd">
              <a:solidFill>
                <a:schemeClr val="accent2"/>
              </a:solidFill>
              <a:round/>
            </a:ln>
            <a:effectLst/>
          </c:spPr>
          <c:marker>
            <c:symbol val="none"/>
          </c:marker>
          <c:cat>
            <c:numRef>
              <c:f>'Backlog Volumes'!$B$105:$B$114</c:f>
              <c:numCache>
                <c:formatCode>m/d/yyyy</c:formatCode>
                <c:ptCount val="10"/>
                <c:pt idx="0">
                  <c:v>43905</c:v>
                </c:pt>
                <c:pt idx="1">
                  <c:v>43912</c:v>
                </c:pt>
                <c:pt idx="2">
                  <c:v>43919</c:v>
                </c:pt>
                <c:pt idx="3">
                  <c:v>43926</c:v>
                </c:pt>
                <c:pt idx="4">
                  <c:v>43933</c:v>
                </c:pt>
                <c:pt idx="5">
                  <c:v>43940</c:v>
                </c:pt>
                <c:pt idx="6">
                  <c:v>43947</c:v>
                </c:pt>
                <c:pt idx="7">
                  <c:v>43954</c:v>
                </c:pt>
                <c:pt idx="8">
                  <c:v>43961</c:v>
                </c:pt>
                <c:pt idx="9">
                  <c:v>43968</c:v>
                </c:pt>
              </c:numCache>
            </c:numRef>
          </c:cat>
          <c:val>
            <c:numRef>
              <c:f>'Backlog Volumes'!$G$105:$G$114</c:f>
              <c:numCache>
                <c:formatCode>#,##0</c:formatCode>
                <c:ptCount val="10"/>
                <c:pt idx="0">
                  <c:v>533.83926781023342</c:v>
                </c:pt>
                <c:pt idx="1">
                  <c:v>533.83926781023342</c:v>
                </c:pt>
                <c:pt idx="2">
                  <c:v>527.41422541954717</c:v>
                </c:pt>
                <c:pt idx="3">
                  <c:v>513.84909303678796</c:v>
                </c:pt>
                <c:pt idx="4">
                  <c:v>502.53760811948757</c:v>
                </c:pt>
                <c:pt idx="5">
                  <c:v>502.7073206278294</c:v>
                </c:pt>
                <c:pt idx="6">
                  <c:v>482.56092450384483</c:v>
                </c:pt>
                <c:pt idx="7">
                  <c:v>497.493340435682</c:v>
                </c:pt>
                <c:pt idx="8">
                  <c:v>497.88641020319881</c:v>
                </c:pt>
                <c:pt idx="9">
                  <c:v>521.40362663020903</c:v>
                </c:pt>
              </c:numCache>
            </c:numRef>
          </c:val>
          <c:smooth val="0"/>
          <c:extLst>
            <c:ext xmlns:c16="http://schemas.microsoft.com/office/drawing/2014/chart" uri="{C3380CC4-5D6E-409C-BE32-E72D297353CC}">
              <c16:uniqueId val="{00000001-F5AA-4FF0-ACBC-FF61AF54CCA1}"/>
            </c:ext>
          </c:extLst>
        </c:ser>
        <c:ser>
          <c:idx val="2"/>
          <c:order val="2"/>
          <c:tx>
            <c:strRef>
              <c:f>'Backlog Volumes'!$H$104</c:f>
              <c:strCache>
                <c:ptCount val="1"/>
                <c:pt idx="0">
                  <c:v>Ramp Up</c:v>
                </c:pt>
              </c:strCache>
            </c:strRef>
          </c:tx>
          <c:spPr>
            <a:ln w="28575" cap="rnd">
              <a:solidFill>
                <a:schemeClr val="bg2">
                  <a:lumMod val="50000"/>
                </a:schemeClr>
              </a:solidFill>
              <a:prstDash val="sysDot"/>
              <a:round/>
            </a:ln>
            <a:effectLst/>
          </c:spPr>
          <c:marker>
            <c:symbol val="none"/>
          </c:marker>
          <c:cat>
            <c:numRef>
              <c:f>'Backlog Volumes'!$B$105:$B$114</c:f>
              <c:numCache>
                <c:formatCode>m/d/yyyy</c:formatCode>
                <c:ptCount val="10"/>
                <c:pt idx="0">
                  <c:v>43905</c:v>
                </c:pt>
                <c:pt idx="1">
                  <c:v>43912</c:v>
                </c:pt>
                <c:pt idx="2">
                  <c:v>43919</c:v>
                </c:pt>
                <c:pt idx="3">
                  <c:v>43926</c:v>
                </c:pt>
                <c:pt idx="4">
                  <c:v>43933</c:v>
                </c:pt>
                <c:pt idx="5">
                  <c:v>43940</c:v>
                </c:pt>
                <c:pt idx="6">
                  <c:v>43947</c:v>
                </c:pt>
                <c:pt idx="7">
                  <c:v>43954</c:v>
                </c:pt>
                <c:pt idx="8">
                  <c:v>43961</c:v>
                </c:pt>
                <c:pt idx="9">
                  <c:v>43968</c:v>
                </c:pt>
              </c:numCache>
            </c:numRef>
          </c:cat>
          <c:val>
            <c:numRef>
              <c:f>'Backlog Volumes'!$H$105:$H$114</c:f>
              <c:numCache>
                <c:formatCode>General</c:formatCode>
                <c:ptCount val="10"/>
                <c:pt idx="5">
                  <c:v>126</c:v>
                </c:pt>
                <c:pt idx="6" formatCode="0">
                  <c:v>224.75</c:v>
                </c:pt>
                <c:pt idx="7" formatCode="0">
                  <c:v>323.5</c:v>
                </c:pt>
                <c:pt idx="8" formatCode="0">
                  <c:v>422.25</c:v>
                </c:pt>
                <c:pt idx="9">
                  <c:v>521</c:v>
                </c:pt>
              </c:numCache>
            </c:numRef>
          </c:val>
          <c:smooth val="0"/>
          <c:extLst>
            <c:ext xmlns:c16="http://schemas.microsoft.com/office/drawing/2014/chart" uri="{C3380CC4-5D6E-409C-BE32-E72D297353CC}">
              <c16:uniqueId val="{00000002-F5AA-4FF0-ACBC-FF61AF54CCA1}"/>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841948376"/>
        <c:axId val="841957560"/>
      </c:lineChart>
      <c:dateAx>
        <c:axId val="841948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j-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j-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j-lt"/>
                <a:ea typeface="+mn-ea"/>
                <a:cs typeface="+mn-cs"/>
              </a:defRPr>
            </a:pPr>
            <a:endParaRPr lang="en-US"/>
          </a:p>
        </c:txPr>
        <c:crossAx val="841957560"/>
        <c:crosses val="autoZero"/>
        <c:auto val="1"/>
        <c:lblOffset val="100"/>
        <c:baseTimeUnit val="days"/>
      </c:dateAx>
      <c:valAx>
        <c:axId val="841957560"/>
        <c:scaling>
          <c:orientation val="minMax"/>
        </c:scaling>
        <c:delete val="1"/>
        <c:axPos val="l"/>
        <c:numFmt formatCode="#,##0" sourceLinked="1"/>
        <c:majorTickMark val="none"/>
        <c:minorTickMark val="none"/>
        <c:tickLblPos val="nextTo"/>
        <c:crossAx val="841948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j-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mj-lt"/>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US"/>
              <a:t>Derivation of the backlog size given linear ramp up</a:t>
            </a:r>
          </a:p>
        </c:rich>
      </c:tx>
      <c:layout>
        <c:manualLayout>
          <c:xMode val="edge"/>
          <c:yMode val="edge"/>
          <c:x val="9.4222933734654213E-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lotArea>
      <c:layout/>
      <c:lineChart>
        <c:grouping val="standard"/>
        <c:varyColors val="0"/>
        <c:ser>
          <c:idx val="0"/>
          <c:order val="0"/>
          <c:tx>
            <c:strRef>
              <c:f>'Backlog Volumes'!$F$104</c:f>
              <c:strCache>
                <c:ptCount val="1"/>
                <c:pt idx="0">
                  <c:v>Actual</c:v>
                </c:pt>
              </c:strCache>
            </c:strRef>
          </c:tx>
          <c:spPr>
            <a:ln w="28575" cap="rnd">
              <a:solidFill>
                <a:schemeClr val="tx2"/>
              </a:solidFill>
              <a:round/>
            </a:ln>
            <a:effectLst/>
          </c:spPr>
          <c:marker>
            <c:symbol val="none"/>
          </c:marker>
          <c:cat>
            <c:numRef>
              <c:f>'Backlog Volumes'!$B$105:$B$114</c:f>
              <c:numCache>
                <c:formatCode>m/d/yyyy</c:formatCode>
                <c:ptCount val="10"/>
                <c:pt idx="0">
                  <c:v>43905</c:v>
                </c:pt>
                <c:pt idx="1">
                  <c:v>43912</c:v>
                </c:pt>
                <c:pt idx="2">
                  <c:v>43919</c:v>
                </c:pt>
                <c:pt idx="3">
                  <c:v>43926</c:v>
                </c:pt>
                <c:pt idx="4">
                  <c:v>43933</c:v>
                </c:pt>
                <c:pt idx="5">
                  <c:v>43940</c:v>
                </c:pt>
                <c:pt idx="6">
                  <c:v>43947</c:v>
                </c:pt>
                <c:pt idx="7">
                  <c:v>43954</c:v>
                </c:pt>
                <c:pt idx="8">
                  <c:v>43961</c:v>
                </c:pt>
                <c:pt idx="9">
                  <c:v>43968</c:v>
                </c:pt>
              </c:numCache>
            </c:numRef>
          </c:cat>
          <c:val>
            <c:numRef>
              <c:f>'Backlog Volumes'!$F$105:$F$114</c:f>
              <c:numCache>
                <c:formatCode>#,##0</c:formatCode>
                <c:ptCount val="10"/>
                <c:pt idx="0">
                  <c:v>533.83926781023342</c:v>
                </c:pt>
                <c:pt idx="1">
                  <c:v>419</c:v>
                </c:pt>
                <c:pt idx="2">
                  <c:v>255</c:v>
                </c:pt>
                <c:pt idx="3">
                  <c:v>273</c:v>
                </c:pt>
                <c:pt idx="4">
                  <c:v>148</c:v>
                </c:pt>
                <c:pt idx="5">
                  <c:v>126</c:v>
                </c:pt>
              </c:numCache>
            </c:numRef>
          </c:val>
          <c:smooth val="0"/>
          <c:extLst>
            <c:ext xmlns:c16="http://schemas.microsoft.com/office/drawing/2014/chart" uri="{C3380CC4-5D6E-409C-BE32-E72D297353CC}">
              <c16:uniqueId val="{00000000-6F05-4DE6-9E06-B7E29109AF37}"/>
            </c:ext>
          </c:extLst>
        </c:ser>
        <c:ser>
          <c:idx val="1"/>
          <c:order val="1"/>
          <c:tx>
            <c:strRef>
              <c:f>'Backlog Volumes'!$G$104</c:f>
              <c:strCache>
                <c:ptCount val="1"/>
                <c:pt idx="0">
                  <c:v>Expected</c:v>
                </c:pt>
              </c:strCache>
            </c:strRef>
          </c:tx>
          <c:spPr>
            <a:ln w="28575" cap="rnd">
              <a:solidFill>
                <a:schemeClr val="accent2"/>
              </a:solidFill>
              <a:round/>
            </a:ln>
            <a:effectLst/>
          </c:spPr>
          <c:marker>
            <c:symbol val="none"/>
          </c:marker>
          <c:cat>
            <c:numRef>
              <c:f>'Backlog Volumes'!$B$105:$B$114</c:f>
              <c:numCache>
                <c:formatCode>m/d/yyyy</c:formatCode>
                <c:ptCount val="10"/>
                <c:pt idx="0">
                  <c:v>43905</c:v>
                </c:pt>
                <c:pt idx="1">
                  <c:v>43912</c:v>
                </c:pt>
                <c:pt idx="2">
                  <c:v>43919</c:v>
                </c:pt>
                <c:pt idx="3">
                  <c:v>43926</c:v>
                </c:pt>
                <c:pt idx="4">
                  <c:v>43933</c:v>
                </c:pt>
                <c:pt idx="5">
                  <c:v>43940</c:v>
                </c:pt>
                <c:pt idx="6">
                  <c:v>43947</c:v>
                </c:pt>
                <c:pt idx="7">
                  <c:v>43954</c:v>
                </c:pt>
                <c:pt idx="8">
                  <c:v>43961</c:v>
                </c:pt>
                <c:pt idx="9">
                  <c:v>43968</c:v>
                </c:pt>
              </c:numCache>
            </c:numRef>
          </c:cat>
          <c:val>
            <c:numRef>
              <c:f>'Backlog Volumes'!$G$105:$G$114</c:f>
              <c:numCache>
                <c:formatCode>#,##0</c:formatCode>
                <c:ptCount val="10"/>
                <c:pt idx="0">
                  <c:v>533.83926781023342</c:v>
                </c:pt>
                <c:pt idx="1">
                  <c:v>533.83926781023342</c:v>
                </c:pt>
                <c:pt idx="2">
                  <c:v>527.41422541954717</c:v>
                </c:pt>
                <c:pt idx="3">
                  <c:v>513.84909303678796</c:v>
                </c:pt>
                <c:pt idx="4">
                  <c:v>502.53760811948757</c:v>
                </c:pt>
                <c:pt idx="5">
                  <c:v>502.7073206278294</c:v>
                </c:pt>
                <c:pt idx="6">
                  <c:v>482.56092450384483</c:v>
                </c:pt>
                <c:pt idx="7">
                  <c:v>497.493340435682</c:v>
                </c:pt>
                <c:pt idx="8">
                  <c:v>497.88641020319881</c:v>
                </c:pt>
                <c:pt idx="9">
                  <c:v>521.40362663020903</c:v>
                </c:pt>
              </c:numCache>
            </c:numRef>
          </c:val>
          <c:smooth val="0"/>
          <c:extLst>
            <c:ext xmlns:c16="http://schemas.microsoft.com/office/drawing/2014/chart" uri="{C3380CC4-5D6E-409C-BE32-E72D297353CC}">
              <c16:uniqueId val="{00000001-6F05-4DE6-9E06-B7E29109AF37}"/>
            </c:ext>
          </c:extLst>
        </c:ser>
        <c:ser>
          <c:idx val="2"/>
          <c:order val="2"/>
          <c:tx>
            <c:strRef>
              <c:f>'Backlog Volumes'!$H$104</c:f>
              <c:strCache>
                <c:ptCount val="1"/>
                <c:pt idx="0">
                  <c:v>Ramp Up</c:v>
                </c:pt>
              </c:strCache>
            </c:strRef>
          </c:tx>
          <c:spPr>
            <a:ln w="28575" cap="rnd">
              <a:solidFill>
                <a:schemeClr val="bg2">
                  <a:lumMod val="50000"/>
                </a:schemeClr>
              </a:solidFill>
              <a:prstDash val="sysDot"/>
              <a:round/>
            </a:ln>
            <a:effectLst/>
          </c:spPr>
          <c:marker>
            <c:symbol val="none"/>
          </c:marker>
          <c:cat>
            <c:numRef>
              <c:f>'Backlog Volumes'!$B$105:$B$114</c:f>
              <c:numCache>
                <c:formatCode>m/d/yyyy</c:formatCode>
                <c:ptCount val="10"/>
                <c:pt idx="0">
                  <c:v>43905</c:v>
                </c:pt>
                <c:pt idx="1">
                  <c:v>43912</c:v>
                </c:pt>
                <c:pt idx="2">
                  <c:v>43919</c:v>
                </c:pt>
                <c:pt idx="3">
                  <c:v>43926</c:v>
                </c:pt>
                <c:pt idx="4">
                  <c:v>43933</c:v>
                </c:pt>
                <c:pt idx="5">
                  <c:v>43940</c:v>
                </c:pt>
                <c:pt idx="6">
                  <c:v>43947</c:v>
                </c:pt>
                <c:pt idx="7">
                  <c:v>43954</c:v>
                </c:pt>
                <c:pt idx="8">
                  <c:v>43961</c:v>
                </c:pt>
                <c:pt idx="9">
                  <c:v>43968</c:v>
                </c:pt>
              </c:numCache>
            </c:numRef>
          </c:cat>
          <c:val>
            <c:numRef>
              <c:f>'Backlog Volumes'!$H$105:$H$114</c:f>
              <c:numCache>
                <c:formatCode>General</c:formatCode>
                <c:ptCount val="10"/>
                <c:pt idx="5">
                  <c:v>126</c:v>
                </c:pt>
                <c:pt idx="6" formatCode="0">
                  <c:v>224.75</c:v>
                </c:pt>
                <c:pt idx="7" formatCode="0">
                  <c:v>323.5</c:v>
                </c:pt>
                <c:pt idx="8" formatCode="0">
                  <c:v>422.25</c:v>
                </c:pt>
                <c:pt idx="9">
                  <c:v>521</c:v>
                </c:pt>
              </c:numCache>
            </c:numRef>
          </c:val>
          <c:smooth val="0"/>
          <c:extLst>
            <c:ext xmlns:c16="http://schemas.microsoft.com/office/drawing/2014/chart" uri="{C3380CC4-5D6E-409C-BE32-E72D297353CC}">
              <c16:uniqueId val="{00000002-6F05-4DE6-9E06-B7E29109AF37}"/>
            </c:ext>
          </c:extLst>
        </c:ser>
        <c:ser>
          <c:idx val="3"/>
          <c:order val="3"/>
          <c:tx>
            <c:strRef>
              <c:f>'Backlog Volumes'!$I$104</c:f>
              <c:strCache>
                <c:ptCount val="1"/>
                <c:pt idx="0">
                  <c:v>Filler</c:v>
                </c:pt>
              </c:strCache>
            </c:strRef>
          </c:tx>
          <c:spPr>
            <a:ln w="28575" cap="rnd">
              <a:solidFill>
                <a:schemeClr val="tx2"/>
              </a:solidFill>
              <a:round/>
            </a:ln>
            <a:effectLst/>
          </c:spPr>
          <c:marker>
            <c:symbol val="none"/>
          </c:marker>
          <c:cat>
            <c:numRef>
              <c:f>'Backlog Volumes'!$B$105:$B$114</c:f>
              <c:numCache>
                <c:formatCode>m/d/yyyy</c:formatCode>
                <c:ptCount val="10"/>
                <c:pt idx="0">
                  <c:v>43905</c:v>
                </c:pt>
                <c:pt idx="1">
                  <c:v>43912</c:v>
                </c:pt>
                <c:pt idx="2">
                  <c:v>43919</c:v>
                </c:pt>
                <c:pt idx="3">
                  <c:v>43926</c:v>
                </c:pt>
                <c:pt idx="4">
                  <c:v>43933</c:v>
                </c:pt>
                <c:pt idx="5">
                  <c:v>43940</c:v>
                </c:pt>
                <c:pt idx="6">
                  <c:v>43947</c:v>
                </c:pt>
                <c:pt idx="7">
                  <c:v>43954</c:v>
                </c:pt>
                <c:pt idx="8">
                  <c:v>43961</c:v>
                </c:pt>
                <c:pt idx="9">
                  <c:v>43968</c:v>
                </c:pt>
              </c:numCache>
            </c:numRef>
          </c:cat>
          <c:val>
            <c:numRef>
              <c:f>'Backlog Volumes'!$I$105:$I$114</c:f>
              <c:numCache>
                <c:formatCode>General</c:formatCode>
                <c:ptCount val="10"/>
                <c:pt idx="5">
                  <c:v>126</c:v>
                </c:pt>
                <c:pt idx="6">
                  <c:v>126</c:v>
                </c:pt>
                <c:pt idx="7">
                  <c:v>126</c:v>
                </c:pt>
                <c:pt idx="8">
                  <c:v>126</c:v>
                </c:pt>
                <c:pt idx="9">
                  <c:v>126</c:v>
                </c:pt>
              </c:numCache>
            </c:numRef>
          </c:val>
          <c:smooth val="0"/>
          <c:extLst>
            <c:ext xmlns:c16="http://schemas.microsoft.com/office/drawing/2014/chart" uri="{C3380CC4-5D6E-409C-BE32-E72D297353CC}">
              <c16:uniqueId val="{00000003-6F05-4DE6-9E06-B7E29109AF37}"/>
            </c:ext>
          </c:extLst>
        </c:ser>
        <c:dLbls>
          <c:showLegendKey val="0"/>
          <c:showVal val="0"/>
          <c:showCatName val="0"/>
          <c:showSerName val="0"/>
          <c:showPercent val="0"/>
          <c:showBubbleSize val="0"/>
        </c:dLbls>
        <c:smooth val="0"/>
        <c:axId val="841948376"/>
        <c:axId val="841957560"/>
      </c:lineChart>
      <c:dateAx>
        <c:axId val="841948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j-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j-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j-lt"/>
                <a:ea typeface="+mn-ea"/>
                <a:cs typeface="+mn-cs"/>
              </a:defRPr>
            </a:pPr>
            <a:endParaRPr lang="en-US"/>
          </a:p>
        </c:txPr>
        <c:crossAx val="841957560"/>
        <c:crosses val="autoZero"/>
        <c:auto val="1"/>
        <c:lblOffset val="100"/>
        <c:baseTimeUnit val="days"/>
      </c:dateAx>
      <c:valAx>
        <c:axId val="841957560"/>
        <c:scaling>
          <c:orientation val="minMax"/>
        </c:scaling>
        <c:delete val="1"/>
        <c:axPos val="l"/>
        <c:numFmt formatCode="#,##0" sourceLinked="1"/>
        <c:majorTickMark val="none"/>
        <c:minorTickMark val="none"/>
        <c:tickLblPos val="nextTo"/>
        <c:crossAx val="841948376"/>
        <c:crosses val="autoZero"/>
        <c:crossBetween val="between"/>
      </c:valAx>
      <c:spPr>
        <a:noFill/>
        <a:ln>
          <a:noFill/>
        </a:ln>
        <a:effectLst/>
      </c:spPr>
    </c:plotArea>
    <c:legend>
      <c:legendPos val="r"/>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j-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mj-lt"/>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'PPE Outputs'!$M$43</c:f>
          <c:strCache>
            <c:ptCount val="1"/>
            <c:pt idx="0">
              <c:v>Total PPE Requirements - Provincial Backlog Estimates
(Mar 15 to Jun 13, 2020, with ramp up starting Jun 14, 2020)</c:v>
            </c:pt>
          </c:strCache>
        </c:strRef>
      </c:tx>
      <c:layout>
        <c:manualLayout>
          <c:xMode val="edge"/>
          <c:yMode val="edge"/>
          <c:x val="3.3610560293656852E-4"/>
          <c:y val="0"/>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lotArea>
      <c:layout/>
      <c:barChart>
        <c:barDir val="bar"/>
        <c:grouping val="clustered"/>
        <c:varyColors val="0"/>
        <c:ser>
          <c:idx val="0"/>
          <c:order val="0"/>
          <c:spPr>
            <a:solidFill>
              <a:srgbClr val="00B2E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'PPE Outputs'!$J$47:$J$51</c:f>
              <c:strCache>
                <c:ptCount val="5"/>
                <c:pt idx="0">
                  <c:v>N95</c:v>
                </c:pt>
                <c:pt idx="1">
                  <c:v>Gown</c:v>
                </c:pt>
                <c:pt idx="2">
                  <c:v>Face/eye protection</c:v>
                </c:pt>
                <c:pt idx="3">
                  <c:v>Surgical Mask</c:v>
                </c:pt>
                <c:pt idx="4">
                  <c:v>Gloves (pairs)</c:v>
                </c:pt>
              </c:strCache>
            </c:strRef>
          </c:cat>
          <c:val>
            <c:numRef>
              <c:f>'PPE Outputs'!$K$47:$K$51</c:f>
              <c:numCache>
                <c:formatCode>#,##0</c:formatCode>
                <c:ptCount val="5"/>
                <c:pt idx="0">
                  <c:v>559097.60675044789</c:v>
                </c:pt>
                <c:pt idx="1">
                  <c:v>1679997.3977209383</c:v>
                </c:pt>
                <c:pt idx="2">
                  <c:v>2916780.5565630877</c:v>
                </c:pt>
                <c:pt idx="3">
                  <c:v>3549030.0380805149</c:v>
                </c:pt>
                <c:pt idx="4">
                  <c:v>3919092.4021923249</c:v>
                </c:pt>
              </c:numCache>
            </c:numRef>
          </c:val>
          <c:extLst>
            <c:ext xmlns:c16="http://schemas.microsoft.com/office/drawing/2014/chart" uri="{C3380CC4-5D6E-409C-BE32-E72D297353CC}">
              <c16:uniqueId val="{00000000-88B8-443B-81CD-73153194EA15}"/>
            </c:ext>
          </c:extLst>
        </c:ser>
        <c:dLbls>
          <c:showLegendKey val="0"/>
          <c:showVal val="0"/>
          <c:showCatName val="0"/>
          <c:showSerName val="0"/>
          <c:showPercent val="0"/>
          <c:showBubbleSize val="0"/>
        </c:dLbls>
        <c:gapWidth val="100"/>
        <c:axId val="638699080"/>
        <c:axId val="638700392"/>
      </c:barChart>
      <c:catAx>
        <c:axId val="638699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00392"/>
        <c:crosses val="autoZero"/>
        <c:auto val="1"/>
        <c:lblAlgn val="ctr"/>
        <c:lblOffset val="100"/>
        <c:noMultiLvlLbl val="0"/>
      </c:catAx>
      <c:valAx>
        <c:axId val="63870039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6386990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'PPE Outputs'!$M$42</c:f>
          <c:strCache>
            <c:ptCount val="1"/>
            <c:pt idx="0">
              <c:v>Estimated Backlog Size by Surgery Type - Provincial Backlog Estimates
(Mar 15 to Jun 13, 2020, with ramp up starting Jun 14, 2020)</c:v>
            </c:pt>
          </c:strCache>
        </c:strRef>
      </c:tx>
      <c:layout>
        <c:manualLayout>
          <c:xMode val="edge"/>
          <c:yMode val="edge"/>
          <c:x val="1.0825451940158907E-3"/>
          <c:y val="0"/>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lotArea>
      <c:layout>
        <c:manualLayout>
          <c:layoutTarget val="inner"/>
          <c:xMode val="edge"/>
          <c:yMode val="edge"/>
          <c:x val="0.20829959468374595"/>
          <c:y val="0.15341356358248873"/>
          <c:w val="0.7397135621279286"/>
          <c:h val="0.69686130172064797"/>
        </c:manualLayout>
      </c:layout>
      <c:barChart>
        <c:barDir val="bar"/>
        <c:grouping val="clustered"/>
        <c:varyColors val="0"/>
        <c:ser>
          <c:idx val="0"/>
          <c:order val="0"/>
          <c:spPr>
            <a:solidFill>
              <a:schemeClr val="accent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'PPE Outputs'!$J$41:$J$44</c:f>
              <c:strCache>
                <c:ptCount val="4"/>
                <c:pt idx="0">
                  <c:v>Benign</c:v>
                </c:pt>
                <c:pt idx="1">
                  <c:v>Pediatric</c:v>
                </c:pt>
                <c:pt idx="2">
                  <c:v>Cancer</c:v>
                </c:pt>
                <c:pt idx="3">
                  <c:v>Vascular</c:v>
                </c:pt>
              </c:strCache>
            </c:strRef>
          </c:cat>
          <c:val>
            <c:numRef>
              <c:f>'PPE Outputs'!$K$41:$K$44</c:f>
              <c:numCache>
                <c:formatCode>#,##0</c:formatCode>
                <c:ptCount val="4"/>
                <c:pt idx="0">
                  <c:v>128272.9887378</c:v>
                </c:pt>
                <c:pt idx="1">
                  <c:v>12350.827853510002</c:v>
                </c:pt>
                <c:pt idx="2">
                  <c:v>5152.167229121771</c:v>
                </c:pt>
                <c:pt idx="3">
                  <c:v>1874.919158816454</c:v>
                </c:pt>
              </c:numCache>
            </c:numRef>
          </c:val>
          <c:extLst>
            <c:ext xmlns:c16="http://schemas.microsoft.com/office/drawing/2014/chart" uri="{C3380CC4-5D6E-409C-BE32-E72D297353CC}">
              <c16:uniqueId val="{00000000-52B9-423B-96EE-1DEA178ADAB8}"/>
            </c:ext>
          </c:extLst>
        </c:ser>
        <c:dLbls>
          <c:showLegendKey val="0"/>
          <c:showVal val="0"/>
          <c:showCatName val="0"/>
          <c:showSerName val="0"/>
          <c:showPercent val="0"/>
          <c:showBubbleSize val="0"/>
        </c:dLbls>
        <c:gapWidth val="182"/>
        <c:axId val="640960336"/>
        <c:axId val="640960664"/>
      </c:barChart>
      <c:catAx>
        <c:axId val="6409603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960664"/>
        <c:crosses val="autoZero"/>
        <c:auto val="1"/>
        <c:lblAlgn val="ctr"/>
        <c:lblOffset val="100"/>
        <c:noMultiLvlLbl val="0"/>
      </c:catAx>
      <c:valAx>
        <c:axId val="640960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procedures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960336"/>
        <c:crosses val="max"/>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Derivation</a:t>
            </a:r>
            <a:r>
              <a:rPr lang="en-US" baseline="0"/>
              <a:t> of the backlog size given linear ramp up</a:t>
            </a:r>
            <a:endParaRPr lang="en-US"/>
          </a:p>
        </c:rich>
      </c:tx>
      <c:layout>
        <c:manualLayout>
          <c:xMode val="edge"/>
          <c:yMode val="edge"/>
          <c:x val="9.4222933734654213E-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'Backlog Volumes'!$F$104</c:f>
              <c:strCache>
                <c:ptCount val="1"/>
                <c:pt idx="0">
                  <c:v>Actual</c:v>
                </c:pt>
              </c:strCache>
            </c:strRef>
          </c:tx>
          <c:spPr>
            <a:ln w="28575" cap="rnd">
              <a:solidFill>
                <a:schemeClr val="tx2"/>
              </a:solidFill>
              <a:round/>
            </a:ln>
            <a:effectLst/>
          </c:spPr>
          <c:marker>
            <c:symbol val="none"/>
          </c:marker>
          <c:cat>
            <c:numRef>
              <c:f>'Backlog Volumes'!$B$105:$B$114</c:f>
              <c:numCache>
                <c:formatCode>m/d/yyyy</c:formatCode>
                <c:ptCount val="10"/>
                <c:pt idx="0">
                  <c:v>43905</c:v>
                </c:pt>
                <c:pt idx="1">
                  <c:v>43912</c:v>
                </c:pt>
                <c:pt idx="2">
                  <c:v>43919</c:v>
                </c:pt>
                <c:pt idx="3">
                  <c:v>43926</c:v>
                </c:pt>
                <c:pt idx="4">
                  <c:v>43933</c:v>
                </c:pt>
                <c:pt idx="5">
                  <c:v>43940</c:v>
                </c:pt>
                <c:pt idx="6">
                  <c:v>43947</c:v>
                </c:pt>
                <c:pt idx="7">
                  <c:v>43954</c:v>
                </c:pt>
                <c:pt idx="8">
                  <c:v>43961</c:v>
                </c:pt>
                <c:pt idx="9">
                  <c:v>43968</c:v>
                </c:pt>
              </c:numCache>
            </c:numRef>
          </c:cat>
          <c:val>
            <c:numRef>
              <c:f>'Backlog Volumes'!$F$105:$F$114</c:f>
              <c:numCache>
                <c:formatCode>#,##0</c:formatCode>
                <c:ptCount val="10"/>
                <c:pt idx="0">
                  <c:v>533.83926781023342</c:v>
                </c:pt>
                <c:pt idx="1">
                  <c:v>419</c:v>
                </c:pt>
                <c:pt idx="2">
                  <c:v>255</c:v>
                </c:pt>
                <c:pt idx="3">
                  <c:v>273</c:v>
                </c:pt>
                <c:pt idx="4">
                  <c:v>148</c:v>
                </c:pt>
                <c:pt idx="5">
                  <c:v>126</c:v>
                </c:pt>
              </c:numCache>
            </c:numRef>
          </c:val>
          <c:smooth val="0"/>
          <c:extLst>
            <c:ext xmlns:c16="http://schemas.microsoft.com/office/drawing/2014/chart" uri="{C3380CC4-5D6E-409C-BE32-E72D297353CC}">
              <c16:uniqueId val="{00000000-DA5A-4E68-BB8E-1C62D9324104}"/>
            </c:ext>
          </c:extLst>
        </c:ser>
        <c:ser>
          <c:idx val="1"/>
          <c:order val="1"/>
          <c:tx>
            <c:strRef>
              <c:f>'Backlog Volumes'!$G$104</c:f>
              <c:strCache>
                <c:ptCount val="1"/>
                <c:pt idx="0">
                  <c:v>Expected</c:v>
                </c:pt>
              </c:strCache>
            </c:strRef>
          </c:tx>
          <c:spPr>
            <a:ln w="28575" cap="rnd">
              <a:solidFill>
                <a:schemeClr val="accent2"/>
              </a:solidFill>
              <a:round/>
            </a:ln>
            <a:effectLst/>
          </c:spPr>
          <c:marker>
            <c:symbol val="none"/>
          </c:marker>
          <c:cat>
            <c:numRef>
              <c:f>'Backlog Volumes'!$B$105:$B$114</c:f>
              <c:numCache>
                <c:formatCode>m/d/yyyy</c:formatCode>
                <c:ptCount val="10"/>
                <c:pt idx="0">
                  <c:v>43905</c:v>
                </c:pt>
                <c:pt idx="1">
                  <c:v>43912</c:v>
                </c:pt>
                <c:pt idx="2">
                  <c:v>43919</c:v>
                </c:pt>
                <c:pt idx="3">
                  <c:v>43926</c:v>
                </c:pt>
                <c:pt idx="4">
                  <c:v>43933</c:v>
                </c:pt>
                <c:pt idx="5">
                  <c:v>43940</c:v>
                </c:pt>
                <c:pt idx="6">
                  <c:v>43947</c:v>
                </c:pt>
                <c:pt idx="7">
                  <c:v>43954</c:v>
                </c:pt>
                <c:pt idx="8">
                  <c:v>43961</c:v>
                </c:pt>
                <c:pt idx="9">
                  <c:v>43968</c:v>
                </c:pt>
              </c:numCache>
            </c:numRef>
          </c:cat>
          <c:val>
            <c:numRef>
              <c:f>'Backlog Volumes'!$G$105:$G$114</c:f>
              <c:numCache>
                <c:formatCode>#,##0</c:formatCode>
                <c:ptCount val="10"/>
                <c:pt idx="0">
                  <c:v>533.83926781023342</c:v>
                </c:pt>
                <c:pt idx="1">
                  <c:v>533.83926781023342</c:v>
                </c:pt>
                <c:pt idx="2">
                  <c:v>527.41422541954717</c:v>
                </c:pt>
                <c:pt idx="3">
                  <c:v>513.84909303678796</c:v>
                </c:pt>
                <c:pt idx="4">
                  <c:v>502.53760811948757</c:v>
                </c:pt>
                <c:pt idx="5">
                  <c:v>502.7073206278294</c:v>
                </c:pt>
                <c:pt idx="6">
                  <c:v>482.56092450384483</c:v>
                </c:pt>
                <c:pt idx="7">
                  <c:v>497.493340435682</c:v>
                </c:pt>
                <c:pt idx="8">
                  <c:v>497.88641020319881</c:v>
                </c:pt>
                <c:pt idx="9">
                  <c:v>521.40362663020903</c:v>
                </c:pt>
              </c:numCache>
            </c:numRef>
          </c:val>
          <c:smooth val="0"/>
          <c:extLst>
            <c:ext xmlns:c16="http://schemas.microsoft.com/office/drawing/2014/chart" uri="{C3380CC4-5D6E-409C-BE32-E72D297353CC}">
              <c16:uniqueId val="{00000001-DA5A-4E68-BB8E-1C62D9324104}"/>
            </c:ext>
          </c:extLst>
        </c:ser>
        <c:ser>
          <c:idx val="2"/>
          <c:order val="2"/>
          <c:tx>
            <c:strRef>
              <c:f>'Backlog Volumes'!$H$104</c:f>
              <c:strCache>
                <c:ptCount val="1"/>
                <c:pt idx="0">
                  <c:v>Ramp Up</c:v>
                </c:pt>
              </c:strCache>
            </c:strRef>
          </c:tx>
          <c:spPr>
            <a:ln w="28575" cap="rnd">
              <a:solidFill>
                <a:schemeClr val="bg2">
                  <a:lumMod val="50000"/>
                </a:schemeClr>
              </a:solidFill>
              <a:prstDash val="sysDot"/>
              <a:round/>
            </a:ln>
            <a:effectLst/>
          </c:spPr>
          <c:marker>
            <c:symbol val="none"/>
          </c:marker>
          <c:cat>
            <c:numRef>
              <c:f>'Backlog Volumes'!$B$105:$B$114</c:f>
              <c:numCache>
                <c:formatCode>m/d/yyyy</c:formatCode>
                <c:ptCount val="10"/>
                <c:pt idx="0">
                  <c:v>43905</c:v>
                </c:pt>
                <c:pt idx="1">
                  <c:v>43912</c:v>
                </c:pt>
                <c:pt idx="2">
                  <c:v>43919</c:v>
                </c:pt>
                <c:pt idx="3">
                  <c:v>43926</c:v>
                </c:pt>
                <c:pt idx="4">
                  <c:v>43933</c:v>
                </c:pt>
                <c:pt idx="5">
                  <c:v>43940</c:v>
                </c:pt>
                <c:pt idx="6">
                  <c:v>43947</c:v>
                </c:pt>
                <c:pt idx="7">
                  <c:v>43954</c:v>
                </c:pt>
                <c:pt idx="8">
                  <c:v>43961</c:v>
                </c:pt>
                <c:pt idx="9">
                  <c:v>43968</c:v>
                </c:pt>
              </c:numCache>
            </c:numRef>
          </c:cat>
          <c:val>
            <c:numRef>
              <c:f>'Backlog Volumes'!$H$105:$H$114</c:f>
              <c:numCache>
                <c:formatCode>General</c:formatCode>
                <c:ptCount val="10"/>
                <c:pt idx="5">
                  <c:v>126</c:v>
                </c:pt>
                <c:pt idx="6" formatCode="0">
                  <c:v>224.75</c:v>
                </c:pt>
                <c:pt idx="7" formatCode="0">
                  <c:v>323.5</c:v>
                </c:pt>
                <c:pt idx="8" formatCode="0">
                  <c:v>422.25</c:v>
                </c:pt>
                <c:pt idx="9">
                  <c:v>521</c:v>
                </c:pt>
              </c:numCache>
            </c:numRef>
          </c:val>
          <c:smooth val="0"/>
          <c:extLst>
            <c:ext xmlns:c16="http://schemas.microsoft.com/office/drawing/2014/chart" uri="{C3380CC4-5D6E-409C-BE32-E72D297353CC}">
              <c16:uniqueId val="{00000002-DA5A-4E68-BB8E-1C62D9324104}"/>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841948376"/>
        <c:axId val="841957560"/>
      </c:lineChart>
      <c:dateAx>
        <c:axId val="841948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957560"/>
        <c:crosses val="autoZero"/>
        <c:auto val="1"/>
        <c:lblOffset val="100"/>
        <c:baseTimeUnit val="days"/>
      </c:dateAx>
      <c:valAx>
        <c:axId val="841957560"/>
        <c:scaling>
          <c:orientation val="minMax"/>
        </c:scaling>
        <c:delete val="1"/>
        <c:axPos val="l"/>
        <c:numFmt formatCode="#,##0" sourceLinked="1"/>
        <c:majorTickMark val="none"/>
        <c:minorTickMark val="none"/>
        <c:tickLblPos val="nextTo"/>
        <c:crossAx val="841948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Derivation</a:t>
            </a:r>
            <a:r>
              <a:rPr lang="en-US" baseline="0"/>
              <a:t> of the backlog size given linear ramp up</a:t>
            </a:r>
            <a:endParaRPr lang="en-US"/>
          </a:p>
        </c:rich>
      </c:tx>
      <c:layout>
        <c:manualLayout>
          <c:xMode val="edge"/>
          <c:yMode val="edge"/>
          <c:x val="9.4222933734654213E-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'Backlog Volumes'!$F$104</c:f>
              <c:strCache>
                <c:ptCount val="1"/>
                <c:pt idx="0">
                  <c:v>Actual</c:v>
                </c:pt>
              </c:strCache>
            </c:strRef>
          </c:tx>
          <c:spPr>
            <a:ln w="28575" cap="rnd">
              <a:solidFill>
                <a:schemeClr val="tx2"/>
              </a:solidFill>
              <a:round/>
            </a:ln>
            <a:effectLst/>
          </c:spPr>
          <c:marker>
            <c:symbol val="none"/>
          </c:marker>
          <c:cat>
            <c:numRef>
              <c:f>'Backlog Volumes'!$B$105:$B$114</c:f>
              <c:numCache>
                <c:formatCode>m/d/yyyy</c:formatCode>
                <c:ptCount val="10"/>
                <c:pt idx="0">
                  <c:v>43905</c:v>
                </c:pt>
                <c:pt idx="1">
                  <c:v>43912</c:v>
                </c:pt>
                <c:pt idx="2">
                  <c:v>43919</c:v>
                </c:pt>
                <c:pt idx="3">
                  <c:v>43926</c:v>
                </c:pt>
                <c:pt idx="4">
                  <c:v>43933</c:v>
                </c:pt>
                <c:pt idx="5">
                  <c:v>43940</c:v>
                </c:pt>
                <c:pt idx="6">
                  <c:v>43947</c:v>
                </c:pt>
                <c:pt idx="7">
                  <c:v>43954</c:v>
                </c:pt>
                <c:pt idx="8">
                  <c:v>43961</c:v>
                </c:pt>
                <c:pt idx="9">
                  <c:v>43968</c:v>
                </c:pt>
              </c:numCache>
            </c:numRef>
          </c:cat>
          <c:val>
            <c:numRef>
              <c:f>'Backlog Volumes'!$F$105:$F$114</c:f>
              <c:numCache>
                <c:formatCode>#,##0</c:formatCode>
                <c:ptCount val="10"/>
                <c:pt idx="0">
                  <c:v>533.83926781023342</c:v>
                </c:pt>
                <c:pt idx="1">
                  <c:v>419</c:v>
                </c:pt>
                <c:pt idx="2">
                  <c:v>255</c:v>
                </c:pt>
                <c:pt idx="3">
                  <c:v>273</c:v>
                </c:pt>
                <c:pt idx="4">
                  <c:v>148</c:v>
                </c:pt>
                <c:pt idx="5">
                  <c:v>126</c:v>
                </c:pt>
              </c:numCache>
            </c:numRef>
          </c:val>
          <c:smooth val="0"/>
          <c:extLst>
            <c:ext xmlns:c16="http://schemas.microsoft.com/office/drawing/2014/chart" uri="{C3380CC4-5D6E-409C-BE32-E72D297353CC}">
              <c16:uniqueId val="{00000000-F9D2-4BA7-BF77-62724394CB28}"/>
            </c:ext>
          </c:extLst>
        </c:ser>
        <c:ser>
          <c:idx val="1"/>
          <c:order val="1"/>
          <c:tx>
            <c:strRef>
              <c:f>'Backlog Volumes'!$G$104</c:f>
              <c:strCache>
                <c:ptCount val="1"/>
                <c:pt idx="0">
                  <c:v>Expected</c:v>
                </c:pt>
              </c:strCache>
            </c:strRef>
          </c:tx>
          <c:spPr>
            <a:ln w="28575" cap="rnd">
              <a:solidFill>
                <a:schemeClr val="accent2"/>
              </a:solidFill>
              <a:round/>
            </a:ln>
            <a:effectLst/>
          </c:spPr>
          <c:marker>
            <c:symbol val="none"/>
          </c:marker>
          <c:cat>
            <c:numRef>
              <c:f>'Backlog Volumes'!$B$105:$B$114</c:f>
              <c:numCache>
                <c:formatCode>m/d/yyyy</c:formatCode>
                <c:ptCount val="10"/>
                <c:pt idx="0">
                  <c:v>43905</c:v>
                </c:pt>
                <c:pt idx="1">
                  <c:v>43912</c:v>
                </c:pt>
                <c:pt idx="2">
                  <c:v>43919</c:v>
                </c:pt>
                <c:pt idx="3">
                  <c:v>43926</c:v>
                </c:pt>
                <c:pt idx="4">
                  <c:v>43933</c:v>
                </c:pt>
                <c:pt idx="5">
                  <c:v>43940</c:v>
                </c:pt>
                <c:pt idx="6">
                  <c:v>43947</c:v>
                </c:pt>
                <c:pt idx="7">
                  <c:v>43954</c:v>
                </c:pt>
                <c:pt idx="8">
                  <c:v>43961</c:v>
                </c:pt>
                <c:pt idx="9">
                  <c:v>43968</c:v>
                </c:pt>
              </c:numCache>
            </c:numRef>
          </c:cat>
          <c:val>
            <c:numRef>
              <c:f>'Backlog Volumes'!$G$105:$G$114</c:f>
              <c:numCache>
                <c:formatCode>#,##0</c:formatCode>
                <c:ptCount val="10"/>
                <c:pt idx="0">
                  <c:v>533.83926781023342</c:v>
                </c:pt>
                <c:pt idx="1">
                  <c:v>533.83926781023342</c:v>
                </c:pt>
                <c:pt idx="2">
                  <c:v>527.41422541954717</c:v>
                </c:pt>
                <c:pt idx="3">
                  <c:v>513.84909303678796</c:v>
                </c:pt>
                <c:pt idx="4">
                  <c:v>502.53760811948757</c:v>
                </c:pt>
                <c:pt idx="5">
                  <c:v>502.7073206278294</c:v>
                </c:pt>
                <c:pt idx="6">
                  <c:v>482.56092450384483</c:v>
                </c:pt>
                <c:pt idx="7">
                  <c:v>497.493340435682</c:v>
                </c:pt>
                <c:pt idx="8">
                  <c:v>497.88641020319881</c:v>
                </c:pt>
                <c:pt idx="9">
                  <c:v>521.40362663020903</c:v>
                </c:pt>
              </c:numCache>
            </c:numRef>
          </c:val>
          <c:smooth val="0"/>
          <c:extLst>
            <c:ext xmlns:c16="http://schemas.microsoft.com/office/drawing/2014/chart" uri="{C3380CC4-5D6E-409C-BE32-E72D297353CC}">
              <c16:uniqueId val="{00000001-F9D2-4BA7-BF77-62724394CB28}"/>
            </c:ext>
          </c:extLst>
        </c:ser>
        <c:ser>
          <c:idx val="2"/>
          <c:order val="2"/>
          <c:tx>
            <c:strRef>
              <c:f>'Backlog Volumes'!$H$104</c:f>
              <c:strCache>
                <c:ptCount val="1"/>
                <c:pt idx="0">
                  <c:v>Ramp Up</c:v>
                </c:pt>
              </c:strCache>
            </c:strRef>
          </c:tx>
          <c:spPr>
            <a:ln w="28575" cap="rnd">
              <a:solidFill>
                <a:schemeClr val="bg2">
                  <a:lumMod val="50000"/>
                </a:schemeClr>
              </a:solidFill>
              <a:prstDash val="sysDot"/>
              <a:round/>
            </a:ln>
            <a:effectLst/>
          </c:spPr>
          <c:marker>
            <c:symbol val="none"/>
          </c:marker>
          <c:cat>
            <c:numRef>
              <c:f>'Backlog Volumes'!$B$105:$B$114</c:f>
              <c:numCache>
                <c:formatCode>m/d/yyyy</c:formatCode>
                <c:ptCount val="10"/>
                <c:pt idx="0">
                  <c:v>43905</c:v>
                </c:pt>
                <c:pt idx="1">
                  <c:v>43912</c:v>
                </c:pt>
                <c:pt idx="2">
                  <c:v>43919</c:v>
                </c:pt>
                <c:pt idx="3">
                  <c:v>43926</c:v>
                </c:pt>
                <c:pt idx="4">
                  <c:v>43933</c:v>
                </c:pt>
                <c:pt idx="5">
                  <c:v>43940</c:v>
                </c:pt>
                <c:pt idx="6">
                  <c:v>43947</c:v>
                </c:pt>
                <c:pt idx="7">
                  <c:v>43954</c:v>
                </c:pt>
                <c:pt idx="8">
                  <c:v>43961</c:v>
                </c:pt>
                <c:pt idx="9">
                  <c:v>43968</c:v>
                </c:pt>
              </c:numCache>
            </c:numRef>
          </c:cat>
          <c:val>
            <c:numRef>
              <c:f>'Backlog Volumes'!$H$105:$H$114</c:f>
              <c:numCache>
                <c:formatCode>General</c:formatCode>
                <c:ptCount val="10"/>
                <c:pt idx="5">
                  <c:v>126</c:v>
                </c:pt>
                <c:pt idx="6" formatCode="0">
                  <c:v>224.75</c:v>
                </c:pt>
                <c:pt idx="7" formatCode="0">
                  <c:v>323.5</c:v>
                </c:pt>
                <c:pt idx="8" formatCode="0">
                  <c:v>422.25</c:v>
                </c:pt>
                <c:pt idx="9">
                  <c:v>521</c:v>
                </c:pt>
              </c:numCache>
            </c:numRef>
          </c:val>
          <c:smooth val="0"/>
          <c:extLst>
            <c:ext xmlns:c16="http://schemas.microsoft.com/office/drawing/2014/chart" uri="{C3380CC4-5D6E-409C-BE32-E72D297353CC}">
              <c16:uniqueId val="{00000002-F9D2-4BA7-BF77-62724394CB28}"/>
            </c:ext>
          </c:extLst>
        </c:ser>
        <c:ser>
          <c:idx val="3"/>
          <c:order val="3"/>
          <c:tx>
            <c:strRef>
              <c:f>'Backlog Volumes'!$I$104</c:f>
              <c:strCache>
                <c:ptCount val="1"/>
                <c:pt idx="0">
                  <c:v>Filler</c:v>
                </c:pt>
              </c:strCache>
            </c:strRef>
          </c:tx>
          <c:spPr>
            <a:ln w="28575" cap="rnd">
              <a:solidFill>
                <a:schemeClr val="tx2"/>
              </a:solidFill>
              <a:round/>
            </a:ln>
            <a:effectLst/>
          </c:spPr>
          <c:marker>
            <c:symbol val="none"/>
          </c:marker>
          <c:cat>
            <c:numRef>
              <c:f>'Backlog Volumes'!$B$105:$B$114</c:f>
              <c:numCache>
                <c:formatCode>m/d/yyyy</c:formatCode>
                <c:ptCount val="10"/>
                <c:pt idx="0">
                  <c:v>43905</c:v>
                </c:pt>
                <c:pt idx="1">
                  <c:v>43912</c:v>
                </c:pt>
                <c:pt idx="2">
                  <c:v>43919</c:v>
                </c:pt>
                <c:pt idx="3">
                  <c:v>43926</c:v>
                </c:pt>
                <c:pt idx="4">
                  <c:v>43933</c:v>
                </c:pt>
                <c:pt idx="5">
                  <c:v>43940</c:v>
                </c:pt>
                <c:pt idx="6">
                  <c:v>43947</c:v>
                </c:pt>
                <c:pt idx="7">
                  <c:v>43954</c:v>
                </c:pt>
                <c:pt idx="8">
                  <c:v>43961</c:v>
                </c:pt>
                <c:pt idx="9">
                  <c:v>43968</c:v>
                </c:pt>
              </c:numCache>
            </c:numRef>
          </c:cat>
          <c:val>
            <c:numRef>
              <c:f>'Backlog Volumes'!$I$105:$I$114</c:f>
              <c:numCache>
                <c:formatCode>General</c:formatCode>
                <c:ptCount val="10"/>
                <c:pt idx="5">
                  <c:v>126</c:v>
                </c:pt>
                <c:pt idx="6">
                  <c:v>126</c:v>
                </c:pt>
                <c:pt idx="7">
                  <c:v>126</c:v>
                </c:pt>
                <c:pt idx="8">
                  <c:v>126</c:v>
                </c:pt>
                <c:pt idx="9">
                  <c:v>126</c:v>
                </c:pt>
              </c:numCache>
            </c:numRef>
          </c:val>
          <c:smooth val="0"/>
          <c:extLst>
            <c:ext xmlns:c16="http://schemas.microsoft.com/office/drawing/2014/chart" uri="{C3380CC4-5D6E-409C-BE32-E72D297353CC}">
              <c16:uniqueId val="{00000003-F9D2-4BA7-BF77-62724394CB28}"/>
            </c:ext>
          </c:extLst>
        </c:ser>
        <c:dLbls>
          <c:showLegendKey val="0"/>
          <c:showVal val="0"/>
          <c:showCatName val="0"/>
          <c:showSerName val="0"/>
          <c:showPercent val="0"/>
          <c:showBubbleSize val="0"/>
        </c:dLbls>
        <c:smooth val="0"/>
        <c:axId val="841948376"/>
        <c:axId val="841957560"/>
      </c:lineChart>
      <c:dateAx>
        <c:axId val="841948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957560"/>
        <c:crosses val="autoZero"/>
        <c:auto val="1"/>
        <c:lblOffset val="100"/>
        <c:baseTimeUnit val="days"/>
      </c:dateAx>
      <c:valAx>
        <c:axId val="841957560"/>
        <c:scaling>
          <c:orientation val="minMax"/>
        </c:scaling>
        <c:delete val="1"/>
        <c:axPos val="l"/>
        <c:numFmt formatCode="#,##0" sourceLinked="1"/>
        <c:majorTickMark val="none"/>
        <c:minorTickMark val="none"/>
        <c:tickLblPos val="nextTo"/>
        <c:crossAx val="841948376"/>
        <c:crosses val="autoZero"/>
        <c:crossBetween val="between"/>
      </c:valAx>
      <c:spPr>
        <a:noFill/>
        <a:ln>
          <a:noFill/>
        </a:ln>
        <a:effectLst/>
      </c:spPr>
    </c:plotArea>
    <c:legend>
      <c:legendPos val="r"/>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PEInputs"/><Relationship Id="rId3" Type="http://schemas.openxmlformats.org/officeDocument/2006/relationships/hyperlink" Target="#Ontariographics"/><Relationship Id="rId7" Type="http://schemas.openxmlformats.org/officeDocument/2006/relationships/hyperlink" Target="#Datainputs"/><Relationship Id="rId2" Type="http://schemas.openxmlformats.org/officeDocument/2006/relationships/hyperlink" Target="#customgraphics"/><Relationship Id="rId1" Type="http://schemas.openxmlformats.org/officeDocument/2006/relationships/hyperlink" Target="#Coverpage"/><Relationship Id="rId6" Type="http://schemas.openxmlformats.org/officeDocument/2006/relationships/image" Target="../media/image1.jpeg"/><Relationship Id="rId5" Type="http://schemas.openxmlformats.org/officeDocument/2006/relationships/hyperlink" Target="#methodology"/><Relationship Id="rId4" Type="http://schemas.openxmlformats.org/officeDocument/2006/relationships/hyperlink" Target="#regionalgraphics"/><Relationship Id="rId9" Type="http://schemas.openxmlformats.org/officeDocument/2006/relationships/hyperlink" Target="#PPEOutputs"/></Relationships>
</file>

<file path=xl/drawings/_rels/drawing10.xml.rels><?xml version="1.0" encoding="UTF-8" standalone="yes"?>
<Relationships xmlns="http://schemas.openxmlformats.org/package/2006/relationships"><Relationship Id="rId8" Type="http://schemas.openxmlformats.org/officeDocument/2006/relationships/hyperlink" Target="#Datainputs"/><Relationship Id="rId3" Type="http://schemas.openxmlformats.org/officeDocument/2006/relationships/hyperlink" Target="#Coverpage"/><Relationship Id="rId7" Type="http://schemas.openxmlformats.org/officeDocument/2006/relationships/hyperlink" Target="#methodology"/><Relationship Id="rId2" Type="http://schemas.openxmlformats.org/officeDocument/2006/relationships/hyperlink" Target="#PPEOutputs"/><Relationship Id="rId1" Type="http://schemas.openxmlformats.org/officeDocument/2006/relationships/hyperlink" Target="#PPEInputs"/><Relationship Id="rId6" Type="http://schemas.openxmlformats.org/officeDocument/2006/relationships/hyperlink" Target="#regionalgraphics"/><Relationship Id="rId5" Type="http://schemas.openxmlformats.org/officeDocument/2006/relationships/hyperlink" Target="#Ontariographics"/><Relationship Id="rId4" Type="http://schemas.openxmlformats.org/officeDocument/2006/relationships/hyperlink" Target="#customgraphics"/></Relationships>
</file>

<file path=xl/drawings/_rels/drawing11.xml.rels><?xml version="1.0" encoding="UTF-8" standalone="yes"?>
<Relationships xmlns="http://schemas.openxmlformats.org/package/2006/relationships"><Relationship Id="rId8" Type="http://schemas.openxmlformats.org/officeDocument/2006/relationships/hyperlink" Target="#regionalgraphics"/><Relationship Id="rId3" Type="http://schemas.openxmlformats.org/officeDocument/2006/relationships/hyperlink" Target="#PPEInputs"/><Relationship Id="rId7" Type="http://schemas.openxmlformats.org/officeDocument/2006/relationships/hyperlink" Target="#Ontariographics"/><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hyperlink" Target="#customgraphics"/><Relationship Id="rId11" Type="http://schemas.openxmlformats.org/officeDocument/2006/relationships/image" Target="../media/image8.emf"/><Relationship Id="rId5" Type="http://schemas.openxmlformats.org/officeDocument/2006/relationships/hyperlink" Target="#Coverpage"/><Relationship Id="rId10" Type="http://schemas.openxmlformats.org/officeDocument/2006/relationships/hyperlink" Target="#Datainputs"/><Relationship Id="rId4" Type="http://schemas.openxmlformats.org/officeDocument/2006/relationships/hyperlink" Target="#PPEOutputs"/><Relationship Id="rId9" Type="http://schemas.openxmlformats.org/officeDocument/2006/relationships/hyperlink" Target="#methodology"/></Relationships>
</file>

<file path=xl/drawings/_rels/drawing1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hyperlink" Target="#PPEOutputs"/><Relationship Id="rId3" Type="http://schemas.openxmlformats.org/officeDocument/2006/relationships/hyperlink" Target="#Ontariographics"/><Relationship Id="rId7" Type="http://schemas.openxmlformats.org/officeDocument/2006/relationships/hyperlink" Target="#PPEInputs"/><Relationship Id="rId2" Type="http://schemas.openxmlformats.org/officeDocument/2006/relationships/hyperlink" Target="#customgraphics"/><Relationship Id="rId1" Type="http://schemas.openxmlformats.org/officeDocument/2006/relationships/hyperlink" Target="#Coverpage"/><Relationship Id="rId6" Type="http://schemas.openxmlformats.org/officeDocument/2006/relationships/hyperlink" Target="#Datainputs"/><Relationship Id="rId5" Type="http://schemas.openxmlformats.org/officeDocument/2006/relationships/hyperlink" Target="#methodology"/><Relationship Id="rId4" Type="http://schemas.openxmlformats.org/officeDocument/2006/relationships/hyperlink" Target="#regionalgraphics"/><Relationship Id="rId9"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hyperlink" Target="#PPEInputs"/><Relationship Id="rId3" Type="http://schemas.openxmlformats.org/officeDocument/2006/relationships/hyperlink" Target="#customgraphics"/><Relationship Id="rId7" Type="http://schemas.openxmlformats.org/officeDocument/2006/relationships/hyperlink" Target="#Datainputs"/><Relationship Id="rId2" Type="http://schemas.openxmlformats.org/officeDocument/2006/relationships/hyperlink" Target="#Coverpage"/><Relationship Id="rId1" Type="http://schemas.openxmlformats.org/officeDocument/2006/relationships/chart" Target="../charts/chart1.xml"/><Relationship Id="rId6" Type="http://schemas.openxmlformats.org/officeDocument/2006/relationships/hyperlink" Target="#methodology"/><Relationship Id="rId5" Type="http://schemas.openxmlformats.org/officeDocument/2006/relationships/hyperlink" Target="#regionalgraphics"/><Relationship Id="rId4" Type="http://schemas.openxmlformats.org/officeDocument/2006/relationships/hyperlink" Target="#Ontariographics"/><Relationship Id="rId9" Type="http://schemas.openxmlformats.org/officeDocument/2006/relationships/hyperlink" Target="#PPEOutputs"/></Relationships>
</file>

<file path=xl/drawings/_rels/drawing4.xml.rels><?xml version="1.0" encoding="UTF-8" standalone="yes"?>
<Relationships xmlns="http://schemas.openxmlformats.org/package/2006/relationships"><Relationship Id="rId8" Type="http://schemas.openxmlformats.org/officeDocument/2006/relationships/hyperlink" Target="#PPEInputs"/><Relationship Id="rId3" Type="http://schemas.openxmlformats.org/officeDocument/2006/relationships/hyperlink" Target="#customgraphics"/><Relationship Id="rId7" Type="http://schemas.openxmlformats.org/officeDocument/2006/relationships/hyperlink" Target="#Datainputs"/><Relationship Id="rId2" Type="http://schemas.openxmlformats.org/officeDocument/2006/relationships/hyperlink" Target="#Coverpage"/><Relationship Id="rId1" Type="http://schemas.openxmlformats.org/officeDocument/2006/relationships/chart" Target="../charts/chart2.xml"/><Relationship Id="rId6" Type="http://schemas.openxmlformats.org/officeDocument/2006/relationships/hyperlink" Target="#methodology"/><Relationship Id="rId5" Type="http://schemas.openxmlformats.org/officeDocument/2006/relationships/hyperlink" Target="#regionalgraphics"/><Relationship Id="rId4" Type="http://schemas.openxmlformats.org/officeDocument/2006/relationships/hyperlink" Target="#Ontariographics"/><Relationship Id="rId9" Type="http://schemas.openxmlformats.org/officeDocument/2006/relationships/hyperlink" Target="#PPEOutputs"/></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_rels/drawing6.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hyperlink" Target="#Ontariographics"/><Relationship Id="rId7" Type="http://schemas.openxmlformats.org/officeDocument/2006/relationships/chart" Target="../charts/chart3.xml"/><Relationship Id="rId2" Type="http://schemas.openxmlformats.org/officeDocument/2006/relationships/hyperlink" Target="#customgraphics"/><Relationship Id="rId1" Type="http://schemas.openxmlformats.org/officeDocument/2006/relationships/hyperlink" Target="#Coverpage"/><Relationship Id="rId6" Type="http://schemas.openxmlformats.org/officeDocument/2006/relationships/hyperlink" Target="#Datainputs"/><Relationship Id="rId5" Type="http://schemas.openxmlformats.org/officeDocument/2006/relationships/hyperlink" Target="#methodology"/><Relationship Id="rId10" Type="http://schemas.openxmlformats.org/officeDocument/2006/relationships/hyperlink" Target="#PPEOutputs"/><Relationship Id="rId4" Type="http://schemas.openxmlformats.org/officeDocument/2006/relationships/hyperlink" Target="#regionalgraphics"/><Relationship Id="rId9" Type="http://schemas.openxmlformats.org/officeDocument/2006/relationships/hyperlink" Target="#PPEInputs"/></Relationships>
</file>

<file path=xl/drawings/_rels/drawing7.xml.rels><?xml version="1.0" encoding="UTF-8" standalone="yes"?>
<Relationships xmlns="http://schemas.openxmlformats.org/package/2006/relationships"><Relationship Id="rId8" Type="http://schemas.openxmlformats.org/officeDocument/2006/relationships/hyperlink" Target="#PPEOutputs"/><Relationship Id="rId3" Type="http://schemas.openxmlformats.org/officeDocument/2006/relationships/hyperlink" Target="#Ontariographics"/><Relationship Id="rId7" Type="http://schemas.openxmlformats.org/officeDocument/2006/relationships/hyperlink" Target="#PPEInputs"/><Relationship Id="rId2" Type="http://schemas.openxmlformats.org/officeDocument/2006/relationships/hyperlink" Target="#customgraphics"/><Relationship Id="rId1" Type="http://schemas.openxmlformats.org/officeDocument/2006/relationships/hyperlink" Target="#Coverpage"/><Relationship Id="rId6" Type="http://schemas.openxmlformats.org/officeDocument/2006/relationships/hyperlink" Target="#Datainputs"/><Relationship Id="rId11" Type="http://schemas.openxmlformats.org/officeDocument/2006/relationships/image" Target="../media/image7.emf"/><Relationship Id="rId5" Type="http://schemas.openxmlformats.org/officeDocument/2006/relationships/hyperlink" Target="#methodology"/><Relationship Id="rId10" Type="http://schemas.openxmlformats.org/officeDocument/2006/relationships/chart" Target="../charts/chart5.xml"/><Relationship Id="rId4" Type="http://schemas.openxmlformats.org/officeDocument/2006/relationships/hyperlink" Target="#regionalgraphics"/><Relationship Id="rId9"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3</xdr:row>
      <xdr:rowOff>87630</xdr:rowOff>
    </xdr:from>
    <xdr:to>
      <xdr:col>2</xdr:col>
      <xdr:colOff>336558</xdr:colOff>
      <xdr:row>5</xdr:row>
      <xdr:rowOff>0</xdr:rowOff>
    </xdr:to>
    <xdr:sp macro="" textlink="'READ ME'!C19">
      <xdr:nvSpPr>
        <xdr:cNvPr id="2" name="Round Same Side Corner Rectangle 1">
          <a:hlinkClick xmlns:r="http://schemas.openxmlformats.org/officeDocument/2006/relationships" r:id="rId1"/>
        </xdr:cNvPr>
        <xdr:cNvSpPr/>
      </xdr:nvSpPr>
      <xdr:spPr>
        <a:xfrm>
          <a:off x="609600" y="636270"/>
          <a:ext cx="946158" cy="278130"/>
        </a:xfrm>
        <a:prstGeom prst="round2SameRect">
          <a:avLst/>
        </a:prstGeom>
        <a:solidFill>
          <a:schemeClr val="bg1"/>
        </a:solidFill>
        <a:ln w="19050">
          <a:solidFill>
            <a:srgbClr val="00B2E3"/>
          </a:solid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8E4A4688-AF55-49C6-98FA-56273FB240CC}" type="TxLink">
            <a:rPr lang="en-US" sz="1000" b="0" i="0" u="none" strike="noStrike">
              <a:solidFill>
                <a:srgbClr val="000000"/>
              </a:solidFill>
              <a:latin typeface="Calibri Light"/>
              <a:ea typeface="+mn-ea"/>
              <a:cs typeface="Calibri Light"/>
            </a:rPr>
            <a:pPr marL="0" indent="0" algn="ctr"/>
            <a:t>Cover Page</a:t>
          </a:fld>
          <a:endParaRPr lang="en-US" sz="1000" b="1" i="0" u="none" strike="noStrike">
            <a:solidFill>
              <a:srgbClr val="000000"/>
            </a:solidFill>
            <a:latin typeface="+mn-lt"/>
            <a:ea typeface="+mn-ea"/>
            <a:cs typeface="Calibri"/>
          </a:endParaRPr>
        </a:p>
      </xdr:txBody>
    </xdr:sp>
    <xdr:clientData/>
  </xdr:twoCellAnchor>
  <xdr:twoCellAnchor editAs="absolute">
    <xdr:from>
      <xdr:col>4</xdr:col>
      <xdr:colOff>297368</xdr:colOff>
      <xdr:row>3</xdr:row>
      <xdr:rowOff>83820</xdr:rowOff>
    </xdr:from>
    <xdr:to>
      <xdr:col>6</xdr:col>
      <xdr:colOff>137851</xdr:colOff>
      <xdr:row>4</xdr:row>
      <xdr:rowOff>177800</xdr:rowOff>
    </xdr:to>
    <xdr:sp macro="" textlink="'READ ME'!C21">
      <xdr:nvSpPr>
        <xdr:cNvPr id="3" name="Round Same Side Corner Rectangle 2">
          <a:hlinkClick xmlns:r="http://schemas.openxmlformats.org/officeDocument/2006/relationships" r:id="rId2"/>
        </xdr:cNvPr>
        <xdr:cNvSpPr/>
      </xdr:nvSpPr>
      <xdr:spPr>
        <a:xfrm>
          <a:off x="2735768" y="632460"/>
          <a:ext cx="1059683" cy="276860"/>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5789DC4D-013E-4929-BCE2-4922196E81B0}" type="TxLink">
            <a:rPr lang="en-US" sz="1000" b="0" i="0" u="none" strike="noStrike">
              <a:solidFill>
                <a:srgbClr val="000000"/>
              </a:solidFill>
              <a:latin typeface="Calibri Light"/>
              <a:ea typeface="+mn-ea"/>
              <a:cs typeface="Calibri Light"/>
            </a:rPr>
            <a:pPr marL="0" indent="0" algn="ctr"/>
            <a:t>Custom Graphics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6</xdr:col>
      <xdr:colOff>198014</xdr:colOff>
      <xdr:row>3</xdr:row>
      <xdr:rowOff>83820</xdr:rowOff>
    </xdr:from>
    <xdr:to>
      <xdr:col>8</xdr:col>
      <xdr:colOff>32154</xdr:colOff>
      <xdr:row>4</xdr:row>
      <xdr:rowOff>177800</xdr:rowOff>
    </xdr:to>
    <xdr:sp macro="" textlink="'READ ME'!C22">
      <xdr:nvSpPr>
        <xdr:cNvPr id="4" name="Round Same Side Corner Rectangle 3">
          <a:hlinkClick xmlns:r="http://schemas.openxmlformats.org/officeDocument/2006/relationships" r:id="rId3"/>
        </xdr:cNvPr>
        <xdr:cNvSpPr/>
      </xdr:nvSpPr>
      <xdr:spPr>
        <a:xfrm>
          <a:off x="3855614" y="632460"/>
          <a:ext cx="1053340" cy="276860"/>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E73F0B8E-C9D5-4377-AC00-4F14C7B101EC}" type="TxLink">
            <a:rPr lang="en-US" sz="1000" b="0" i="0" u="none" strike="noStrike">
              <a:solidFill>
                <a:srgbClr val="000000"/>
              </a:solidFill>
              <a:latin typeface="Calibri Light"/>
              <a:ea typeface="+mn-ea"/>
              <a:cs typeface="Calibri Light"/>
            </a:rPr>
            <a:pPr marL="0" indent="0" algn="ctr"/>
            <a:t>Ontario Graphics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8</xdr:col>
      <xdr:colOff>92317</xdr:colOff>
      <xdr:row>3</xdr:row>
      <xdr:rowOff>83820</xdr:rowOff>
    </xdr:from>
    <xdr:to>
      <xdr:col>9</xdr:col>
      <xdr:colOff>542401</xdr:colOff>
      <xdr:row>4</xdr:row>
      <xdr:rowOff>177800</xdr:rowOff>
    </xdr:to>
    <xdr:sp macro="" textlink="'READ ME'!C23">
      <xdr:nvSpPr>
        <xdr:cNvPr id="5" name="Round Same Side Corner Rectangle 4">
          <a:hlinkClick xmlns:r="http://schemas.openxmlformats.org/officeDocument/2006/relationships" r:id="rId4"/>
        </xdr:cNvPr>
        <xdr:cNvSpPr/>
      </xdr:nvSpPr>
      <xdr:spPr>
        <a:xfrm>
          <a:off x="4969117" y="632460"/>
          <a:ext cx="1059684" cy="276860"/>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E14468D5-14D7-4FF7-A55C-BD548DE85EF6}" type="TxLink">
            <a:rPr lang="en-US" sz="1000" b="0" i="0" u="none" strike="noStrike">
              <a:solidFill>
                <a:srgbClr val="000000"/>
              </a:solidFill>
              <a:latin typeface="Calibri Light"/>
              <a:ea typeface="+mn-ea"/>
              <a:cs typeface="Calibri Light"/>
            </a:rPr>
            <a:pPr marL="0" indent="0" algn="ctr"/>
            <a:t>Regional Graphics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9</xdr:col>
      <xdr:colOff>602564</xdr:colOff>
      <xdr:row>3</xdr:row>
      <xdr:rowOff>83820</xdr:rowOff>
    </xdr:from>
    <xdr:to>
      <xdr:col>11</xdr:col>
      <xdr:colOff>443048</xdr:colOff>
      <xdr:row>4</xdr:row>
      <xdr:rowOff>177800</xdr:rowOff>
    </xdr:to>
    <xdr:sp macro="" textlink="'READ ME'!C24">
      <xdr:nvSpPr>
        <xdr:cNvPr id="8" name="Round Same Side Corner Rectangle 7">
          <a:hlinkClick xmlns:r="http://schemas.openxmlformats.org/officeDocument/2006/relationships" r:id="rId5"/>
        </xdr:cNvPr>
        <xdr:cNvSpPr/>
      </xdr:nvSpPr>
      <xdr:spPr>
        <a:xfrm>
          <a:off x="6088964" y="632460"/>
          <a:ext cx="1059684" cy="276860"/>
        </a:xfrm>
        <a:prstGeom prst="round2SameRect">
          <a:avLst/>
        </a:prstGeom>
        <a:solidFill>
          <a:schemeClr val="bg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BC9996EB-5C1B-4C61-B31A-09FFD81EC2D6}" type="TxLink">
            <a:rPr lang="en-US" sz="1100" b="0" i="0" u="none" strike="noStrike">
              <a:solidFill>
                <a:srgbClr val="000000"/>
              </a:solidFill>
              <a:latin typeface="Calibri Light"/>
              <a:ea typeface="+mn-ea"/>
              <a:cs typeface="Calibri Light"/>
            </a:rPr>
            <a:pPr marL="0" indent="0" algn="ctr"/>
            <a:t>Documentation</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oneCell">
    <xdr:from>
      <xdr:col>1</xdr:col>
      <xdr:colOff>22860</xdr:colOff>
      <xdr:row>5</xdr:row>
      <xdr:rowOff>85969</xdr:rowOff>
    </xdr:from>
    <xdr:to>
      <xdr:col>5</xdr:col>
      <xdr:colOff>182880</xdr:colOff>
      <xdr:row>9</xdr:row>
      <xdr:rowOff>114300</xdr:rowOff>
    </xdr:to>
    <xdr:pic>
      <xdr:nvPicPr>
        <xdr:cNvPr id="6" name="Picture 5"/>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6575"/>
        <a:stretch/>
      </xdr:blipFill>
      <xdr:spPr>
        <a:xfrm>
          <a:off x="632460" y="1000369"/>
          <a:ext cx="2598420" cy="805571"/>
        </a:xfrm>
        <a:prstGeom prst="rect">
          <a:avLst/>
        </a:prstGeom>
      </xdr:spPr>
    </xdr:pic>
    <xdr:clientData/>
  </xdr:twoCellAnchor>
  <xdr:twoCellAnchor editAs="absolute">
    <xdr:from>
      <xdr:col>2</xdr:col>
      <xdr:colOff>396721</xdr:colOff>
      <xdr:row>3</xdr:row>
      <xdr:rowOff>83820</xdr:rowOff>
    </xdr:from>
    <xdr:to>
      <xdr:col>4</xdr:col>
      <xdr:colOff>237205</xdr:colOff>
      <xdr:row>4</xdr:row>
      <xdr:rowOff>177800</xdr:rowOff>
    </xdr:to>
    <xdr:sp macro="" textlink="'READ ME'!C20">
      <xdr:nvSpPr>
        <xdr:cNvPr id="9" name="Round Same Side Corner Rectangle 8">
          <a:hlinkClick xmlns:r="http://schemas.openxmlformats.org/officeDocument/2006/relationships" r:id="rId7"/>
        </xdr:cNvPr>
        <xdr:cNvSpPr/>
      </xdr:nvSpPr>
      <xdr:spPr>
        <a:xfrm>
          <a:off x="1615921" y="632460"/>
          <a:ext cx="1059684" cy="276860"/>
        </a:xfrm>
        <a:prstGeom prst="round2SameRect">
          <a:avLst/>
        </a:prstGeom>
        <a:solidFill>
          <a:srgbClr val="E2E2E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06BB82D5-84C1-47D5-8660-F115094AE6B3}" type="TxLink">
            <a:rPr lang="en-US" sz="1100" b="0" i="0" u="none" strike="noStrike">
              <a:solidFill>
                <a:srgbClr val="000000"/>
              </a:solidFill>
              <a:latin typeface="Calibri Light"/>
              <a:ea typeface="+mn-ea"/>
              <a:cs typeface="Calibri Light"/>
            </a:rPr>
            <a:pPr marL="0" indent="0" algn="ctr"/>
            <a:t>Data Inputs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11</xdr:col>
      <xdr:colOff>503211</xdr:colOff>
      <xdr:row>3</xdr:row>
      <xdr:rowOff>83820</xdr:rowOff>
    </xdr:from>
    <xdr:to>
      <xdr:col>13</xdr:col>
      <xdr:colOff>343694</xdr:colOff>
      <xdr:row>4</xdr:row>
      <xdr:rowOff>177800</xdr:rowOff>
    </xdr:to>
    <xdr:sp macro="" textlink="'READ ME'!C25">
      <xdr:nvSpPr>
        <xdr:cNvPr id="10" name="Round Same Side Corner Rectangle 9">
          <a:hlinkClick xmlns:r="http://schemas.openxmlformats.org/officeDocument/2006/relationships" r:id="rId8"/>
          <a:extLst>
            <a:ext uri="{FF2B5EF4-FFF2-40B4-BE49-F238E27FC236}">
              <a16:creationId xmlns:a16="http://schemas.microsoft.com/office/drawing/2014/main" id="{00000000-0008-0000-0200-000003000000}"/>
            </a:ext>
          </a:extLst>
        </xdr:cNvPr>
        <xdr:cNvSpPr/>
      </xdr:nvSpPr>
      <xdr:spPr>
        <a:xfrm>
          <a:off x="7208811" y="632460"/>
          <a:ext cx="1059683" cy="276860"/>
        </a:xfrm>
        <a:prstGeom prst="round2SameRect">
          <a:avLst/>
        </a:prstGeom>
        <a:solidFill>
          <a:srgbClr val="E2E2E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C0C62655-E320-4C19-9C16-0F6B656AFC38}" type="TxLink">
            <a:rPr lang="en-US" sz="1100" b="0" i="0" u="none" strike="noStrike">
              <a:solidFill>
                <a:srgbClr val="000000"/>
              </a:solidFill>
              <a:latin typeface="Calibri Light"/>
              <a:ea typeface="+mn-ea"/>
              <a:cs typeface="Calibri Light"/>
            </a:rPr>
            <a:pPr marL="0" indent="0" algn="ctr"/>
            <a:t>PPE Inputs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13</xdr:col>
      <xdr:colOff>403860</xdr:colOff>
      <xdr:row>3</xdr:row>
      <xdr:rowOff>81280</xdr:rowOff>
    </xdr:from>
    <xdr:to>
      <xdr:col>15</xdr:col>
      <xdr:colOff>238000</xdr:colOff>
      <xdr:row>4</xdr:row>
      <xdr:rowOff>175260</xdr:rowOff>
    </xdr:to>
    <xdr:sp macro="" textlink="'READ ME'!C26">
      <xdr:nvSpPr>
        <xdr:cNvPr id="11" name="Round Same Side Corner Rectangle 10">
          <a:hlinkClick xmlns:r="http://schemas.openxmlformats.org/officeDocument/2006/relationships" r:id="rId9"/>
          <a:extLst>
            <a:ext uri="{FF2B5EF4-FFF2-40B4-BE49-F238E27FC236}">
              <a16:creationId xmlns:a16="http://schemas.microsoft.com/office/drawing/2014/main" id="{00000000-0008-0000-0200-000004000000}"/>
            </a:ext>
          </a:extLst>
        </xdr:cNvPr>
        <xdr:cNvSpPr/>
      </xdr:nvSpPr>
      <xdr:spPr>
        <a:xfrm>
          <a:off x="8328660" y="629920"/>
          <a:ext cx="1053340" cy="276860"/>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B1D99456-C96F-4D36-9CC4-BDB3D46632EA}" type="TxLink">
            <a:rPr lang="en-US" sz="1100" b="0" i="0" u="none" strike="noStrike">
              <a:solidFill>
                <a:srgbClr val="000000"/>
              </a:solidFill>
              <a:latin typeface="Calibri Light"/>
              <a:ea typeface="+mn-ea"/>
              <a:cs typeface="Calibri Light"/>
            </a:rPr>
            <a:pPr marL="0" indent="0" algn="ctr"/>
            <a:t>PPE Outputs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xdr:from>
      <xdr:col>0</xdr:col>
      <xdr:colOff>243840</xdr:colOff>
      <xdr:row>3</xdr:row>
      <xdr:rowOff>45720</xdr:rowOff>
    </xdr:from>
    <xdr:to>
      <xdr:col>0</xdr:col>
      <xdr:colOff>388620</xdr:colOff>
      <xdr:row>4</xdr:row>
      <xdr:rowOff>137160</xdr:rowOff>
    </xdr:to>
    <xdr:sp macro="" textlink="">
      <xdr:nvSpPr>
        <xdr:cNvPr id="12" name="Down Arrow 11"/>
        <xdr:cNvSpPr/>
      </xdr:nvSpPr>
      <xdr:spPr>
        <a:xfrm>
          <a:off x="243840" y="594360"/>
          <a:ext cx="144780" cy="274320"/>
        </a:xfrm>
        <a:prstGeom prst="downArrow">
          <a:avLst/>
        </a:prstGeom>
        <a:solidFill>
          <a:srgbClr val="00B2E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8</xdr:col>
      <xdr:colOff>78063</xdr:colOff>
      <xdr:row>3</xdr:row>
      <xdr:rowOff>91440</xdr:rowOff>
    </xdr:from>
    <xdr:to>
      <xdr:col>9</xdr:col>
      <xdr:colOff>528146</xdr:colOff>
      <xdr:row>5</xdr:row>
      <xdr:rowOff>2540</xdr:rowOff>
    </xdr:to>
    <xdr:sp macro="" textlink="'READ ME'!C25">
      <xdr:nvSpPr>
        <xdr:cNvPr id="3" name="Round Same Side Corner Rectangle 2">
          <a:hlinkClick xmlns:r="http://schemas.openxmlformats.org/officeDocument/2006/relationships" r:id="rId1"/>
          <a:extLst>
            <a:ext uri="{FF2B5EF4-FFF2-40B4-BE49-F238E27FC236}">
              <a16:creationId xmlns:a16="http://schemas.microsoft.com/office/drawing/2014/main" id="{00000000-0008-0000-0200-000003000000}"/>
            </a:ext>
          </a:extLst>
        </xdr:cNvPr>
        <xdr:cNvSpPr/>
      </xdr:nvSpPr>
      <xdr:spPr>
        <a:xfrm>
          <a:off x="7240863" y="640080"/>
          <a:ext cx="1059683" cy="276860"/>
        </a:xfrm>
        <a:prstGeom prst="round2SameRect">
          <a:avLst/>
        </a:prstGeom>
        <a:solidFill>
          <a:schemeClr val="bg1"/>
        </a:solidFill>
        <a:ln w="19050">
          <a:solidFill>
            <a:srgbClr val="00B2E3"/>
          </a:solid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88313144-D469-489F-B951-FBDD4D2B57CB}" type="TxLink">
            <a:rPr lang="en-US" sz="1100" b="0" i="0" u="none" strike="noStrike">
              <a:solidFill>
                <a:srgbClr val="000000"/>
              </a:solidFill>
              <a:latin typeface="Calibri Light"/>
              <a:ea typeface="+mn-ea"/>
              <a:cs typeface="Calibri Light"/>
            </a:rPr>
            <a:pPr marL="0" indent="0" algn="ctr"/>
            <a:t>PPE Inputs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9</xdr:col>
      <xdr:colOff>592379</xdr:colOff>
      <xdr:row>3</xdr:row>
      <xdr:rowOff>83820</xdr:rowOff>
    </xdr:from>
    <xdr:to>
      <xdr:col>11</xdr:col>
      <xdr:colOff>426519</xdr:colOff>
      <xdr:row>4</xdr:row>
      <xdr:rowOff>177800</xdr:rowOff>
    </xdr:to>
    <xdr:sp macro="" textlink="'READ ME'!C26">
      <xdr:nvSpPr>
        <xdr:cNvPr id="4" name="Round Same Side Corner Rectangle 3">
          <a:hlinkClick xmlns:r="http://schemas.openxmlformats.org/officeDocument/2006/relationships" r:id="rId2"/>
          <a:extLst>
            <a:ext uri="{FF2B5EF4-FFF2-40B4-BE49-F238E27FC236}">
              <a16:creationId xmlns:a16="http://schemas.microsoft.com/office/drawing/2014/main" id="{00000000-0008-0000-0200-000004000000}"/>
            </a:ext>
          </a:extLst>
        </xdr:cNvPr>
        <xdr:cNvSpPr/>
      </xdr:nvSpPr>
      <xdr:spPr>
        <a:xfrm>
          <a:off x="8364779" y="632460"/>
          <a:ext cx="1053340" cy="276860"/>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A08124AD-DC95-4877-8BE9-8DCF36A4AFB2}" type="TxLink">
            <a:rPr lang="en-US" sz="1100" b="0" i="0" u="none" strike="noStrike">
              <a:solidFill>
                <a:srgbClr val="000000"/>
              </a:solidFill>
              <a:latin typeface="Calibri Light"/>
              <a:ea typeface="+mn-ea"/>
              <a:cs typeface="Calibri Light"/>
            </a:rPr>
            <a:pPr marL="0" indent="0" algn="ctr"/>
            <a:t>PPE Outputs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xdr:from>
      <xdr:col>0</xdr:col>
      <xdr:colOff>555811</xdr:colOff>
      <xdr:row>140</xdr:row>
      <xdr:rowOff>152399</xdr:rowOff>
    </xdr:from>
    <xdr:to>
      <xdr:col>13</xdr:col>
      <xdr:colOff>502024</xdr:colOff>
      <xdr:row>145</xdr:row>
      <xdr:rowOff>130361</xdr:rowOff>
    </xdr:to>
    <xdr:sp macro="" textlink="">
      <xdr:nvSpPr>
        <xdr:cNvPr id="5" name="Title 1">
          <a:extLst>
            <a:ext uri="{FF2B5EF4-FFF2-40B4-BE49-F238E27FC236}">
              <a16:creationId xmlns:a16="http://schemas.microsoft.com/office/drawing/2014/main" id="{00000000-0008-0000-0200-000006000000}"/>
            </a:ext>
          </a:extLst>
        </xdr:cNvPr>
        <xdr:cNvSpPr>
          <a:spLocks noGrp="1"/>
        </xdr:cNvSpPr>
      </xdr:nvSpPr>
      <xdr:spPr bwMode="auto">
        <a:xfrm>
          <a:off x="555811" y="26159459"/>
          <a:ext cx="10157013" cy="892362"/>
        </a:xfrm>
        <a:prstGeom prst="rect">
          <a:avLst/>
        </a:prstGeom>
        <a:noFill/>
        <a:ln>
          <a:noFill/>
        </a:ln>
        <a:extLst>
          <a:ext uri="{909E8E84-426E-40dd-AFC4-6F175D3DCCD1}">
            <a14:hiddenFill xmlns:lc="http://schemas.openxmlformats.org/drawingml/2006/lockedCanvas" xmlns="" xmlns:a14="http://schemas.microsoft.com/office/drawing/2010/main" xmlns:p="http://schemas.openxmlformats.org/presentationml/2006/main" xmlns:r="http://schemas.openxmlformats.org/officeDocument/2006/relationships">
              <a:solidFill>
                <a:srgbClr val="FFFFFF"/>
              </a:solidFill>
            </a14:hiddenFill>
          </a:ext>
          <a:ext uri="{91240B29-F687-4f45-9708-019B960494DF}">
            <a14:hiddenLine xmlns:lc="http://schemas.openxmlformats.org/drawingml/2006/lockedCanvas" xmlns="" xmlns:a14="http://schemas.microsoft.com/office/drawing/2010/main" xmlns:p="http://schemas.openxmlformats.org/presentationml/2006/main" xmlns:r="http://schemas.openxmlformats.org/officeDocument/2006/relationships"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lvl1pPr algn="l" rtl="0" eaLnBrk="0" fontAlgn="base" hangingPunct="0">
            <a:spcBef>
              <a:spcPct val="0"/>
            </a:spcBef>
            <a:spcAft>
              <a:spcPct val="0"/>
            </a:spcAft>
            <a:defRPr sz="3600" b="1" i="0">
              <a:solidFill>
                <a:schemeClr val="tx1"/>
              </a:solidFill>
              <a:latin typeface="Calibri" panose="020F0502020204030204" pitchFamily="34" charset="0"/>
              <a:ea typeface="MS PGothic" panose="020B0600070205080204" pitchFamily="34" charset="-128"/>
              <a:cs typeface="Calibri" panose="020F0502020204030204" pitchFamily="34" charset="0"/>
            </a:defRPr>
          </a:lvl1pPr>
          <a:lvl2pPr algn="ctr" rtl="0" eaLnBrk="0" fontAlgn="base" hangingPunct="0">
            <a:spcBef>
              <a:spcPct val="0"/>
            </a:spcBef>
            <a:spcAft>
              <a:spcPct val="0"/>
            </a:spcAft>
            <a:defRPr sz="3600" b="1">
              <a:solidFill>
                <a:srgbClr val="00788A"/>
              </a:solidFill>
              <a:latin typeface="Arial" charset="0"/>
              <a:ea typeface="MS PGothic" panose="020B0600070205080204" pitchFamily="34" charset="-128"/>
              <a:cs typeface="ＭＳ Ｐゴシック" charset="-128"/>
            </a:defRPr>
          </a:lvl2pPr>
          <a:lvl3pPr algn="ctr" rtl="0" eaLnBrk="0" fontAlgn="base" hangingPunct="0">
            <a:spcBef>
              <a:spcPct val="0"/>
            </a:spcBef>
            <a:spcAft>
              <a:spcPct val="0"/>
            </a:spcAft>
            <a:defRPr sz="3600" b="1">
              <a:solidFill>
                <a:srgbClr val="00788A"/>
              </a:solidFill>
              <a:latin typeface="Arial" charset="0"/>
              <a:ea typeface="MS PGothic" panose="020B0600070205080204" pitchFamily="34" charset="-128"/>
              <a:cs typeface="ＭＳ Ｐゴシック" charset="-128"/>
            </a:defRPr>
          </a:lvl3pPr>
          <a:lvl4pPr algn="ctr" rtl="0" eaLnBrk="0" fontAlgn="base" hangingPunct="0">
            <a:spcBef>
              <a:spcPct val="0"/>
            </a:spcBef>
            <a:spcAft>
              <a:spcPct val="0"/>
            </a:spcAft>
            <a:defRPr sz="3600" b="1">
              <a:solidFill>
                <a:srgbClr val="00788A"/>
              </a:solidFill>
              <a:latin typeface="Arial" charset="0"/>
              <a:ea typeface="MS PGothic" panose="020B0600070205080204" pitchFamily="34" charset="-128"/>
              <a:cs typeface="ＭＳ Ｐゴシック" charset="-128"/>
            </a:defRPr>
          </a:lvl4pPr>
          <a:lvl5pPr algn="ctr" rtl="0" eaLnBrk="0" fontAlgn="base" hangingPunct="0">
            <a:spcBef>
              <a:spcPct val="0"/>
            </a:spcBef>
            <a:spcAft>
              <a:spcPct val="0"/>
            </a:spcAft>
            <a:defRPr sz="3600" b="1">
              <a:solidFill>
                <a:srgbClr val="00788A"/>
              </a:solidFill>
              <a:latin typeface="Arial" charset="0"/>
              <a:ea typeface="MS PGothic" panose="020B0600070205080204" pitchFamily="34" charset="-128"/>
              <a:cs typeface="ＭＳ Ｐゴシック" charset="-128"/>
            </a:defRPr>
          </a:lvl5pPr>
          <a:lvl6pPr marL="457200" algn="ctr" rtl="0" eaLnBrk="1" fontAlgn="base" hangingPunct="1">
            <a:spcBef>
              <a:spcPct val="0"/>
            </a:spcBef>
            <a:spcAft>
              <a:spcPct val="0"/>
            </a:spcAft>
            <a:defRPr sz="3600" b="1">
              <a:solidFill>
                <a:srgbClr val="008E8F"/>
              </a:solidFill>
              <a:latin typeface="Arial" charset="0"/>
            </a:defRPr>
          </a:lvl6pPr>
          <a:lvl7pPr marL="914400" algn="ctr" rtl="0" eaLnBrk="1" fontAlgn="base" hangingPunct="1">
            <a:spcBef>
              <a:spcPct val="0"/>
            </a:spcBef>
            <a:spcAft>
              <a:spcPct val="0"/>
            </a:spcAft>
            <a:defRPr sz="3600" b="1">
              <a:solidFill>
                <a:srgbClr val="008E8F"/>
              </a:solidFill>
              <a:latin typeface="Arial" charset="0"/>
            </a:defRPr>
          </a:lvl7pPr>
          <a:lvl8pPr marL="1371600" algn="ctr" rtl="0" eaLnBrk="1" fontAlgn="base" hangingPunct="1">
            <a:spcBef>
              <a:spcPct val="0"/>
            </a:spcBef>
            <a:spcAft>
              <a:spcPct val="0"/>
            </a:spcAft>
            <a:defRPr sz="3600" b="1">
              <a:solidFill>
                <a:srgbClr val="008E8F"/>
              </a:solidFill>
              <a:latin typeface="Arial" charset="0"/>
            </a:defRPr>
          </a:lvl8pPr>
          <a:lvl9pPr marL="1828800" algn="ctr" rtl="0" eaLnBrk="1" fontAlgn="base" hangingPunct="1">
            <a:spcBef>
              <a:spcPct val="0"/>
            </a:spcBef>
            <a:spcAft>
              <a:spcPct val="0"/>
            </a:spcAft>
            <a:defRPr sz="3600" b="1">
              <a:solidFill>
                <a:srgbClr val="008E8F"/>
              </a:solidFill>
              <a:latin typeface="Arial" charset="0"/>
            </a:defRPr>
          </a:lvl9pPr>
        </a:lstStyle>
        <a:p>
          <a:r>
            <a:rPr lang="en-US" sz="2800"/>
            <a:t>Comparison of Wait 2 Completed </a:t>
          </a:r>
          <a:r>
            <a:rPr lang="en-US" sz="2800">
              <a:solidFill>
                <a:srgbClr val="92278F"/>
              </a:solidFill>
            </a:rPr>
            <a:t>Non-Oncology</a:t>
          </a:r>
          <a:r>
            <a:rPr lang="en-US" sz="2800"/>
            <a:t> Surgical Volumes by Service Area</a:t>
          </a:r>
          <a:endParaRPr lang="en-CA" sz="2800"/>
        </a:p>
      </xdr:txBody>
    </xdr:sp>
    <xdr:clientData/>
  </xdr:twoCellAnchor>
  <xdr:twoCellAnchor>
    <xdr:from>
      <xdr:col>0</xdr:col>
      <xdr:colOff>573741</xdr:colOff>
      <xdr:row>160</xdr:row>
      <xdr:rowOff>53788</xdr:rowOff>
    </xdr:from>
    <xdr:to>
      <xdr:col>4</xdr:col>
      <xdr:colOff>209635</xdr:colOff>
      <xdr:row>161</xdr:row>
      <xdr:rowOff>89938</xdr:rowOff>
    </xdr:to>
    <xdr:sp macro="" textlink="">
      <xdr:nvSpPr>
        <xdr:cNvPr id="6" name="Rectangle 5">
          <a:extLst>
            <a:ext uri="{FF2B5EF4-FFF2-40B4-BE49-F238E27FC236}">
              <a16:creationId xmlns:a16="http://schemas.microsoft.com/office/drawing/2014/main" id="{00000000-0008-0000-0200-000007000000}"/>
            </a:ext>
          </a:extLst>
        </xdr:cNvPr>
        <xdr:cNvSpPr/>
      </xdr:nvSpPr>
      <xdr:spPr>
        <a:xfrm>
          <a:off x="573741" y="29718448"/>
          <a:ext cx="4169794" cy="219030"/>
        </a:xfrm>
        <a:prstGeom prst="rect">
          <a:avLst/>
        </a:prstGeom>
      </xdr:spPr>
      <xdr:txBody>
        <a:bodyPr wrap="square">
          <a:spAutoFit/>
        </a:bodyPr>
        <a:lstStyle>
          <a:defPPr>
            <a:defRPr lang="en-US"/>
          </a:defPPr>
          <a:lvl1pPr algn="l" defTabSz="457200" rtl="0" fontAlgn="base">
            <a:spcBef>
              <a:spcPct val="0"/>
            </a:spcBef>
            <a:spcAft>
              <a:spcPct val="0"/>
            </a:spcAft>
            <a:defRPr sz="1400" u="sng" kern="1200">
              <a:solidFill>
                <a:schemeClr val="tx1"/>
              </a:solidFill>
              <a:latin typeface="Arial" panose="020B0604020202020204" pitchFamily="34" charset="0"/>
              <a:ea typeface="MS PGothic" panose="020B0600070205080204" pitchFamily="34" charset="-128"/>
              <a:cs typeface="+mn-cs"/>
            </a:defRPr>
          </a:lvl1pPr>
          <a:lvl2pPr marL="457200" algn="l" defTabSz="457200" rtl="0" fontAlgn="base">
            <a:spcBef>
              <a:spcPct val="0"/>
            </a:spcBef>
            <a:spcAft>
              <a:spcPct val="0"/>
            </a:spcAft>
            <a:defRPr sz="1400" u="sng" kern="1200">
              <a:solidFill>
                <a:schemeClr val="tx1"/>
              </a:solidFill>
              <a:latin typeface="Arial" panose="020B0604020202020204" pitchFamily="34" charset="0"/>
              <a:ea typeface="MS PGothic" panose="020B0600070205080204" pitchFamily="34" charset="-128"/>
              <a:cs typeface="+mn-cs"/>
            </a:defRPr>
          </a:lvl2pPr>
          <a:lvl3pPr marL="914400" algn="l" defTabSz="457200" rtl="0" fontAlgn="base">
            <a:spcBef>
              <a:spcPct val="0"/>
            </a:spcBef>
            <a:spcAft>
              <a:spcPct val="0"/>
            </a:spcAft>
            <a:defRPr sz="1400" u="sng" kern="1200">
              <a:solidFill>
                <a:schemeClr val="tx1"/>
              </a:solidFill>
              <a:latin typeface="Arial" panose="020B0604020202020204" pitchFamily="34" charset="0"/>
              <a:ea typeface="MS PGothic" panose="020B0600070205080204" pitchFamily="34" charset="-128"/>
              <a:cs typeface="+mn-cs"/>
            </a:defRPr>
          </a:lvl3pPr>
          <a:lvl4pPr marL="1371600" algn="l" defTabSz="457200" rtl="0" fontAlgn="base">
            <a:spcBef>
              <a:spcPct val="0"/>
            </a:spcBef>
            <a:spcAft>
              <a:spcPct val="0"/>
            </a:spcAft>
            <a:defRPr sz="1400" u="sng" kern="1200">
              <a:solidFill>
                <a:schemeClr val="tx1"/>
              </a:solidFill>
              <a:latin typeface="Arial" panose="020B0604020202020204" pitchFamily="34" charset="0"/>
              <a:ea typeface="MS PGothic" panose="020B0600070205080204" pitchFamily="34" charset="-128"/>
              <a:cs typeface="+mn-cs"/>
            </a:defRPr>
          </a:lvl4pPr>
          <a:lvl5pPr marL="1828800" algn="l" defTabSz="457200" rtl="0" fontAlgn="base">
            <a:spcBef>
              <a:spcPct val="0"/>
            </a:spcBef>
            <a:spcAft>
              <a:spcPct val="0"/>
            </a:spcAft>
            <a:defRPr sz="1400" u="sng" kern="1200">
              <a:solidFill>
                <a:schemeClr val="tx1"/>
              </a:solidFill>
              <a:latin typeface="Arial" panose="020B0604020202020204" pitchFamily="34" charset="0"/>
              <a:ea typeface="MS PGothic" panose="020B0600070205080204" pitchFamily="34" charset="-128"/>
              <a:cs typeface="+mn-cs"/>
            </a:defRPr>
          </a:lvl5pPr>
          <a:lvl6pPr marL="2286000" algn="l" defTabSz="914400" rtl="0" eaLnBrk="1" latinLnBrk="0" hangingPunct="1">
            <a:defRPr sz="1400" u="sng" kern="1200">
              <a:solidFill>
                <a:schemeClr val="tx1"/>
              </a:solidFill>
              <a:latin typeface="Arial" panose="020B0604020202020204" pitchFamily="34" charset="0"/>
              <a:ea typeface="MS PGothic" panose="020B0600070205080204" pitchFamily="34" charset="-128"/>
              <a:cs typeface="+mn-cs"/>
            </a:defRPr>
          </a:lvl6pPr>
          <a:lvl7pPr marL="2743200" algn="l" defTabSz="914400" rtl="0" eaLnBrk="1" latinLnBrk="0" hangingPunct="1">
            <a:defRPr sz="1400" u="sng" kern="1200">
              <a:solidFill>
                <a:schemeClr val="tx1"/>
              </a:solidFill>
              <a:latin typeface="Arial" panose="020B0604020202020204" pitchFamily="34" charset="0"/>
              <a:ea typeface="MS PGothic" panose="020B0600070205080204" pitchFamily="34" charset="-128"/>
              <a:cs typeface="+mn-cs"/>
            </a:defRPr>
          </a:lvl7pPr>
          <a:lvl8pPr marL="3200400" algn="l" defTabSz="914400" rtl="0" eaLnBrk="1" latinLnBrk="0" hangingPunct="1">
            <a:defRPr sz="1400" u="sng" kern="1200">
              <a:solidFill>
                <a:schemeClr val="tx1"/>
              </a:solidFill>
              <a:latin typeface="Arial" panose="020B0604020202020204" pitchFamily="34" charset="0"/>
              <a:ea typeface="MS PGothic" panose="020B0600070205080204" pitchFamily="34" charset="-128"/>
              <a:cs typeface="+mn-cs"/>
            </a:defRPr>
          </a:lvl8pPr>
          <a:lvl9pPr marL="3657600" algn="l" defTabSz="914400" rtl="0" eaLnBrk="1" latinLnBrk="0" hangingPunct="1">
            <a:defRPr sz="1400" u="sng" kern="1200">
              <a:solidFill>
                <a:schemeClr val="tx1"/>
              </a:solidFill>
              <a:latin typeface="Arial" panose="020B0604020202020204" pitchFamily="34" charset="0"/>
              <a:ea typeface="MS PGothic" panose="020B0600070205080204" pitchFamily="34" charset="-128"/>
              <a:cs typeface="+mn-cs"/>
            </a:defRPr>
          </a:lvl9pPr>
        </a:lstStyle>
        <a:p>
          <a:pPr>
            <a:spcAft>
              <a:spcPts val="0"/>
            </a:spcAft>
          </a:pPr>
          <a:r>
            <a:rPr lang="en-US" sz="800" b="1" u="none">
              <a:solidFill>
                <a:srgbClr val="000000"/>
              </a:solidFill>
              <a:latin typeface="Calibri" panose="020F0502020204030204" pitchFamily="34" charset="0"/>
              <a:ea typeface="Times New Roman" panose="02020603050405020304" pitchFamily="18" charset="0"/>
              <a:cs typeface="Calibri" panose="020F0502020204030204" pitchFamily="34" charset="0"/>
            </a:rPr>
            <a:t>Note: </a:t>
          </a:r>
          <a:r>
            <a:rPr lang="en-US" sz="800" u="none">
              <a:solidFill>
                <a:srgbClr val="000000"/>
              </a:solidFill>
              <a:latin typeface="Calibri" panose="020F0502020204030204" pitchFamily="34" charset="0"/>
              <a:ea typeface="Times New Roman" panose="02020603050405020304" pitchFamily="18" charset="0"/>
              <a:cs typeface="Calibri" panose="020F0502020204030204" pitchFamily="34" charset="0"/>
            </a:rPr>
            <a:t>Data from WTIS </a:t>
          </a:r>
          <a:r>
            <a:rPr lang="en-US" sz="800" u="none">
              <a:latin typeface="Calibri" panose="020F0502020204030204" pitchFamily="34" charset="0"/>
              <a:ea typeface="Times New Roman" panose="02020603050405020304" pitchFamily="18" charset="0"/>
              <a:cs typeface="Calibri" panose="020F0502020204030204" pitchFamily="34" charset="0"/>
            </a:rPr>
            <a:t>for </a:t>
          </a:r>
          <a:r>
            <a:rPr lang="en-CA" sz="800" b="1" u="none">
              <a:latin typeface="Calibri" panose="020F0502020204030204" pitchFamily="34" charset="0"/>
              <a:ea typeface="Times New Roman" panose="02020603050405020304" pitchFamily="18" charset="0"/>
              <a:cs typeface="Calibri" panose="020F0502020204030204" pitchFamily="34" charset="0"/>
            </a:rPr>
            <a:t>March 17 to May 5, 2019 (50 Days) </a:t>
          </a:r>
          <a:r>
            <a:rPr lang="en-CA" sz="800" u="none">
              <a:latin typeface="Calibri" panose="020F0502020204030204" pitchFamily="34" charset="0"/>
              <a:ea typeface="Times New Roman" panose="02020603050405020304" pitchFamily="18" charset="0"/>
              <a:cs typeface="Calibri" panose="020F0502020204030204" pitchFamily="34" charset="0"/>
            </a:rPr>
            <a:t>and</a:t>
          </a:r>
          <a:r>
            <a:rPr lang="en-CA" sz="800" b="1" u="none">
              <a:latin typeface="Calibri" panose="020F0502020204030204" pitchFamily="34" charset="0"/>
              <a:ea typeface="Times New Roman" panose="02020603050405020304" pitchFamily="18" charset="0"/>
              <a:cs typeface="Calibri" panose="020F0502020204030204" pitchFamily="34" charset="0"/>
            </a:rPr>
            <a:t> </a:t>
          </a:r>
          <a:r>
            <a:rPr lang="en-US" sz="800" b="1" u="none">
              <a:latin typeface="Calibri" panose="020F0502020204030204" pitchFamily="34" charset="0"/>
              <a:ea typeface="Times New Roman" panose="02020603050405020304" pitchFamily="18" charset="0"/>
              <a:cs typeface="Calibri" panose="020F0502020204030204" pitchFamily="34" charset="0"/>
            </a:rPr>
            <a:t>Mar. 15 – May 3, 2020 (50 Days) </a:t>
          </a:r>
          <a:endParaRPr lang="en-CA" sz="900" u="none">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546847</xdr:colOff>
      <xdr:row>119</xdr:row>
      <xdr:rowOff>44823</xdr:rowOff>
    </xdr:from>
    <xdr:to>
      <xdr:col>14</xdr:col>
      <xdr:colOff>98612</xdr:colOff>
      <xdr:row>123</xdr:row>
      <xdr:rowOff>166219</xdr:rowOff>
    </xdr:to>
    <xdr:sp macro="" textlink="">
      <xdr:nvSpPr>
        <xdr:cNvPr id="7" name="Title 1">
          <a:extLst>
            <a:ext uri="{FF2B5EF4-FFF2-40B4-BE49-F238E27FC236}">
              <a16:creationId xmlns:a16="http://schemas.microsoft.com/office/drawing/2014/main" id="{00000000-0008-0000-0200-000008000000}"/>
            </a:ext>
          </a:extLst>
        </xdr:cNvPr>
        <xdr:cNvSpPr>
          <a:spLocks noGrp="1"/>
        </xdr:cNvSpPr>
      </xdr:nvSpPr>
      <xdr:spPr bwMode="auto">
        <a:xfrm>
          <a:off x="546847" y="21685623"/>
          <a:ext cx="10372165" cy="1325356"/>
        </a:xfrm>
        <a:prstGeom prst="rect">
          <a:avLst/>
        </a:prstGeom>
        <a:noFill/>
        <a:ln>
          <a:noFill/>
        </a:ln>
        <a:extLst>
          <a:ext uri="{909E8E84-426E-40dd-AFC4-6F175D3DCCD1}">
            <a14:hiddenFill xmlns:lc="http://schemas.openxmlformats.org/drawingml/2006/lockedCanvas" xmlns="" xmlns:a14="http://schemas.microsoft.com/office/drawing/2010/main" xmlns:p="http://schemas.openxmlformats.org/presentationml/2006/main" xmlns:r="http://schemas.openxmlformats.org/officeDocument/2006/relationships">
              <a:solidFill>
                <a:srgbClr val="FFFFFF"/>
              </a:solidFill>
            </a14:hiddenFill>
          </a:ext>
          <a:ext uri="{91240B29-F687-4f45-9708-019B960494DF}">
            <a14:hiddenLine xmlns:lc="http://schemas.openxmlformats.org/drawingml/2006/lockedCanvas" xmlns="" xmlns:a14="http://schemas.microsoft.com/office/drawing/2010/main" xmlns:p="http://schemas.openxmlformats.org/presentationml/2006/main" xmlns:r="http://schemas.openxmlformats.org/officeDocument/2006/relationships"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lvl1pPr algn="l" rtl="0" eaLnBrk="0" fontAlgn="base" hangingPunct="0">
            <a:spcBef>
              <a:spcPct val="0"/>
            </a:spcBef>
            <a:spcAft>
              <a:spcPct val="0"/>
            </a:spcAft>
            <a:defRPr sz="3600" b="1" i="0">
              <a:solidFill>
                <a:schemeClr val="tx1"/>
              </a:solidFill>
              <a:latin typeface="Calibri" panose="020F0502020204030204" pitchFamily="34" charset="0"/>
              <a:ea typeface="MS PGothic" panose="020B0600070205080204" pitchFamily="34" charset="-128"/>
              <a:cs typeface="Calibri" panose="020F0502020204030204" pitchFamily="34" charset="0"/>
            </a:defRPr>
          </a:lvl1pPr>
          <a:lvl2pPr algn="ctr" rtl="0" eaLnBrk="0" fontAlgn="base" hangingPunct="0">
            <a:spcBef>
              <a:spcPct val="0"/>
            </a:spcBef>
            <a:spcAft>
              <a:spcPct val="0"/>
            </a:spcAft>
            <a:defRPr sz="3600" b="1">
              <a:solidFill>
                <a:srgbClr val="00788A"/>
              </a:solidFill>
              <a:latin typeface="Arial" charset="0"/>
              <a:ea typeface="MS PGothic" panose="020B0600070205080204" pitchFamily="34" charset="-128"/>
              <a:cs typeface="ＭＳ Ｐゴシック" charset="-128"/>
            </a:defRPr>
          </a:lvl2pPr>
          <a:lvl3pPr algn="ctr" rtl="0" eaLnBrk="0" fontAlgn="base" hangingPunct="0">
            <a:spcBef>
              <a:spcPct val="0"/>
            </a:spcBef>
            <a:spcAft>
              <a:spcPct val="0"/>
            </a:spcAft>
            <a:defRPr sz="3600" b="1">
              <a:solidFill>
                <a:srgbClr val="00788A"/>
              </a:solidFill>
              <a:latin typeface="Arial" charset="0"/>
              <a:ea typeface="MS PGothic" panose="020B0600070205080204" pitchFamily="34" charset="-128"/>
              <a:cs typeface="ＭＳ Ｐゴシック" charset="-128"/>
            </a:defRPr>
          </a:lvl3pPr>
          <a:lvl4pPr algn="ctr" rtl="0" eaLnBrk="0" fontAlgn="base" hangingPunct="0">
            <a:spcBef>
              <a:spcPct val="0"/>
            </a:spcBef>
            <a:spcAft>
              <a:spcPct val="0"/>
            </a:spcAft>
            <a:defRPr sz="3600" b="1">
              <a:solidFill>
                <a:srgbClr val="00788A"/>
              </a:solidFill>
              <a:latin typeface="Arial" charset="0"/>
              <a:ea typeface="MS PGothic" panose="020B0600070205080204" pitchFamily="34" charset="-128"/>
              <a:cs typeface="ＭＳ Ｐゴシック" charset="-128"/>
            </a:defRPr>
          </a:lvl4pPr>
          <a:lvl5pPr algn="ctr" rtl="0" eaLnBrk="0" fontAlgn="base" hangingPunct="0">
            <a:spcBef>
              <a:spcPct val="0"/>
            </a:spcBef>
            <a:spcAft>
              <a:spcPct val="0"/>
            </a:spcAft>
            <a:defRPr sz="3600" b="1">
              <a:solidFill>
                <a:srgbClr val="00788A"/>
              </a:solidFill>
              <a:latin typeface="Arial" charset="0"/>
              <a:ea typeface="MS PGothic" panose="020B0600070205080204" pitchFamily="34" charset="-128"/>
              <a:cs typeface="ＭＳ Ｐゴシック" charset="-128"/>
            </a:defRPr>
          </a:lvl5pPr>
          <a:lvl6pPr marL="457200" algn="ctr" rtl="0" eaLnBrk="1" fontAlgn="base" hangingPunct="1">
            <a:spcBef>
              <a:spcPct val="0"/>
            </a:spcBef>
            <a:spcAft>
              <a:spcPct val="0"/>
            </a:spcAft>
            <a:defRPr sz="3600" b="1">
              <a:solidFill>
                <a:srgbClr val="008E8F"/>
              </a:solidFill>
              <a:latin typeface="Arial" charset="0"/>
            </a:defRPr>
          </a:lvl6pPr>
          <a:lvl7pPr marL="914400" algn="ctr" rtl="0" eaLnBrk="1" fontAlgn="base" hangingPunct="1">
            <a:spcBef>
              <a:spcPct val="0"/>
            </a:spcBef>
            <a:spcAft>
              <a:spcPct val="0"/>
            </a:spcAft>
            <a:defRPr sz="3600" b="1">
              <a:solidFill>
                <a:srgbClr val="008E8F"/>
              </a:solidFill>
              <a:latin typeface="Arial" charset="0"/>
            </a:defRPr>
          </a:lvl7pPr>
          <a:lvl8pPr marL="1371600" algn="ctr" rtl="0" eaLnBrk="1" fontAlgn="base" hangingPunct="1">
            <a:spcBef>
              <a:spcPct val="0"/>
            </a:spcBef>
            <a:spcAft>
              <a:spcPct val="0"/>
            </a:spcAft>
            <a:defRPr sz="3600" b="1">
              <a:solidFill>
                <a:srgbClr val="008E8F"/>
              </a:solidFill>
              <a:latin typeface="Arial" charset="0"/>
            </a:defRPr>
          </a:lvl8pPr>
          <a:lvl9pPr marL="1828800" algn="ctr" rtl="0" eaLnBrk="1" fontAlgn="base" hangingPunct="1">
            <a:spcBef>
              <a:spcPct val="0"/>
            </a:spcBef>
            <a:spcAft>
              <a:spcPct val="0"/>
            </a:spcAft>
            <a:defRPr sz="3600" b="1">
              <a:solidFill>
                <a:srgbClr val="008E8F"/>
              </a:solidFill>
              <a:latin typeface="Arial" charset="0"/>
            </a:defRPr>
          </a:lvl9pPr>
        </a:lstStyle>
        <a:p>
          <a:r>
            <a:rPr lang="en-US" sz="2800"/>
            <a:t>Comparison of Wait 2 Completed </a:t>
          </a:r>
          <a:r>
            <a:rPr lang="en-US" sz="2800">
              <a:solidFill>
                <a:srgbClr val="00B2E3"/>
              </a:solidFill>
            </a:rPr>
            <a:t>Oncology</a:t>
          </a:r>
          <a:r>
            <a:rPr lang="en-US" sz="2800"/>
            <a:t> Surgical Volumes by Procedure Type (Service Detail 1)</a:t>
          </a:r>
          <a:endParaRPr lang="en-CA" sz="2800"/>
        </a:p>
      </xdr:txBody>
    </xdr:sp>
    <xdr:clientData/>
  </xdr:twoCellAnchor>
  <xdr:twoCellAnchor>
    <xdr:from>
      <xdr:col>0</xdr:col>
      <xdr:colOff>564776</xdr:colOff>
      <xdr:row>139</xdr:row>
      <xdr:rowOff>8964</xdr:rowOff>
    </xdr:from>
    <xdr:to>
      <xdr:col>4</xdr:col>
      <xdr:colOff>200670</xdr:colOff>
      <xdr:row>140</xdr:row>
      <xdr:rowOff>45114</xdr:rowOff>
    </xdr:to>
    <xdr:sp macro="" textlink="">
      <xdr:nvSpPr>
        <xdr:cNvPr id="8" name="Rectangle 7">
          <a:extLst>
            <a:ext uri="{FF2B5EF4-FFF2-40B4-BE49-F238E27FC236}">
              <a16:creationId xmlns:a16="http://schemas.microsoft.com/office/drawing/2014/main" id="{00000000-0008-0000-0200-000009000000}"/>
            </a:ext>
          </a:extLst>
        </xdr:cNvPr>
        <xdr:cNvSpPr/>
      </xdr:nvSpPr>
      <xdr:spPr>
        <a:xfrm>
          <a:off x="564776" y="25833144"/>
          <a:ext cx="4169794" cy="219030"/>
        </a:xfrm>
        <a:prstGeom prst="rect">
          <a:avLst/>
        </a:prstGeom>
      </xdr:spPr>
      <xdr:txBody>
        <a:bodyPr wrap="square">
          <a:spAutoFit/>
        </a:bodyPr>
        <a:lstStyle>
          <a:defPPr>
            <a:defRPr lang="en-US"/>
          </a:defPPr>
          <a:lvl1pPr algn="l" defTabSz="457200" rtl="0" fontAlgn="base">
            <a:spcBef>
              <a:spcPct val="0"/>
            </a:spcBef>
            <a:spcAft>
              <a:spcPct val="0"/>
            </a:spcAft>
            <a:defRPr sz="1400" u="sng" kern="1200">
              <a:solidFill>
                <a:schemeClr val="tx1"/>
              </a:solidFill>
              <a:latin typeface="Arial" panose="020B0604020202020204" pitchFamily="34" charset="0"/>
              <a:ea typeface="MS PGothic" panose="020B0600070205080204" pitchFamily="34" charset="-128"/>
              <a:cs typeface="+mn-cs"/>
            </a:defRPr>
          </a:lvl1pPr>
          <a:lvl2pPr marL="457200" algn="l" defTabSz="457200" rtl="0" fontAlgn="base">
            <a:spcBef>
              <a:spcPct val="0"/>
            </a:spcBef>
            <a:spcAft>
              <a:spcPct val="0"/>
            </a:spcAft>
            <a:defRPr sz="1400" u="sng" kern="1200">
              <a:solidFill>
                <a:schemeClr val="tx1"/>
              </a:solidFill>
              <a:latin typeface="Arial" panose="020B0604020202020204" pitchFamily="34" charset="0"/>
              <a:ea typeface="MS PGothic" panose="020B0600070205080204" pitchFamily="34" charset="-128"/>
              <a:cs typeface="+mn-cs"/>
            </a:defRPr>
          </a:lvl2pPr>
          <a:lvl3pPr marL="914400" algn="l" defTabSz="457200" rtl="0" fontAlgn="base">
            <a:spcBef>
              <a:spcPct val="0"/>
            </a:spcBef>
            <a:spcAft>
              <a:spcPct val="0"/>
            </a:spcAft>
            <a:defRPr sz="1400" u="sng" kern="1200">
              <a:solidFill>
                <a:schemeClr val="tx1"/>
              </a:solidFill>
              <a:latin typeface="Arial" panose="020B0604020202020204" pitchFamily="34" charset="0"/>
              <a:ea typeface="MS PGothic" panose="020B0600070205080204" pitchFamily="34" charset="-128"/>
              <a:cs typeface="+mn-cs"/>
            </a:defRPr>
          </a:lvl3pPr>
          <a:lvl4pPr marL="1371600" algn="l" defTabSz="457200" rtl="0" fontAlgn="base">
            <a:spcBef>
              <a:spcPct val="0"/>
            </a:spcBef>
            <a:spcAft>
              <a:spcPct val="0"/>
            </a:spcAft>
            <a:defRPr sz="1400" u="sng" kern="1200">
              <a:solidFill>
                <a:schemeClr val="tx1"/>
              </a:solidFill>
              <a:latin typeface="Arial" panose="020B0604020202020204" pitchFamily="34" charset="0"/>
              <a:ea typeface="MS PGothic" panose="020B0600070205080204" pitchFamily="34" charset="-128"/>
              <a:cs typeface="+mn-cs"/>
            </a:defRPr>
          </a:lvl4pPr>
          <a:lvl5pPr marL="1828800" algn="l" defTabSz="457200" rtl="0" fontAlgn="base">
            <a:spcBef>
              <a:spcPct val="0"/>
            </a:spcBef>
            <a:spcAft>
              <a:spcPct val="0"/>
            </a:spcAft>
            <a:defRPr sz="1400" u="sng" kern="1200">
              <a:solidFill>
                <a:schemeClr val="tx1"/>
              </a:solidFill>
              <a:latin typeface="Arial" panose="020B0604020202020204" pitchFamily="34" charset="0"/>
              <a:ea typeface="MS PGothic" panose="020B0600070205080204" pitchFamily="34" charset="-128"/>
              <a:cs typeface="+mn-cs"/>
            </a:defRPr>
          </a:lvl5pPr>
          <a:lvl6pPr marL="2286000" algn="l" defTabSz="914400" rtl="0" eaLnBrk="1" latinLnBrk="0" hangingPunct="1">
            <a:defRPr sz="1400" u="sng" kern="1200">
              <a:solidFill>
                <a:schemeClr val="tx1"/>
              </a:solidFill>
              <a:latin typeface="Arial" panose="020B0604020202020204" pitchFamily="34" charset="0"/>
              <a:ea typeface="MS PGothic" panose="020B0600070205080204" pitchFamily="34" charset="-128"/>
              <a:cs typeface="+mn-cs"/>
            </a:defRPr>
          </a:lvl6pPr>
          <a:lvl7pPr marL="2743200" algn="l" defTabSz="914400" rtl="0" eaLnBrk="1" latinLnBrk="0" hangingPunct="1">
            <a:defRPr sz="1400" u="sng" kern="1200">
              <a:solidFill>
                <a:schemeClr val="tx1"/>
              </a:solidFill>
              <a:latin typeface="Arial" panose="020B0604020202020204" pitchFamily="34" charset="0"/>
              <a:ea typeface="MS PGothic" panose="020B0600070205080204" pitchFamily="34" charset="-128"/>
              <a:cs typeface="+mn-cs"/>
            </a:defRPr>
          </a:lvl7pPr>
          <a:lvl8pPr marL="3200400" algn="l" defTabSz="914400" rtl="0" eaLnBrk="1" latinLnBrk="0" hangingPunct="1">
            <a:defRPr sz="1400" u="sng" kern="1200">
              <a:solidFill>
                <a:schemeClr val="tx1"/>
              </a:solidFill>
              <a:latin typeface="Arial" panose="020B0604020202020204" pitchFamily="34" charset="0"/>
              <a:ea typeface="MS PGothic" panose="020B0600070205080204" pitchFamily="34" charset="-128"/>
              <a:cs typeface="+mn-cs"/>
            </a:defRPr>
          </a:lvl8pPr>
          <a:lvl9pPr marL="3657600" algn="l" defTabSz="914400" rtl="0" eaLnBrk="1" latinLnBrk="0" hangingPunct="1">
            <a:defRPr sz="1400" u="sng" kern="1200">
              <a:solidFill>
                <a:schemeClr val="tx1"/>
              </a:solidFill>
              <a:latin typeface="Arial" panose="020B0604020202020204" pitchFamily="34" charset="0"/>
              <a:ea typeface="MS PGothic" panose="020B0600070205080204" pitchFamily="34" charset="-128"/>
              <a:cs typeface="+mn-cs"/>
            </a:defRPr>
          </a:lvl9pPr>
        </a:lstStyle>
        <a:p>
          <a:pPr>
            <a:spcAft>
              <a:spcPts val="0"/>
            </a:spcAft>
          </a:pPr>
          <a:r>
            <a:rPr lang="en-US" sz="800" b="1" u="none">
              <a:solidFill>
                <a:srgbClr val="000000"/>
              </a:solidFill>
              <a:latin typeface="Calibri" panose="020F0502020204030204" pitchFamily="34" charset="0"/>
              <a:ea typeface="Times New Roman" panose="02020603050405020304" pitchFamily="18" charset="0"/>
              <a:cs typeface="Calibri" panose="020F0502020204030204" pitchFamily="34" charset="0"/>
            </a:rPr>
            <a:t>Note: </a:t>
          </a:r>
          <a:r>
            <a:rPr lang="en-US" sz="800" u="none">
              <a:solidFill>
                <a:srgbClr val="000000"/>
              </a:solidFill>
              <a:latin typeface="Calibri" panose="020F0502020204030204" pitchFamily="34" charset="0"/>
              <a:ea typeface="Times New Roman" panose="02020603050405020304" pitchFamily="18" charset="0"/>
              <a:cs typeface="Calibri" panose="020F0502020204030204" pitchFamily="34" charset="0"/>
            </a:rPr>
            <a:t>Data from WTIS </a:t>
          </a:r>
          <a:r>
            <a:rPr lang="en-US" sz="800" u="none">
              <a:latin typeface="Calibri" panose="020F0502020204030204" pitchFamily="34" charset="0"/>
              <a:ea typeface="Times New Roman" panose="02020603050405020304" pitchFamily="18" charset="0"/>
              <a:cs typeface="Calibri" panose="020F0502020204030204" pitchFamily="34" charset="0"/>
            </a:rPr>
            <a:t>for </a:t>
          </a:r>
          <a:r>
            <a:rPr lang="en-CA" sz="800" b="1" u="none">
              <a:latin typeface="Calibri" panose="020F0502020204030204" pitchFamily="34" charset="0"/>
              <a:ea typeface="Times New Roman" panose="02020603050405020304" pitchFamily="18" charset="0"/>
              <a:cs typeface="Calibri" panose="020F0502020204030204" pitchFamily="34" charset="0"/>
            </a:rPr>
            <a:t>March 17 to May 5, 2019 (50 Days) </a:t>
          </a:r>
          <a:r>
            <a:rPr lang="en-CA" sz="800" u="none">
              <a:latin typeface="Calibri" panose="020F0502020204030204" pitchFamily="34" charset="0"/>
              <a:ea typeface="Times New Roman" panose="02020603050405020304" pitchFamily="18" charset="0"/>
              <a:cs typeface="Calibri" panose="020F0502020204030204" pitchFamily="34" charset="0"/>
            </a:rPr>
            <a:t>and</a:t>
          </a:r>
          <a:r>
            <a:rPr lang="en-CA" sz="800" b="1" u="none">
              <a:latin typeface="Calibri" panose="020F0502020204030204" pitchFamily="34" charset="0"/>
              <a:ea typeface="Times New Roman" panose="02020603050405020304" pitchFamily="18" charset="0"/>
              <a:cs typeface="Calibri" panose="020F0502020204030204" pitchFamily="34" charset="0"/>
            </a:rPr>
            <a:t> </a:t>
          </a:r>
          <a:r>
            <a:rPr lang="en-US" sz="800" b="1" u="none">
              <a:latin typeface="Calibri" panose="020F0502020204030204" pitchFamily="34" charset="0"/>
              <a:ea typeface="Times New Roman" panose="02020603050405020304" pitchFamily="18" charset="0"/>
              <a:cs typeface="Calibri" panose="020F0502020204030204" pitchFamily="34" charset="0"/>
            </a:rPr>
            <a:t>Mar. 15 – May 3, 2020 (50 Days) </a:t>
          </a:r>
          <a:endParaRPr lang="en-CA" sz="900" u="none">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1</xdr:col>
      <xdr:colOff>7620</xdr:colOff>
      <xdr:row>3</xdr:row>
      <xdr:rowOff>76200</xdr:rowOff>
    </xdr:from>
    <xdr:to>
      <xdr:col>1</xdr:col>
      <xdr:colOff>953778</xdr:colOff>
      <xdr:row>4</xdr:row>
      <xdr:rowOff>171450</xdr:rowOff>
    </xdr:to>
    <xdr:sp macro="" textlink="'READ ME'!C19">
      <xdr:nvSpPr>
        <xdr:cNvPr id="11" name="Round Same Side Corner Rectangle 10">
          <a:hlinkClick xmlns:r="http://schemas.openxmlformats.org/officeDocument/2006/relationships" r:id="rId3"/>
        </xdr:cNvPr>
        <xdr:cNvSpPr/>
      </xdr:nvSpPr>
      <xdr:spPr>
        <a:xfrm>
          <a:off x="617220" y="624840"/>
          <a:ext cx="946158" cy="278130"/>
        </a:xfrm>
        <a:prstGeom prst="round2SameRect">
          <a:avLst/>
        </a:prstGeom>
        <a:solidFill>
          <a:schemeClr val="bg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8E4A4688-AF55-49C6-98FA-56273FB240CC}" type="TxLink">
            <a:rPr lang="en-US" sz="1000" b="0" i="0" u="none" strike="noStrike">
              <a:solidFill>
                <a:srgbClr val="000000"/>
              </a:solidFill>
              <a:latin typeface="Calibri Light"/>
              <a:ea typeface="+mn-ea"/>
              <a:cs typeface="Calibri Light"/>
            </a:rPr>
            <a:pPr marL="0" indent="0" algn="ctr"/>
            <a:t>Cover Page</a:t>
          </a:fld>
          <a:endParaRPr lang="en-US" sz="1000" b="1" i="0" u="none" strike="noStrike">
            <a:solidFill>
              <a:srgbClr val="000000"/>
            </a:solidFill>
            <a:latin typeface="+mn-lt"/>
            <a:ea typeface="+mn-ea"/>
            <a:cs typeface="Calibri"/>
          </a:endParaRPr>
        </a:p>
      </xdr:txBody>
    </xdr:sp>
    <xdr:clientData/>
  </xdr:twoCellAnchor>
  <xdr:twoCellAnchor editAs="absolute">
    <xdr:from>
      <xdr:col>1</xdr:col>
      <xdr:colOff>2141932</xdr:colOff>
      <xdr:row>3</xdr:row>
      <xdr:rowOff>78740</xdr:rowOff>
    </xdr:from>
    <xdr:to>
      <xdr:col>3</xdr:col>
      <xdr:colOff>24075</xdr:colOff>
      <xdr:row>4</xdr:row>
      <xdr:rowOff>172720</xdr:rowOff>
    </xdr:to>
    <xdr:sp macro="" textlink="'READ ME'!C21">
      <xdr:nvSpPr>
        <xdr:cNvPr id="12" name="Round Same Side Corner Rectangle 11">
          <a:hlinkClick xmlns:r="http://schemas.openxmlformats.org/officeDocument/2006/relationships" r:id="rId4"/>
        </xdr:cNvPr>
        <xdr:cNvSpPr/>
      </xdr:nvSpPr>
      <xdr:spPr>
        <a:xfrm>
          <a:off x="2751532" y="627380"/>
          <a:ext cx="1059683" cy="276860"/>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5789DC4D-013E-4929-BCE2-4922196E81B0}" type="TxLink">
            <a:rPr lang="en-US" sz="1000" b="0" i="0" u="none" strike="noStrike">
              <a:solidFill>
                <a:srgbClr val="000000"/>
              </a:solidFill>
              <a:latin typeface="Calibri Light"/>
              <a:ea typeface="+mn-ea"/>
              <a:cs typeface="Calibri Light"/>
            </a:rPr>
            <a:pPr marL="0" indent="0" algn="ctr"/>
            <a:t>Custom Graphics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3</xdr:col>
      <xdr:colOff>88310</xdr:colOff>
      <xdr:row>3</xdr:row>
      <xdr:rowOff>78740</xdr:rowOff>
    </xdr:from>
    <xdr:to>
      <xdr:col>4</xdr:col>
      <xdr:colOff>394890</xdr:colOff>
      <xdr:row>4</xdr:row>
      <xdr:rowOff>172720</xdr:rowOff>
    </xdr:to>
    <xdr:sp macro="" textlink="'READ ME'!C22">
      <xdr:nvSpPr>
        <xdr:cNvPr id="13" name="Round Same Side Corner Rectangle 12">
          <a:hlinkClick xmlns:r="http://schemas.openxmlformats.org/officeDocument/2006/relationships" r:id="rId5"/>
        </xdr:cNvPr>
        <xdr:cNvSpPr/>
      </xdr:nvSpPr>
      <xdr:spPr>
        <a:xfrm>
          <a:off x="3875450" y="627380"/>
          <a:ext cx="1053340" cy="276860"/>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E73F0B8E-C9D5-4377-AC00-4F14C7B101EC}" type="TxLink">
            <a:rPr lang="en-US" sz="1000" b="0" i="0" u="none" strike="noStrike">
              <a:solidFill>
                <a:srgbClr val="000000"/>
              </a:solidFill>
              <a:latin typeface="Calibri Light"/>
              <a:ea typeface="+mn-ea"/>
              <a:cs typeface="Calibri Light"/>
            </a:rPr>
            <a:pPr marL="0" indent="0" algn="ctr"/>
            <a:t>Ontario Graphics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4</xdr:col>
      <xdr:colOff>459125</xdr:colOff>
      <xdr:row>3</xdr:row>
      <xdr:rowOff>78740</xdr:rowOff>
    </xdr:from>
    <xdr:to>
      <xdr:col>6</xdr:col>
      <xdr:colOff>109109</xdr:colOff>
      <xdr:row>4</xdr:row>
      <xdr:rowOff>172720</xdr:rowOff>
    </xdr:to>
    <xdr:sp macro="" textlink="'READ ME'!C23">
      <xdr:nvSpPr>
        <xdr:cNvPr id="14" name="Round Same Side Corner Rectangle 13">
          <a:hlinkClick xmlns:r="http://schemas.openxmlformats.org/officeDocument/2006/relationships" r:id="rId6"/>
        </xdr:cNvPr>
        <xdr:cNvSpPr/>
      </xdr:nvSpPr>
      <xdr:spPr>
        <a:xfrm>
          <a:off x="4993025" y="627380"/>
          <a:ext cx="1059684" cy="276860"/>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E14468D5-14D7-4FF7-A55C-BD548DE85EF6}" type="TxLink">
            <a:rPr lang="en-US" sz="1000" b="0" i="0" u="none" strike="noStrike">
              <a:solidFill>
                <a:srgbClr val="000000"/>
              </a:solidFill>
              <a:latin typeface="Calibri Light"/>
              <a:ea typeface="+mn-ea"/>
              <a:cs typeface="Calibri Light"/>
            </a:rPr>
            <a:pPr marL="0" indent="0" algn="ctr"/>
            <a:t>Regional Graphics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6</xdr:col>
      <xdr:colOff>173344</xdr:colOff>
      <xdr:row>3</xdr:row>
      <xdr:rowOff>78740</xdr:rowOff>
    </xdr:from>
    <xdr:to>
      <xdr:col>8</xdr:col>
      <xdr:colOff>13828</xdr:colOff>
      <xdr:row>4</xdr:row>
      <xdr:rowOff>172720</xdr:rowOff>
    </xdr:to>
    <xdr:sp macro="" textlink="'READ ME'!C24">
      <xdr:nvSpPr>
        <xdr:cNvPr id="15" name="Round Same Side Corner Rectangle 14">
          <a:hlinkClick xmlns:r="http://schemas.openxmlformats.org/officeDocument/2006/relationships" r:id="rId7"/>
        </xdr:cNvPr>
        <xdr:cNvSpPr/>
      </xdr:nvSpPr>
      <xdr:spPr>
        <a:xfrm>
          <a:off x="6116944" y="627380"/>
          <a:ext cx="1059684" cy="276860"/>
        </a:xfrm>
        <a:prstGeom prst="round2SameRect">
          <a:avLst/>
        </a:prstGeom>
        <a:solidFill>
          <a:srgbClr val="E2E2E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BC9996EB-5C1B-4C61-B31A-09FFD81EC2D6}" type="TxLink">
            <a:rPr lang="en-US" sz="1100" b="0" i="0" u="none" strike="noStrike">
              <a:solidFill>
                <a:srgbClr val="000000"/>
              </a:solidFill>
              <a:latin typeface="Calibri Light"/>
              <a:ea typeface="+mn-ea"/>
              <a:cs typeface="Calibri Light"/>
            </a:rPr>
            <a:pPr marL="0" indent="0" algn="ctr"/>
            <a:t>Documentation</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1</xdr:col>
      <xdr:colOff>1018013</xdr:colOff>
      <xdr:row>3</xdr:row>
      <xdr:rowOff>78740</xdr:rowOff>
    </xdr:from>
    <xdr:to>
      <xdr:col>1</xdr:col>
      <xdr:colOff>2077697</xdr:colOff>
      <xdr:row>4</xdr:row>
      <xdr:rowOff>172720</xdr:rowOff>
    </xdr:to>
    <xdr:sp macro="" textlink="'READ ME'!C20">
      <xdr:nvSpPr>
        <xdr:cNvPr id="16" name="Round Same Side Corner Rectangle 15">
          <a:hlinkClick xmlns:r="http://schemas.openxmlformats.org/officeDocument/2006/relationships" r:id="rId8"/>
        </xdr:cNvPr>
        <xdr:cNvSpPr/>
      </xdr:nvSpPr>
      <xdr:spPr>
        <a:xfrm>
          <a:off x="1627613" y="627380"/>
          <a:ext cx="1059684" cy="276860"/>
        </a:xfrm>
        <a:prstGeom prst="round2SameRect">
          <a:avLst/>
        </a:prstGeom>
        <a:solidFill>
          <a:srgbClr val="E2E2E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06BB82D5-84C1-47D5-8660-F115094AE6B3}" type="TxLink">
            <a:rPr lang="en-US" sz="1100" b="0" i="0" u="none" strike="noStrike">
              <a:solidFill>
                <a:srgbClr val="000000"/>
              </a:solidFill>
              <a:latin typeface="Calibri Light"/>
              <a:ea typeface="+mn-ea"/>
              <a:cs typeface="Calibri Light"/>
            </a:rPr>
            <a:pPr marL="0" indent="0" algn="ctr"/>
            <a:t>Data Inputs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xdr:from>
      <xdr:col>0</xdr:col>
      <xdr:colOff>243840</xdr:colOff>
      <xdr:row>3</xdr:row>
      <xdr:rowOff>45720</xdr:rowOff>
    </xdr:from>
    <xdr:to>
      <xdr:col>0</xdr:col>
      <xdr:colOff>388620</xdr:colOff>
      <xdr:row>4</xdr:row>
      <xdr:rowOff>137160</xdr:rowOff>
    </xdr:to>
    <xdr:sp macro="" textlink="">
      <xdr:nvSpPr>
        <xdr:cNvPr id="17" name="Down Arrow 16"/>
        <xdr:cNvSpPr/>
      </xdr:nvSpPr>
      <xdr:spPr>
        <a:xfrm>
          <a:off x="243840" y="594360"/>
          <a:ext cx="144780" cy="274320"/>
        </a:xfrm>
        <a:prstGeom prst="downArrow">
          <a:avLst/>
        </a:prstGeom>
        <a:solidFill>
          <a:srgbClr val="00B2E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8068</xdr:colOff>
      <xdr:row>27</xdr:row>
      <xdr:rowOff>145900</xdr:rowOff>
    </xdr:from>
    <xdr:to>
      <xdr:col>16</xdr:col>
      <xdr:colOff>342900</xdr:colOff>
      <xdr:row>45</xdr:row>
      <xdr:rowOff>73510</xdr:rowOff>
    </xdr:to>
    <xdr:graphicFrame macro="">
      <xdr:nvGraphicFramePr>
        <xdr:cNvPr id="2" name="Chart 1">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5</xdr:col>
      <xdr:colOff>387724</xdr:colOff>
      <xdr:row>8</xdr:row>
      <xdr:rowOff>174811</xdr:rowOff>
    </xdr:from>
    <xdr:to>
      <xdr:col>16</xdr:col>
      <xdr:colOff>251460</xdr:colOff>
      <xdr:row>27</xdr:row>
      <xdr:rowOff>38100</xdr:rowOff>
    </xdr:to>
    <xdr:graphicFrame macro="">
      <xdr:nvGraphicFramePr>
        <xdr:cNvPr id="3" name="Chart 2">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editAs="absolute">
    <xdr:from>
      <xdr:col>5</xdr:col>
      <xdr:colOff>543969</xdr:colOff>
      <xdr:row>3</xdr:row>
      <xdr:rowOff>78740</xdr:rowOff>
    </xdr:from>
    <xdr:to>
      <xdr:col>7</xdr:col>
      <xdr:colOff>384452</xdr:colOff>
      <xdr:row>4</xdr:row>
      <xdr:rowOff>172720</xdr:rowOff>
    </xdr:to>
    <xdr:sp macro="" textlink="'READ ME'!C25">
      <xdr:nvSpPr>
        <xdr:cNvPr id="5" name="Round Same Side Corner Rectangle 4">
          <a:hlinkClick xmlns:r="http://schemas.openxmlformats.org/officeDocument/2006/relationships" r:id="rId3"/>
          <a:extLst>
            <a:ext uri="{FF2B5EF4-FFF2-40B4-BE49-F238E27FC236}">
              <a16:creationId xmlns:a16="http://schemas.microsoft.com/office/drawing/2014/main" id="{00000000-0008-0000-0300-000010000000}"/>
            </a:ext>
          </a:extLst>
        </xdr:cNvPr>
        <xdr:cNvSpPr/>
      </xdr:nvSpPr>
      <xdr:spPr>
        <a:xfrm>
          <a:off x="7234329" y="627380"/>
          <a:ext cx="1059683" cy="276860"/>
        </a:xfrm>
        <a:prstGeom prst="round2SameRect">
          <a:avLst/>
        </a:prstGeom>
        <a:solidFill>
          <a:srgbClr val="E2E2E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261F0CD7-173F-4F9F-B2A8-2E68DD6A87B8}" type="TxLink">
            <a:rPr lang="en-US" sz="1100" b="0" i="0" u="none" strike="noStrike">
              <a:solidFill>
                <a:srgbClr val="000000"/>
              </a:solidFill>
              <a:latin typeface="Calibri Light"/>
              <a:ea typeface="+mn-ea"/>
              <a:cs typeface="Calibri Light"/>
            </a:rPr>
            <a:pPr marL="0" indent="0" algn="ctr"/>
            <a:t>PPE Inputs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7</xdr:col>
      <xdr:colOff>447599</xdr:colOff>
      <xdr:row>3</xdr:row>
      <xdr:rowOff>86360</xdr:rowOff>
    </xdr:from>
    <xdr:to>
      <xdr:col>9</xdr:col>
      <xdr:colOff>274119</xdr:colOff>
      <xdr:row>4</xdr:row>
      <xdr:rowOff>180340</xdr:rowOff>
    </xdr:to>
    <xdr:sp macro="" textlink="'READ ME'!C26">
      <xdr:nvSpPr>
        <xdr:cNvPr id="6" name="Round Same Side Corner Rectangle 5">
          <a:hlinkClick xmlns:r="http://schemas.openxmlformats.org/officeDocument/2006/relationships" r:id="rId4"/>
          <a:extLst>
            <a:ext uri="{FF2B5EF4-FFF2-40B4-BE49-F238E27FC236}">
              <a16:creationId xmlns:a16="http://schemas.microsoft.com/office/drawing/2014/main" id="{00000000-0008-0000-0300-000011000000}"/>
            </a:ext>
          </a:extLst>
        </xdr:cNvPr>
        <xdr:cNvSpPr/>
      </xdr:nvSpPr>
      <xdr:spPr>
        <a:xfrm>
          <a:off x="8357159" y="635000"/>
          <a:ext cx="1045720" cy="276860"/>
        </a:xfrm>
        <a:prstGeom prst="round2SameRect">
          <a:avLst/>
        </a:prstGeom>
        <a:solidFill>
          <a:schemeClr val="bg1"/>
        </a:solidFill>
        <a:ln w="19050">
          <a:solidFill>
            <a:srgbClr val="00B2E3"/>
          </a:solid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6C14C82E-4F08-42FB-89AA-D4A5A7FBCFAE}" type="TxLink">
            <a:rPr lang="en-US" sz="1100" b="0" i="0" u="none" strike="noStrike">
              <a:solidFill>
                <a:srgbClr val="000000"/>
              </a:solidFill>
              <a:latin typeface="Calibri Light"/>
              <a:ea typeface="+mn-ea"/>
              <a:cs typeface="Calibri Light"/>
            </a:rPr>
            <a:pPr marL="0" indent="0" algn="ctr"/>
            <a:t>PPE Outputs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1</xdr:col>
      <xdr:colOff>7620</xdr:colOff>
      <xdr:row>3</xdr:row>
      <xdr:rowOff>76200</xdr:rowOff>
    </xdr:from>
    <xdr:to>
      <xdr:col>1</xdr:col>
      <xdr:colOff>953778</xdr:colOff>
      <xdr:row>4</xdr:row>
      <xdr:rowOff>171450</xdr:rowOff>
    </xdr:to>
    <xdr:sp macro="" textlink="'READ ME'!C19">
      <xdr:nvSpPr>
        <xdr:cNvPr id="9" name="Round Same Side Corner Rectangle 8">
          <a:hlinkClick xmlns:r="http://schemas.openxmlformats.org/officeDocument/2006/relationships" r:id="rId5"/>
        </xdr:cNvPr>
        <xdr:cNvSpPr/>
      </xdr:nvSpPr>
      <xdr:spPr>
        <a:xfrm>
          <a:off x="617220" y="624840"/>
          <a:ext cx="946158" cy="278130"/>
        </a:xfrm>
        <a:prstGeom prst="round2SameRect">
          <a:avLst/>
        </a:prstGeom>
        <a:solidFill>
          <a:schemeClr val="bg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8E4A4688-AF55-49C6-98FA-56273FB240CC}" type="TxLink">
            <a:rPr lang="en-US" sz="1000" b="0" i="0" u="none" strike="noStrike">
              <a:solidFill>
                <a:srgbClr val="000000"/>
              </a:solidFill>
              <a:latin typeface="Calibri Light"/>
              <a:ea typeface="+mn-ea"/>
              <a:cs typeface="Calibri Light"/>
            </a:rPr>
            <a:pPr marL="0" indent="0" algn="ctr"/>
            <a:t>Cover Page</a:t>
          </a:fld>
          <a:endParaRPr lang="en-US" sz="1000" b="1" i="0" u="none" strike="noStrike">
            <a:solidFill>
              <a:srgbClr val="000000"/>
            </a:solidFill>
            <a:latin typeface="+mn-lt"/>
            <a:ea typeface="+mn-ea"/>
            <a:cs typeface="Calibri"/>
          </a:endParaRPr>
        </a:p>
      </xdr:txBody>
    </xdr:sp>
    <xdr:clientData/>
  </xdr:twoCellAnchor>
  <xdr:twoCellAnchor editAs="absolute">
    <xdr:from>
      <xdr:col>1</xdr:col>
      <xdr:colOff>2139754</xdr:colOff>
      <xdr:row>3</xdr:row>
      <xdr:rowOff>78740</xdr:rowOff>
    </xdr:from>
    <xdr:to>
      <xdr:col>2</xdr:col>
      <xdr:colOff>273357</xdr:colOff>
      <xdr:row>4</xdr:row>
      <xdr:rowOff>172720</xdr:rowOff>
    </xdr:to>
    <xdr:sp macro="" textlink="'READ ME'!C21">
      <xdr:nvSpPr>
        <xdr:cNvPr id="10" name="Round Same Side Corner Rectangle 9">
          <a:hlinkClick xmlns:r="http://schemas.openxmlformats.org/officeDocument/2006/relationships" r:id="rId6"/>
        </xdr:cNvPr>
        <xdr:cNvSpPr/>
      </xdr:nvSpPr>
      <xdr:spPr>
        <a:xfrm>
          <a:off x="2749354" y="627380"/>
          <a:ext cx="1059683" cy="276860"/>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5789DC4D-013E-4929-BCE2-4922196E81B0}" type="TxLink">
            <a:rPr lang="en-US" sz="1000" b="0" i="0" u="none" strike="noStrike">
              <a:solidFill>
                <a:srgbClr val="000000"/>
              </a:solidFill>
              <a:latin typeface="Calibri Light"/>
              <a:ea typeface="+mn-ea"/>
              <a:cs typeface="Calibri Light"/>
            </a:rPr>
            <a:pPr marL="0" indent="0" algn="ctr"/>
            <a:t>Custom Graphics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2</xdr:col>
      <xdr:colOff>336503</xdr:colOff>
      <xdr:row>3</xdr:row>
      <xdr:rowOff>78740</xdr:rowOff>
    </xdr:from>
    <xdr:to>
      <xdr:col>3</xdr:col>
      <xdr:colOff>338283</xdr:colOff>
      <xdr:row>4</xdr:row>
      <xdr:rowOff>172720</xdr:rowOff>
    </xdr:to>
    <xdr:sp macro="" textlink="'READ ME'!C22">
      <xdr:nvSpPr>
        <xdr:cNvPr id="11" name="Round Same Side Corner Rectangle 10">
          <a:hlinkClick xmlns:r="http://schemas.openxmlformats.org/officeDocument/2006/relationships" r:id="rId7"/>
        </xdr:cNvPr>
        <xdr:cNvSpPr/>
      </xdr:nvSpPr>
      <xdr:spPr>
        <a:xfrm>
          <a:off x="3872183" y="627380"/>
          <a:ext cx="1053340" cy="276860"/>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E73F0B8E-C9D5-4377-AC00-4F14C7B101EC}" type="TxLink">
            <a:rPr lang="en-US" sz="1000" b="0" i="0" u="none" strike="noStrike">
              <a:solidFill>
                <a:srgbClr val="000000"/>
              </a:solidFill>
              <a:latin typeface="Calibri Light"/>
              <a:ea typeface="+mn-ea"/>
              <a:cs typeface="Calibri Light"/>
            </a:rPr>
            <a:pPr marL="0" indent="0" algn="ctr"/>
            <a:t>Ontario Graphics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3</xdr:col>
      <xdr:colOff>401429</xdr:colOff>
      <xdr:row>3</xdr:row>
      <xdr:rowOff>78740</xdr:rowOff>
    </xdr:from>
    <xdr:to>
      <xdr:col>4</xdr:col>
      <xdr:colOff>409553</xdr:colOff>
      <xdr:row>4</xdr:row>
      <xdr:rowOff>172720</xdr:rowOff>
    </xdr:to>
    <xdr:sp macro="" textlink="'READ ME'!C23">
      <xdr:nvSpPr>
        <xdr:cNvPr id="12" name="Round Same Side Corner Rectangle 11">
          <a:hlinkClick xmlns:r="http://schemas.openxmlformats.org/officeDocument/2006/relationships" r:id="rId8"/>
        </xdr:cNvPr>
        <xdr:cNvSpPr/>
      </xdr:nvSpPr>
      <xdr:spPr>
        <a:xfrm>
          <a:off x="4988669" y="627380"/>
          <a:ext cx="1059684" cy="276860"/>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E14468D5-14D7-4FF7-A55C-BD548DE85EF6}" type="TxLink">
            <a:rPr lang="en-US" sz="1000" b="0" i="0" u="none" strike="noStrike">
              <a:solidFill>
                <a:srgbClr val="000000"/>
              </a:solidFill>
              <a:latin typeface="Calibri Light"/>
              <a:ea typeface="+mn-ea"/>
              <a:cs typeface="Calibri Light"/>
            </a:rPr>
            <a:pPr marL="0" indent="0" algn="ctr"/>
            <a:t>Regional Graphics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4</xdr:col>
      <xdr:colOff>472699</xdr:colOff>
      <xdr:row>3</xdr:row>
      <xdr:rowOff>78740</xdr:rowOff>
    </xdr:from>
    <xdr:to>
      <xdr:col>5</xdr:col>
      <xdr:colOff>480823</xdr:colOff>
      <xdr:row>4</xdr:row>
      <xdr:rowOff>172720</xdr:rowOff>
    </xdr:to>
    <xdr:sp macro="" textlink="'READ ME'!C24">
      <xdr:nvSpPr>
        <xdr:cNvPr id="13" name="Round Same Side Corner Rectangle 12">
          <a:hlinkClick xmlns:r="http://schemas.openxmlformats.org/officeDocument/2006/relationships" r:id="rId9"/>
        </xdr:cNvPr>
        <xdr:cNvSpPr/>
      </xdr:nvSpPr>
      <xdr:spPr>
        <a:xfrm>
          <a:off x="6111499" y="627380"/>
          <a:ext cx="1059684" cy="276860"/>
        </a:xfrm>
        <a:prstGeom prst="round2SameRect">
          <a:avLst/>
        </a:prstGeom>
        <a:solidFill>
          <a:srgbClr val="E2E2E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BC9996EB-5C1B-4C61-B31A-09FFD81EC2D6}" type="TxLink">
            <a:rPr lang="en-US" sz="1100" b="0" i="0" u="none" strike="noStrike">
              <a:solidFill>
                <a:srgbClr val="000000"/>
              </a:solidFill>
              <a:latin typeface="Calibri Light"/>
              <a:ea typeface="+mn-ea"/>
              <a:cs typeface="Calibri Light"/>
            </a:rPr>
            <a:pPr marL="0" indent="0" algn="ctr"/>
            <a:t>Documentation</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1</xdr:col>
      <xdr:colOff>1016924</xdr:colOff>
      <xdr:row>3</xdr:row>
      <xdr:rowOff>78740</xdr:rowOff>
    </xdr:from>
    <xdr:to>
      <xdr:col>1</xdr:col>
      <xdr:colOff>2076608</xdr:colOff>
      <xdr:row>4</xdr:row>
      <xdr:rowOff>172720</xdr:rowOff>
    </xdr:to>
    <xdr:sp macro="" textlink="'READ ME'!C20">
      <xdr:nvSpPr>
        <xdr:cNvPr id="14" name="Round Same Side Corner Rectangle 13">
          <a:hlinkClick xmlns:r="http://schemas.openxmlformats.org/officeDocument/2006/relationships" r:id="rId10"/>
        </xdr:cNvPr>
        <xdr:cNvSpPr/>
      </xdr:nvSpPr>
      <xdr:spPr>
        <a:xfrm>
          <a:off x="1626524" y="627380"/>
          <a:ext cx="1059684" cy="276860"/>
        </a:xfrm>
        <a:prstGeom prst="round2SameRect">
          <a:avLst/>
        </a:prstGeom>
        <a:solidFill>
          <a:srgbClr val="E2E2E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06BB82D5-84C1-47D5-8660-F115094AE6B3}" type="TxLink">
            <a:rPr lang="en-US" sz="1100" b="0" i="0" u="none" strike="noStrike">
              <a:solidFill>
                <a:srgbClr val="000000"/>
              </a:solidFill>
              <a:latin typeface="Calibri Light"/>
              <a:ea typeface="+mn-ea"/>
              <a:cs typeface="Calibri Light"/>
            </a:rPr>
            <a:pPr marL="0" indent="0" algn="ctr"/>
            <a:t>Data Inputs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xdr:from>
      <xdr:col>0</xdr:col>
      <xdr:colOff>243840</xdr:colOff>
      <xdr:row>3</xdr:row>
      <xdr:rowOff>45720</xdr:rowOff>
    </xdr:from>
    <xdr:to>
      <xdr:col>0</xdr:col>
      <xdr:colOff>388620</xdr:colOff>
      <xdr:row>4</xdr:row>
      <xdr:rowOff>137160</xdr:rowOff>
    </xdr:to>
    <xdr:sp macro="" textlink="">
      <xdr:nvSpPr>
        <xdr:cNvPr id="15" name="Down Arrow 14"/>
        <xdr:cNvSpPr/>
      </xdr:nvSpPr>
      <xdr:spPr>
        <a:xfrm>
          <a:off x="243840" y="594360"/>
          <a:ext cx="144780" cy="274320"/>
        </a:xfrm>
        <a:prstGeom prst="downArrow">
          <a:avLst/>
        </a:prstGeom>
        <a:solidFill>
          <a:srgbClr val="00B2E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2179320</xdr:colOff>
      <xdr:row>5</xdr:row>
      <xdr:rowOff>175260</xdr:rowOff>
    </xdr:from>
    <xdr:to>
      <xdr:col>2</xdr:col>
      <xdr:colOff>7620</xdr:colOff>
      <xdr:row>8</xdr:row>
      <xdr:rowOff>0</xdr:rowOff>
    </xdr:to>
    <xdr:pic>
      <xdr:nvPicPr>
        <xdr:cNvPr id="17" name="Picture 16"/>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788920" y="1089660"/>
          <a:ext cx="754380" cy="373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9</xdr:col>
      <xdr:colOff>152400</xdr:colOff>
      <xdr:row>75</xdr:row>
      <xdr:rowOff>58271</xdr:rowOff>
    </xdr:from>
    <xdr:to>
      <xdr:col>22</xdr:col>
      <xdr:colOff>233082</xdr:colOff>
      <xdr:row>100</xdr:row>
      <xdr:rowOff>17930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89647</xdr:colOff>
      <xdr:row>99</xdr:row>
      <xdr:rowOff>125505</xdr:rowOff>
    </xdr:from>
    <xdr:to>
      <xdr:col>22</xdr:col>
      <xdr:colOff>170329</xdr:colOff>
      <xdr:row>124</xdr:row>
      <xdr:rowOff>85164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0.48488</cdr:x>
      <cdr:y>0.0999</cdr:y>
    </cdr:from>
    <cdr:to>
      <cdr:x>0.48488</cdr:x>
      <cdr:y>0.79213</cdr:y>
    </cdr:to>
    <cdr:cxnSp macro="">
      <cdr:nvCxnSpPr>
        <cdr:cNvPr id="3" name="Straight Connector 2"/>
        <cdr:cNvCxnSpPr/>
      </cdr:nvCxnSpPr>
      <cdr:spPr>
        <a:xfrm xmlns:a="http://schemas.openxmlformats.org/drawingml/2006/main">
          <a:off x="3881717" y="443752"/>
          <a:ext cx="0" cy="3074894"/>
        </a:xfrm>
        <a:prstGeom xmlns:a="http://schemas.openxmlformats.org/drawingml/2006/main" prst="line">
          <a:avLst/>
        </a:prstGeom>
        <a:ln xmlns:a="http://schemas.openxmlformats.org/drawingml/2006/main" w="38100">
          <a:solidFill>
            <a:sysClr val="windowText" lastClr="00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0.85293</cdr:x>
      <cdr:y>0.10326</cdr:y>
    </cdr:from>
    <cdr:to>
      <cdr:x>0.85293</cdr:x>
      <cdr:y>0.79549</cdr:y>
    </cdr:to>
    <cdr:cxnSp macro="">
      <cdr:nvCxnSpPr>
        <cdr:cNvPr id="4" name="Straight Connector 3"/>
        <cdr:cNvCxnSpPr/>
      </cdr:nvCxnSpPr>
      <cdr:spPr>
        <a:xfrm xmlns:a="http://schemas.openxmlformats.org/drawingml/2006/main">
          <a:off x="6828117" y="458694"/>
          <a:ext cx="0" cy="3074894"/>
        </a:xfrm>
        <a:prstGeom xmlns:a="http://schemas.openxmlformats.org/drawingml/2006/main" prst="line">
          <a:avLst/>
        </a:prstGeom>
        <a:ln xmlns:a="http://schemas.openxmlformats.org/drawingml/2006/main" w="38100">
          <a:solidFill>
            <a:sysClr val="windowText" lastClr="00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0.47256</cdr:x>
      <cdr:y>0.04541</cdr:y>
    </cdr:from>
    <cdr:to>
      <cdr:x>0.66344</cdr:x>
      <cdr:y>0.0999</cdr:y>
    </cdr:to>
    <cdr:sp macro="" textlink="">
      <cdr:nvSpPr>
        <cdr:cNvPr id="5" name="TextBox 4"/>
        <cdr:cNvSpPr txBox="1"/>
      </cdr:nvSpPr>
      <cdr:spPr>
        <a:xfrm xmlns:a="http://schemas.openxmlformats.org/drawingml/2006/main">
          <a:off x="3783070" y="205783"/>
          <a:ext cx="1528069" cy="2469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solidFill>
                <a:schemeClr val="tx1">
                  <a:lumMod val="75000"/>
                  <a:lumOff val="25000"/>
                </a:schemeClr>
              </a:solidFill>
            </a:rPr>
            <a:t>Sample ramp</a:t>
          </a:r>
          <a:r>
            <a:rPr lang="en-US" sz="1100" baseline="0">
              <a:solidFill>
                <a:schemeClr val="tx1">
                  <a:lumMod val="75000"/>
                  <a:lumOff val="25000"/>
                </a:schemeClr>
              </a:solidFill>
            </a:rPr>
            <a:t> up date</a:t>
          </a:r>
          <a:endParaRPr lang="en-US" sz="1100">
            <a:solidFill>
              <a:schemeClr val="tx1">
                <a:lumMod val="75000"/>
                <a:lumOff val="25000"/>
              </a:schemeClr>
            </a:solidFill>
          </a:endParaRPr>
        </a:p>
      </cdr:txBody>
    </cdr:sp>
  </cdr:relSizeAnchor>
  <cdr:relSizeAnchor xmlns:cdr="http://schemas.openxmlformats.org/drawingml/2006/chartDrawing">
    <cdr:from>
      <cdr:x>0.70026</cdr:x>
      <cdr:y>0.04575</cdr:y>
    </cdr:from>
    <cdr:to>
      <cdr:x>0.93281</cdr:x>
      <cdr:y>0.09139</cdr:y>
    </cdr:to>
    <cdr:sp macro="" textlink="">
      <cdr:nvSpPr>
        <cdr:cNvPr id="6" name="TextBox 1"/>
        <cdr:cNvSpPr txBox="1"/>
      </cdr:nvSpPr>
      <cdr:spPr>
        <a:xfrm xmlns:a="http://schemas.openxmlformats.org/drawingml/2006/main">
          <a:off x="5605919" y="207323"/>
          <a:ext cx="1861681" cy="2068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chemeClr val="tx1">
                  <a:lumMod val="75000"/>
                  <a:lumOff val="25000"/>
                </a:schemeClr>
              </a:solidFill>
            </a:rPr>
            <a:t>Sample full operations </a:t>
          </a:r>
          <a:r>
            <a:rPr lang="en-US" sz="1100" baseline="0">
              <a:solidFill>
                <a:schemeClr val="tx1">
                  <a:lumMod val="75000"/>
                  <a:lumOff val="25000"/>
                </a:schemeClr>
              </a:solidFill>
            </a:rPr>
            <a:t>date</a:t>
          </a:r>
          <a:endParaRPr lang="en-US" sz="1100">
            <a:solidFill>
              <a:schemeClr val="tx1">
                <a:lumMod val="75000"/>
                <a:lumOff val="25000"/>
              </a:schemeClr>
            </a:solidFill>
          </a:endParaRPr>
        </a:p>
      </cdr:txBody>
    </cdr:sp>
  </cdr:relSizeAnchor>
  <cdr:relSizeAnchor xmlns:cdr="http://schemas.openxmlformats.org/drawingml/2006/chartDrawing">
    <cdr:from>
      <cdr:x>0.03434</cdr:x>
      <cdr:y>0.62664</cdr:y>
    </cdr:from>
    <cdr:to>
      <cdr:x>0.34938</cdr:x>
      <cdr:y>0.77195</cdr:y>
    </cdr:to>
    <cdr:sp macro="" textlink="">
      <cdr:nvSpPr>
        <cdr:cNvPr id="7" name="TextBox 1"/>
        <cdr:cNvSpPr txBox="1"/>
      </cdr:nvSpPr>
      <cdr:spPr>
        <a:xfrm xmlns:a="http://schemas.openxmlformats.org/drawingml/2006/main">
          <a:off x="274916" y="2783540"/>
          <a:ext cx="2522072" cy="645459"/>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chemeClr val="tx1">
                  <a:lumMod val="75000"/>
                  <a:lumOff val="25000"/>
                </a:schemeClr>
              </a:solidFill>
            </a:rPr>
            <a:t>Backlog accumulated up to the ramp</a:t>
          </a:r>
          <a:r>
            <a:rPr lang="en-US" sz="1100" baseline="0">
              <a:solidFill>
                <a:schemeClr val="tx1">
                  <a:lumMod val="75000"/>
                  <a:lumOff val="25000"/>
                </a:schemeClr>
              </a:solidFill>
            </a:rPr>
            <a:t> up date plus the diminishing backlog as service ramp up.</a:t>
          </a:r>
          <a:endParaRPr lang="en-US" sz="1100">
            <a:solidFill>
              <a:schemeClr val="tx1">
                <a:lumMod val="75000"/>
                <a:lumOff val="25000"/>
              </a:schemeClr>
            </a:solidFill>
          </a:endParaRPr>
        </a:p>
      </cdr:txBody>
    </cdr:sp>
  </cdr:relSizeAnchor>
  <cdr:relSizeAnchor xmlns:cdr="http://schemas.openxmlformats.org/drawingml/2006/chartDrawing">
    <cdr:from>
      <cdr:x>0.01962</cdr:x>
      <cdr:y>0.10101</cdr:y>
    </cdr:from>
    <cdr:to>
      <cdr:x>0.01962</cdr:x>
      <cdr:y>0.79324</cdr:y>
    </cdr:to>
    <cdr:cxnSp macro="">
      <cdr:nvCxnSpPr>
        <cdr:cNvPr id="8" name="Straight Connector 7"/>
        <cdr:cNvCxnSpPr/>
      </cdr:nvCxnSpPr>
      <cdr:spPr>
        <a:xfrm xmlns:a="http://schemas.openxmlformats.org/drawingml/2006/main">
          <a:off x="157047" y="457750"/>
          <a:ext cx="0" cy="3136950"/>
        </a:xfrm>
        <a:prstGeom xmlns:a="http://schemas.openxmlformats.org/drawingml/2006/main" prst="line">
          <a:avLst/>
        </a:prstGeom>
        <a:ln xmlns:a="http://schemas.openxmlformats.org/drawingml/2006/main" w="38100">
          <a:solidFill>
            <a:sysClr val="windowText" lastClr="00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0.0073</cdr:x>
      <cdr:y>0.04652</cdr:y>
    </cdr:from>
    <cdr:to>
      <cdr:x>0.15705</cdr:x>
      <cdr:y>0.10101</cdr:y>
    </cdr:to>
    <cdr:sp macro="" textlink="">
      <cdr:nvSpPr>
        <cdr:cNvPr id="9" name="TextBox 2"/>
        <cdr:cNvSpPr txBox="1"/>
      </cdr:nvSpPr>
      <cdr:spPr>
        <a:xfrm xmlns:a="http://schemas.openxmlformats.org/drawingml/2006/main">
          <a:off x="58420" y="210820"/>
          <a:ext cx="1198880" cy="246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chemeClr val="tx1">
                  <a:lumMod val="75000"/>
                  <a:lumOff val="25000"/>
                </a:schemeClr>
              </a:solidFill>
            </a:rPr>
            <a:t>Ramp</a:t>
          </a:r>
          <a:r>
            <a:rPr lang="en-US" sz="1100" baseline="0">
              <a:solidFill>
                <a:schemeClr val="tx1">
                  <a:lumMod val="75000"/>
                  <a:lumOff val="25000"/>
                </a:schemeClr>
              </a:solidFill>
            </a:rPr>
            <a:t> down date</a:t>
          </a:r>
          <a:endParaRPr lang="en-US" sz="1100">
            <a:solidFill>
              <a:schemeClr val="tx1">
                <a:lumMod val="75000"/>
                <a:lumOff val="25000"/>
              </a:schemeClr>
            </a:solidFill>
          </a:endParaRPr>
        </a:p>
      </cdr:txBody>
    </cdr:sp>
  </cdr:relSizeAnchor>
</c:userShapes>
</file>

<file path=xl/drawings/drawing14.xml><?xml version="1.0" encoding="utf-8"?>
<c:userShapes xmlns:c="http://schemas.openxmlformats.org/drawingml/2006/chart">
  <cdr:relSizeAnchor xmlns:cdr="http://schemas.openxmlformats.org/drawingml/2006/chartDrawing">
    <cdr:from>
      <cdr:x>0.48488</cdr:x>
      <cdr:y>0.0999</cdr:y>
    </cdr:from>
    <cdr:to>
      <cdr:x>0.48488</cdr:x>
      <cdr:y>0.79213</cdr:y>
    </cdr:to>
    <cdr:cxnSp macro="">
      <cdr:nvCxnSpPr>
        <cdr:cNvPr id="3" name="Straight Connector 2"/>
        <cdr:cNvCxnSpPr/>
      </cdr:nvCxnSpPr>
      <cdr:spPr>
        <a:xfrm xmlns:a="http://schemas.openxmlformats.org/drawingml/2006/main">
          <a:off x="3881717" y="443752"/>
          <a:ext cx="0" cy="3074894"/>
        </a:xfrm>
        <a:prstGeom xmlns:a="http://schemas.openxmlformats.org/drawingml/2006/main" prst="line">
          <a:avLst/>
        </a:prstGeom>
        <a:ln xmlns:a="http://schemas.openxmlformats.org/drawingml/2006/main" w="38100">
          <a:solidFill>
            <a:sysClr val="windowText" lastClr="00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0.85293</cdr:x>
      <cdr:y>0.10326</cdr:y>
    </cdr:from>
    <cdr:to>
      <cdr:x>0.85293</cdr:x>
      <cdr:y>0.79549</cdr:y>
    </cdr:to>
    <cdr:cxnSp macro="">
      <cdr:nvCxnSpPr>
        <cdr:cNvPr id="4" name="Straight Connector 3"/>
        <cdr:cNvCxnSpPr/>
      </cdr:nvCxnSpPr>
      <cdr:spPr>
        <a:xfrm xmlns:a="http://schemas.openxmlformats.org/drawingml/2006/main">
          <a:off x="6828117" y="458694"/>
          <a:ext cx="0" cy="3074894"/>
        </a:xfrm>
        <a:prstGeom xmlns:a="http://schemas.openxmlformats.org/drawingml/2006/main" prst="line">
          <a:avLst/>
        </a:prstGeom>
        <a:ln xmlns:a="http://schemas.openxmlformats.org/drawingml/2006/main" w="38100">
          <a:solidFill>
            <a:sysClr val="windowText" lastClr="00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0.47256</cdr:x>
      <cdr:y>0.04541</cdr:y>
    </cdr:from>
    <cdr:to>
      <cdr:x>0.60582</cdr:x>
      <cdr:y>0.0999</cdr:y>
    </cdr:to>
    <cdr:sp macro="" textlink="">
      <cdr:nvSpPr>
        <cdr:cNvPr id="5" name="TextBox 4"/>
        <cdr:cNvSpPr txBox="1"/>
      </cdr:nvSpPr>
      <cdr:spPr>
        <a:xfrm xmlns:a="http://schemas.openxmlformats.org/drawingml/2006/main">
          <a:off x="3783106" y="201706"/>
          <a:ext cx="1066800" cy="24204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solidFill>
                <a:schemeClr val="tx1">
                  <a:lumMod val="75000"/>
                  <a:lumOff val="25000"/>
                </a:schemeClr>
              </a:solidFill>
            </a:rPr>
            <a:t>Ramp</a:t>
          </a:r>
          <a:r>
            <a:rPr lang="en-US" sz="1100" baseline="0">
              <a:solidFill>
                <a:schemeClr val="tx1">
                  <a:lumMod val="75000"/>
                  <a:lumOff val="25000"/>
                </a:schemeClr>
              </a:solidFill>
            </a:rPr>
            <a:t> up date</a:t>
          </a:r>
          <a:endParaRPr lang="en-US" sz="1100">
            <a:solidFill>
              <a:schemeClr val="tx1">
                <a:lumMod val="75000"/>
                <a:lumOff val="25000"/>
              </a:schemeClr>
            </a:solidFill>
          </a:endParaRPr>
        </a:p>
      </cdr:txBody>
    </cdr:sp>
  </cdr:relSizeAnchor>
  <cdr:relSizeAnchor xmlns:cdr="http://schemas.openxmlformats.org/drawingml/2006/chartDrawing">
    <cdr:from>
      <cdr:x>0.70026</cdr:x>
      <cdr:y>0.04575</cdr:y>
    </cdr:from>
    <cdr:to>
      <cdr:x>0.87458</cdr:x>
      <cdr:y>0.09586</cdr:y>
    </cdr:to>
    <cdr:sp macro="" textlink="">
      <cdr:nvSpPr>
        <cdr:cNvPr id="6" name="TextBox 1"/>
        <cdr:cNvSpPr txBox="1"/>
      </cdr:nvSpPr>
      <cdr:spPr>
        <a:xfrm xmlns:a="http://schemas.openxmlformats.org/drawingml/2006/main">
          <a:off x="5605929" y="203200"/>
          <a:ext cx="1395506" cy="2226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chemeClr val="tx1">
                  <a:lumMod val="75000"/>
                  <a:lumOff val="25000"/>
                </a:schemeClr>
              </a:solidFill>
            </a:rPr>
            <a:t>Full operations </a:t>
          </a:r>
          <a:r>
            <a:rPr lang="en-US" sz="1100" baseline="0">
              <a:solidFill>
                <a:schemeClr val="tx1">
                  <a:lumMod val="75000"/>
                  <a:lumOff val="25000"/>
                </a:schemeClr>
              </a:solidFill>
            </a:rPr>
            <a:t>date</a:t>
          </a:r>
          <a:endParaRPr lang="en-US" sz="1100">
            <a:solidFill>
              <a:schemeClr val="tx1">
                <a:lumMod val="75000"/>
                <a:lumOff val="25000"/>
              </a:schemeClr>
            </a:solidFill>
          </a:endParaRPr>
        </a:p>
      </cdr:txBody>
    </cdr:sp>
  </cdr:relSizeAnchor>
  <cdr:relSizeAnchor xmlns:cdr="http://schemas.openxmlformats.org/drawingml/2006/chartDrawing">
    <cdr:from>
      <cdr:x>0.24039</cdr:x>
      <cdr:y>0.30172</cdr:y>
    </cdr:from>
    <cdr:to>
      <cdr:x>0.45465</cdr:x>
      <cdr:y>0.43693</cdr:y>
    </cdr:to>
    <cdr:sp macro="" textlink="">
      <cdr:nvSpPr>
        <cdr:cNvPr id="7" name="TextBox 1"/>
        <cdr:cNvSpPr txBox="1"/>
      </cdr:nvSpPr>
      <cdr:spPr>
        <a:xfrm xmlns:a="http://schemas.openxmlformats.org/drawingml/2006/main">
          <a:off x="1924422" y="1340222"/>
          <a:ext cx="1715248" cy="600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chemeClr val="tx1">
                  <a:lumMod val="75000"/>
                  <a:lumOff val="25000"/>
                </a:schemeClr>
              </a:solidFill>
            </a:rPr>
            <a:t>B1 = Backlog accumulated up to the ramp</a:t>
          </a:r>
          <a:r>
            <a:rPr lang="en-US" sz="1100" baseline="0">
              <a:solidFill>
                <a:schemeClr val="tx1">
                  <a:lumMod val="75000"/>
                  <a:lumOff val="25000"/>
                </a:schemeClr>
              </a:solidFill>
            </a:rPr>
            <a:t> up date</a:t>
          </a:r>
          <a:endParaRPr lang="en-US" sz="1100">
            <a:solidFill>
              <a:schemeClr val="tx1">
                <a:lumMod val="75000"/>
                <a:lumOff val="25000"/>
              </a:schemeClr>
            </a:solidFill>
          </a:endParaRPr>
        </a:p>
      </cdr:txBody>
    </cdr:sp>
  </cdr:relSizeAnchor>
  <cdr:relSizeAnchor xmlns:cdr="http://schemas.openxmlformats.org/drawingml/2006/chartDrawing">
    <cdr:from>
      <cdr:x>0.55701</cdr:x>
      <cdr:y>0.66243</cdr:y>
    </cdr:from>
    <cdr:to>
      <cdr:x>0.77127</cdr:x>
      <cdr:y>0.79765</cdr:y>
    </cdr:to>
    <cdr:sp macro="" textlink="">
      <cdr:nvSpPr>
        <cdr:cNvPr id="8" name="TextBox 1"/>
        <cdr:cNvSpPr txBox="1"/>
      </cdr:nvSpPr>
      <cdr:spPr>
        <a:xfrm xmlns:a="http://schemas.openxmlformats.org/drawingml/2006/main">
          <a:off x="4459111" y="3045822"/>
          <a:ext cx="1715255" cy="621731"/>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chemeClr val="tx1">
                  <a:lumMod val="75000"/>
                  <a:lumOff val="25000"/>
                </a:schemeClr>
              </a:solidFill>
            </a:rPr>
            <a:t>B2 = Backlog accumulated up to the full operations </a:t>
          </a:r>
          <a:r>
            <a:rPr lang="en-US" sz="1100" baseline="0">
              <a:solidFill>
                <a:schemeClr val="tx1">
                  <a:lumMod val="75000"/>
                  <a:lumOff val="25000"/>
                </a:schemeClr>
              </a:solidFill>
            </a:rPr>
            <a:t>date assuming no ramp up</a:t>
          </a:r>
          <a:endParaRPr lang="en-US" sz="1100">
            <a:solidFill>
              <a:schemeClr val="tx1">
                <a:lumMod val="75000"/>
                <a:lumOff val="25000"/>
              </a:schemeClr>
            </a:solidFill>
          </a:endParaRPr>
        </a:p>
      </cdr:txBody>
    </cdr:sp>
  </cdr:relSizeAnchor>
  <cdr:relSizeAnchor xmlns:cdr="http://schemas.openxmlformats.org/drawingml/2006/chartDrawing">
    <cdr:from>
      <cdr:x>0.55543</cdr:x>
      <cdr:y>0.36865</cdr:y>
    </cdr:from>
    <cdr:to>
      <cdr:x>0.79657</cdr:x>
      <cdr:y>0.53885</cdr:y>
    </cdr:to>
    <cdr:sp macro="" textlink="">
      <cdr:nvSpPr>
        <cdr:cNvPr id="9" name="TextBox 1"/>
        <cdr:cNvSpPr txBox="1"/>
      </cdr:nvSpPr>
      <cdr:spPr>
        <a:xfrm xmlns:a="http://schemas.openxmlformats.org/drawingml/2006/main">
          <a:off x="4446494" y="1637552"/>
          <a:ext cx="1930400" cy="75602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chemeClr val="tx1">
                  <a:lumMod val="75000"/>
                  <a:lumOff val="25000"/>
                </a:schemeClr>
              </a:solidFill>
            </a:rPr>
            <a:t>B3 = B2 -</a:t>
          </a:r>
          <a:r>
            <a:rPr lang="en-US" sz="1100" baseline="0">
              <a:solidFill>
                <a:schemeClr val="tx1">
                  <a:lumMod val="75000"/>
                  <a:lumOff val="25000"/>
                </a:schemeClr>
              </a:solidFill>
            </a:rPr>
            <a:t> B1 = </a:t>
          </a:r>
          <a:r>
            <a:rPr lang="en-US" sz="1100">
              <a:solidFill>
                <a:schemeClr val="tx1">
                  <a:lumMod val="75000"/>
                  <a:lumOff val="25000"/>
                </a:schemeClr>
              </a:solidFill>
            </a:rPr>
            <a:t>Backlog accumulated between</a:t>
          </a:r>
          <a:r>
            <a:rPr lang="en-US" sz="1100" baseline="0">
              <a:solidFill>
                <a:schemeClr val="tx1">
                  <a:lumMod val="75000"/>
                  <a:lumOff val="25000"/>
                </a:schemeClr>
              </a:solidFill>
            </a:rPr>
            <a:t> ramp up date t</a:t>
          </a:r>
          <a:r>
            <a:rPr lang="en-US" sz="1100">
              <a:solidFill>
                <a:schemeClr val="tx1">
                  <a:lumMod val="75000"/>
                  <a:lumOff val="25000"/>
                </a:schemeClr>
              </a:solidFill>
            </a:rPr>
            <a:t>o the full operations </a:t>
          </a:r>
          <a:r>
            <a:rPr lang="en-US" sz="1100" baseline="0">
              <a:solidFill>
                <a:schemeClr val="tx1">
                  <a:lumMod val="75000"/>
                  <a:lumOff val="25000"/>
                </a:schemeClr>
              </a:solidFill>
            </a:rPr>
            <a:t>date assuming no ramp up.</a:t>
          </a:r>
          <a:endParaRPr lang="en-US" sz="1100">
            <a:solidFill>
              <a:schemeClr val="tx1">
                <a:lumMod val="75000"/>
                <a:lumOff val="25000"/>
              </a:schemeClr>
            </a:solidFill>
          </a:endParaRPr>
        </a:p>
      </cdr:txBody>
    </cdr:sp>
  </cdr:relSizeAnchor>
  <cdr:relSizeAnchor xmlns:cdr="http://schemas.openxmlformats.org/drawingml/2006/chartDrawing">
    <cdr:from>
      <cdr:x>0.0153</cdr:x>
      <cdr:y>0.53616</cdr:y>
    </cdr:from>
    <cdr:to>
      <cdr:x>0.31915</cdr:x>
      <cdr:y>0.78708</cdr:y>
    </cdr:to>
    <mc:AlternateContent xmlns:mc="http://schemas.openxmlformats.org/markup-compatibility/2006" xmlns:a14="http://schemas.microsoft.com/office/drawing/2010/main">
      <mc:Choice Requires="a14">
        <cdr:sp macro="" textlink="">
          <cdr:nvSpPr>
            <cdr:cNvPr id="10" name="TextBox 1"/>
            <cdr:cNvSpPr txBox="1"/>
          </cdr:nvSpPr>
          <cdr:spPr>
            <a:xfrm xmlns:a="http://schemas.openxmlformats.org/drawingml/2006/main">
              <a:off x="122517" y="2381624"/>
              <a:ext cx="2432424" cy="1114613"/>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chemeClr val="tx1">
                      <a:lumMod val="75000"/>
                      <a:lumOff val="25000"/>
                    </a:schemeClr>
                  </a:solidFill>
                </a:rPr>
                <a:t>B4 </a:t>
              </a:r>
              <a14:m>
                <m:oMath xmlns:m="http://schemas.openxmlformats.org/officeDocument/2006/math">
                  <m:r>
                    <a:rPr lang="en-US" sz="1100" i="1">
                      <a:solidFill>
                        <a:schemeClr val="tx1">
                          <a:lumMod val="75000"/>
                          <a:lumOff val="25000"/>
                        </a:schemeClr>
                      </a:solidFill>
                      <a:latin typeface="Cambria Math" panose="02040503050406030204" pitchFamily="18" charset="0"/>
                      <a:ea typeface="Cambria Math" panose="02040503050406030204" pitchFamily="18" charset="0"/>
                    </a:rPr>
                    <m:t>≅</m:t>
                  </m:r>
                </m:oMath>
              </a14:m>
              <a:r>
                <a:rPr lang="en-US" sz="1100">
                  <a:solidFill>
                    <a:schemeClr val="tx1">
                      <a:lumMod val="75000"/>
                      <a:lumOff val="25000"/>
                    </a:schemeClr>
                  </a:solidFill>
                </a:rPr>
                <a:t> B1 + B3 / 2 = B1 + (B2 - B1)/2 = (B1 + B2)</a:t>
              </a:r>
              <a:r>
                <a:rPr lang="en-US" sz="1100" baseline="0">
                  <a:solidFill>
                    <a:schemeClr val="tx1">
                      <a:lumMod val="75000"/>
                      <a:lumOff val="25000"/>
                    </a:schemeClr>
                  </a:solidFill>
                </a:rPr>
                <a:t> / 2 </a:t>
              </a:r>
            </a:p>
            <a:p xmlns:a="http://schemas.openxmlformats.org/drawingml/2006/main">
              <a:endParaRPr lang="en-US" sz="1100" baseline="0">
                <a:solidFill>
                  <a:schemeClr val="tx1">
                    <a:lumMod val="75000"/>
                    <a:lumOff val="25000"/>
                  </a:schemeClr>
                </a:solidFill>
              </a:endParaRPr>
            </a:p>
            <a:p xmlns:a="http://schemas.openxmlformats.org/drawingml/2006/main">
              <a:r>
                <a:rPr lang="en-US" sz="1100">
                  <a:solidFill>
                    <a:schemeClr val="tx1">
                      <a:lumMod val="75000"/>
                      <a:lumOff val="25000"/>
                    </a:schemeClr>
                  </a:solidFill>
                </a:rPr>
                <a:t>Backlog accumulated up to the full operations </a:t>
              </a:r>
              <a:r>
                <a:rPr lang="en-US" sz="1100" baseline="0">
                  <a:solidFill>
                    <a:schemeClr val="tx1">
                      <a:lumMod val="75000"/>
                      <a:lumOff val="25000"/>
                    </a:schemeClr>
                  </a:solidFill>
                </a:rPr>
                <a:t>date assuming linear ramp up. This assumes B3 is roughly rectangular.</a:t>
              </a:r>
              <a:endParaRPr lang="en-US" sz="1100">
                <a:solidFill>
                  <a:schemeClr val="tx1">
                    <a:lumMod val="75000"/>
                    <a:lumOff val="25000"/>
                  </a:schemeClr>
                </a:solidFill>
              </a:endParaRPr>
            </a:p>
          </cdr:txBody>
        </cdr:sp>
      </mc:Choice>
      <mc:Fallback xmlns="">
        <cdr:sp macro="" textlink="">
          <cdr:nvSpPr>
            <cdr:cNvPr id="10" name="TextBox 1"/>
            <cdr:cNvSpPr txBox="1"/>
          </cdr:nvSpPr>
          <cdr:spPr>
            <a:xfrm xmlns:a="http://schemas.openxmlformats.org/drawingml/2006/main">
              <a:off x="122517" y="2381624"/>
              <a:ext cx="2432424" cy="1114613"/>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chemeClr val="tx1">
                      <a:lumMod val="75000"/>
                      <a:lumOff val="25000"/>
                    </a:schemeClr>
                  </a:solidFill>
                </a:rPr>
                <a:t>B4 </a:t>
              </a:r>
              <a:r>
                <a:rPr lang="en-US" sz="1100" i="0">
                  <a:solidFill>
                    <a:schemeClr val="tx1">
                      <a:lumMod val="75000"/>
                      <a:lumOff val="25000"/>
                    </a:schemeClr>
                  </a:solidFill>
                  <a:latin typeface="Cambria Math" panose="02040503050406030204" pitchFamily="18" charset="0"/>
                  <a:ea typeface="Cambria Math" panose="02040503050406030204" pitchFamily="18" charset="0"/>
                </a:rPr>
                <a:t>≅</a:t>
              </a:r>
              <a:r>
                <a:rPr lang="en-US" sz="1100">
                  <a:solidFill>
                    <a:schemeClr val="tx1">
                      <a:lumMod val="75000"/>
                      <a:lumOff val="25000"/>
                    </a:schemeClr>
                  </a:solidFill>
                </a:rPr>
                <a:t> B1 + B3 / 2 = B1 + (B2 - B1)/2 = (B1 + B2)</a:t>
              </a:r>
              <a:r>
                <a:rPr lang="en-US" sz="1100" baseline="0">
                  <a:solidFill>
                    <a:schemeClr val="tx1">
                      <a:lumMod val="75000"/>
                      <a:lumOff val="25000"/>
                    </a:schemeClr>
                  </a:solidFill>
                </a:rPr>
                <a:t> / 2 </a:t>
              </a:r>
            </a:p>
            <a:p xmlns:a="http://schemas.openxmlformats.org/drawingml/2006/main">
              <a:endParaRPr lang="en-US" sz="1100" baseline="0">
                <a:solidFill>
                  <a:schemeClr val="tx1">
                    <a:lumMod val="75000"/>
                    <a:lumOff val="25000"/>
                  </a:schemeClr>
                </a:solidFill>
              </a:endParaRPr>
            </a:p>
            <a:p xmlns:a="http://schemas.openxmlformats.org/drawingml/2006/main">
              <a:r>
                <a:rPr lang="en-US" sz="1100">
                  <a:solidFill>
                    <a:schemeClr val="tx1">
                      <a:lumMod val="75000"/>
                      <a:lumOff val="25000"/>
                    </a:schemeClr>
                  </a:solidFill>
                </a:rPr>
                <a:t>Backlog accumulated up to the full operations </a:t>
              </a:r>
              <a:r>
                <a:rPr lang="en-US" sz="1100" baseline="0">
                  <a:solidFill>
                    <a:schemeClr val="tx1">
                      <a:lumMod val="75000"/>
                      <a:lumOff val="25000"/>
                    </a:schemeClr>
                  </a:solidFill>
                </a:rPr>
                <a:t>date assuming linear ramp up. This assumes B3 is roughly rectangular.</a:t>
              </a:r>
              <a:endParaRPr lang="en-US" sz="1100">
                <a:solidFill>
                  <a:schemeClr val="tx1">
                    <a:lumMod val="75000"/>
                    <a:lumOff val="25000"/>
                  </a:schemeClr>
                </a:solidFill>
              </a:endParaRPr>
            </a:p>
          </cdr:txBody>
        </cdr:sp>
      </mc:Fallback>
    </mc:AlternateContent>
  </cdr:relSizeAnchor>
</c:userShapes>
</file>

<file path=xl/drawings/drawing2.xml><?xml version="1.0" encoding="utf-8"?>
<xdr:wsDr xmlns:xdr="http://schemas.openxmlformats.org/drawingml/2006/spreadsheetDrawing" xmlns:a="http://schemas.openxmlformats.org/drawingml/2006/main">
  <xdr:twoCellAnchor editAs="absolute">
    <xdr:from>
      <xdr:col>1</xdr:col>
      <xdr:colOff>0</xdr:colOff>
      <xdr:row>3</xdr:row>
      <xdr:rowOff>80010</xdr:rowOff>
    </xdr:from>
    <xdr:to>
      <xdr:col>1</xdr:col>
      <xdr:colOff>946158</xdr:colOff>
      <xdr:row>4</xdr:row>
      <xdr:rowOff>175260</xdr:rowOff>
    </xdr:to>
    <xdr:sp macro="" textlink="'READ ME'!C19">
      <xdr:nvSpPr>
        <xdr:cNvPr id="2" name="Round Same Side Corner Rectangle 1">
          <a:hlinkClick xmlns:r="http://schemas.openxmlformats.org/officeDocument/2006/relationships" r:id="rId1"/>
        </xdr:cNvPr>
        <xdr:cNvSpPr/>
      </xdr:nvSpPr>
      <xdr:spPr>
        <a:xfrm>
          <a:off x="609600" y="628650"/>
          <a:ext cx="946158" cy="278130"/>
        </a:xfrm>
        <a:prstGeom prst="round2SameRect">
          <a:avLst/>
        </a:prstGeom>
        <a:solidFill>
          <a:schemeClr val="bg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8E4A4688-AF55-49C6-98FA-56273FB240CC}" type="TxLink">
            <a:rPr lang="en-US" sz="1000" b="0" i="0" u="none" strike="noStrike">
              <a:solidFill>
                <a:srgbClr val="000000"/>
              </a:solidFill>
              <a:latin typeface="Calibri Light"/>
              <a:ea typeface="+mn-ea"/>
              <a:cs typeface="Calibri Light"/>
            </a:rPr>
            <a:pPr marL="0" indent="0" algn="ctr"/>
            <a:t>Cover Page</a:t>
          </a:fld>
          <a:endParaRPr lang="en-US" sz="1000" b="1" i="0" u="none" strike="noStrike">
            <a:solidFill>
              <a:srgbClr val="000000"/>
            </a:solidFill>
            <a:latin typeface="+mn-lt"/>
            <a:ea typeface="+mn-ea"/>
            <a:cs typeface="Calibri"/>
          </a:endParaRPr>
        </a:p>
      </xdr:txBody>
    </xdr:sp>
    <xdr:clientData/>
  </xdr:twoCellAnchor>
  <xdr:twoCellAnchor editAs="absolute">
    <xdr:from>
      <xdr:col>2</xdr:col>
      <xdr:colOff>733496</xdr:colOff>
      <xdr:row>3</xdr:row>
      <xdr:rowOff>74930</xdr:rowOff>
    </xdr:from>
    <xdr:to>
      <xdr:col>3</xdr:col>
      <xdr:colOff>855919</xdr:colOff>
      <xdr:row>4</xdr:row>
      <xdr:rowOff>173990</xdr:rowOff>
    </xdr:to>
    <xdr:sp macro="" textlink="'READ ME'!C21">
      <xdr:nvSpPr>
        <xdr:cNvPr id="3" name="Round Same Side Corner Rectangle 2">
          <a:hlinkClick xmlns:r="http://schemas.openxmlformats.org/officeDocument/2006/relationships" r:id="rId2"/>
        </xdr:cNvPr>
        <xdr:cNvSpPr/>
      </xdr:nvSpPr>
      <xdr:spPr>
        <a:xfrm>
          <a:off x="2737556" y="623570"/>
          <a:ext cx="1059683" cy="281940"/>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5789DC4D-013E-4929-BCE2-4922196E81B0}" type="TxLink">
            <a:rPr lang="en-US" sz="1000" b="0" i="0" u="none" strike="noStrike">
              <a:solidFill>
                <a:srgbClr val="000000"/>
              </a:solidFill>
              <a:latin typeface="Calibri Light"/>
              <a:ea typeface="+mn-ea"/>
              <a:cs typeface="Calibri Light"/>
            </a:rPr>
            <a:pPr marL="0" indent="0" algn="ctr"/>
            <a:t>Custom Graphics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3</xdr:col>
      <xdr:colOff>916976</xdr:colOff>
      <xdr:row>3</xdr:row>
      <xdr:rowOff>74930</xdr:rowOff>
    </xdr:from>
    <xdr:to>
      <xdr:col>4</xdr:col>
      <xdr:colOff>895896</xdr:colOff>
      <xdr:row>4</xdr:row>
      <xdr:rowOff>173990</xdr:rowOff>
    </xdr:to>
    <xdr:sp macro="" textlink="'READ ME'!C22">
      <xdr:nvSpPr>
        <xdr:cNvPr id="4" name="Round Same Side Corner Rectangle 3">
          <a:hlinkClick xmlns:r="http://schemas.openxmlformats.org/officeDocument/2006/relationships" r:id="rId3"/>
        </xdr:cNvPr>
        <xdr:cNvSpPr/>
      </xdr:nvSpPr>
      <xdr:spPr>
        <a:xfrm>
          <a:off x="3858296" y="623570"/>
          <a:ext cx="1053340" cy="281940"/>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E73F0B8E-C9D5-4377-AC00-4F14C7B101EC}" type="TxLink">
            <a:rPr lang="en-US" sz="1000" b="0" i="0" u="none" strike="noStrike">
              <a:solidFill>
                <a:srgbClr val="000000"/>
              </a:solidFill>
              <a:latin typeface="Calibri Light"/>
              <a:ea typeface="+mn-ea"/>
              <a:cs typeface="Calibri Light"/>
            </a:rPr>
            <a:pPr marL="0" indent="0" algn="ctr"/>
            <a:t>Ontario Graphics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4</xdr:col>
      <xdr:colOff>956953</xdr:colOff>
      <xdr:row>3</xdr:row>
      <xdr:rowOff>74930</xdr:rowOff>
    </xdr:from>
    <xdr:to>
      <xdr:col>6</xdr:col>
      <xdr:colOff>35437</xdr:colOff>
      <xdr:row>4</xdr:row>
      <xdr:rowOff>173990</xdr:rowOff>
    </xdr:to>
    <xdr:sp macro="" textlink="'READ ME'!C23">
      <xdr:nvSpPr>
        <xdr:cNvPr id="5" name="Round Same Side Corner Rectangle 4">
          <a:hlinkClick xmlns:r="http://schemas.openxmlformats.org/officeDocument/2006/relationships" r:id="rId4"/>
        </xdr:cNvPr>
        <xdr:cNvSpPr/>
      </xdr:nvSpPr>
      <xdr:spPr>
        <a:xfrm>
          <a:off x="4972693" y="623570"/>
          <a:ext cx="1059684" cy="281940"/>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E14468D5-14D7-4FF7-A55C-BD548DE85EF6}" type="TxLink">
            <a:rPr lang="en-US" sz="1000" b="0" i="0" u="none" strike="noStrike">
              <a:solidFill>
                <a:srgbClr val="000000"/>
              </a:solidFill>
              <a:latin typeface="Calibri Light"/>
              <a:ea typeface="+mn-ea"/>
              <a:cs typeface="Calibri Light"/>
            </a:rPr>
            <a:pPr marL="0" indent="0" algn="ctr"/>
            <a:t>Regional Graphics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6</xdr:col>
      <xdr:colOff>96494</xdr:colOff>
      <xdr:row>3</xdr:row>
      <xdr:rowOff>74930</xdr:rowOff>
    </xdr:from>
    <xdr:to>
      <xdr:col>7</xdr:col>
      <xdr:colOff>554198</xdr:colOff>
      <xdr:row>4</xdr:row>
      <xdr:rowOff>173990</xdr:rowOff>
    </xdr:to>
    <xdr:sp macro="" textlink="'READ ME'!C24">
      <xdr:nvSpPr>
        <xdr:cNvPr id="6" name="Round Same Side Corner Rectangle 5">
          <a:hlinkClick xmlns:r="http://schemas.openxmlformats.org/officeDocument/2006/relationships" r:id="rId5"/>
        </xdr:cNvPr>
        <xdr:cNvSpPr/>
      </xdr:nvSpPr>
      <xdr:spPr>
        <a:xfrm>
          <a:off x="6093434" y="623570"/>
          <a:ext cx="1059684" cy="281940"/>
        </a:xfrm>
        <a:prstGeom prst="round2SameRect">
          <a:avLst/>
        </a:prstGeom>
        <a:solidFill>
          <a:srgbClr val="E2E2E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BC9996EB-5C1B-4C61-B31A-09FFD81EC2D6}" type="TxLink">
            <a:rPr lang="en-US" sz="1100" b="0" i="0" u="none" strike="noStrike">
              <a:solidFill>
                <a:srgbClr val="000000"/>
              </a:solidFill>
              <a:latin typeface="Calibri Light"/>
              <a:ea typeface="+mn-ea"/>
              <a:cs typeface="Calibri Light"/>
            </a:rPr>
            <a:pPr marL="0" indent="0" algn="ctr"/>
            <a:t>Documentation</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1</xdr:col>
      <xdr:colOff>1007215</xdr:colOff>
      <xdr:row>3</xdr:row>
      <xdr:rowOff>90170</xdr:rowOff>
    </xdr:from>
    <xdr:to>
      <xdr:col>2</xdr:col>
      <xdr:colOff>672439</xdr:colOff>
      <xdr:row>5</xdr:row>
      <xdr:rowOff>1270</xdr:rowOff>
    </xdr:to>
    <xdr:sp macro="" textlink="'READ ME'!C20">
      <xdr:nvSpPr>
        <xdr:cNvPr id="10" name="Round Same Side Corner Rectangle 9">
          <a:hlinkClick xmlns:r="http://schemas.openxmlformats.org/officeDocument/2006/relationships" r:id="rId6"/>
        </xdr:cNvPr>
        <xdr:cNvSpPr/>
      </xdr:nvSpPr>
      <xdr:spPr>
        <a:xfrm>
          <a:off x="1616815" y="638810"/>
          <a:ext cx="1059684" cy="276860"/>
        </a:xfrm>
        <a:prstGeom prst="round2SameRect">
          <a:avLst/>
        </a:prstGeom>
        <a:solidFill>
          <a:schemeClr val="bg1"/>
        </a:solidFill>
        <a:ln w="19050">
          <a:solidFill>
            <a:srgbClr val="00B2E3"/>
          </a:solid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06BB82D5-84C1-47D5-8660-F115094AE6B3}" type="TxLink">
            <a:rPr lang="en-US" sz="1100" b="0" i="0" u="none" strike="noStrike">
              <a:solidFill>
                <a:srgbClr val="000000"/>
              </a:solidFill>
              <a:latin typeface="Calibri Light"/>
              <a:ea typeface="+mn-ea"/>
              <a:cs typeface="Calibri Light"/>
            </a:rPr>
            <a:pPr marL="0" indent="0" algn="ctr"/>
            <a:t>Data Inputs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oneCell">
    <xdr:from>
      <xdr:col>1</xdr:col>
      <xdr:colOff>327660</xdr:colOff>
      <xdr:row>51</xdr:row>
      <xdr:rowOff>152400</xdr:rowOff>
    </xdr:from>
    <xdr:to>
      <xdr:col>4</xdr:col>
      <xdr:colOff>480060</xdr:colOff>
      <xdr:row>62</xdr:row>
      <xdr:rowOff>144780</xdr:rowOff>
    </xdr:to>
    <mc:AlternateContent xmlns:mc="http://schemas.openxmlformats.org/markup-compatibility/2006" xmlns:a14="http://schemas.microsoft.com/office/drawing/2010/main">
      <mc:Choice Requires="a14">
        <xdr:graphicFrame macro="">
          <xdr:nvGraphicFramePr>
            <xdr:cNvPr id="12" name="Custom"/>
            <xdr:cNvGraphicFramePr>
              <a:graphicFrameLocks noChangeAspect="1"/>
            </xdr:cNvGraphicFramePr>
          </xdr:nvGraphicFramePr>
          <xdr:xfrm>
            <a:off x="0" y="0"/>
            <a:ext cx="0" cy="0"/>
          </xdr:xfrm>
          <a:graphic>
            <a:graphicData uri="http://schemas.microsoft.com/office/drawing/2010/slicer">
              <sle:slicer xmlns:sle="http://schemas.microsoft.com/office/drawing/2010/slicer" name="Custom"/>
            </a:graphicData>
          </a:graphic>
        </xdr:graphicFrame>
      </mc:Choice>
      <mc:Fallback xmlns="">
        <xdr:sp macro="" textlink="">
          <xdr:nvSpPr>
            <xdr:cNvPr id="0" name=""/>
            <xdr:cNvSpPr>
              <a:spLocks noTextEdit="1"/>
            </xdr:cNvSpPr>
          </xdr:nvSpPr>
          <xdr:spPr>
            <a:xfrm>
              <a:off x="937260" y="10302240"/>
              <a:ext cx="3558540" cy="2004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8</xdr:col>
      <xdr:colOff>13275</xdr:colOff>
      <xdr:row>3</xdr:row>
      <xdr:rowOff>74930</xdr:rowOff>
    </xdr:from>
    <xdr:to>
      <xdr:col>9</xdr:col>
      <xdr:colOff>463358</xdr:colOff>
      <xdr:row>4</xdr:row>
      <xdr:rowOff>175402</xdr:rowOff>
    </xdr:to>
    <xdr:sp macro="" textlink="'READ ME'!C25">
      <xdr:nvSpPr>
        <xdr:cNvPr id="11" name="Round Same Side Corner Rectangle 10">
          <a:hlinkClick xmlns:r="http://schemas.openxmlformats.org/officeDocument/2006/relationships" r:id="rId7"/>
          <a:extLst>
            <a:ext uri="{FF2B5EF4-FFF2-40B4-BE49-F238E27FC236}">
              <a16:creationId xmlns:a16="http://schemas.microsoft.com/office/drawing/2014/main" id="{00000000-0008-0000-0200-000003000000}"/>
            </a:ext>
          </a:extLst>
        </xdr:cNvPr>
        <xdr:cNvSpPr/>
      </xdr:nvSpPr>
      <xdr:spPr>
        <a:xfrm>
          <a:off x="7214175" y="623570"/>
          <a:ext cx="1059683" cy="283352"/>
        </a:xfrm>
        <a:prstGeom prst="round2SameRect">
          <a:avLst/>
        </a:prstGeom>
        <a:solidFill>
          <a:srgbClr val="E2E2E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EEE52173-917B-4637-BB54-F4096AB08241}" type="TxLink">
            <a:rPr lang="en-US" sz="1100" b="0" i="0" u="none" strike="noStrike">
              <a:solidFill>
                <a:srgbClr val="000000"/>
              </a:solidFill>
              <a:latin typeface="Calibri Light"/>
              <a:ea typeface="+mn-ea"/>
              <a:cs typeface="Calibri Light"/>
            </a:rPr>
            <a:pPr marL="0" indent="0" algn="ctr"/>
            <a:t>PPE Inputs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9</xdr:col>
      <xdr:colOff>524414</xdr:colOff>
      <xdr:row>3</xdr:row>
      <xdr:rowOff>74930</xdr:rowOff>
    </xdr:from>
    <xdr:to>
      <xdr:col>11</xdr:col>
      <xdr:colOff>358554</xdr:colOff>
      <xdr:row>4</xdr:row>
      <xdr:rowOff>175402</xdr:rowOff>
    </xdr:to>
    <xdr:sp macro="" textlink="'READ ME'!C26">
      <xdr:nvSpPr>
        <xdr:cNvPr id="13" name="Round Same Side Corner Rectangle 12">
          <a:hlinkClick xmlns:r="http://schemas.openxmlformats.org/officeDocument/2006/relationships" r:id="rId8"/>
          <a:extLst>
            <a:ext uri="{FF2B5EF4-FFF2-40B4-BE49-F238E27FC236}">
              <a16:creationId xmlns:a16="http://schemas.microsoft.com/office/drawing/2014/main" id="{00000000-0008-0000-0200-000004000000}"/>
            </a:ext>
          </a:extLst>
        </xdr:cNvPr>
        <xdr:cNvSpPr/>
      </xdr:nvSpPr>
      <xdr:spPr>
        <a:xfrm>
          <a:off x="8334914" y="623570"/>
          <a:ext cx="1053340" cy="283352"/>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D735DC2D-29B9-48F7-B209-38175B4D26F3}" type="TxLink">
            <a:rPr lang="en-US" sz="1100" b="0" i="0" u="none" strike="noStrike">
              <a:solidFill>
                <a:srgbClr val="000000"/>
              </a:solidFill>
              <a:latin typeface="Calibri Light"/>
              <a:ea typeface="+mn-ea"/>
              <a:cs typeface="Calibri Light"/>
            </a:rPr>
            <a:pPr marL="0" indent="0" algn="ctr"/>
            <a:t>PPE Outputs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xdr:from>
      <xdr:col>0</xdr:col>
      <xdr:colOff>243840</xdr:colOff>
      <xdr:row>3</xdr:row>
      <xdr:rowOff>45720</xdr:rowOff>
    </xdr:from>
    <xdr:to>
      <xdr:col>0</xdr:col>
      <xdr:colOff>388620</xdr:colOff>
      <xdr:row>4</xdr:row>
      <xdr:rowOff>137160</xdr:rowOff>
    </xdr:to>
    <xdr:sp macro="" textlink="">
      <xdr:nvSpPr>
        <xdr:cNvPr id="7" name="Down Arrow 6"/>
        <xdr:cNvSpPr/>
      </xdr:nvSpPr>
      <xdr:spPr>
        <a:xfrm>
          <a:off x="243840" y="594360"/>
          <a:ext cx="144780" cy="274320"/>
        </a:xfrm>
        <a:prstGeom prst="downArrow">
          <a:avLst/>
        </a:prstGeom>
        <a:solidFill>
          <a:srgbClr val="00B2E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12</xdr:col>
      <xdr:colOff>60960</xdr:colOff>
      <xdr:row>43</xdr:row>
      <xdr:rowOff>38101</xdr:rowOff>
    </xdr:from>
    <xdr:to>
      <xdr:col>23</xdr:col>
      <xdr:colOff>30480</xdr:colOff>
      <xdr:row>62</xdr:row>
      <xdr:rowOff>342901</xdr:rowOff>
    </xdr:to>
    <xdr:pic>
      <xdr:nvPicPr>
        <xdr:cNvPr id="14" name="Picture 13"/>
        <xdr:cNvPicPr>
          <a:picLocks noChangeAspect="1"/>
        </xdr:cNvPicPr>
      </xdr:nvPicPr>
      <xdr:blipFill>
        <a:blip xmlns:r="http://schemas.openxmlformats.org/officeDocument/2006/relationships" r:embed="rId9"/>
        <a:stretch>
          <a:fillRect/>
        </a:stretch>
      </xdr:blipFill>
      <xdr:spPr>
        <a:xfrm>
          <a:off x="9700260" y="9090661"/>
          <a:ext cx="6675120" cy="37795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215757</xdr:colOff>
      <xdr:row>5</xdr:row>
      <xdr:rowOff>184651</xdr:rowOff>
    </xdr:from>
    <xdr:to>
      <xdr:col>14</xdr:col>
      <xdr:colOff>429117</xdr:colOff>
      <xdr:row>27</xdr:row>
      <xdr:rowOff>132614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7620</xdr:colOff>
      <xdr:row>3</xdr:row>
      <xdr:rowOff>81280</xdr:rowOff>
    </xdr:from>
    <xdr:to>
      <xdr:col>1</xdr:col>
      <xdr:colOff>953778</xdr:colOff>
      <xdr:row>4</xdr:row>
      <xdr:rowOff>176530</xdr:rowOff>
    </xdr:to>
    <xdr:sp macro="" textlink="'READ ME'!C19">
      <xdr:nvSpPr>
        <xdr:cNvPr id="4" name="Round Same Side Corner Rectangle 3">
          <a:hlinkClick xmlns:r="http://schemas.openxmlformats.org/officeDocument/2006/relationships" r:id="rId2"/>
        </xdr:cNvPr>
        <xdr:cNvSpPr/>
      </xdr:nvSpPr>
      <xdr:spPr>
        <a:xfrm>
          <a:off x="617220" y="629920"/>
          <a:ext cx="946158" cy="278130"/>
        </a:xfrm>
        <a:prstGeom prst="round2SameRect">
          <a:avLst/>
        </a:prstGeom>
        <a:solidFill>
          <a:schemeClr val="bg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8E4A4688-AF55-49C6-98FA-56273FB240CC}" type="TxLink">
            <a:rPr lang="en-US" sz="1000" b="0" i="0" u="none" strike="noStrike">
              <a:solidFill>
                <a:srgbClr val="000000"/>
              </a:solidFill>
              <a:latin typeface="Calibri Light"/>
              <a:ea typeface="+mn-ea"/>
              <a:cs typeface="Calibri Light"/>
            </a:rPr>
            <a:pPr marL="0" indent="0" algn="ctr"/>
            <a:t>Cover Page</a:t>
          </a:fld>
          <a:endParaRPr lang="en-US" sz="1000" b="1" i="0" u="none" strike="noStrike">
            <a:solidFill>
              <a:srgbClr val="000000"/>
            </a:solidFill>
            <a:latin typeface="+mn-lt"/>
            <a:ea typeface="+mn-ea"/>
            <a:cs typeface="Calibri"/>
          </a:endParaRPr>
        </a:p>
      </xdr:txBody>
    </xdr:sp>
    <xdr:clientData/>
  </xdr:twoCellAnchor>
  <xdr:twoCellAnchor editAs="absolute">
    <xdr:from>
      <xdr:col>1</xdr:col>
      <xdr:colOff>2135576</xdr:colOff>
      <xdr:row>3</xdr:row>
      <xdr:rowOff>91440</xdr:rowOff>
    </xdr:from>
    <xdr:to>
      <xdr:col>1</xdr:col>
      <xdr:colOff>3195259</xdr:colOff>
      <xdr:row>5</xdr:row>
      <xdr:rowOff>2540</xdr:rowOff>
    </xdr:to>
    <xdr:sp macro="" textlink="'READ ME'!C21">
      <xdr:nvSpPr>
        <xdr:cNvPr id="6" name="Round Same Side Corner Rectangle 5">
          <a:hlinkClick xmlns:r="http://schemas.openxmlformats.org/officeDocument/2006/relationships" r:id="rId3"/>
        </xdr:cNvPr>
        <xdr:cNvSpPr/>
      </xdr:nvSpPr>
      <xdr:spPr>
        <a:xfrm>
          <a:off x="2745176" y="640080"/>
          <a:ext cx="1059683" cy="276860"/>
        </a:xfrm>
        <a:prstGeom prst="round2SameRect">
          <a:avLst/>
        </a:prstGeom>
        <a:solidFill>
          <a:schemeClr val="bg1"/>
        </a:solidFill>
        <a:ln w="19050">
          <a:solidFill>
            <a:srgbClr val="00B2E3"/>
          </a:solid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5789DC4D-013E-4929-BCE2-4922196E81B0}" type="TxLink">
            <a:rPr lang="en-US" sz="1000" b="0" i="0" u="none" strike="noStrike">
              <a:solidFill>
                <a:srgbClr val="000000"/>
              </a:solidFill>
              <a:latin typeface="Calibri Light"/>
              <a:ea typeface="+mn-ea"/>
              <a:cs typeface="Calibri Light"/>
            </a:rPr>
            <a:pPr marL="0" indent="0" algn="ctr"/>
            <a:t>Custom Graphics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1</xdr:col>
      <xdr:colOff>3256316</xdr:colOff>
      <xdr:row>3</xdr:row>
      <xdr:rowOff>83820</xdr:rowOff>
    </xdr:from>
    <xdr:to>
      <xdr:col>3</xdr:col>
      <xdr:colOff>34836</xdr:colOff>
      <xdr:row>4</xdr:row>
      <xdr:rowOff>177800</xdr:rowOff>
    </xdr:to>
    <xdr:sp macro="" textlink="'READ ME'!C22">
      <xdr:nvSpPr>
        <xdr:cNvPr id="7" name="Round Same Side Corner Rectangle 6">
          <a:hlinkClick xmlns:r="http://schemas.openxmlformats.org/officeDocument/2006/relationships" r:id="rId4"/>
        </xdr:cNvPr>
        <xdr:cNvSpPr/>
      </xdr:nvSpPr>
      <xdr:spPr>
        <a:xfrm>
          <a:off x="3865916" y="632460"/>
          <a:ext cx="1053340" cy="276860"/>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E73F0B8E-C9D5-4377-AC00-4F14C7B101EC}" type="TxLink">
            <a:rPr lang="en-US" sz="1000" b="0" i="0" u="none" strike="noStrike">
              <a:solidFill>
                <a:srgbClr val="000000"/>
              </a:solidFill>
              <a:latin typeface="Calibri Light"/>
              <a:ea typeface="+mn-ea"/>
              <a:cs typeface="Calibri Light"/>
            </a:rPr>
            <a:pPr marL="0" indent="0" algn="ctr"/>
            <a:t>Ontario Graphics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3</xdr:col>
      <xdr:colOff>95893</xdr:colOff>
      <xdr:row>3</xdr:row>
      <xdr:rowOff>83820</xdr:rowOff>
    </xdr:from>
    <xdr:to>
      <xdr:col>4</xdr:col>
      <xdr:colOff>142117</xdr:colOff>
      <xdr:row>4</xdr:row>
      <xdr:rowOff>177800</xdr:rowOff>
    </xdr:to>
    <xdr:sp macro="" textlink="'READ ME'!C23">
      <xdr:nvSpPr>
        <xdr:cNvPr id="8" name="Round Same Side Corner Rectangle 7">
          <a:hlinkClick xmlns:r="http://schemas.openxmlformats.org/officeDocument/2006/relationships" r:id="rId5"/>
        </xdr:cNvPr>
        <xdr:cNvSpPr/>
      </xdr:nvSpPr>
      <xdr:spPr>
        <a:xfrm>
          <a:off x="4980313" y="632460"/>
          <a:ext cx="1059684" cy="276860"/>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E14468D5-14D7-4FF7-A55C-BD548DE85EF6}" type="TxLink">
            <a:rPr lang="en-US" sz="1000" b="0" i="0" u="none" strike="noStrike">
              <a:solidFill>
                <a:srgbClr val="000000"/>
              </a:solidFill>
              <a:latin typeface="Calibri Light"/>
              <a:ea typeface="+mn-ea"/>
              <a:cs typeface="Calibri Light"/>
            </a:rPr>
            <a:pPr marL="0" indent="0" algn="ctr"/>
            <a:t>Regional Graphics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4</xdr:col>
      <xdr:colOff>203174</xdr:colOff>
      <xdr:row>3</xdr:row>
      <xdr:rowOff>83820</xdr:rowOff>
    </xdr:from>
    <xdr:to>
      <xdr:col>5</xdr:col>
      <xdr:colOff>249398</xdr:colOff>
      <xdr:row>4</xdr:row>
      <xdr:rowOff>177800</xdr:rowOff>
    </xdr:to>
    <xdr:sp macro="" textlink="'READ ME'!C24">
      <xdr:nvSpPr>
        <xdr:cNvPr id="9" name="Round Same Side Corner Rectangle 8">
          <a:hlinkClick xmlns:r="http://schemas.openxmlformats.org/officeDocument/2006/relationships" r:id="rId6"/>
        </xdr:cNvPr>
        <xdr:cNvSpPr/>
      </xdr:nvSpPr>
      <xdr:spPr>
        <a:xfrm>
          <a:off x="6101054" y="632460"/>
          <a:ext cx="1059684" cy="276860"/>
        </a:xfrm>
        <a:prstGeom prst="round2SameRect">
          <a:avLst/>
        </a:prstGeom>
        <a:solidFill>
          <a:schemeClr val="bg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BC9996EB-5C1B-4C61-B31A-09FFD81EC2D6}" type="TxLink">
            <a:rPr lang="en-US" sz="1100" b="0" i="0" u="none" strike="noStrike">
              <a:solidFill>
                <a:srgbClr val="000000"/>
              </a:solidFill>
              <a:latin typeface="Calibri Light"/>
              <a:ea typeface="+mn-ea"/>
              <a:cs typeface="Calibri Light"/>
            </a:rPr>
            <a:pPr marL="0" indent="0" algn="ctr"/>
            <a:t>Documentation</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1</xdr:col>
      <xdr:colOff>1014835</xdr:colOff>
      <xdr:row>3</xdr:row>
      <xdr:rowOff>83820</xdr:rowOff>
    </xdr:from>
    <xdr:to>
      <xdr:col>1</xdr:col>
      <xdr:colOff>2074519</xdr:colOff>
      <xdr:row>4</xdr:row>
      <xdr:rowOff>177800</xdr:rowOff>
    </xdr:to>
    <xdr:sp macro="" textlink="'READ ME'!C20">
      <xdr:nvSpPr>
        <xdr:cNvPr id="10" name="Round Same Side Corner Rectangle 9">
          <a:hlinkClick xmlns:r="http://schemas.openxmlformats.org/officeDocument/2006/relationships" r:id="rId7"/>
        </xdr:cNvPr>
        <xdr:cNvSpPr/>
      </xdr:nvSpPr>
      <xdr:spPr>
        <a:xfrm>
          <a:off x="1624435" y="632460"/>
          <a:ext cx="1059684" cy="276860"/>
        </a:xfrm>
        <a:prstGeom prst="round2SameRect">
          <a:avLst/>
        </a:prstGeom>
        <a:solidFill>
          <a:srgbClr val="E2E2E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06BB82D5-84C1-47D5-8660-F115094AE6B3}" type="TxLink">
            <a:rPr lang="en-US" sz="1100" b="0" i="0" u="none" strike="noStrike">
              <a:solidFill>
                <a:srgbClr val="000000"/>
              </a:solidFill>
              <a:latin typeface="Calibri Light"/>
              <a:ea typeface="+mn-ea"/>
              <a:cs typeface="Calibri Light"/>
            </a:rPr>
            <a:pPr marL="0" indent="0" algn="ctr"/>
            <a:t>Data Inputs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5</xdr:col>
      <xdr:colOff>310455</xdr:colOff>
      <xdr:row>3</xdr:row>
      <xdr:rowOff>83820</xdr:rowOff>
    </xdr:from>
    <xdr:to>
      <xdr:col>6</xdr:col>
      <xdr:colOff>356678</xdr:colOff>
      <xdr:row>4</xdr:row>
      <xdr:rowOff>177800</xdr:rowOff>
    </xdr:to>
    <xdr:sp macro="" textlink="'READ ME'!C25">
      <xdr:nvSpPr>
        <xdr:cNvPr id="11" name="Round Same Side Corner Rectangle 10">
          <a:hlinkClick xmlns:r="http://schemas.openxmlformats.org/officeDocument/2006/relationships" r:id="rId8"/>
          <a:extLst>
            <a:ext uri="{FF2B5EF4-FFF2-40B4-BE49-F238E27FC236}">
              <a16:creationId xmlns:a16="http://schemas.microsoft.com/office/drawing/2014/main" id="{00000000-0008-0000-0200-000003000000}"/>
            </a:ext>
          </a:extLst>
        </xdr:cNvPr>
        <xdr:cNvSpPr/>
      </xdr:nvSpPr>
      <xdr:spPr>
        <a:xfrm>
          <a:off x="7221795" y="632460"/>
          <a:ext cx="1059683" cy="276860"/>
        </a:xfrm>
        <a:prstGeom prst="round2SameRect">
          <a:avLst/>
        </a:prstGeom>
        <a:solidFill>
          <a:srgbClr val="E2E2E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FC6C0D3F-D136-43B4-8B84-0B2B25392387}" type="TxLink">
            <a:rPr lang="en-US" sz="1100" b="0" i="0" u="none" strike="noStrike">
              <a:solidFill>
                <a:srgbClr val="000000"/>
              </a:solidFill>
              <a:latin typeface="Calibri Light"/>
              <a:ea typeface="+mn-ea"/>
              <a:cs typeface="Calibri Light"/>
            </a:rPr>
            <a:pPr marL="0" indent="0" algn="ctr"/>
            <a:t>PPE Inputs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6</xdr:col>
      <xdr:colOff>417734</xdr:colOff>
      <xdr:row>3</xdr:row>
      <xdr:rowOff>83820</xdr:rowOff>
    </xdr:from>
    <xdr:to>
      <xdr:col>7</xdr:col>
      <xdr:colOff>457614</xdr:colOff>
      <xdr:row>4</xdr:row>
      <xdr:rowOff>177800</xdr:rowOff>
    </xdr:to>
    <xdr:sp macro="" textlink="'READ ME'!C26">
      <xdr:nvSpPr>
        <xdr:cNvPr id="12" name="Round Same Side Corner Rectangle 11">
          <a:hlinkClick xmlns:r="http://schemas.openxmlformats.org/officeDocument/2006/relationships" r:id="rId9"/>
          <a:extLst>
            <a:ext uri="{FF2B5EF4-FFF2-40B4-BE49-F238E27FC236}">
              <a16:creationId xmlns:a16="http://schemas.microsoft.com/office/drawing/2014/main" id="{00000000-0008-0000-0200-000004000000}"/>
            </a:ext>
          </a:extLst>
        </xdr:cNvPr>
        <xdr:cNvSpPr/>
      </xdr:nvSpPr>
      <xdr:spPr>
        <a:xfrm>
          <a:off x="8342534" y="632460"/>
          <a:ext cx="1053340" cy="276860"/>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DAFC14F7-6523-49C5-B2C3-A296CA9B65A8}" type="TxLink">
            <a:rPr lang="en-US" sz="1100" b="0" i="0" u="none" strike="noStrike">
              <a:solidFill>
                <a:srgbClr val="000000"/>
              </a:solidFill>
              <a:latin typeface="Calibri Light"/>
              <a:ea typeface="+mn-ea"/>
              <a:cs typeface="Calibri Light"/>
            </a:rPr>
            <a:pPr marL="0" indent="0" algn="ctr"/>
            <a:t>PPE Outputs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xdr:from>
      <xdr:col>0</xdr:col>
      <xdr:colOff>243840</xdr:colOff>
      <xdr:row>3</xdr:row>
      <xdr:rowOff>45720</xdr:rowOff>
    </xdr:from>
    <xdr:to>
      <xdr:col>0</xdr:col>
      <xdr:colOff>388620</xdr:colOff>
      <xdr:row>4</xdr:row>
      <xdr:rowOff>137160</xdr:rowOff>
    </xdr:to>
    <xdr:sp macro="" textlink="">
      <xdr:nvSpPr>
        <xdr:cNvPr id="13" name="Down Arrow 12"/>
        <xdr:cNvSpPr/>
      </xdr:nvSpPr>
      <xdr:spPr>
        <a:xfrm>
          <a:off x="243840" y="594360"/>
          <a:ext cx="144780" cy="274320"/>
        </a:xfrm>
        <a:prstGeom prst="downArrow">
          <a:avLst/>
        </a:prstGeom>
        <a:solidFill>
          <a:srgbClr val="00B2E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210626</xdr:colOff>
      <xdr:row>5</xdr:row>
      <xdr:rowOff>127847</xdr:rowOff>
    </xdr:from>
    <xdr:to>
      <xdr:col>14</xdr:col>
      <xdr:colOff>423986</xdr:colOff>
      <xdr:row>27</xdr:row>
      <xdr:rowOff>15240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7620</xdr:colOff>
      <xdr:row>3</xdr:row>
      <xdr:rowOff>81280</xdr:rowOff>
    </xdr:from>
    <xdr:to>
      <xdr:col>1</xdr:col>
      <xdr:colOff>953778</xdr:colOff>
      <xdr:row>4</xdr:row>
      <xdr:rowOff>176530</xdr:rowOff>
    </xdr:to>
    <xdr:sp macro="" textlink="'READ ME'!C19">
      <xdr:nvSpPr>
        <xdr:cNvPr id="4" name="Round Same Side Corner Rectangle 3">
          <a:hlinkClick xmlns:r="http://schemas.openxmlformats.org/officeDocument/2006/relationships" r:id="rId2"/>
        </xdr:cNvPr>
        <xdr:cNvSpPr/>
      </xdr:nvSpPr>
      <xdr:spPr>
        <a:xfrm>
          <a:off x="617220" y="629920"/>
          <a:ext cx="946158" cy="278130"/>
        </a:xfrm>
        <a:prstGeom prst="round2SameRect">
          <a:avLst/>
        </a:prstGeom>
        <a:solidFill>
          <a:schemeClr val="bg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8E4A4688-AF55-49C6-98FA-56273FB240CC}" type="TxLink">
            <a:rPr lang="en-US" sz="1000" b="0" i="0" u="none" strike="noStrike">
              <a:solidFill>
                <a:srgbClr val="000000"/>
              </a:solidFill>
              <a:latin typeface="Calibri Light"/>
              <a:ea typeface="+mn-ea"/>
              <a:cs typeface="Calibri Light"/>
            </a:rPr>
            <a:pPr marL="0" indent="0" algn="ctr"/>
            <a:t>Cover Page</a:t>
          </a:fld>
          <a:endParaRPr lang="en-US" sz="1000" b="1" i="0" u="none" strike="noStrike">
            <a:solidFill>
              <a:srgbClr val="000000"/>
            </a:solidFill>
            <a:latin typeface="+mn-lt"/>
            <a:ea typeface="+mn-ea"/>
            <a:cs typeface="Calibri"/>
          </a:endParaRPr>
        </a:p>
      </xdr:txBody>
    </xdr:sp>
    <xdr:clientData/>
  </xdr:twoCellAnchor>
  <xdr:twoCellAnchor editAs="absolute">
    <xdr:from>
      <xdr:col>1</xdr:col>
      <xdr:colOff>2135576</xdr:colOff>
      <xdr:row>3</xdr:row>
      <xdr:rowOff>83820</xdr:rowOff>
    </xdr:from>
    <xdr:to>
      <xdr:col>2</xdr:col>
      <xdr:colOff>261559</xdr:colOff>
      <xdr:row>4</xdr:row>
      <xdr:rowOff>177800</xdr:rowOff>
    </xdr:to>
    <xdr:sp macro="" textlink="'READ ME'!C21">
      <xdr:nvSpPr>
        <xdr:cNvPr id="5" name="Round Same Side Corner Rectangle 4">
          <a:hlinkClick xmlns:r="http://schemas.openxmlformats.org/officeDocument/2006/relationships" r:id="rId3"/>
        </xdr:cNvPr>
        <xdr:cNvSpPr/>
      </xdr:nvSpPr>
      <xdr:spPr>
        <a:xfrm>
          <a:off x="2745176" y="632460"/>
          <a:ext cx="1059683" cy="276860"/>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5789DC4D-013E-4929-BCE2-4922196E81B0}" type="TxLink">
            <a:rPr lang="en-US" sz="1000" b="0" i="0" u="none" strike="noStrike">
              <a:solidFill>
                <a:srgbClr val="000000"/>
              </a:solidFill>
              <a:latin typeface="Calibri Light"/>
              <a:ea typeface="+mn-ea"/>
              <a:cs typeface="Calibri Light"/>
            </a:rPr>
            <a:pPr marL="0" indent="0" algn="ctr"/>
            <a:t>Custom Graphics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2</xdr:col>
      <xdr:colOff>322616</xdr:colOff>
      <xdr:row>3</xdr:row>
      <xdr:rowOff>91440</xdr:rowOff>
    </xdr:from>
    <xdr:to>
      <xdr:col>3</xdr:col>
      <xdr:colOff>362496</xdr:colOff>
      <xdr:row>5</xdr:row>
      <xdr:rowOff>2540</xdr:rowOff>
    </xdr:to>
    <xdr:sp macro="" textlink="'READ ME'!C22">
      <xdr:nvSpPr>
        <xdr:cNvPr id="6" name="Round Same Side Corner Rectangle 5">
          <a:hlinkClick xmlns:r="http://schemas.openxmlformats.org/officeDocument/2006/relationships" r:id="rId4"/>
        </xdr:cNvPr>
        <xdr:cNvSpPr/>
      </xdr:nvSpPr>
      <xdr:spPr>
        <a:xfrm>
          <a:off x="3865916" y="640080"/>
          <a:ext cx="1053340" cy="276860"/>
        </a:xfrm>
        <a:prstGeom prst="round2SameRect">
          <a:avLst/>
        </a:prstGeom>
        <a:solidFill>
          <a:schemeClr val="bg1"/>
        </a:solidFill>
        <a:ln w="19050">
          <a:solidFill>
            <a:srgbClr val="00B2E3"/>
          </a:solid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E73F0B8E-C9D5-4377-AC00-4F14C7B101EC}" type="TxLink">
            <a:rPr lang="en-US" sz="1000" b="0" i="0" u="none" strike="noStrike">
              <a:solidFill>
                <a:srgbClr val="000000"/>
              </a:solidFill>
              <a:latin typeface="Calibri Light"/>
              <a:ea typeface="+mn-ea"/>
              <a:cs typeface="Calibri Light"/>
            </a:rPr>
            <a:pPr marL="0" indent="0" algn="ctr"/>
            <a:t>Ontario Graphics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3</xdr:col>
      <xdr:colOff>423553</xdr:colOff>
      <xdr:row>3</xdr:row>
      <xdr:rowOff>83820</xdr:rowOff>
    </xdr:from>
    <xdr:to>
      <xdr:col>4</xdr:col>
      <xdr:colOff>469777</xdr:colOff>
      <xdr:row>4</xdr:row>
      <xdr:rowOff>177800</xdr:rowOff>
    </xdr:to>
    <xdr:sp macro="" textlink="'READ ME'!C23">
      <xdr:nvSpPr>
        <xdr:cNvPr id="7" name="Round Same Side Corner Rectangle 6">
          <a:hlinkClick xmlns:r="http://schemas.openxmlformats.org/officeDocument/2006/relationships" r:id="rId5"/>
        </xdr:cNvPr>
        <xdr:cNvSpPr/>
      </xdr:nvSpPr>
      <xdr:spPr>
        <a:xfrm>
          <a:off x="4980313" y="632460"/>
          <a:ext cx="1059684" cy="276860"/>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E14468D5-14D7-4FF7-A55C-BD548DE85EF6}" type="TxLink">
            <a:rPr lang="en-US" sz="1000" b="0" i="0" u="none" strike="noStrike">
              <a:solidFill>
                <a:srgbClr val="000000"/>
              </a:solidFill>
              <a:latin typeface="Calibri Light"/>
              <a:ea typeface="+mn-ea"/>
              <a:cs typeface="Calibri Light"/>
            </a:rPr>
            <a:pPr marL="0" indent="0" algn="ctr"/>
            <a:t>Regional Graphics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4</xdr:col>
      <xdr:colOff>530834</xdr:colOff>
      <xdr:row>3</xdr:row>
      <xdr:rowOff>83820</xdr:rowOff>
    </xdr:from>
    <xdr:to>
      <xdr:col>5</xdr:col>
      <xdr:colOff>577058</xdr:colOff>
      <xdr:row>4</xdr:row>
      <xdr:rowOff>177800</xdr:rowOff>
    </xdr:to>
    <xdr:sp macro="" textlink="'READ ME'!C24">
      <xdr:nvSpPr>
        <xdr:cNvPr id="8" name="Round Same Side Corner Rectangle 7">
          <a:hlinkClick xmlns:r="http://schemas.openxmlformats.org/officeDocument/2006/relationships" r:id="rId6"/>
        </xdr:cNvPr>
        <xdr:cNvSpPr/>
      </xdr:nvSpPr>
      <xdr:spPr>
        <a:xfrm>
          <a:off x="6101054" y="632460"/>
          <a:ext cx="1059684" cy="276860"/>
        </a:xfrm>
        <a:prstGeom prst="round2SameRect">
          <a:avLst/>
        </a:prstGeom>
        <a:solidFill>
          <a:schemeClr val="bg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BC9996EB-5C1B-4C61-B31A-09FFD81EC2D6}" type="TxLink">
            <a:rPr lang="en-US" sz="1100" b="0" i="0" u="none" strike="noStrike">
              <a:solidFill>
                <a:srgbClr val="000000"/>
              </a:solidFill>
              <a:latin typeface="Calibri Light"/>
              <a:ea typeface="+mn-ea"/>
              <a:cs typeface="Calibri Light"/>
            </a:rPr>
            <a:pPr marL="0" indent="0" algn="ctr"/>
            <a:t>Documentation</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1</xdr:col>
      <xdr:colOff>1014835</xdr:colOff>
      <xdr:row>3</xdr:row>
      <xdr:rowOff>83820</xdr:rowOff>
    </xdr:from>
    <xdr:to>
      <xdr:col>1</xdr:col>
      <xdr:colOff>2074519</xdr:colOff>
      <xdr:row>4</xdr:row>
      <xdr:rowOff>177800</xdr:rowOff>
    </xdr:to>
    <xdr:sp macro="" textlink="'READ ME'!C20">
      <xdr:nvSpPr>
        <xdr:cNvPr id="9" name="Round Same Side Corner Rectangle 8">
          <a:hlinkClick xmlns:r="http://schemas.openxmlformats.org/officeDocument/2006/relationships" r:id="rId7"/>
        </xdr:cNvPr>
        <xdr:cNvSpPr/>
      </xdr:nvSpPr>
      <xdr:spPr>
        <a:xfrm>
          <a:off x="1624435" y="632460"/>
          <a:ext cx="1059684" cy="276860"/>
        </a:xfrm>
        <a:prstGeom prst="round2SameRect">
          <a:avLst/>
        </a:prstGeom>
        <a:solidFill>
          <a:srgbClr val="E2E2E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06BB82D5-84C1-47D5-8660-F115094AE6B3}" type="TxLink">
            <a:rPr lang="en-US" sz="1100" b="0" i="0" u="none" strike="noStrike">
              <a:solidFill>
                <a:srgbClr val="000000"/>
              </a:solidFill>
              <a:latin typeface="Calibri Light"/>
              <a:ea typeface="+mn-ea"/>
              <a:cs typeface="Calibri Light"/>
            </a:rPr>
            <a:pPr marL="0" indent="0" algn="ctr"/>
            <a:t>Data Inputs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5</xdr:col>
      <xdr:colOff>638115</xdr:colOff>
      <xdr:row>3</xdr:row>
      <xdr:rowOff>83820</xdr:rowOff>
    </xdr:from>
    <xdr:to>
      <xdr:col>6</xdr:col>
      <xdr:colOff>684338</xdr:colOff>
      <xdr:row>4</xdr:row>
      <xdr:rowOff>177800</xdr:rowOff>
    </xdr:to>
    <xdr:sp macro="" textlink="'READ ME'!C25">
      <xdr:nvSpPr>
        <xdr:cNvPr id="10" name="Round Same Side Corner Rectangle 9">
          <a:hlinkClick xmlns:r="http://schemas.openxmlformats.org/officeDocument/2006/relationships" r:id="rId8"/>
          <a:extLst>
            <a:ext uri="{FF2B5EF4-FFF2-40B4-BE49-F238E27FC236}">
              <a16:creationId xmlns:a16="http://schemas.microsoft.com/office/drawing/2014/main" id="{00000000-0008-0000-0200-000003000000}"/>
            </a:ext>
          </a:extLst>
        </xdr:cNvPr>
        <xdr:cNvSpPr/>
      </xdr:nvSpPr>
      <xdr:spPr>
        <a:xfrm>
          <a:off x="7221795" y="632460"/>
          <a:ext cx="1059683" cy="276860"/>
        </a:xfrm>
        <a:prstGeom prst="round2SameRect">
          <a:avLst/>
        </a:prstGeom>
        <a:solidFill>
          <a:srgbClr val="E2E2E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25FFF051-ECF2-47BA-8316-7D851095B4C7}" type="TxLink">
            <a:rPr lang="en-US" sz="1100" b="0" i="0" u="none" strike="noStrike">
              <a:solidFill>
                <a:srgbClr val="000000"/>
              </a:solidFill>
              <a:latin typeface="Calibri Light"/>
              <a:ea typeface="+mn-ea"/>
              <a:cs typeface="Calibri Light"/>
            </a:rPr>
            <a:pPr marL="0" indent="0" algn="ctr"/>
            <a:t>PPE Inputs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6</xdr:col>
      <xdr:colOff>745394</xdr:colOff>
      <xdr:row>3</xdr:row>
      <xdr:rowOff>83820</xdr:rowOff>
    </xdr:from>
    <xdr:to>
      <xdr:col>7</xdr:col>
      <xdr:colOff>785274</xdr:colOff>
      <xdr:row>4</xdr:row>
      <xdr:rowOff>177800</xdr:rowOff>
    </xdr:to>
    <xdr:sp macro="" textlink="'READ ME'!C26">
      <xdr:nvSpPr>
        <xdr:cNvPr id="11" name="Round Same Side Corner Rectangle 10">
          <a:hlinkClick xmlns:r="http://schemas.openxmlformats.org/officeDocument/2006/relationships" r:id="rId9"/>
          <a:extLst>
            <a:ext uri="{FF2B5EF4-FFF2-40B4-BE49-F238E27FC236}">
              <a16:creationId xmlns:a16="http://schemas.microsoft.com/office/drawing/2014/main" id="{00000000-0008-0000-0200-000004000000}"/>
            </a:ext>
          </a:extLst>
        </xdr:cNvPr>
        <xdr:cNvSpPr/>
      </xdr:nvSpPr>
      <xdr:spPr>
        <a:xfrm>
          <a:off x="8342534" y="632460"/>
          <a:ext cx="1053340" cy="276860"/>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658ED3E3-687E-47FC-A516-14662C2140EE}" type="TxLink">
            <a:rPr lang="en-US" sz="1100" b="0" i="0" u="none" strike="noStrike">
              <a:solidFill>
                <a:srgbClr val="000000"/>
              </a:solidFill>
              <a:latin typeface="Calibri Light"/>
              <a:ea typeface="+mn-ea"/>
              <a:cs typeface="Calibri Light"/>
            </a:rPr>
            <a:pPr marL="0" indent="0" algn="ctr"/>
            <a:t>PPE Outputs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xdr:from>
      <xdr:col>0</xdr:col>
      <xdr:colOff>243840</xdr:colOff>
      <xdr:row>3</xdr:row>
      <xdr:rowOff>45720</xdr:rowOff>
    </xdr:from>
    <xdr:to>
      <xdr:col>0</xdr:col>
      <xdr:colOff>388620</xdr:colOff>
      <xdr:row>4</xdr:row>
      <xdr:rowOff>137160</xdr:rowOff>
    </xdr:to>
    <xdr:sp macro="" textlink="">
      <xdr:nvSpPr>
        <xdr:cNvPr id="12" name="Down Arrow 11"/>
        <xdr:cNvSpPr/>
      </xdr:nvSpPr>
      <xdr:spPr>
        <a:xfrm>
          <a:off x="243840" y="594360"/>
          <a:ext cx="144780" cy="274320"/>
        </a:xfrm>
        <a:prstGeom prst="downArrow">
          <a:avLst/>
        </a:prstGeom>
        <a:solidFill>
          <a:srgbClr val="00B2E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c:userShapes xmlns:c="http://schemas.openxmlformats.org/drawingml/2006/chart">
  <cdr:relSizeAnchor xmlns:cdr="http://schemas.openxmlformats.org/drawingml/2006/chartDrawing">
    <cdr:from>
      <cdr:x>0.67396</cdr:x>
      <cdr:y>0.15279</cdr:y>
    </cdr:from>
    <cdr:to>
      <cdr:x>0.79896</cdr:x>
      <cdr:y>0.61301</cdr:y>
    </cdr:to>
    <mc:AlternateContent xmlns:mc="http://schemas.openxmlformats.org/markup-compatibility/2006" xmlns:a14="http://schemas.microsoft.com/office/drawing/2010/main">
      <mc:Choice Requires="a14">
        <cdr:pic>
          <cdr:nvPicPr>
            <cdr:cNvPr id="2" name="Picture 1"/>
            <cdr:cNvPicPr>
              <a:picLocks xmlns:a="http://schemas.openxmlformats.org/drawingml/2006/main" noChangeAspect="1" noChangeArrowheads="1"/>
              <a:extLst xmlns:a="http://schemas.openxmlformats.org/drawingml/2006/main">
                <a:ext uri="{84589F7E-364E-4C9E-8A38-B11213B215E9}">
                  <a14:cameraTool cellRange="'Backlog Volumes'!$B$82:$B$93" spid="_x0000_s67488"/>
                </a:ext>
              </a:extLst>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4930116" y="632455"/>
              <a:ext cx="914400" cy="1905013"/>
            </a:xfrm>
            <a:prstGeom xmlns:a="http://schemas.openxmlformats.org/drawingml/2006/main" prst="rect">
              <a:avLst/>
            </a:prstGeom>
            <a:solidFill xmlns:a="http://schemas.openxmlformats.org/drawingml/2006/main">
              <a:srgbClr val="FFFFFF" mc:Ignorable="a14" a14:legacySpreadsheetColorIndex="9"/>
            </a:solidFill>
            <a:ln xmlns:a="http://schemas.openxmlformats.org/drawingml/2006/main" w="9525">
              <a:solidFill>
                <a:schemeClr val="bg1">
                  <a:lumMod val="85000"/>
                </a:schemeClr>
              </a:solidFill>
              <a:miter lim="800000"/>
              <a:headEnd/>
              <a:tailEnd/>
            </a:ln>
          </cdr:spPr>
        </cdr:pic>
      </mc:Choice>
      <mc:Fallback xmlns=""/>
    </mc:AlternateContent>
  </cdr:relSizeAnchor>
</c:userShapes>
</file>

<file path=xl/drawings/drawing6.xml><?xml version="1.0" encoding="utf-8"?>
<xdr:wsDr xmlns:xdr="http://schemas.openxmlformats.org/drawingml/2006/spreadsheetDrawing" xmlns:a="http://schemas.openxmlformats.org/drawingml/2006/main">
  <xdr:twoCellAnchor editAs="absolute">
    <xdr:from>
      <xdr:col>1</xdr:col>
      <xdr:colOff>7620</xdr:colOff>
      <xdr:row>3</xdr:row>
      <xdr:rowOff>81280</xdr:rowOff>
    </xdr:from>
    <xdr:to>
      <xdr:col>1</xdr:col>
      <xdr:colOff>953778</xdr:colOff>
      <xdr:row>4</xdr:row>
      <xdr:rowOff>176530</xdr:rowOff>
    </xdr:to>
    <xdr:sp macro="" textlink="'READ ME'!C19">
      <xdr:nvSpPr>
        <xdr:cNvPr id="4" name="Round Same Side Corner Rectangle 3">
          <a:hlinkClick xmlns:r="http://schemas.openxmlformats.org/officeDocument/2006/relationships" r:id="rId1"/>
        </xdr:cNvPr>
        <xdr:cNvSpPr/>
      </xdr:nvSpPr>
      <xdr:spPr>
        <a:xfrm>
          <a:off x="617220" y="629920"/>
          <a:ext cx="946158" cy="278130"/>
        </a:xfrm>
        <a:prstGeom prst="round2SameRect">
          <a:avLst/>
        </a:prstGeom>
        <a:solidFill>
          <a:schemeClr val="bg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8E4A4688-AF55-49C6-98FA-56273FB240CC}" type="TxLink">
            <a:rPr lang="en-US" sz="1000" b="0" i="0" u="none" strike="noStrike">
              <a:solidFill>
                <a:srgbClr val="000000"/>
              </a:solidFill>
              <a:latin typeface="Calibri Light"/>
              <a:ea typeface="+mn-ea"/>
              <a:cs typeface="Calibri Light"/>
            </a:rPr>
            <a:pPr marL="0" indent="0" algn="ctr"/>
            <a:t>Cover Page</a:t>
          </a:fld>
          <a:endParaRPr lang="en-US" sz="1000" b="1" i="0" u="none" strike="noStrike">
            <a:solidFill>
              <a:srgbClr val="000000"/>
            </a:solidFill>
            <a:latin typeface="+mn-lt"/>
            <a:ea typeface="+mn-ea"/>
            <a:cs typeface="Calibri"/>
          </a:endParaRPr>
        </a:p>
      </xdr:txBody>
    </xdr:sp>
    <xdr:clientData/>
  </xdr:twoCellAnchor>
  <xdr:twoCellAnchor editAs="absolute">
    <xdr:from>
      <xdr:col>1</xdr:col>
      <xdr:colOff>2135576</xdr:colOff>
      <xdr:row>3</xdr:row>
      <xdr:rowOff>76200</xdr:rowOff>
    </xdr:from>
    <xdr:to>
      <xdr:col>2</xdr:col>
      <xdr:colOff>261559</xdr:colOff>
      <xdr:row>4</xdr:row>
      <xdr:rowOff>175260</xdr:rowOff>
    </xdr:to>
    <xdr:sp macro="" textlink="'READ ME'!C21">
      <xdr:nvSpPr>
        <xdr:cNvPr id="5" name="Round Same Side Corner Rectangle 4">
          <a:hlinkClick xmlns:r="http://schemas.openxmlformats.org/officeDocument/2006/relationships" r:id="rId2"/>
        </xdr:cNvPr>
        <xdr:cNvSpPr/>
      </xdr:nvSpPr>
      <xdr:spPr>
        <a:xfrm>
          <a:off x="2745176" y="624840"/>
          <a:ext cx="1059683" cy="281940"/>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5789DC4D-013E-4929-BCE2-4922196E81B0}" type="TxLink">
            <a:rPr lang="en-US" sz="1000" b="0" i="0" u="none" strike="noStrike">
              <a:solidFill>
                <a:srgbClr val="000000"/>
              </a:solidFill>
              <a:latin typeface="Calibri Light"/>
              <a:ea typeface="+mn-ea"/>
              <a:cs typeface="Calibri Light"/>
            </a:rPr>
            <a:pPr marL="0" indent="0" algn="ctr"/>
            <a:t>Custom Graphics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2</xdr:col>
      <xdr:colOff>322616</xdr:colOff>
      <xdr:row>3</xdr:row>
      <xdr:rowOff>76200</xdr:rowOff>
    </xdr:from>
    <xdr:to>
      <xdr:col>3</xdr:col>
      <xdr:colOff>362496</xdr:colOff>
      <xdr:row>4</xdr:row>
      <xdr:rowOff>175260</xdr:rowOff>
    </xdr:to>
    <xdr:sp macro="" textlink="'READ ME'!C22">
      <xdr:nvSpPr>
        <xdr:cNvPr id="6" name="Round Same Side Corner Rectangle 5">
          <a:hlinkClick xmlns:r="http://schemas.openxmlformats.org/officeDocument/2006/relationships" r:id="rId3"/>
        </xdr:cNvPr>
        <xdr:cNvSpPr/>
      </xdr:nvSpPr>
      <xdr:spPr>
        <a:xfrm>
          <a:off x="3865916" y="624840"/>
          <a:ext cx="1053340" cy="281940"/>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E73F0B8E-C9D5-4377-AC00-4F14C7B101EC}" type="TxLink">
            <a:rPr lang="en-US" sz="1000" b="0" i="0" u="none" strike="noStrike">
              <a:solidFill>
                <a:srgbClr val="000000"/>
              </a:solidFill>
              <a:latin typeface="Calibri Light"/>
              <a:ea typeface="+mn-ea"/>
              <a:cs typeface="Calibri Light"/>
            </a:rPr>
            <a:pPr marL="0" indent="0" algn="ctr"/>
            <a:t>Ontario Graphics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3</xdr:col>
      <xdr:colOff>423553</xdr:colOff>
      <xdr:row>3</xdr:row>
      <xdr:rowOff>91440</xdr:rowOff>
    </xdr:from>
    <xdr:to>
      <xdr:col>4</xdr:col>
      <xdr:colOff>469777</xdr:colOff>
      <xdr:row>5</xdr:row>
      <xdr:rowOff>2540</xdr:rowOff>
    </xdr:to>
    <xdr:sp macro="" textlink="'READ ME'!C23">
      <xdr:nvSpPr>
        <xdr:cNvPr id="7" name="Round Same Side Corner Rectangle 6">
          <a:hlinkClick xmlns:r="http://schemas.openxmlformats.org/officeDocument/2006/relationships" r:id="rId4"/>
        </xdr:cNvPr>
        <xdr:cNvSpPr/>
      </xdr:nvSpPr>
      <xdr:spPr>
        <a:xfrm>
          <a:off x="4980313" y="640080"/>
          <a:ext cx="1059684" cy="276860"/>
        </a:xfrm>
        <a:prstGeom prst="round2SameRect">
          <a:avLst/>
        </a:prstGeom>
        <a:solidFill>
          <a:schemeClr val="bg1"/>
        </a:solidFill>
        <a:ln w="19050">
          <a:solidFill>
            <a:srgbClr val="00B2E3"/>
          </a:solid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E14468D5-14D7-4FF7-A55C-BD548DE85EF6}" type="TxLink">
            <a:rPr lang="en-US" sz="1000" b="0" i="0" u="none" strike="noStrike">
              <a:solidFill>
                <a:srgbClr val="000000"/>
              </a:solidFill>
              <a:latin typeface="Calibri Light"/>
              <a:ea typeface="+mn-ea"/>
              <a:cs typeface="Calibri Light"/>
            </a:rPr>
            <a:pPr marL="0" indent="0" algn="ctr"/>
            <a:t>Regional Graphics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4</xdr:col>
      <xdr:colOff>530834</xdr:colOff>
      <xdr:row>3</xdr:row>
      <xdr:rowOff>76200</xdr:rowOff>
    </xdr:from>
    <xdr:to>
      <xdr:col>5</xdr:col>
      <xdr:colOff>577058</xdr:colOff>
      <xdr:row>4</xdr:row>
      <xdr:rowOff>175260</xdr:rowOff>
    </xdr:to>
    <xdr:sp macro="" textlink="'READ ME'!C24">
      <xdr:nvSpPr>
        <xdr:cNvPr id="8" name="Round Same Side Corner Rectangle 7">
          <a:hlinkClick xmlns:r="http://schemas.openxmlformats.org/officeDocument/2006/relationships" r:id="rId5"/>
        </xdr:cNvPr>
        <xdr:cNvSpPr/>
      </xdr:nvSpPr>
      <xdr:spPr>
        <a:xfrm>
          <a:off x="6101054" y="624840"/>
          <a:ext cx="1059684" cy="281940"/>
        </a:xfrm>
        <a:prstGeom prst="round2SameRect">
          <a:avLst/>
        </a:prstGeom>
        <a:solidFill>
          <a:schemeClr val="bg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BC9996EB-5C1B-4C61-B31A-09FFD81EC2D6}" type="TxLink">
            <a:rPr lang="en-US" sz="1100" b="0" i="0" u="none" strike="noStrike">
              <a:solidFill>
                <a:srgbClr val="000000"/>
              </a:solidFill>
              <a:latin typeface="Calibri Light"/>
              <a:ea typeface="+mn-ea"/>
              <a:cs typeface="Calibri Light"/>
            </a:rPr>
            <a:pPr marL="0" indent="0" algn="ctr"/>
            <a:t>Documentation</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1</xdr:col>
      <xdr:colOff>1014835</xdr:colOff>
      <xdr:row>3</xdr:row>
      <xdr:rowOff>76200</xdr:rowOff>
    </xdr:from>
    <xdr:to>
      <xdr:col>1</xdr:col>
      <xdr:colOff>2074519</xdr:colOff>
      <xdr:row>4</xdr:row>
      <xdr:rowOff>175260</xdr:rowOff>
    </xdr:to>
    <xdr:sp macro="" textlink="'READ ME'!C20">
      <xdr:nvSpPr>
        <xdr:cNvPr id="9" name="Round Same Side Corner Rectangle 8">
          <a:hlinkClick xmlns:r="http://schemas.openxmlformats.org/officeDocument/2006/relationships" r:id="rId6"/>
        </xdr:cNvPr>
        <xdr:cNvSpPr/>
      </xdr:nvSpPr>
      <xdr:spPr>
        <a:xfrm>
          <a:off x="1624435" y="624840"/>
          <a:ext cx="1059684" cy="281940"/>
        </a:xfrm>
        <a:prstGeom prst="round2SameRect">
          <a:avLst/>
        </a:prstGeom>
        <a:solidFill>
          <a:srgbClr val="E2E2E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06BB82D5-84C1-47D5-8660-F115094AE6B3}" type="TxLink">
            <a:rPr lang="en-US" sz="1100" b="0" i="0" u="none" strike="noStrike">
              <a:solidFill>
                <a:srgbClr val="000000"/>
              </a:solidFill>
              <a:latin typeface="Calibri Light"/>
              <a:ea typeface="+mn-ea"/>
              <a:cs typeface="Calibri Light"/>
            </a:rPr>
            <a:pPr marL="0" indent="0" algn="ctr"/>
            <a:t>Data Inputs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xdr:from>
      <xdr:col>5</xdr:col>
      <xdr:colOff>218894</xdr:colOff>
      <xdr:row>5</xdr:row>
      <xdr:rowOff>98611</xdr:rowOff>
    </xdr:from>
    <xdr:to>
      <xdr:col>14</xdr:col>
      <xdr:colOff>432254</xdr:colOff>
      <xdr:row>26</xdr:row>
      <xdr:rowOff>148903</xdr:rowOff>
    </xdr:to>
    <xdr:grpSp>
      <xdr:nvGrpSpPr>
        <xdr:cNvPr id="3" name="Group 2"/>
        <xdr:cNvGrpSpPr/>
      </xdr:nvGrpSpPr>
      <xdr:grpSpPr>
        <a:xfrm>
          <a:off x="6802574" y="1013011"/>
          <a:ext cx="7315200" cy="4134612"/>
          <a:chOff x="6764474" y="1028251"/>
          <a:chExt cx="7315200" cy="4142232"/>
        </a:xfrm>
      </xdr:grpSpPr>
      <xdr:graphicFrame macro="">
        <xdr:nvGraphicFramePr>
          <xdr:cNvPr id="2" name="Chart 1"/>
          <xdr:cNvGraphicFramePr>
            <a:graphicFrameLocks/>
          </xdr:cNvGraphicFramePr>
        </xdr:nvGraphicFramePr>
        <xdr:xfrm>
          <a:off x="6764474" y="1028251"/>
          <a:ext cx="7315200" cy="4142232"/>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xmlns:a14="http://schemas.microsoft.com/office/drawing/2010/main">
        <mc:Choice Requires="a14">
          <xdr:pic>
            <xdr:nvPicPr>
              <xdr:cNvPr id="10" name="Picture 9"/>
              <xdr:cNvPicPr>
                <a:picLocks noChangeAspect="1" noChangeArrowheads="1"/>
                <a:extLst>
                  <a:ext uri="{84589F7E-364E-4C9E-8A38-B11213B215E9}">
                    <a14:cameraTool cellRange="'Backlog Volumes'!$B$82:$B$93" spid="_x0000_s73981"/>
                  </a:ext>
                </a:extLst>
              </xdr:cNvPicPr>
            </xdr:nvPicPr>
            <xdr:blipFill>
              <a:blip xmlns:r="http://schemas.openxmlformats.org/officeDocument/2006/relationships" r:embed="rId8"/>
              <a:srcRect/>
              <a:stretch>
                <a:fillRect/>
              </a:stretch>
            </xdr:blipFill>
            <xdr:spPr bwMode="auto">
              <a:xfrm>
                <a:off x="11704320" y="1669960"/>
                <a:ext cx="883920" cy="1837690"/>
              </a:xfrm>
              <a:prstGeom prst="rect">
                <a:avLst/>
              </a:prstGeom>
              <a:solidFill>
                <a:srgbClr val="FFFFFF" mc:Ignorable="a14" a14:legacySpreadsheetColorIndex="9"/>
              </a:solidFill>
              <a:ln w="9525">
                <a:solidFill>
                  <a:schemeClr val="bg1">
                    <a:lumMod val="85000"/>
                  </a:schemeClr>
                </a:solidFill>
                <a:miter lim="800000"/>
                <a:headEnd/>
                <a:tailEnd/>
              </a:ln>
            </xdr:spPr>
          </xdr:pic>
        </mc:Choice>
        <mc:Fallback xmlns=""/>
      </mc:AlternateContent>
    </xdr:grpSp>
    <xdr:clientData/>
  </xdr:twoCellAnchor>
  <xdr:twoCellAnchor editAs="absolute">
    <xdr:from>
      <xdr:col>5</xdr:col>
      <xdr:colOff>638115</xdr:colOff>
      <xdr:row>3</xdr:row>
      <xdr:rowOff>76200</xdr:rowOff>
    </xdr:from>
    <xdr:to>
      <xdr:col>6</xdr:col>
      <xdr:colOff>684338</xdr:colOff>
      <xdr:row>4</xdr:row>
      <xdr:rowOff>175260</xdr:rowOff>
    </xdr:to>
    <xdr:sp macro="" textlink="'READ ME'!C25">
      <xdr:nvSpPr>
        <xdr:cNvPr id="11" name="Round Same Side Corner Rectangle 10">
          <a:hlinkClick xmlns:r="http://schemas.openxmlformats.org/officeDocument/2006/relationships" r:id="rId9"/>
          <a:extLst>
            <a:ext uri="{FF2B5EF4-FFF2-40B4-BE49-F238E27FC236}">
              <a16:creationId xmlns:a16="http://schemas.microsoft.com/office/drawing/2014/main" id="{00000000-0008-0000-0200-000003000000}"/>
            </a:ext>
          </a:extLst>
        </xdr:cNvPr>
        <xdr:cNvSpPr/>
      </xdr:nvSpPr>
      <xdr:spPr>
        <a:xfrm>
          <a:off x="7221795" y="624840"/>
          <a:ext cx="1059683" cy="281940"/>
        </a:xfrm>
        <a:prstGeom prst="round2SameRect">
          <a:avLst/>
        </a:prstGeom>
        <a:solidFill>
          <a:srgbClr val="E2E2E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44BFEC3F-4199-4219-9FA0-8D062D9C780B}" type="TxLink">
            <a:rPr lang="en-US" sz="1100" b="0" i="0" u="none" strike="noStrike">
              <a:solidFill>
                <a:srgbClr val="000000"/>
              </a:solidFill>
              <a:latin typeface="Calibri Light"/>
              <a:ea typeface="+mn-ea"/>
              <a:cs typeface="Calibri Light"/>
            </a:rPr>
            <a:pPr marL="0" indent="0" algn="ctr"/>
            <a:t>PPE Inputs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6</xdr:col>
      <xdr:colOff>745394</xdr:colOff>
      <xdr:row>3</xdr:row>
      <xdr:rowOff>76200</xdr:rowOff>
    </xdr:from>
    <xdr:to>
      <xdr:col>7</xdr:col>
      <xdr:colOff>785274</xdr:colOff>
      <xdr:row>4</xdr:row>
      <xdr:rowOff>175260</xdr:rowOff>
    </xdr:to>
    <xdr:sp macro="" textlink="'READ ME'!C26">
      <xdr:nvSpPr>
        <xdr:cNvPr id="12" name="Round Same Side Corner Rectangle 11">
          <a:hlinkClick xmlns:r="http://schemas.openxmlformats.org/officeDocument/2006/relationships" r:id="rId10"/>
          <a:extLst>
            <a:ext uri="{FF2B5EF4-FFF2-40B4-BE49-F238E27FC236}">
              <a16:creationId xmlns:a16="http://schemas.microsoft.com/office/drawing/2014/main" id="{00000000-0008-0000-0200-000004000000}"/>
            </a:ext>
          </a:extLst>
        </xdr:cNvPr>
        <xdr:cNvSpPr/>
      </xdr:nvSpPr>
      <xdr:spPr>
        <a:xfrm>
          <a:off x="8342534" y="624840"/>
          <a:ext cx="1053340" cy="281940"/>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735779C6-94DB-4359-AF4E-476AFAF53726}" type="TxLink">
            <a:rPr lang="en-US" sz="1100" b="0" i="0" u="none" strike="noStrike">
              <a:solidFill>
                <a:srgbClr val="000000"/>
              </a:solidFill>
              <a:latin typeface="Calibri Light"/>
              <a:ea typeface="+mn-ea"/>
              <a:cs typeface="Calibri Light"/>
            </a:rPr>
            <a:pPr marL="0" indent="0" algn="ctr"/>
            <a:t>PPE Outputs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xdr:from>
      <xdr:col>0</xdr:col>
      <xdr:colOff>243840</xdr:colOff>
      <xdr:row>3</xdr:row>
      <xdr:rowOff>45720</xdr:rowOff>
    </xdr:from>
    <xdr:to>
      <xdr:col>0</xdr:col>
      <xdr:colOff>388620</xdr:colOff>
      <xdr:row>4</xdr:row>
      <xdr:rowOff>137160</xdr:rowOff>
    </xdr:to>
    <xdr:sp macro="" textlink="">
      <xdr:nvSpPr>
        <xdr:cNvPr id="13" name="Down Arrow 12"/>
        <xdr:cNvSpPr/>
      </xdr:nvSpPr>
      <xdr:spPr>
        <a:xfrm>
          <a:off x="243840" y="594360"/>
          <a:ext cx="144780" cy="274320"/>
        </a:xfrm>
        <a:prstGeom prst="downArrow">
          <a:avLst/>
        </a:prstGeom>
        <a:solidFill>
          <a:srgbClr val="00B2E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7620</xdr:colOff>
      <xdr:row>3</xdr:row>
      <xdr:rowOff>81280</xdr:rowOff>
    </xdr:from>
    <xdr:to>
      <xdr:col>1</xdr:col>
      <xdr:colOff>953778</xdr:colOff>
      <xdr:row>4</xdr:row>
      <xdr:rowOff>176530</xdr:rowOff>
    </xdr:to>
    <xdr:sp macro="" textlink="'READ ME'!C19">
      <xdr:nvSpPr>
        <xdr:cNvPr id="2" name="Round Same Side Corner Rectangle 1">
          <a:hlinkClick xmlns:r="http://schemas.openxmlformats.org/officeDocument/2006/relationships" r:id="rId1"/>
        </xdr:cNvPr>
        <xdr:cNvSpPr/>
      </xdr:nvSpPr>
      <xdr:spPr>
        <a:xfrm>
          <a:off x="617220" y="629920"/>
          <a:ext cx="946158" cy="278130"/>
        </a:xfrm>
        <a:prstGeom prst="round2SameRect">
          <a:avLst/>
        </a:prstGeom>
        <a:solidFill>
          <a:schemeClr val="bg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8E4A4688-AF55-49C6-98FA-56273FB240CC}" type="TxLink">
            <a:rPr lang="en-US" sz="1000" b="0" i="0" u="none" strike="noStrike">
              <a:solidFill>
                <a:srgbClr val="000000"/>
              </a:solidFill>
              <a:latin typeface="Calibri Light"/>
              <a:ea typeface="+mn-ea"/>
              <a:cs typeface="Calibri Light"/>
            </a:rPr>
            <a:pPr marL="0" indent="0" algn="ctr"/>
            <a:t>Cover Page</a:t>
          </a:fld>
          <a:endParaRPr lang="en-US" sz="1000" b="1" i="0" u="none" strike="noStrike">
            <a:solidFill>
              <a:srgbClr val="000000"/>
            </a:solidFill>
            <a:latin typeface="+mn-lt"/>
            <a:ea typeface="+mn-ea"/>
            <a:cs typeface="Calibri"/>
          </a:endParaRPr>
        </a:p>
      </xdr:txBody>
    </xdr:sp>
    <xdr:clientData/>
  </xdr:twoCellAnchor>
  <xdr:twoCellAnchor editAs="absolute">
    <xdr:from>
      <xdr:col>2</xdr:col>
      <xdr:colOff>482036</xdr:colOff>
      <xdr:row>3</xdr:row>
      <xdr:rowOff>83820</xdr:rowOff>
    </xdr:from>
    <xdr:to>
      <xdr:col>4</xdr:col>
      <xdr:colOff>322519</xdr:colOff>
      <xdr:row>4</xdr:row>
      <xdr:rowOff>177800</xdr:rowOff>
    </xdr:to>
    <xdr:sp macro="" textlink="'READ ME'!C21">
      <xdr:nvSpPr>
        <xdr:cNvPr id="3" name="Round Same Side Corner Rectangle 2">
          <a:hlinkClick xmlns:r="http://schemas.openxmlformats.org/officeDocument/2006/relationships" r:id="rId2"/>
        </xdr:cNvPr>
        <xdr:cNvSpPr/>
      </xdr:nvSpPr>
      <xdr:spPr>
        <a:xfrm>
          <a:off x="2745176" y="632460"/>
          <a:ext cx="1059683" cy="276860"/>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5789DC4D-013E-4929-BCE2-4922196E81B0}" type="TxLink">
            <a:rPr lang="en-US" sz="1000" b="0" i="0" u="none" strike="noStrike">
              <a:solidFill>
                <a:srgbClr val="000000"/>
              </a:solidFill>
              <a:latin typeface="Calibri Light"/>
              <a:ea typeface="+mn-ea"/>
              <a:cs typeface="Calibri Light"/>
            </a:rPr>
            <a:pPr marL="0" indent="0" algn="ctr"/>
            <a:t>Custom Graphics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4</xdr:col>
      <xdr:colOff>383576</xdr:colOff>
      <xdr:row>3</xdr:row>
      <xdr:rowOff>83820</xdr:rowOff>
    </xdr:from>
    <xdr:to>
      <xdr:col>6</xdr:col>
      <xdr:colOff>217716</xdr:colOff>
      <xdr:row>4</xdr:row>
      <xdr:rowOff>177800</xdr:rowOff>
    </xdr:to>
    <xdr:sp macro="" textlink="'READ ME'!C22">
      <xdr:nvSpPr>
        <xdr:cNvPr id="4" name="Round Same Side Corner Rectangle 3">
          <a:hlinkClick xmlns:r="http://schemas.openxmlformats.org/officeDocument/2006/relationships" r:id="rId3"/>
        </xdr:cNvPr>
        <xdr:cNvSpPr/>
      </xdr:nvSpPr>
      <xdr:spPr>
        <a:xfrm>
          <a:off x="3865916" y="632460"/>
          <a:ext cx="1053340" cy="276860"/>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E73F0B8E-C9D5-4377-AC00-4F14C7B101EC}" type="TxLink">
            <a:rPr lang="en-US" sz="1000" b="0" i="0" u="none" strike="noStrike">
              <a:solidFill>
                <a:srgbClr val="000000"/>
              </a:solidFill>
              <a:latin typeface="Calibri Light"/>
              <a:ea typeface="+mn-ea"/>
              <a:cs typeface="Calibri Light"/>
            </a:rPr>
            <a:pPr marL="0" indent="0" algn="ctr"/>
            <a:t>Ontario Graphics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6</xdr:col>
      <xdr:colOff>278773</xdr:colOff>
      <xdr:row>3</xdr:row>
      <xdr:rowOff>83820</xdr:rowOff>
    </xdr:from>
    <xdr:to>
      <xdr:col>8</xdr:col>
      <xdr:colOff>119257</xdr:colOff>
      <xdr:row>4</xdr:row>
      <xdr:rowOff>177800</xdr:rowOff>
    </xdr:to>
    <xdr:sp macro="" textlink="'READ ME'!C23">
      <xdr:nvSpPr>
        <xdr:cNvPr id="5" name="Round Same Side Corner Rectangle 4">
          <a:hlinkClick xmlns:r="http://schemas.openxmlformats.org/officeDocument/2006/relationships" r:id="rId4"/>
        </xdr:cNvPr>
        <xdr:cNvSpPr/>
      </xdr:nvSpPr>
      <xdr:spPr>
        <a:xfrm>
          <a:off x="4980313" y="632460"/>
          <a:ext cx="1059684" cy="276860"/>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E14468D5-14D7-4FF7-A55C-BD548DE85EF6}" type="TxLink">
            <a:rPr lang="en-US" sz="1000" b="0" i="0" u="none" strike="noStrike">
              <a:solidFill>
                <a:srgbClr val="000000"/>
              </a:solidFill>
              <a:latin typeface="Calibri Light"/>
              <a:ea typeface="+mn-ea"/>
              <a:cs typeface="Calibri Light"/>
            </a:rPr>
            <a:pPr marL="0" indent="0" algn="ctr"/>
            <a:t>Regional Graphics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8</xdr:col>
      <xdr:colOff>180314</xdr:colOff>
      <xdr:row>3</xdr:row>
      <xdr:rowOff>91440</xdr:rowOff>
    </xdr:from>
    <xdr:to>
      <xdr:col>10</xdr:col>
      <xdr:colOff>20798</xdr:colOff>
      <xdr:row>5</xdr:row>
      <xdr:rowOff>2540</xdr:rowOff>
    </xdr:to>
    <xdr:sp macro="" textlink="'READ ME'!C24">
      <xdr:nvSpPr>
        <xdr:cNvPr id="7" name="Round Same Side Corner Rectangle 6">
          <a:hlinkClick xmlns:r="http://schemas.openxmlformats.org/officeDocument/2006/relationships" r:id="rId5"/>
        </xdr:cNvPr>
        <xdr:cNvSpPr/>
      </xdr:nvSpPr>
      <xdr:spPr>
        <a:xfrm>
          <a:off x="6101054" y="640080"/>
          <a:ext cx="1059684" cy="276860"/>
        </a:xfrm>
        <a:prstGeom prst="round2SameRect">
          <a:avLst/>
        </a:prstGeom>
        <a:solidFill>
          <a:schemeClr val="bg1"/>
        </a:solidFill>
        <a:ln w="19050">
          <a:solidFill>
            <a:srgbClr val="00B2E3"/>
          </a:solid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BC9996EB-5C1B-4C61-B31A-09FFD81EC2D6}" type="TxLink">
            <a:rPr lang="en-US" sz="1100" b="0" i="0" u="none" strike="noStrike">
              <a:solidFill>
                <a:srgbClr val="000000"/>
              </a:solidFill>
              <a:latin typeface="Calibri Light"/>
              <a:ea typeface="+mn-ea"/>
              <a:cs typeface="Calibri Light"/>
            </a:rPr>
            <a:pPr marL="0" indent="0" algn="ctr"/>
            <a:t>Documentation</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1</xdr:col>
      <xdr:colOff>1014835</xdr:colOff>
      <xdr:row>3</xdr:row>
      <xdr:rowOff>83820</xdr:rowOff>
    </xdr:from>
    <xdr:to>
      <xdr:col>2</xdr:col>
      <xdr:colOff>420979</xdr:colOff>
      <xdr:row>4</xdr:row>
      <xdr:rowOff>177800</xdr:rowOff>
    </xdr:to>
    <xdr:sp macro="" textlink="'READ ME'!C20">
      <xdr:nvSpPr>
        <xdr:cNvPr id="8" name="Round Same Side Corner Rectangle 7">
          <a:hlinkClick xmlns:r="http://schemas.openxmlformats.org/officeDocument/2006/relationships" r:id="rId6"/>
        </xdr:cNvPr>
        <xdr:cNvSpPr/>
      </xdr:nvSpPr>
      <xdr:spPr>
        <a:xfrm>
          <a:off x="1624435" y="632460"/>
          <a:ext cx="1059684" cy="276860"/>
        </a:xfrm>
        <a:prstGeom prst="round2SameRect">
          <a:avLst/>
        </a:prstGeom>
        <a:solidFill>
          <a:srgbClr val="E2E2E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06BB82D5-84C1-47D5-8660-F115094AE6B3}" type="TxLink">
            <a:rPr lang="en-US" sz="1100" b="0" i="0" u="none" strike="noStrike">
              <a:solidFill>
                <a:srgbClr val="000000"/>
              </a:solidFill>
              <a:latin typeface="Calibri Light"/>
              <a:ea typeface="+mn-ea"/>
              <a:cs typeface="Calibri Light"/>
            </a:rPr>
            <a:pPr marL="0" indent="0" algn="ctr"/>
            <a:t>Data Inputs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10</xdr:col>
      <xdr:colOff>81855</xdr:colOff>
      <xdr:row>3</xdr:row>
      <xdr:rowOff>83820</xdr:rowOff>
    </xdr:from>
    <xdr:to>
      <xdr:col>11</xdr:col>
      <xdr:colOff>531938</xdr:colOff>
      <xdr:row>4</xdr:row>
      <xdr:rowOff>177800</xdr:rowOff>
    </xdr:to>
    <xdr:sp macro="" textlink="'READ ME'!C25">
      <xdr:nvSpPr>
        <xdr:cNvPr id="9" name="Round Same Side Corner Rectangle 8">
          <a:hlinkClick xmlns:r="http://schemas.openxmlformats.org/officeDocument/2006/relationships" r:id="rId7"/>
          <a:extLst>
            <a:ext uri="{FF2B5EF4-FFF2-40B4-BE49-F238E27FC236}">
              <a16:creationId xmlns:a16="http://schemas.microsoft.com/office/drawing/2014/main" id="{00000000-0008-0000-0200-000003000000}"/>
            </a:ext>
          </a:extLst>
        </xdr:cNvPr>
        <xdr:cNvSpPr/>
      </xdr:nvSpPr>
      <xdr:spPr>
        <a:xfrm>
          <a:off x="7221795" y="632460"/>
          <a:ext cx="1059683" cy="276860"/>
        </a:xfrm>
        <a:prstGeom prst="round2SameRect">
          <a:avLst/>
        </a:prstGeom>
        <a:solidFill>
          <a:srgbClr val="E2E2E2"/>
        </a:solidFill>
        <a:ln w="19050">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1F2C176B-1D1B-401D-90D3-A08704E80749}" type="TxLink">
            <a:rPr lang="en-US" sz="1100" b="0" i="0" u="none" strike="noStrike">
              <a:solidFill>
                <a:srgbClr val="000000"/>
              </a:solidFill>
              <a:latin typeface="Calibri Light"/>
              <a:ea typeface="+mn-ea"/>
              <a:cs typeface="Calibri Light"/>
            </a:rPr>
            <a:pPr marL="0" indent="0" algn="ctr"/>
            <a:t>PPE Inputs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editAs="absolute">
    <xdr:from>
      <xdr:col>11</xdr:col>
      <xdr:colOff>592994</xdr:colOff>
      <xdr:row>3</xdr:row>
      <xdr:rowOff>83820</xdr:rowOff>
    </xdr:from>
    <xdr:to>
      <xdr:col>13</xdr:col>
      <xdr:colOff>427134</xdr:colOff>
      <xdr:row>4</xdr:row>
      <xdr:rowOff>177800</xdr:rowOff>
    </xdr:to>
    <xdr:sp macro="" textlink="'READ ME'!C26">
      <xdr:nvSpPr>
        <xdr:cNvPr id="10" name="Round Same Side Corner Rectangle 9">
          <a:hlinkClick xmlns:r="http://schemas.openxmlformats.org/officeDocument/2006/relationships" r:id="rId8"/>
          <a:extLst>
            <a:ext uri="{FF2B5EF4-FFF2-40B4-BE49-F238E27FC236}">
              <a16:creationId xmlns:a16="http://schemas.microsoft.com/office/drawing/2014/main" id="{00000000-0008-0000-0200-000004000000}"/>
            </a:ext>
          </a:extLst>
        </xdr:cNvPr>
        <xdr:cNvSpPr/>
      </xdr:nvSpPr>
      <xdr:spPr>
        <a:xfrm>
          <a:off x="8342534" y="632460"/>
          <a:ext cx="1053340" cy="276860"/>
        </a:xfrm>
        <a:prstGeom prst="round2SameRect">
          <a:avLst/>
        </a:prstGeom>
        <a:solidFill>
          <a:srgbClr val="E2E2E2"/>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lIns="0" tIns="0" rIns="0" bIns="0" rtlCol="0" anchor="ctr"/>
        <a:lstStyle/>
        <a:p>
          <a:pPr marL="0" indent="0" algn="ctr"/>
          <a:fld id="{C4350059-8FB8-45BE-8BE9-22E7982796C4}" type="TxLink">
            <a:rPr lang="en-US" sz="1100" b="0" i="0" u="none" strike="noStrike">
              <a:solidFill>
                <a:srgbClr val="000000"/>
              </a:solidFill>
              <a:latin typeface="Calibri Light"/>
              <a:ea typeface="+mn-ea"/>
              <a:cs typeface="Calibri Light"/>
            </a:rPr>
            <a:pPr marL="0" indent="0" algn="ctr"/>
            <a:t>PPE Outputs</a:t>
          </a:fld>
          <a:endParaRPr lang="en-US" sz="1000" b="0" i="0" u="none" strike="noStrike">
            <a:solidFill>
              <a:schemeClr val="tx1">
                <a:lumMod val="65000"/>
                <a:lumOff val="35000"/>
              </a:schemeClr>
            </a:solidFill>
            <a:latin typeface="Calibri"/>
            <a:ea typeface="+mn-ea"/>
            <a:cs typeface="Calibri"/>
          </a:endParaRPr>
        </a:p>
      </xdr:txBody>
    </xdr:sp>
    <xdr:clientData/>
  </xdr:twoCellAnchor>
  <xdr:twoCellAnchor>
    <xdr:from>
      <xdr:col>1</xdr:col>
      <xdr:colOff>17033</xdr:colOff>
      <xdr:row>89</xdr:row>
      <xdr:rowOff>22860</xdr:rowOff>
    </xdr:from>
    <xdr:to>
      <xdr:col>12</xdr:col>
      <xdr:colOff>272975</xdr:colOff>
      <xdr:row>113</xdr:row>
      <xdr:rowOff>165399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30480</xdr:colOff>
      <xdr:row>113</xdr:row>
      <xdr:rowOff>90094</xdr:rowOff>
    </xdr:from>
    <xdr:to>
      <xdr:col>12</xdr:col>
      <xdr:colOff>286422</xdr:colOff>
      <xdr:row>138</xdr:row>
      <xdr:rowOff>49753</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243840</xdr:colOff>
      <xdr:row>3</xdr:row>
      <xdr:rowOff>45720</xdr:rowOff>
    </xdr:from>
    <xdr:to>
      <xdr:col>0</xdr:col>
      <xdr:colOff>388620</xdr:colOff>
      <xdr:row>4</xdr:row>
      <xdr:rowOff>137160</xdr:rowOff>
    </xdr:to>
    <xdr:sp macro="" textlink="">
      <xdr:nvSpPr>
        <xdr:cNvPr id="15" name="Down Arrow 14"/>
        <xdr:cNvSpPr/>
      </xdr:nvSpPr>
      <xdr:spPr>
        <a:xfrm>
          <a:off x="243840" y="594360"/>
          <a:ext cx="144780" cy="274320"/>
        </a:xfrm>
        <a:prstGeom prst="downArrow">
          <a:avLst/>
        </a:prstGeom>
        <a:solidFill>
          <a:srgbClr val="00B2E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601980</xdr:colOff>
      <xdr:row>44</xdr:row>
      <xdr:rowOff>121920</xdr:rowOff>
    </xdr:from>
    <xdr:to>
      <xdr:col>14</xdr:col>
      <xdr:colOff>388620</xdr:colOff>
      <xdr:row>87</xdr:row>
      <xdr:rowOff>47222</xdr:rowOff>
    </xdr:to>
    <xdr:pic>
      <xdr:nvPicPr>
        <xdr:cNvPr id="16" name="Picture 15"/>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01980" y="8168640"/>
          <a:ext cx="9364980" cy="7789142"/>
        </a:xfrm>
        <a:prstGeom prst="rect">
          <a:avLst/>
        </a:prstGeom>
        <a:noFill/>
        <a:ln>
          <a:noFill/>
        </a:ln>
      </xdr:spPr>
    </xdr:pic>
    <xdr:clientData/>
  </xdr:twoCellAnchor>
</xdr:wsDr>
</file>

<file path=xl/drawings/drawing8.xml><?xml version="1.0" encoding="utf-8"?>
<c:userShapes xmlns:c="http://schemas.openxmlformats.org/drawingml/2006/chart">
  <cdr:relSizeAnchor xmlns:cdr="http://schemas.openxmlformats.org/drawingml/2006/chartDrawing">
    <cdr:from>
      <cdr:x>0.48488</cdr:x>
      <cdr:y>0.0999</cdr:y>
    </cdr:from>
    <cdr:to>
      <cdr:x>0.48488</cdr:x>
      <cdr:y>0.79213</cdr:y>
    </cdr:to>
    <cdr:cxnSp macro="">
      <cdr:nvCxnSpPr>
        <cdr:cNvPr id="3" name="Straight Connector 2"/>
        <cdr:cNvCxnSpPr/>
      </cdr:nvCxnSpPr>
      <cdr:spPr>
        <a:xfrm xmlns:a="http://schemas.openxmlformats.org/drawingml/2006/main">
          <a:off x="3881717" y="443752"/>
          <a:ext cx="0" cy="3074894"/>
        </a:xfrm>
        <a:prstGeom xmlns:a="http://schemas.openxmlformats.org/drawingml/2006/main" prst="line">
          <a:avLst/>
        </a:prstGeom>
        <a:ln xmlns:a="http://schemas.openxmlformats.org/drawingml/2006/main" w="38100">
          <a:solidFill>
            <a:sysClr val="windowText" lastClr="00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0.85293</cdr:x>
      <cdr:y>0.10326</cdr:y>
    </cdr:from>
    <cdr:to>
      <cdr:x>0.85293</cdr:x>
      <cdr:y>0.79549</cdr:y>
    </cdr:to>
    <cdr:cxnSp macro="">
      <cdr:nvCxnSpPr>
        <cdr:cNvPr id="4" name="Straight Connector 3"/>
        <cdr:cNvCxnSpPr/>
      </cdr:nvCxnSpPr>
      <cdr:spPr>
        <a:xfrm xmlns:a="http://schemas.openxmlformats.org/drawingml/2006/main">
          <a:off x="6828117" y="458694"/>
          <a:ext cx="0" cy="3074894"/>
        </a:xfrm>
        <a:prstGeom xmlns:a="http://schemas.openxmlformats.org/drawingml/2006/main" prst="line">
          <a:avLst/>
        </a:prstGeom>
        <a:ln xmlns:a="http://schemas.openxmlformats.org/drawingml/2006/main" w="38100">
          <a:solidFill>
            <a:sysClr val="windowText" lastClr="00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0.47256</cdr:x>
      <cdr:y>0.04541</cdr:y>
    </cdr:from>
    <cdr:to>
      <cdr:x>0.64989</cdr:x>
      <cdr:y>0.0999</cdr:y>
    </cdr:to>
    <cdr:sp macro="" textlink="">
      <cdr:nvSpPr>
        <cdr:cNvPr id="5" name="TextBox 4"/>
        <cdr:cNvSpPr txBox="1"/>
      </cdr:nvSpPr>
      <cdr:spPr>
        <a:xfrm xmlns:a="http://schemas.openxmlformats.org/drawingml/2006/main">
          <a:off x="3783071" y="205783"/>
          <a:ext cx="1419596" cy="2469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solidFill>
                <a:schemeClr val="tx1">
                  <a:lumMod val="75000"/>
                  <a:lumOff val="25000"/>
                </a:schemeClr>
              </a:solidFill>
              <a:latin typeface="+mj-lt"/>
            </a:rPr>
            <a:t>Start</a:t>
          </a:r>
          <a:r>
            <a:rPr lang="en-US" sz="1100" baseline="0">
              <a:solidFill>
                <a:schemeClr val="tx1">
                  <a:lumMod val="75000"/>
                  <a:lumOff val="25000"/>
                </a:schemeClr>
              </a:solidFill>
              <a:latin typeface="+mj-lt"/>
            </a:rPr>
            <a:t> r</a:t>
          </a:r>
          <a:r>
            <a:rPr lang="en-US" sz="1100">
              <a:solidFill>
                <a:schemeClr val="tx1">
                  <a:lumMod val="75000"/>
                  <a:lumOff val="25000"/>
                </a:schemeClr>
              </a:solidFill>
              <a:latin typeface="+mj-lt"/>
            </a:rPr>
            <a:t>amp</a:t>
          </a:r>
          <a:r>
            <a:rPr lang="en-US" sz="1100" baseline="0">
              <a:solidFill>
                <a:schemeClr val="tx1">
                  <a:lumMod val="75000"/>
                  <a:lumOff val="25000"/>
                </a:schemeClr>
              </a:solidFill>
              <a:latin typeface="+mj-lt"/>
            </a:rPr>
            <a:t> up date</a:t>
          </a:r>
          <a:endParaRPr lang="en-US" sz="1100">
            <a:solidFill>
              <a:schemeClr val="tx1">
                <a:lumMod val="75000"/>
                <a:lumOff val="25000"/>
              </a:schemeClr>
            </a:solidFill>
            <a:latin typeface="+mj-lt"/>
          </a:endParaRPr>
        </a:p>
      </cdr:txBody>
    </cdr:sp>
  </cdr:relSizeAnchor>
  <cdr:relSizeAnchor xmlns:cdr="http://schemas.openxmlformats.org/drawingml/2006/chartDrawing">
    <cdr:from>
      <cdr:x>0.73365</cdr:x>
      <cdr:y>0.04575</cdr:y>
    </cdr:from>
    <cdr:to>
      <cdr:x>0.92783</cdr:x>
      <cdr:y>0.11098</cdr:y>
    </cdr:to>
    <cdr:sp macro="" textlink="">
      <cdr:nvSpPr>
        <cdr:cNvPr id="6" name="TextBox 1"/>
        <cdr:cNvSpPr txBox="1"/>
      </cdr:nvSpPr>
      <cdr:spPr>
        <a:xfrm xmlns:a="http://schemas.openxmlformats.org/drawingml/2006/main">
          <a:off x="5873227" y="207322"/>
          <a:ext cx="1554480" cy="2955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chemeClr val="tx1">
                  <a:lumMod val="75000"/>
                  <a:lumOff val="25000"/>
                </a:schemeClr>
              </a:solidFill>
              <a:latin typeface="+mj-lt"/>
            </a:rPr>
            <a:t>End ramp</a:t>
          </a:r>
          <a:r>
            <a:rPr lang="en-US" sz="1100" baseline="0">
              <a:solidFill>
                <a:schemeClr val="tx1">
                  <a:lumMod val="75000"/>
                  <a:lumOff val="25000"/>
                </a:schemeClr>
              </a:solidFill>
              <a:latin typeface="+mj-lt"/>
            </a:rPr>
            <a:t> up date</a:t>
          </a:r>
          <a:endParaRPr lang="en-US" sz="1100">
            <a:solidFill>
              <a:schemeClr val="tx1">
                <a:lumMod val="75000"/>
                <a:lumOff val="25000"/>
              </a:schemeClr>
            </a:solidFill>
            <a:latin typeface="+mj-lt"/>
          </a:endParaRPr>
        </a:p>
      </cdr:txBody>
    </cdr:sp>
  </cdr:relSizeAnchor>
  <cdr:relSizeAnchor xmlns:cdr="http://schemas.openxmlformats.org/drawingml/2006/chartDrawing">
    <cdr:from>
      <cdr:x>0.03434</cdr:x>
      <cdr:y>0.62664</cdr:y>
    </cdr:from>
    <cdr:to>
      <cdr:x>0.34938</cdr:x>
      <cdr:y>0.77195</cdr:y>
    </cdr:to>
    <cdr:sp macro="" textlink="">
      <cdr:nvSpPr>
        <cdr:cNvPr id="7" name="TextBox 1"/>
        <cdr:cNvSpPr txBox="1"/>
      </cdr:nvSpPr>
      <cdr:spPr>
        <a:xfrm xmlns:a="http://schemas.openxmlformats.org/drawingml/2006/main">
          <a:off x="274916" y="2783540"/>
          <a:ext cx="2522072" cy="645459"/>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chemeClr val="tx1">
                  <a:lumMod val="75000"/>
                  <a:lumOff val="25000"/>
                </a:schemeClr>
              </a:solidFill>
              <a:latin typeface="+mj-lt"/>
            </a:rPr>
            <a:t>Backlog accumulated up to the ramp</a:t>
          </a:r>
          <a:r>
            <a:rPr lang="en-US" sz="1100" baseline="0">
              <a:solidFill>
                <a:schemeClr val="tx1">
                  <a:lumMod val="75000"/>
                  <a:lumOff val="25000"/>
                </a:schemeClr>
              </a:solidFill>
              <a:latin typeface="+mj-lt"/>
            </a:rPr>
            <a:t> up date plus the diminishing backlog as services ramp up.</a:t>
          </a:r>
          <a:endParaRPr lang="en-US" sz="1100">
            <a:solidFill>
              <a:schemeClr val="tx1">
                <a:lumMod val="75000"/>
                <a:lumOff val="25000"/>
              </a:schemeClr>
            </a:solidFill>
            <a:latin typeface="+mj-lt"/>
          </a:endParaRPr>
        </a:p>
      </cdr:txBody>
    </cdr:sp>
  </cdr:relSizeAnchor>
  <cdr:relSizeAnchor xmlns:cdr="http://schemas.openxmlformats.org/drawingml/2006/chartDrawing">
    <cdr:from>
      <cdr:x>0.01816</cdr:x>
      <cdr:y>0.09934</cdr:y>
    </cdr:from>
    <cdr:to>
      <cdr:x>0.01816</cdr:x>
      <cdr:y>0.79157</cdr:y>
    </cdr:to>
    <cdr:cxnSp macro="">
      <cdr:nvCxnSpPr>
        <cdr:cNvPr id="8" name="Straight Connector 7"/>
        <cdr:cNvCxnSpPr/>
      </cdr:nvCxnSpPr>
      <cdr:spPr>
        <a:xfrm xmlns:a="http://schemas.openxmlformats.org/drawingml/2006/main">
          <a:off x="145358" y="450173"/>
          <a:ext cx="0" cy="3136950"/>
        </a:xfrm>
        <a:prstGeom xmlns:a="http://schemas.openxmlformats.org/drawingml/2006/main" prst="line">
          <a:avLst/>
        </a:prstGeom>
        <a:ln xmlns:a="http://schemas.openxmlformats.org/drawingml/2006/main" w="38100">
          <a:solidFill>
            <a:sysClr val="windowText" lastClr="00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0.00635</cdr:x>
      <cdr:y>0.04652</cdr:y>
    </cdr:from>
    <cdr:to>
      <cdr:x>0.15873</cdr:x>
      <cdr:y>0.10101</cdr:y>
    </cdr:to>
    <cdr:sp macro="" textlink="">
      <cdr:nvSpPr>
        <cdr:cNvPr id="9" name="TextBox 1"/>
        <cdr:cNvSpPr txBox="1"/>
      </cdr:nvSpPr>
      <cdr:spPr>
        <a:xfrm xmlns:a="http://schemas.openxmlformats.org/drawingml/2006/main">
          <a:off x="50799" y="210820"/>
          <a:ext cx="1219947" cy="246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chemeClr val="tx1">
                  <a:lumMod val="75000"/>
                  <a:lumOff val="25000"/>
                </a:schemeClr>
              </a:solidFill>
              <a:latin typeface="+mj-lt"/>
            </a:rPr>
            <a:t>Ramp</a:t>
          </a:r>
          <a:r>
            <a:rPr lang="en-US" sz="1100" baseline="0">
              <a:solidFill>
                <a:schemeClr val="tx1">
                  <a:lumMod val="75000"/>
                  <a:lumOff val="25000"/>
                </a:schemeClr>
              </a:solidFill>
              <a:latin typeface="+mj-lt"/>
            </a:rPr>
            <a:t> down date</a:t>
          </a:r>
          <a:endParaRPr lang="en-US" sz="1100">
            <a:solidFill>
              <a:schemeClr val="tx1">
                <a:lumMod val="75000"/>
                <a:lumOff val="25000"/>
              </a:schemeClr>
            </a:solidFill>
            <a:latin typeface="+mj-lt"/>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0.48488</cdr:x>
      <cdr:y>0.0999</cdr:y>
    </cdr:from>
    <cdr:to>
      <cdr:x>0.48488</cdr:x>
      <cdr:y>0.79213</cdr:y>
    </cdr:to>
    <cdr:cxnSp macro="">
      <cdr:nvCxnSpPr>
        <cdr:cNvPr id="3" name="Straight Connector 2"/>
        <cdr:cNvCxnSpPr/>
      </cdr:nvCxnSpPr>
      <cdr:spPr>
        <a:xfrm xmlns:a="http://schemas.openxmlformats.org/drawingml/2006/main">
          <a:off x="3881717" y="443752"/>
          <a:ext cx="0" cy="3074894"/>
        </a:xfrm>
        <a:prstGeom xmlns:a="http://schemas.openxmlformats.org/drawingml/2006/main" prst="line">
          <a:avLst/>
        </a:prstGeom>
        <a:ln xmlns:a="http://schemas.openxmlformats.org/drawingml/2006/main" w="38100">
          <a:solidFill>
            <a:sysClr val="windowText" lastClr="00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0.85293</cdr:x>
      <cdr:y>0.10326</cdr:y>
    </cdr:from>
    <cdr:to>
      <cdr:x>0.85293</cdr:x>
      <cdr:y>0.79549</cdr:y>
    </cdr:to>
    <cdr:cxnSp macro="">
      <cdr:nvCxnSpPr>
        <cdr:cNvPr id="4" name="Straight Connector 3"/>
        <cdr:cNvCxnSpPr/>
      </cdr:nvCxnSpPr>
      <cdr:spPr>
        <a:xfrm xmlns:a="http://schemas.openxmlformats.org/drawingml/2006/main">
          <a:off x="6828117" y="458694"/>
          <a:ext cx="0" cy="3074894"/>
        </a:xfrm>
        <a:prstGeom xmlns:a="http://schemas.openxmlformats.org/drawingml/2006/main" prst="line">
          <a:avLst/>
        </a:prstGeom>
        <a:ln xmlns:a="http://schemas.openxmlformats.org/drawingml/2006/main" w="38100">
          <a:solidFill>
            <a:sysClr val="windowText" lastClr="00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0.47256</cdr:x>
      <cdr:y>0.04541</cdr:y>
    </cdr:from>
    <cdr:to>
      <cdr:x>0.65297</cdr:x>
      <cdr:y>0.0999</cdr:y>
    </cdr:to>
    <cdr:sp macro="" textlink="">
      <cdr:nvSpPr>
        <cdr:cNvPr id="5" name="TextBox 4"/>
        <cdr:cNvSpPr txBox="1"/>
      </cdr:nvSpPr>
      <cdr:spPr>
        <a:xfrm xmlns:a="http://schemas.openxmlformats.org/drawingml/2006/main">
          <a:off x="3783070" y="205783"/>
          <a:ext cx="1444249" cy="2469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solidFill>
                <a:schemeClr val="tx1">
                  <a:lumMod val="75000"/>
                  <a:lumOff val="25000"/>
                </a:schemeClr>
              </a:solidFill>
              <a:latin typeface="+mj-lt"/>
            </a:rPr>
            <a:t>Sample ramp</a:t>
          </a:r>
          <a:r>
            <a:rPr lang="en-US" sz="1100" baseline="0">
              <a:solidFill>
                <a:schemeClr val="tx1">
                  <a:lumMod val="75000"/>
                  <a:lumOff val="25000"/>
                </a:schemeClr>
              </a:solidFill>
              <a:latin typeface="+mj-lt"/>
            </a:rPr>
            <a:t> up date</a:t>
          </a:r>
          <a:endParaRPr lang="en-US" sz="1100">
            <a:solidFill>
              <a:schemeClr val="tx1">
                <a:lumMod val="75000"/>
                <a:lumOff val="25000"/>
              </a:schemeClr>
            </a:solidFill>
            <a:latin typeface="+mj-lt"/>
          </a:endParaRPr>
        </a:p>
      </cdr:txBody>
    </cdr:sp>
  </cdr:relSizeAnchor>
  <cdr:relSizeAnchor xmlns:cdr="http://schemas.openxmlformats.org/drawingml/2006/chartDrawing">
    <cdr:from>
      <cdr:x>0.74244</cdr:x>
      <cdr:y>0.04575</cdr:y>
    </cdr:from>
    <cdr:to>
      <cdr:x>0.9252</cdr:x>
      <cdr:y>0.09446</cdr:y>
    </cdr:to>
    <cdr:sp macro="" textlink="">
      <cdr:nvSpPr>
        <cdr:cNvPr id="6" name="TextBox 1"/>
        <cdr:cNvSpPr txBox="1"/>
      </cdr:nvSpPr>
      <cdr:spPr>
        <a:xfrm xmlns:a="http://schemas.openxmlformats.org/drawingml/2006/main">
          <a:off x="5943600" y="207323"/>
          <a:ext cx="1463040" cy="2207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chemeClr val="tx1">
                  <a:lumMod val="75000"/>
                  <a:lumOff val="25000"/>
                </a:schemeClr>
              </a:solidFill>
              <a:latin typeface="+mj-lt"/>
            </a:rPr>
            <a:t>End ramp up date</a:t>
          </a:r>
        </a:p>
      </cdr:txBody>
    </cdr:sp>
  </cdr:relSizeAnchor>
  <cdr:relSizeAnchor xmlns:cdr="http://schemas.openxmlformats.org/drawingml/2006/chartDrawing">
    <cdr:from>
      <cdr:x>0.24039</cdr:x>
      <cdr:y>0.30172</cdr:y>
    </cdr:from>
    <cdr:to>
      <cdr:x>0.45465</cdr:x>
      <cdr:y>0.43693</cdr:y>
    </cdr:to>
    <cdr:sp macro="" textlink="">
      <cdr:nvSpPr>
        <cdr:cNvPr id="7" name="TextBox 1"/>
        <cdr:cNvSpPr txBox="1"/>
      </cdr:nvSpPr>
      <cdr:spPr>
        <a:xfrm xmlns:a="http://schemas.openxmlformats.org/drawingml/2006/main">
          <a:off x="1924422" y="1340222"/>
          <a:ext cx="1715248" cy="600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chemeClr val="tx1">
                  <a:lumMod val="75000"/>
                  <a:lumOff val="25000"/>
                </a:schemeClr>
              </a:solidFill>
              <a:latin typeface="+mj-lt"/>
            </a:rPr>
            <a:t>B1 = Backlog accumulated up to the ramp</a:t>
          </a:r>
          <a:r>
            <a:rPr lang="en-US" sz="1100" baseline="0">
              <a:solidFill>
                <a:schemeClr val="tx1">
                  <a:lumMod val="75000"/>
                  <a:lumOff val="25000"/>
                </a:schemeClr>
              </a:solidFill>
              <a:latin typeface="+mj-lt"/>
            </a:rPr>
            <a:t> up date</a:t>
          </a:r>
          <a:endParaRPr lang="en-US" sz="1100">
            <a:solidFill>
              <a:schemeClr val="tx1">
                <a:lumMod val="75000"/>
                <a:lumOff val="25000"/>
              </a:schemeClr>
            </a:solidFill>
            <a:latin typeface="+mj-lt"/>
          </a:endParaRPr>
        </a:p>
      </cdr:txBody>
    </cdr:sp>
  </cdr:relSizeAnchor>
  <cdr:relSizeAnchor xmlns:cdr="http://schemas.openxmlformats.org/drawingml/2006/chartDrawing">
    <cdr:from>
      <cdr:x>0.55701</cdr:x>
      <cdr:y>0.66243</cdr:y>
    </cdr:from>
    <cdr:to>
      <cdr:x>0.77127</cdr:x>
      <cdr:y>0.79765</cdr:y>
    </cdr:to>
    <cdr:sp macro="" textlink="">
      <cdr:nvSpPr>
        <cdr:cNvPr id="8" name="TextBox 1"/>
        <cdr:cNvSpPr txBox="1"/>
      </cdr:nvSpPr>
      <cdr:spPr>
        <a:xfrm xmlns:a="http://schemas.openxmlformats.org/drawingml/2006/main">
          <a:off x="4459111" y="3045822"/>
          <a:ext cx="1715255" cy="621731"/>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chemeClr val="tx1">
                  <a:lumMod val="75000"/>
                  <a:lumOff val="25000"/>
                </a:schemeClr>
              </a:solidFill>
              <a:latin typeface="+mj-lt"/>
            </a:rPr>
            <a:t>B2 = Backlog accumulated up to the full operations </a:t>
          </a:r>
          <a:r>
            <a:rPr lang="en-US" sz="1100" baseline="0">
              <a:solidFill>
                <a:schemeClr val="tx1">
                  <a:lumMod val="75000"/>
                  <a:lumOff val="25000"/>
                </a:schemeClr>
              </a:solidFill>
              <a:latin typeface="+mj-lt"/>
            </a:rPr>
            <a:t>date assuming no ramp up</a:t>
          </a:r>
          <a:endParaRPr lang="en-US" sz="1100">
            <a:solidFill>
              <a:schemeClr val="tx1">
                <a:lumMod val="75000"/>
                <a:lumOff val="25000"/>
              </a:schemeClr>
            </a:solidFill>
            <a:latin typeface="+mj-lt"/>
          </a:endParaRPr>
        </a:p>
      </cdr:txBody>
    </cdr:sp>
  </cdr:relSizeAnchor>
  <cdr:relSizeAnchor xmlns:cdr="http://schemas.openxmlformats.org/drawingml/2006/chartDrawing">
    <cdr:from>
      <cdr:x>0.55543</cdr:x>
      <cdr:y>0.36865</cdr:y>
    </cdr:from>
    <cdr:to>
      <cdr:x>0.79657</cdr:x>
      <cdr:y>0.53885</cdr:y>
    </cdr:to>
    <cdr:sp macro="" textlink="">
      <cdr:nvSpPr>
        <cdr:cNvPr id="9" name="TextBox 1"/>
        <cdr:cNvSpPr txBox="1"/>
      </cdr:nvSpPr>
      <cdr:spPr>
        <a:xfrm xmlns:a="http://schemas.openxmlformats.org/drawingml/2006/main">
          <a:off x="4446494" y="1637552"/>
          <a:ext cx="1930400" cy="75602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chemeClr val="tx1">
                  <a:lumMod val="75000"/>
                  <a:lumOff val="25000"/>
                </a:schemeClr>
              </a:solidFill>
              <a:latin typeface="+mj-lt"/>
            </a:rPr>
            <a:t>B3 = B2 -</a:t>
          </a:r>
          <a:r>
            <a:rPr lang="en-US" sz="1100" baseline="0">
              <a:solidFill>
                <a:schemeClr val="tx1">
                  <a:lumMod val="75000"/>
                  <a:lumOff val="25000"/>
                </a:schemeClr>
              </a:solidFill>
              <a:latin typeface="+mj-lt"/>
            </a:rPr>
            <a:t> B1 = </a:t>
          </a:r>
          <a:r>
            <a:rPr lang="en-US" sz="1100">
              <a:solidFill>
                <a:schemeClr val="tx1">
                  <a:lumMod val="75000"/>
                  <a:lumOff val="25000"/>
                </a:schemeClr>
              </a:solidFill>
              <a:latin typeface="+mj-lt"/>
            </a:rPr>
            <a:t>Backlog accumulated between</a:t>
          </a:r>
          <a:r>
            <a:rPr lang="en-US" sz="1100" baseline="0">
              <a:solidFill>
                <a:schemeClr val="tx1">
                  <a:lumMod val="75000"/>
                  <a:lumOff val="25000"/>
                </a:schemeClr>
              </a:solidFill>
              <a:latin typeface="+mj-lt"/>
            </a:rPr>
            <a:t> ramp up date t</a:t>
          </a:r>
          <a:r>
            <a:rPr lang="en-US" sz="1100">
              <a:solidFill>
                <a:schemeClr val="tx1">
                  <a:lumMod val="75000"/>
                  <a:lumOff val="25000"/>
                </a:schemeClr>
              </a:solidFill>
              <a:latin typeface="+mj-lt"/>
            </a:rPr>
            <a:t>o the full operations </a:t>
          </a:r>
          <a:r>
            <a:rPr lang="en-US" sz="1100" baseline="0">
              <a:solidFill>
                <a:schemeClr val="tx1">
                  <a:lumMod val="75000"/>
                  <a:lumOff val="25000"/>
                </a:schemeClr>
              </a:solidFill>
              <a:latin typeface="+mj-lt"/>
            </a:rPr>
            <a:t>date assuming no ramp up.</a:t>
          </a:r>
          <a:endParaRPr lang="en-US" sz="1100">
            <a:solidFill>
              <a:schemeClr val="tx1">
                <a:lumMod val="75000"/>
                <a:lumOff val="25000"/>
              </a:schemeClr>
            </a:solidFill>
            <a:latin typeface="+mj-lt"/>
          </a:endParaRPr>
        </a:p>
      </cdr:txBody>
    </cdr:sp>
  </cdr:relSizeAnchor>
  <cdr:relSizeAnchor xmlns:cdr="http://schemas.openxmlformats.org/drawingml/2006/chartDrawing">
    <cdr:from>
      <cdr:x>0.01625</cdr:x>
      <cdr:y>0.51598</cdr:y>
    </cdr:from>
    <cdr:to>
      <cdr:x>0.3103</cdr:x>
      <cdr:y>0.79565</cdr:y>
    </cdr:to>
    <mc:AlternateContent xmlns:mc="http://schemas.openxmlformats.org/markup-compatibility/2006" xmlns:a14="http://schemas.microsoft.com/office/drawing/2010/main">
      <mc:Choice Requires="a14">
        <cdr:sp macro="" textlink="">
          <cdr:nvSpPr>
            <cdr:cNvPr id="10" name="TextBox 1"/>
            <cdr:cNvSpPr txBox="1"/>
          </cdr:nvSpPr>
          <cdr:spPr>
            <a:xfrm xmlns:a="http://schemas.openxmlformats.org/drawingml/2006/main">
              <a:off x="130104" y="2338254"/>
              <a:ext cx="2354016" cy="1267352"/>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chemeClr val="tx1">
                      <a:lumMod val="75000"/>
                      <a:lumOff val="25000"/>
                    </a:schemeClr>
                  </a:solidFill>
                  <a:latin typeface="+mj-lt"/>
                </a:rPr>
                <a:t>B4 </a:t>
              </a:r>
              <a14:m>
                <m:oMath xmlns:m="http://schemas.openxmlformats.org/officeDocument/2006/math">
                  <m:r>
                    <a:rPr lang="en-US" sz="1100" i="1">
                      <a:solidFill>
                        <a:schemeClr val="tx1">
                          <a:lumMod val="75000"/>
                          <a:lumOff val="25000"/>
                        </a:schemeClr>
                      </a:solidFill>
                      <a:latin typeface="Cambria Math" panose="02040503050406030204" pitchFamily="18" charset="0"/>
                      <a:ea typeface="Cambria Math" panose="02040503050406030204" pitchFamily="18" charset="0"/>
                    </a:rPr>
                    <m:t>≅</m:t>
                  </m:r>
                </m:oMath>
              </a14:m>
              <a:r>
                <a:rPr lang="en-US" sz="1100">
                  <a:solidFill>
                    <a:schemeClr val="tx1">
                      <a:lumMod val="75000"/>
                      <a:lumOff val="25000"/>
                    </a:schemeClr>
                  </a:solidFill>
                  <a:latin typeface="+mj-lt"/>
                </a:rPr>
                <a:t> B1 + B3 / 2 = B1 + (B2 - B1)/2 = (B1 + B2)</a:t>
              </a:r>
              <a:r>
                <a:rPr lang="en-US" sz="1100" baseline="0">
                  <a:solidFill>
                    <a:schemeClr val="tx1">
                      <a:lumMod val="75000"/>
                      <a:lumOff val="25000"/>
                    </a:schemeClr>
                  </a:solidFill>
                  <a:latin typeface="+mj-lt"/>
                </a:rPr>
                <a:t> / 2 </a:t>
              </a:r>
            </a:p>
            <a:p xmlns:a="http://schemas.openxmlformats.org/drawingml/2006/main">
              <a:endParaRPr lang="en-US" sz="1100" baseline="0">
                <a:solidFill>
                  <a:schemeClr val="tx1">
                    <a:lumMod val="75000"/>
                    <a:lumOff val="25000"/>
                  </a:schemeClr>
                </a:solidFill>
                <a:latin typeface="+mj-lt"/>
              </a:endParaRPr>
            </a:p>
            <a:p xmlns:a="http://schemas.openxmlformats.org/drawingml/2006/main">
              <a:r>
                <a:rPr lang="en-US" sz="1100">
                  <a:solidFill>
                    <a:schemeClr val="tx1">
                      <a:lumMod val="75000"/>
                      <a:lumOff val="25000"/>
                    </a:schemeClr>
                  </a:solidFill>
                  <a:latin typeface="+mj-lt"/>
                </a:rPr>
                <a:t>Backlog accumulated up to the full operations </a:t>
              </a:r>
              <a:r>
                <a:rPr lang="en-US" sz="1100" baseline="0">
                  <a:solidFill>
                    <a:schemeClr val="tx1">
                      <a:lumMod val="75000"/>
                      <a:lumOff val="25000"/>
                    </a:schemeClr>
                  </a:solidFill>
                  <a:latin typeface="+mj-lt"/>
                </a:rPr>
                <a:t>date assuming linear ramp up. This assumes B3 is roughly rectangular.</a:t>
              </a:r>
              <a:endParaRPr lang="en-US" sz="1100">
                <a:solidFill>
                  <a:schemeClr val="tx1">
                    <a:lumMod val="75000"/>
                    <a:lumOff val="25000"/>
                  </a:schemeClr>
                </a:solidFill>
                <a:latin typeface="+mj-lt"/>
              </a:endParaRPr>
            </a:p>
          </cdr:txBody>
        </cdr:sp>
      </mc:Choice>
      <mc:Fallback xmlns="">
        <cdr:sp macro="" textlink="">
          <cdr:nvSpPr>
            <cdr:cNvPr id="10" name="TextBox 1"/>
            <cdr:cNvSpPr txBox="1"/>
          </cdr:nvSpPr>
          <cdr:spPr>
            <a:xfrm xmlns:a="http://schemas.openxmlformats.org/drawingml/2006/main">
              <a:off x="130104" y="2338254"/>
              <a:ext cx="2354016" cy="1267352"/>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chemeClr val="tx1">
                      <a:lumMod val="75000"/>
                      <a:lumOff val="25000"/>
                    </a:schemeClr>
                  </a:solidFill>
                  <a:latin typeface="+mj-lt"/>
                </a:rPr>
                <a:t>B4 </a:t>
              </a:r>
              <a:r>
                <a:rPr lang="en-US" sz="1100" i="0">
                  <a:solidFill>
                    <a:schemeClr val="tx1">
                      <a:lumMod val="75000"/>
                      <a:lumOff val="25000"/>
                    </a:schemeClr>
                  </a:solidFill>
                  <a:latin typeface="+mj-lt"/>
                  <a:ea typeface="Cambria Math" panose="02040503050406030204" pitchFamily="18" charset="0"/>
                </a:rPr>
                <a:t>≅</a:t>
              </a:r>
              <a:r>
                <a:rPr lang="en-US" sz="1100">
                  <a:solidFill>
                    <a:schemeClr val="tx1">
                      <a:lumMod val="75000"/>
                      <a:lumOff val="25000"/>
                    </a:schemeClr>
                  </a:solidFill>
                  <a:latin typeface="+mj-lt"/>
                </a:rPr>
                <a:t> B1 + B3 / 2 = B1 + (B2 - B1)/2 = (B1 + B2)</a:t>
              </a:r>
              <a:r>
                <a:rPr lang="en-US" sz="1100" baseline="0">
                  <a:solidFill>
                    <a:schemeClr val="tx1">
                      <a:lumMod val="75000"/>
                      <a:lumOff val="25000"/>
                    </a:schemeClr>
                  </a:solidFill>
                  <a:latin typeface="+mj-lt"/>
                </a:rPr>
                <a:t> / 2 </a:t>
              </a:r>
            </a:p>
            <a:p xmlns:a="http://schemas.openxmlformats.org/drawingml/2006/main">
              <a:endParaRPr lang="en-US" sz="1100" baseline="0">
                <a:solidFill>
                  <a:schemeClr val="tx1">
                    <a:lumMod val="75000"/>
                    <a:lumOff val="25000"/>
                  </a:schemeClr>
                </a:solidFill>
                <a:latin typeface="+mj-lt"/>
              </a:endParaRPr>
            </a:p>
            <a:p xmlns:a="http://schemas.openxmlformats.org/drawingml/2006/main">
              <a:r>
                <a:rPr lang="en-US" sz="1100">
                  <a:solidFill>
                    <a:schemeClr val="tx1">
                      <a:lumMod val="75000"/>
                      <a:lumOff val="25000"/>
                    </a:schemeClr>
                  </a:solidFill>
                  <a:latin typeface="+mj-lt"/>
                </a:rPr>
                <a:t>Backlog accumulated up to the full operations </a:t>
              </a:r>
              <a:r>
                <a:rPr lang="en-US" sz="1100" baseline="0">
                  <a:solidFill>
                    <a:schemeClr val="tx1">
                      <a:lumMod val="75000"/>
                      <a:lumOff val="25000"/>
                    </a:schemeClr>
                  </a:solidFill>
                  <a:latin typeface="+mj-lt"/>
                </a:rPr>
                <a:t>date assuming linear ramp up. This assumes B3 is roughly rectangular.</a:t>
              </a:r>
              <a:endParaRPr lang="en-US" sz="1100">
                <a:solidFill>
                  <a:schemeClr val="tx1">
                    <a:lumMod val="75000"/>
                    <a:lumOff val="25000"/>
                  </a:schemeClr>
                </a:solidFill>
                <a:latin typeface="+mj-lt"/>
              </a:endParaRPr>
            </a:p>
          </cdr:txBody>
        </cdr:sp>
      </mc:Fallback>
    </mc:AlternateContent>
  </cdr:relSizeAnchor>
  <cdr:relSizeAnchor xmlns:cdr="http://schemas.openxmlformats.org/drawingml/2006/chartDrawing">
    <cdr:from>
      <cdr:x>0.01816</cdr:x>
      <cdr:y>0.10102</cdr:y>
    </cdr:from>
    <cdr:to>
      <cdr:x>0.01816</cdr:x>
      <cdr:y>0.79325</cdr:y>
    </cdr:to>
    <cdr:cxnSp macro="">
      <cdr:nvCxnSpPr>
        <cdr:cNvPr id="11" name="Straight Connector 10"/>
        <cdr:cNvCxnSpPr/>
      </cdr:nvCxnSpPr>
      <cdr:spPr>
        <a:xfrm xmlns:a="http://schemas.openxmlformats.org/drawingml/2006/main">
          <a:off x="145359" y="457793"/>
          <a:ext cx="0" cy="3136950"/>
        </a:xfrm>
        <a:prstGeom xmlns:a="http://schemas.openxmlformats.org/drawingml/2006/main" prst="line">
          <a:avLst/>
        </a:prstGeom>
        <a:ln xmlns:a="http://schemas.openxmlformats.org/drawingml/2006/main" w="38100">
          <a:solidFill>
            <a:sysClr val="windowText" lastClr="00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0.00635</cdr:x>
      <cdr:y>0.0482</cdr:y>
    </cdr:from>
    <cdr:to>
      <cdr:x>0.15873</cdr:x>
      <cdr:y>0.10269</cdr:y>
    </cdr:to>
    <cdr:sp macro="" textlink="">
      <cdr:nvSpPr>
        <cdr:cNvPr id="12" name="TextBox 1"/>
        <cdr:cNvSpPr txBox="1"/>
      </cdr:nvSpPr>
      <cdr:spPr>
        <a:xfrm xmlns:a="http://schemas.openxmlformats.org/drawingml/2006/main">
          <a:off x="50800" y="218440"/>
          <a:ext cx="1219947" cy="246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chemeClr val="tx1">
                  <a:lumMod val="75000"/>
                  <a:lumOff val="25000"/>
                </a:schemeClr>
              </a:solidFill>
              <a:latin typeface="+mj-lt"/>
            </a:rPr>
            <a:t>Ramp</a:t>
          </a:r>
          <a:r>
            <a:rPr lang="en-US" sz="1100" baseline="0">
              <a:solidFill>
                <a:schemeClr val="tx1">
                  <a:lumMod val="75000"/>
                  <a:lumOff val="25000"/>
                </a:schemeClr>
              </a:solidFill>
              <a:latin typeface="+mj-lt"/>
            </a:rPr>
            <a:t> down date</a:t>
          </a:r>
          <a:endParaRPr lang="en-US" sz="1100">
            <a:solidFill>
              <a:schemeClr val="tx1">
                <a:lumMod val="75000"/>
                <a:lumOff val="25000"/>
              </a:schemeClr>
            </a:solidFill>
            <a:latin typeface="+mj-lt"/>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tariohealth.sharepoint.com/sites/COVID19BacklogModelling/Shared%20Documents/General/Development/COVID19%20Surgical%20Ramp-up%20Bed%20Capacity%2020200410-JW_SV%20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1 - Ramp up"/>
      <sheetName val="Ontario Results"/>
      <sheetName val="Input Data"/>
      <sheetName val="Backlog Model - Time + Resource"/>
      <sheetName val="PPE Requirements"/>
      <sheetName val="Ontario Graphics"/>
      <sheetName val="Regional Graphics"/>
      <sheetName val="Sheet2"/>
      <sheetName val="Forecasts - Cancer and Vascular"/>
      <sheetName val="Forecasts - Transplant"/>
      <sheetName val="Backlog Size Aggregator"/>
      <sheetName val="Resource Data"/>
      <sheetName val="Distributions"/>
      <sheetName val="OR LIST"/>
      <sheetName val="For presentation"/>
      <sheetName val="Sheet1"/>
    </sheetNames>
    <sheetDataSet>
      <sheetData sheetId="0" refreshError="1"/>
      <sheetData sheetId="1" refreshError="1"/>
      <sheetData sheetId="2" refreshError="1"/>
      <sheetData sheetId="3">
        <row r="10">
          <cell r="C10" t="str">
            <v>Scenario 1:
+1 day a week
(Sat)</v>
          </cell>
          <cell r="D10" t="str">
            <v>Scenario 2:
+2 days a week
(Sat + Sun)</v>
          </cell>
          <cell r="E10" t="str">
            <v>Scenario 3:
+3 days a week
(double shifts on M W F)</v>
          </cell>
        </row>
        <row r="39">
          <cell r="B39" t="str">
            <v>Provincial</v>
          </cell>
        </row>
        <row r="40">
          <cell r="B40" t="str">
            <v>West</v>
          </cell>
        </row>
        <row r="41">
          <cell r="B41" t="str">
            <v>Central</v>
          </cell>
        </row>
        <row r="42">
          <cell r="B42" t="str">
            <v>Toronto</v>
          </cell>
        </row>
        <row r="43">
          <cell r="B43" t="str">
            <v>East</v>
          </cell>
        </row>
        <row r="44">
          <cell r="B44" t="str">
            <v>North</v>
          </cell>
        </row>
        <row r="80">
          <cell r="T80">
            <v>0.22758100979653353</v>
          </cell>
        </row>
        <row r="120">
          <cell r="B120" t="str">
            <v>Cancer_P2P3</v>
          </cell>
        </row>
        <row r="121">
          <cell r="B121" t="str">
            <v>Cancer_P4</v>
          </cell>
        </row>
        <row r="122">
          <cell r="B122" t="str">
            <v>Vascular_P2P3</v>
          </cell>
        </row>
        <row r="123">
          <cell r="B123" t="str">
            <v>Vascular_P4</v>
          </cell>
        </row>
        <row r="124">
          <cell r="B124" t="str">
            <v>Transplant</v>
          </cell>
        </row>
        <row r="125">
          <cell r="B125" t="str">
            <v>Cardiac_CABG</v>
          </cell>
        </row>
        <row r="126">
          <cell r="B126" t="str">
            <v>Cardiac_Valve</v>
          </cell>
        </row>
        <row r="127">
          <cell r="B127" t="str">
            <v>Cardiac_TAVI</v>
          </cell>
        </row>
        <row r="128">
          <cell r="B128" t="str">
            <v>Cardiac_PCI</v>
          </cell>
        </row>
      </sheetData>
      <sheetData sheetId="4" refreshError="1"/>
      <sheetData sheetId="5" refreshError="1"/>
      <sheetData sheetId="6" refreshError="1"/>
      <sheetData sheetId="7" refreshError="1"/>
      <sheetData sheetId="8">
        <row r="7">
          <cell r="V7" t="str">
            <v/>
          </cell>
          <cell r="W7">
            <v>125.9309595888019</v>
          </cell>
          <cell r="X7">
            <v>0</v>
          </cell>
          <cell r="Y7">
            <v>360.25888486570716</v>
          </cell>
          <cell r="Z7">
            <v>0</v>
          </cell>
          <cell r="AA7">
            <v>94.915284092692787</v>
          </cell>
          <cell r="AB7">
            <v>0</v>
          </cell>
          <cell r="AC7">
            <v>483.89843522604883</v>
          </cell>
          <cell r="AD7">
            <v>0</v>
          </cell>
          <cell r="AE7">
            <v>264.09228346653094</v>
          </cell>
          <cell r="AF7">
            <v>0</v>
          </cell>
          <cell r="AG7">
            <v>371.50231058845293</v>
          </cell>
          <cell r="AH7">
            <v>0</v>
          </cell>
          <cell r="AI7">
            <v>595.38113608488084</v>
          </cell>
          <cell r="AJ7">
            <v>0</v>
          </cell>
          <cell r="AK7">
            <v>59</v>
          </cell>
          <cell r="AL7">
            <v>0</v>
          </cell>
          <cell r="AM7">
            <v>756.07715717262613</v>
          </cell>
          <cell r="AN7">
            <v>0</v>
          </cell>
          <cell r="AO7">
            <v>562.48831850041802</v>
          </cell>
          <cell r="AP7">
            <v>0</v>
          </cell>
          <cell r="AQ7">
            <v>184.13515053144209</v>
          </cell>
          <cell r="AR7">
            <v>0</v>
          </cell>
          <cell r="AS7">
            <v>173.7862665619071</v>
          </cell>
          <cell r="AT7">
            <v>0</v>
          </cell>
          <cell r="AU7">
            <v>25</v>
          </cell>
          <cell r="AV7">
            <v>0</v>
          </cell>
          <cell r="AW7">
            <v>65</v>
          </cell>
          <cell r="AX7">
            <v>0</v>
          </cell>
          <cell r="AY7">
            <v>167.81393472800249</v>
          </cell>
          <cell r="AZ7">
            <v>0</v>
          </cell>
          <cell r="BA7">
            <v>179</v>
          </cell>
          <cell r="BB7">
            <v>0</v>
          </cell>
          <cell r="BC7">
            <v>73</v>
          </cell>
          <cell r="BD7">
            <v>0</v>
          </cell>
          <cell r="BE7">
            <v>8</v>
          </cell>
          <cell r="BF7">
            <v>0</v>
          </cell>
          <cell r="BG7">
            <v>84</v>
          </cell>
          <cell r="BH7">
            <v>0</v>
          </cell>
          <cell r="BI7">
            <v>293.83801014992878</v>
          </cell>
          <cell r="BJ7">
            <v>0</v>
          </cell>
          <cell r="BK7">
            <v>4927.1181315574395</v>
          </cell>
        </row>
        <row r="9">
          <cell r="V9" t="str">
            <v/>
          </cell>
          <cell r="W9" t="str">
            <v>Cancer_P2P3Central</v>
          </cell>
          <cell r="X9" t="str">
            <v/>
          </cell>
          <cell r="Y9" t="str">
            <v>Cancer_P2P3East</v>
          </cell>
          <cell r="Z9" t="str">
            <v/>
          </cell>
          <cell r="AA9" t="str">
            <v>Cancer_P2P3North</v>
          </cell>
          <cell r="AB9" t="str">
            <v/>
          </cell>
          <cell r="AC9" t="str">
            <v>Cancer_P2P3Toronto</v>
          </cell>
          <cell r="AD9" t="str">
            <v/>
          </cell>
          <cell r="AE9" t="str">
            <v>Cancer_P2P3West</v>
          </cell>
          <cell r="AF9" t="str">
            <v/>
          </cell>
          <cell r="AG9" t="str">
            <v>Cancer_P4Central</v>
          </cell>
          <cell r="AH9" t="str">
            <v/>
          </cell>
          <cell r="AI9" t="str">
            <v>Cancer_P4East</v>
          </cell>
          <cell r="AJ9" t="str">
            <v/>
          </cell>
          <cell r="AK9" t="str">
            <v>Cancer_P4North</v>
          </cell>
          <cell r="AL9" t="str">
            <v/>
          </cell>
          <cell r="AM9" t="str">
            <v>Cancer_P4Toronto</v>
          </cell>
          <cell r="AN9" t="str">
            <v/>
          </cell>
          <cell r="AO9" t="str">
            <v>Cancer_P4West</v>
          </cell>
          <cell r="AP9" t="str">
            <v/>
          </cell>
          <cell r="AQ9" t="str">
            <v>Vascular_P2P3Central</v>
          </cell>
          <cell r="AR9" t="str">
            <v/>
          </cell>
          <cell r="AS9" t="str">
            <v>Vascular_P2P3East</v>
          </cell>
          <cell r="AT9" t="str">
            <v/>
          </cell>
          <cell r="AU9" t="str">
            <v>Vascular_P2P3North</v>
          </cell>
          <cell r="AV9" t="str">
            <v/>
          </cell>
          <cell r="AW9" t="str">
            <v>Vascular_P2P3Toronto</v>
          </cell>
          <cell r="AX9" t="str">
            <v/>
          </cell>
          <cell r="AY9" t="str">
            <v>Vascular_P2P3West</v>
          </cell>
          <cell r="AZ9" t="str">
            <v/>
          </cell>
          <cell r="BA9" t="str">
            <v>Vascular_P4Central</v>
          </cell>
          <cell r="BB9" t="str">
            <v/>
          </cell>
          <cell r="BC9" t="str">
            <v>Vascular_P4East</v>
          </cell>
          <cell r="BD9" t="str">
            <v/>
          </cell>
          <cell r="BE9" t="str">
            <v>Vascular_P4North</v>
          </cell>
          <cell r="BF9" t="str">
            <v/>
          </cell>
          <cell r="BG9" t="str">
            <v>Vascular_P4Toronto</v>
          </cell>
          <cell r="BH9" t="str">
            <v/>
          </cell>
          <cell r="BI9" t="str">
            <v>Vascular_P4West</v>
          </cell>
          <cell r="BJ9" t="str">
            <v/>
          </cell>
          <cell r="BK9" t="str">
            <v>Total Sum of Predicted_</v>
          </cell>
        </row>
      </sheetData>
      <sheetData sheetId="9" refreshError="1"/>
      <sheetData sheetId="10" refreshError="1"/>
      <sheetData sheetId="11">
        <row r="7">
          <cell r="M7">
            <v>2.0409293580000001</v>
          </cell>
          <cell r="N7">
            <v>0.45334407700000001</v>
          </cell>
          <cell r="O7">
            <v>8.3540703999999993E-2</v>
          </cell>
          <cell r="P7">
            <v>3.7493186399999998</v>
          </cell>
          <cell r="Q7">
            <v>5.4773049650000001</v>
          </cell>
        </row>
        <row r="8">
          <cell r="M8">
            <v>2.7110734289999998</v>
          </cell>
          <cell r="N8">
            <v>0.49360259000000001</v>
          </cell>
          <cell r="O8">
            <v>0.129918801</v>
          </cell>
          <cell r="P8">
            <v>4.5765276909999999</v>
          </cell>
          <cell r="Q8">
            <v>3.8664863779999998</v>
          </cell>
        </row>
        <row r="9">
          <cell r="M9">
            <v>2.2945584170000002</v>
          </cell>
          <cell r="N9">
            <v>0.49454386700000003</v>
          </cell>
          <cell r="O9">
            <v>0.215357458</v>
          </cell>
          <cell r="P9">
            <v>4.6491247429999998</v>
          </cell>
          <cell r="Q9">
            <v>3.2870560110000002</v>
          </cell>
        </row>
        <row r="10">
          <cell r="M10"/>
          <cell r="N10"/>
          <cell r="O10"/>
          <cell r="P10"/>
          <cell r="Q10"/>
        </row>
        <row r="11">
          <cell r="M11">
            <v>3.7728693400000002</v>
          </cell>
          <cell r="N11">
            <v>0.72846470500000005</v>
          </cell>
          <cell r="O11">
            <v>0.35600669699999998</v>
          </cell>
          <cell r="P11">
            <v>4.5958036839999998</v>
          </cell>
          <cell r="Q11">
            <v>2.566994905</v>
          </cell>
        </row>
        <row r="12">
          <cell r="M12">
            <v>2.5672013339999999</v>
          </cell>
          <cell r="N12">
            <v>0.52558353499999999</v>
          </cell>
          <cell r="O12">
            <v>0.13541894600000001</v>
          </cell>
          <cell r="P12">
            <v>4.7350142200000001</v>
          </cell>
          <cell r="Q12">
            <v>4.5928917609999997</v>
          </cell>
        </row>
        <row r="13">
          <cell r="M13">
            <v>2.7309346649999999</v>
          </cell>
          <cell r="N13">
            <v>0.54555375500000003</v>
          </cell>
          <cell r="O13">
            <v>0.19488391799999999</v>
          </cell>
          <cell r="P13">
            <v>4.4899577700000002</v>
          </cell>
          <cell r="Q13">
            <v>3.3925738719999998</v>
          </cell>
        </row>
        <row r="14">
          <cell r="M14">
            <v>1.879343709</v>
          </cell>
          <cell r="N14">
            <v>0.50963438699999997</v>
          </cell>
          <cell r="O14">
            <v>4.0717400000000001E-2</v>
          </cell>
          <cell r="P14">
            <v>3.069336726</v>
          </cell>
          <cell r="Q14">
            <v>4.1512896829999999</v>
          </cell>
        </row>
        <row r="15">
          <cell r="M15">
            <v>2.2241943540000002</v>
          </cell>
          <cell r="N15">
            <v>0.460404696</v>
          </cell>
          <cell r="O15">
            <v>7.9761259000000001E-2</v>
          </cell>
          <cell r="P15">
            <v>2.9952749139999999</v>
          </cell>
          <cell r="Q15">
            <v>3.3883219950000001</v>
          </cell>
        </row>
        <row r="16">
          <cell r="M16">
            <v>1.662939698</v>
          </cell>
          <cell r="N16">
            <v>0.24371859300000001</v>
          </cell>
          <cell r="O16">
            <v>0.113402062</v>
          </cell>
          <cell r="P16">
            <v>3.7323883160000002</v>
          </cell>
          <cell r="Q16">
            <v>7.5568181819999998</v>
          </cell>
        </row>
        <row r="17">
          <cell r="M17"/>
          <cell r="N17"/>
          <cell r="O17"/>
          <cell r="P17"/>
          <cell r="Q17"/>
        </row>
        <row r="18">
          <cell r="M18">
            <v>3.239601033</v>
          </cell>
          <cell r="N18">
            <v>0.77036481800000001</v>
          </cell>
          <cell r="O18">
            <v>0.17645150800000001</v>
          </cell>
          <cell r="P18">
            <v>3.3581603420000001</v>
          </cell>
          <cell r="Q18">
            <v>2.5108762250000001</v>
          </cell>
        </row>
        <row r="19">
          <cell r="M19">
            <v>2.146765303</v>
          </cell>
          <cell r="N19">
            <v>0.52184508299999999</v>
          </cell>
          <cell r="O19">
            <v>6.8378918999999996E-2</v>
          </cell>
          <cell r="P19">
            <v>3.531395931</v>
          </cell>
          <cell r="Q19">
            <v>3.7743902440000001</v>
          </cell>
        </row>
        <row r="20">
          <cell r="M20">
            <v>2.33408075</v>
          </cell>
          <cell r="N20">
            <v>0.55418773399999999</v>
          </cell>
          <cell r="O20">
            <v>9.8274494000000004E-2</v>
          </cell>
          <cell r="P20">
            <v>3.287852869</v>
          </cell>
          <cell r="Q20">
            <v>3.0974604779999999</v>
          </cell>
        </row>
        <row r="21">
          <cell r="M21"/>
          <cell r="N21"/>
          <cell r="O21"/>
          <cell r="P21"/>
          <cell r="Q21"/>
        </row>
        <row r="22">
          <cell r="M22">
            <v>5.0888505750000004</v>
          </cell>
          <cell r="N22">
            <v>1</v>
          </cell>
          <cell r="O22">
            <v>0.30344827600000002</v>
          </cell>
          <cell r="P22">
            <v>9.9120689659999996</v>
          </cell>
          <cell r="Q22">
            <v>13.653409091</v>
          </cell>
        </row>
        <row r="23">
          <cell r="M23"/>
          <cell r="N23"/>
          <cell r="O23"/>
          <cell r="P23"/>
          <cell r="Q23"/>
        </row>
        <row r="24">
          <cell r="M24"/>
          <cell r="N24"/>
          <cell r="O24"/>
          <cell r="P24"/>
          <cell r="Q24"/>
        </row>
        <row r="25">
          <cell r="M25">
            <v>6.9979631810000003</v>
          </cell>
          <cell r="N25">
            <v>1</v>
          </cell>
          <cell r="O25">
            <v>0.86486486500000004</v>
          </cell>
          <cell r="P25">
            <v>15.197218958000001</v>
          </cell>
          <cell r="Q25">
            <v>7.6878396740000001</v>
          </cell>
        </row>
        <row r="26">
          <cell r="M26">
            <v>4.9760294119999999</v>
          </cell>
          <cell r="N26">
            <v>1</v>
          </cell>
          <cell r="O26">
            <v>0.297058824</v>
          </cell>
          <cell r="P26">
            <v>4.805392157</v>
          </cell>
          <cell r="Q26">
            <v>14.728135313999999</v>
          </cell>
        </row>
        <row r="27">
          <cell r="M27">
            <v>6.2761976050000001</v>
          </cell>
          <cell r="N27">
            <v>1</v>
          </cell>
          <cell r="O27">
            <v>0.65943113799999997</v>
          </cell>
          <cell r="P27">
            <v>11.978979540999999</v>
          </cell>
          <cell r="Q27">
            <v>8.7928963299999996</v>
          </cell>
        </row>
        <row r="28">
          <cell r="M28">
            <v>2.242987625</v>
          </cell>
          <cell r="N28">
            <v>0.60695344699999998</v>
          </cell>
          <cell r="O28">
            <v>0.219417476</v>
          </cell>
          <cell r="P28">
            <v>5.3798948219999998</v>
          </cell>
          <cell r="Q28">
            <v>4.0374262539999997</v>
          </cell>
        </row>
        <row r="29">
          <cell r="M29">
            <v>2.3862515800000001</v>
          </cell>
          <cell r="N29">
            <v>0.60493046800000005</v>
          </cell>
          <cell r="O29">
            <v>0.20167189099999999</v>
          </cell>
          <cell r="P29">
            <v>6.1114594220000003</v>
          </cell>
          <cell r="Q29">
            <v>3.5338946459999998</v>
          </cell>
        </row>
        <row r="30">
          <cell r="M30">
            <v>2.7067890929999998</v>
          </cell>
          <cell r="N30">
            <v>0.71786310499999995</v>
          </cell>
          <cell r="O30">
            <v>0.158139535</v>
          </cell>
          <cell r="P30">
            <v>5.8920542640000004</v>
          </cell>
          <cell r="Q30">
            <v>3.3958333330000001</v>
          </cell>
        </row>
        <row r="31">
          <cell r="M31"/>
          <cell r="N31"/>
          <cell r="O31"/>
          <cell r="P31"/>
          <cell r="Q31"/>
        </row>
        <row r="32">
          <cell r="M32">
            <v>3.4060104529999999</v>
          </cell>
          <cell r="N32">
            <v>0.73693379800000003</v>
          </cell>
          <cell r="O32">
            <v>0.56737588699999997</v>
          </cell>
          <cell r="P32">
            <v>5.4951733650000003</v>
          </cell>
          <cell r="Q32">
            <v>2.5600694439999998</v>
          </cell>
        </row>
        <row r="33">
          <cell r="M33">
            <v>2.3674222509999998</v>
          </cell>
          <cell r="N33">
            <v>0.55387647799999995</v>
          </cell>
          <cell r="O33">
            <v>0.41874258600000003</v>
          </cell>
          <cell r="P33">
            <v>5.2293396599999999</v>
          </cell>
          <cell r="Q33">
            <v>2.7154154859999999</v>
          </cell>
        </row>
        <row r="34">
          <cell r="M34">
            <v>2.4708793660000001</v>
          </cell>
          <cell r="N34">
            <v>0.61650485399999999</v>
          </cell>
          <cell r="O34">
            <v>0.293239207</v>
          </cell>
          <cell r="P34">
            <v>5.6085618610000001</v>
          </cell>
          <cell r="Q34">
            <v>3.1466435189999999</v>
          </cell>
        </row>
        <row r="35">
          <cell r="M35">
            <v>1.949576988</v>
          </cell>
          <cell r="N35">
            <v>0.322335025</v>
          </cell>
          <cell r="O35">
            <v>0.40682414700000002</v>
          </cell>
          <cell r="P35">
            <v>6.772419073</v>
          </cell>
          <cell r="Q35">
            <v>2.3166666669999998</v>
          </cell>
        </row>
        <row r="36">
          <cell r="M36">
            <v>1.9352555090000001</v>
          </cell>
          <cell r="N36">
            <v>0.312236287</v>
          </cell>
          <cell r="O36">
            <v>0.211711712</v>
          </cell>
          <cell r="P36">
            <v>3.5677552549999998</v>
          </cell>
          <cell r="Q36">
            <v>2.4290780139999999</v>
          </cell>
        </row>
        <row r="37">
          <cell r="M37">
            <v>1.8814207650000001</v>
          </cell>
          <cell r="N37">
            <v>0.21311475399999999</v>
          </cell>
          <cell r="O37">
            <v>0</v>
          </cell>
          <cell r="P37">
            <v>1.461538462</v>
          </cell>
          <cell r="Q37"/>
        </row>
        <row r="38">
          <cell r="M38"/>
          <cell r="N38"/>
          <cell r="O38"/>
          <cell r="P38"/>
          <cell r="Q38"/>
        </row>
        <row r="39">
          <cell r="M39">
            <v>2.906685323</v>
          </cell>
          <cell r="N39">
            <v>0.63432835799999998</v>
          </cell>
          <cell r="O39">
            <v>0.37352941200000001</v>
          </cell>
          <cell r="P39">
            <v>3.4555147060000002</v>
          </cell>
          <cell r="Q39">
            <v>2.160104987</v>
          </cell>
        </row>
        <row r="40">
          <cell r="M40">
            <v>2.195993498</v>
          </cell>
          <cell r="N40">
            <v>0.46299483600000002</v>
          </cell>
          <cell r="O40">
            <v>0.27385377900000002</v>
          </cell>
          <cell r="P40">
            <v>3.249638579</v>
          </cell>
          <cell r="Q40">
            <v>3.4219457009999998</v>
          </cell>
        </row>
        <row r="41">
          <cell r="M41">
            <v>2.1688479410000001</v>
          </cell>
          <cell r="N41">
            <v>0.41648948699999999</v>
          </cell>
          <cell r="O41">
            <v>0.31196823600000001</v>
          </cell>
          <cell r="P41">
            <v>4.07751938</v>
          </cell>
          <cell r="Q41">
            <v>2.7342424240000001</v>
          </cell>
        </row>
      </sheetData>
      <sheetData sheetId="12" refreshError="1"/>
      <sheetData sheetId="13">
        <row r="11">
          <cell r="N11" t="str">
            <v>Row Labels</v>
          </cell>
          <cell r="O11" t="str">
            <v>Transplant</v>
          </cell>
          <cell r="P11" t="str">
            <v>Cardiac</v>
          </cell>
          <cell r="Q11" t="str">
            <v>Cancer</v>
          </cell>
        </row>
        <row r="12">
          <cell r="N12" t="str">
            <v>Central</v>
          </cell>
          <cell r="O12">
            <v>0</v>
          </cell>
          <cell r="P12">
            <v>38</v>
          </cell>
          <cell r="Q12">
            <v>191</v>
          </cell>
        </row>
        <row r="13">
          <cell r="N13" t="str">
            <v>East</v>
          </cell>
          <cell r="O13">
            <v>35</v>
          </cell>
          <cell r="P13">
            <v>18</v>
          </cell>
          <cell r="Q13">
            <v>167</v>
          </cell>
        </row>
        <row r="14">
          <cell r="N14" t="str">
            <v>North</v>
          </cell>
          <cell r="O14">
            <v>0</v>
          </cell>
          <cell r="P14">
            <v>17</v>
          </cell>
          <cell r="Q14">
            <v>68</v>
          </cell>
        </row>
        <row r="15">
          <cell r="N15" t="str">
            <v>Toronto</v>
          </cell>
          <cell r="O15">
            <v>60</v>
          </cell>
          <cell r="P15">
            <v>21</v>
          </cell>
          <cell r="Q15">
            <v>128</v>
          </cell>
        </row>
        <row r="16">
          <cell r="N16" t="str">
            <v>West</v>
          </cell>
          <cell r="O16">
            <v>31</v>
          </cell>
          <cell r="P16">
            <v>37</v>
          </cell>
          <cell r="Q16">
            <v>232</v>
          </cell>
        </row>
        <row r="17">
          <cell r="N17" t="str">
            <v>Provincial</v>
          </cell>
          <cell r="O17">
            <v>126</v>
          </cell>
          <cell r="P17">
            <v>131</v>
          </cell>
          <cell r="Q17">
            <v>786</v>
          </cell>
        </row>
      </sheetData>
      <sheetData sheetId="14" refreshError="1"/>
      <sheetData sheetId="1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ang, Jonathan" refreshedDate="43966.54360902778" createdVersion="6" refreshedVersion="6" minRefreshableVersion="3" recordCount="11">
  <cacheSource type="worksheet">
    <worksheetSource name="procedures"/>
  </cacheSource>
  <cacheFields count="1">
    <cacheField name="Custom" numFmtId="0">
      <sharedItems count="11">
        <s v="Benign_P2P3"/>
        <s v="Benign_P4"/>
        <s v="Pediatric_P2P3"/>
        <s v="Pediatric_P4"/>
        <s v="Cancer_P2P3"/>
        <s v="Cancer_P4"/>
        <s v="Vascular_P2P3"/>
        <s v="Vascular_P4"/>
        <s v="Transplant"/>
        <s v="Cardiac_CABG"/>
        <s v="Cardiac_Valve"/>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1">
  <r>
    <x v="0"/>
  </r>
  <r>
    <x v="1"/>
  </r>
  <r>
    <x v="2"/>
  </r>
  <r>
    <x v="3"/>
  </r>
  <r>
    <x v="4"/>
  </r>
  <r>
    <x v="5"/>
  </r>
  <r>
    <x v="6"/>
  </r>
  <r>
    <x v="7"/>
  </r>
  <r>
    <x v="8"/>
  </r>
  <r>
    <x v="9"/>
  </r>
  <r>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showDrill="0" rowGrandTotals="0" colGrandTotals="0" itemPrintTitles="1" createdVersion="6" indent="0" showHeaders="0" outline="1" outlineData="1" multipleFieldFilters="0" rowHeaderCaption="Procedures">
  <location ref="B83:B93" firstHeaderRow="0" firstDataRow="0" firstDataCol="1"/>
  <pivotFields count="1">
    <pivotField axis="axisRow" showAll="0" defaultSubtotal="0">
      <items count="11">
        <item x="0"/>
        <item x="1"/>
        <item x="4"/>
        <item x="5"/>
        <item x="9"/>
        <item x="10"/>
        <item x="2"/>
        <item x="3"/>
        <item x="8"/>
        <item x="6"/>
        <item x="7"/>
      </items>
    </pivotField>
  </pivotFields>
  <rowFields count="1">
    <field x="0"/>
  </rowFields>
  <rowItems count="11">
    <i>
      <x/>
    </i>
    <i>
      <x v="1"/>
    </i>
    <i>
      <x v="2"/>
    </i>
    <i>
      <x v="3"/>
    </i>
    <i>
      <x v="4"/>
    </i>
    <i>
      <x v="5"/>
    </i>
    <i>
      <x v="6"/>
    </i>
    <i>
      <x v="7"/>
    </i>
    <i>
      <x v="8"/>
    </i>
    <i>
      <x v="9"/>
    </i>
    <i>
      <x v="10"/>
    </i>
  </rowItems>
  <colItems count="1">
    <i/>
  </colItems>
  <formats count="3">
    <format dxfId="2">
      <pivotArea field="0" type="button" dataOnly="0" labelOnly="1" outline="0" axis="axisRow" fieldPosition="0"/>
    </format>
    <format dxfId="1">
      <pivotArea type="all" dataOnly="0" outline="0" fieldPosition="0"/>
    </format>
    <format dxfId="0">
      <pivotArea dataOnly="0" labelOnly="1" fieldPosition="0">
        <references count="1">
          <reference field="0" count="0"/>
        </references>
      </pivotArea>
    </format>
  </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 sourceName="Custom">
  <pivotTables>
    <pivotTable tabId="41" name="PivotTable2"/>
  </pivotTables>
  <data>
    <tabular pivotCacheId="2">
      <items count="11">
        <i x="0" s="1"/>
        <i x="1" s="1"/>
        <i x="4" s="1"/>
        <i x="5" s="1"/>
        <i x="9" s="1"/>
        <i x="10" s="1"/>
        <i x="2" s="1"/>
        <i x="3" s="1"/>
        <i x="8"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 cache="Slicer_Custom" caption="Select Procedures"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planning@ontariohealth.ca"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9.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C00000"/>
  </sheetPr>
  <dimension ref="B2:C28"/>
  <sheetViews>
    <sheetView showGridLines="0" workbookViewId="0">
      <selection activeCell="C9" sqref="C9"/>
    </sheetView>
  </sheetViews>
  <sheetFormatPr defaultRowHeight="14.4" x14ac:dyDescent="0.3"/>
  <cols>
    <col min="3" max="3" width="70.77734375" customWidth="1"/>
  </cols>
  <sheetData>
    <row r="2" spans="2:3" ht="25.8" x14ac:dyDescent="0.5">
      <c r="C2" s="83" t="s">
        <v>108</v>
      </c>
    </row>
    <row r="4" spans="2:3" ht="18" x14ac:dyDescent="0.35">
      <c r="C4" s="91" t="s">
        <v>49</v>
      </c>
    </row>
    <row r="5" spans="2:3" x14ac:dyDescent="0.3">
      <c r="C5" s="8" t="s">
        <v>50</v>
      </c>
    </row>
    <row r="6" spans="2:3" x14ac:dyDescent="0.3">
      <c r="C6" s="84" t="s">
        <v>51</v>
      </c>
    </row>
    <row r="7" spans="2:3" x14ac:dyDescent="0.3">
      <c r="B7" s="85" t="s">
        <v>52</v>
      </c>
      <c r="C7" s="86" t="s">
        <v>240</v>
      </c>
    </row>
    <row r="8" spans="2:3" x14ac:dyDescent="0.3">
      <c r="B8" s="85" t="s">
        <v>53</v>
      </c>
      <c r="C8" s="86" t="s">
        <v>400</v>
      </c>
    </row>
    <row r="9" spans="2:3" x14ac:dyDescent="0.3">
      <c r="B9" s="85" t="s">
        <v>54</v>
      </c>
      <c r="C9" s="86" t="s">
        <v>398</v>
      </c>
    </row>
    <row r="10" spans="2:3" x14ac:dyDescent="0.3">
      <c r="C10" s="6"/>
    </row>
    <row r="11" spans="2:3" x14ac:dyDescent="0.3">
      <c r="C11" s="84" t="s">
        <v>55</v>
      </c>
    </row>
    <row r="12" spans="2:3" x14ac:dyDescent="0.3">
      <c r="B12" s="85" t="s">
        <v>56</v>
      </c>
      <c r="C12" s="86"/>
    </row>
    <row r="13" spans="2:3" x14ac:dyDescent="0.3">
      <c r="B13" s="85" t="s">
        <v>57</v>
      </c>
      <c r="C13" s="90" t="s">
        <v>69</v>
      </c>
    </row>
    <row r="14" spans="2:3" x14ac:dyDescent="0.3">
      <c r="B14" s="85" t="s">
        <v>58</v>
      </c>
      <c r="C14" s="86" t="s">
        <v>68</v>
      </c>
    </row>
    <row r="15" spans="2:3" x14ac:dyDescent="0.3">
      <c r="B15" s="87"/>
      <c r="C15" s="7"/>
    </row>
    <row r="16" spans="2:3" ht="18" x14ac:dyDescent="0.35">
      <c r="B16" s="87"/>
      <c r="C16" s="91" t="s">
        <v>59</v>
      </c>
    </row>
    <row r="17" spans="2:3" x14ac:dyDescent="0.3">
      <c r="B17" s="87"/>
      <c r="C17" s="84"/>
    </row>
    <row r="18" spans="2:3" x14ac:dyDescent="0.3">
      <c r="B18" s="87"/>
      <c r="C18" s="88" t="s">
        <v>60</v>
      </c>
    </row>
    <row r="19" spans="2:3" x14ac:dyDescent="0.3">
      <c r="B19" s="85" t="s">
        <v>61</v>
      </c>
      <c r="C19" s="89" t="str">
        <f ca="1">RIGHT(CELL("filename",'Cover Page'!$A$1),LEN(CELL("filename",'Cover Page'!$A$1))-FIND("]",CELL("filename",'Cover Page'!$A$1),1))</f>
        <v>Cover Page</v>
      </c>
    </row>
    <row r="20" spans="2:3" x14ac:dyDescent="0.3">
      <c r="B20" s="85" t="s">
        <v>62</v>
      </c>
      <c r="C20" s="89" t="str">
        <f ca="1">RIGHT(CELL("filename",'Data Inputs'!A1),LEN(CELL("filename",'Data Inputs'!A1))-FIND("]",CELL("filename",'Data Inputs'!A1),1))</f>
        <v>Data Inputs</v>
      </c>
    </row>
    <row r="21" spans="2:3" x14ac:dyDescent="0.3">
      <c r="B21" s="85" t="s">
        <v>63</v>
      </c>
      <c r="C21" s="89" t="str">
        <f ca="1">RIGHT(CELL("filename",'Custom Graphics'!A1),LEN(CELL("filename",'Custom Graphics'!A1))-FIND("]",CELL("filename",'Custom Graphics'!A1),1))</f>
        <v>Custom Graphics</v>
      </c>
    </row>
    <row r="22" spans="2:3" x14ac:dyDescent="0.3">
      <c r="B22" s="85" t="s">
        <v>64</v>
      </c>
      <c r="C22" s="89" t="str">
        <f ca="1">RIGHT(CELL("filename",'Ontario Graphics'!A1),LEN(CELL("filename",'Ontario Graphics'!A1))-FIND("]",CELL("filename",'Ontario Graphics'!A1),1))</f>
        <v>Ontario Graphics</v>
      </c>
    </row>
    <row r="23" spans="2:3" x14ac:dyDescent="0.3">
      <c r="B23" s="85" t="s">
        <v>73</v>
      </c>
      <c r="C23" s="89" t="str">
        <f ca="1">RIGHT(CELL("filename",'Regional Graphics'!A1),LEN(CELL("filename",'Regional Graphics'!A1))-FIND("]",CELL("filename",'Regional Graphics'!A1),1))</f>
        <v>Regional Graphics</v>
      </c>
    </row>
    <row r="24" spans="2:3" x14ac:dyDescent="0.3">
      <c r="B24" s="85" t="s">
        <v>81</v>
      </c>
      <c r="C24" s="89" t="str">
        <f ca="1">RIGHT(CELL("filename",Documentation!A1),LEN(CELL("filename",Documentation!A1))-FIND("]",CELL("filename",Documentation!A1),1))</f>
        <v>Documentation</v>
      </c>
    </row>
    <row r="25" spans="2:3" x14ac:dyDescent="0.3">
      <c r="B25" s="85" t="s">
        <v>233</v>
      </c>
      <c r="C25" s="89" t="str">
        <f ca="1">RIGHT(CELL("filename",'PPE Inputs'!A1),LEN(CELL("filename",'PPE Inputs'!A1))-FIND("]",CELL("filename",'PPE Inputs'!A1),1))</f>
        <v>PPE Inputs</v>
      </c>
    </row>
    <row r="26" spans="2:3" x14ac:dyDescent="0.3">
      <c r="B26" s="85" t="s">
        <v>234</v>
      </c>
      <c r="C26" s="89" t="str">
        <f ca="1">RIGHT(CELL("filename",'PPE Outputs'!A1),LEN(CELL("filename",'PPE Outputs'!A1))-FIND("]",CELL("filename",'PPE Outputs'!A1),1))</f>
        <v>PPE Outputs</v>
      </c>
    </row>
    <row r="28" spans="2:3" x14ac:dyDescent="0.3">
      <c r="C28" s="4"/>
    </row>
  </sheetData>
  <hyperlinks>
    <hyperlink ref="C13"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7" tint="0.79998168889431442"/>
  </sheetPr>
  <dimension ref="B1:Y44"/>
  <sheetViews>
    <sheetView showGridLines="0" zoomScale="85" zoomScaleNormal="85" workbookViewId="0">
      <selection activeCell="J50" sqref="J50"/>
    </sheetView>
  </sheetViews>
  <sheetFormatPr defaultRowHeight="14.4" x14ac:dyDescent="0.3"/>
  <cols>
    <col min="2" max="2" width="28.109375" bestFit="1" customWidth="1"/>
    <col min="19" max="19" width="24.5546875" bestFit="1" customWidth="1"/>
  </cols>
  <sheetData>
    <row r="1" spans="2:25" x14ac:dyDescent="0.3">
      <c r="B1" t="s">
        <v>405</v>
      </c>
      <c r="C1" t="s">
        <v>397</v>
      </c>
    </row>
    <row r="2" spans="2:25" x14ac:dyDescent="0.3">
      <c r="B2" t="s">
        <v>342</v>
      </c>
      <c r="C2" t="s">
        <v>110</v>
      </c>
      <c r="D2" t="s">
        <v>111</v>
      </c>
      <c r="E2" t="s">
        <v>26</v>
      </c>
      <c r="F2" t="s">
        <v>27</v>
      </c>
      <c r="G2" t="s">
        <v>112</v>
      </c>
      <c r="H2" t="s">
        <v>113</v>
      </c>
      <c r="I2" t="s">
        <v>2</v>
      </c>
      <c r="J2" t="s">
        <v>33</v>
      </c>
      <c r="K2" t="s">
        <v>34</v>
      </c>
    </row>
    <row r="3" spans="2:25" x14ac:dyDescent="0.3">
      <c r="B3" s="6" t="s">
        <v>41</v>
      </c>
      <c r="C3" s="276">
        <v>1.359893198</v>
      </c>
      <c r="D3" s="276">
        <v>1.0466172199999999</v>
      </c>
      <c r="E3" s="276">
        <v>2.6599154810000001</v>
      </c>
      <c r="F3" s="276">
        <v>2.144256999</v>
      </c>
      <c r="G3" s="276">
        <v>1.594723452</v>
      </c>
      <c r="H3" s="276">
        <v>1.0779551190000001</v>
      </c>
      <c r="I3" s="276">
        <v>6.0647980370000001</v>
      </c>
      <c r="J3" s="276">
        <v>2.4538110949999998</v>
      </c>
      <c r="K3" s="276">
        <v>2.1369350439999999</v>
      </c>
    </row>
    <row r="4" spans="2:25" x14ac:dyDescent="0.3">
      <c r="B4" s="6" t="s">
        <v>1</v>
      </c>
      <c r="C4" s="276">
        <v>1.2800227740000001</v>
      </c>
      <c r="D4" s="276">
        <v>0.97850036699999998</v>
      </c>
      <c r="E4" s="276">
        <v>2.501453718</v>
      </c>
      <c r="F4" s="276">
        <v>2.0131999999999999</v>
      </c>
      <c r="G4" s="276">
        <v>1.517634301</v>
      </c>
      <c r="H4" s="276">
        <v>0.99737906799999998</v>
      </c>
      <c r="I4" s="276">
        <v>4.5454096049999997</v>
      </c>
      <c r="J4" s="276">
        <v>2.3545445319999998</v>
      </c>
      <c r="K4" s="276">
        <v>2.1901992749999999</v>
      </c>
    </row>
    <row r="5" spans="2:25" x14ac:dyDescent="0.3">
      <c r="B5" s="6" t="s">
        <v>3</v>
      </c>
      <c r="C5" s="276">
        <v>1.2355094200000001</v>
      </c>
      <c r="D5" s="276">
        <v>0.95684800800000003</v>
      </c>
      <c r="E5" s="276">
        <v>2.016666667</v>
      </c>
      <c r="F5" s="276">
        <v>1.8167773199999999</v>
      </c>
      <c r="G5" s="276">
        <v>0.94888457800000003</v>
      </c>
      <c r="H5" s="276">
        <v>0.76780819600000005</v>
      </c>
      <c r="I5" s="276"/>
      <c r="J5" s="276">
        <v>2.2440824589999999</v>
      </c>
      <c r="K5" s="276">
        <v>1.9222827499999999</v>
      </c>
    </row>
    <row r="6" spans="2:25" x14ac:dyDescent="0.3">
      <c r="B6" s="6" t="s">
        <v>4</v>
      </c>
      <c r="C6" s="276">
        <v>1.944672835</v>
      </c>
      <c r="D6" s="276">
        <v>1.635725018</v>
      </c>
      <c r="E6" s="276">
        <v>3.685340676</v>
      </c>
      <c r="F6" s="276">
        <v>3.1635448369999999</v>
      </c>
      <c r="G6" s="276">
        <v>2.353799392</v>
      </c>
      <c r="H6" s="276">
        <v>1.967456257</v>
      </c>
      <c r="I6" s="276">
        <v>6.8447756960000001</v>
      </c>
      <c r="J6" s="276">
        <v>3.3819283750000002</v>
      </c>
      <c r="K6" s="276">
        <v>2.8845130069999998</v>
      </c>
    </row>
    <row r="7" spans="2:25" x14ac:dyDescent="0.3">
      <c r="B7" s="6" t="s">
        <v>5</v>
      </c>
      <c r="C7" s="276">
        <v>1.341588639</v>
      </c>
      <c r="D7" s="276">
        <v>0.99686856599999996</v>
      </c>
      <c r="E7" s="276">
        <v>2.6015169</v>
      </c>
      <c r="F7" s="276">
        <v>1.8071836349999999</v>
      </c>
      <c r="G7" s="276">
        <v>1.3117180310000001</v>
      </c>
      <c r="H7" s="276">
        <v>1.0221402129999999</v>
      </c>
      <c r="I7" s="276">
        <v>4.4102777780000002</v>
      </c>
      <c r="J7" s="276">
        <v>2.3569876399999998</v>
      </c>
      <c r="K7" s="276">
        <v>1.8582270409999999</v>
      </c>
    </row>
    <row r="8" spans="2:25" x14ac:dyDescent="0.3">
      <c r="B8" s="6" t="s">
        <v>6</v>
      </c>
      <c r="C8" s="276">
        <v>1.2672526230000001</v>
      </c>
      <c r="D8" s="276">
        <v>0.98956714400000001</v>
      </c>
      <c r="E8" s="276">
        <v>2.2063285220000002</v>
      </c>
      <c r="F8" s="276">
        <v>1.5459414499999999</v>
      </c>
      <c r="G8" s="276">
        <v>1.1803046989999999</v>
      </c>
      <c r="H8" s="276">
        <v>0.91142567500000005</v>
      </c>
      <c r="I8" s="276"/>
      <c r="J8" s="276">
        <v>2.680537975</v>
      </c>
      <c r="K8" s="276">
        <v>1.8814207650000001</v>
      </c>
    </row>
    <row r="10" spans="2:25" x14ac:dyDescent="0.3">
      <c r="B10" t="s">
        <v>402</v>
      </c>
      <c r="C10" t="s">
        <v>397</v>
      </c>
    </row>
    <row r="11" spans="2:25" x14ac:dyDescent="0.3">
      <c r="B11" t="s">
        <v>342</v>
      </c>
      <c r="C11" t="s">
        <v>110</v>
      </c>
      <c r="D11" t="s">
        <v>111</v>
      </c>
      <c r="E11" t="s">
        <v>26</v>
      </c>
      <c r="F11" t="s">
        <v>27</v>
      </c>
      <c r="G11" t="s">
        <v>112</v>
      </c>
      <c r="H11" t="s">
        <v>113</v>
      </c>
      <c r="I11" t="s">
        <v>2</v>
      </c>
      <c r="J11" t="s">
        <v>33</v>
      </c>
      <c r="K11" t="s">
        <v>34</v>
      </c>
    </row>
    <row r="12" spans="2:25" x14ac:dyDescent="0.3">
      <c r="B12" s="6" t="s">
        <v>41</v>
      </c>
      <c r="C12" s="281">
        <v>0.26578918600000001</v>
      </c>
      <c r="D12" s="281">
        <v>0.20894348700000001</v>
      </c>
      <c r="E12" s="281">
        <v>0.53604499400000005</v>
      </c>
      <c r="F12" s="281">
        <v>0.50002392900000003</v>
      </c>
      <c r="G12" s="281">
        <v>0.19094349299999999</v>
      </c>
      <c r="H12" s="281">
        <v>0.144628331</v>
      </c>
      <c r="I12" s="281">
        <v>1</v>
      </c>
      <c r="J12" s="281">
        <v>0.62611975499999994</v>
      </c>
      <c r="K12" s="281">
        <v>0.42380004399999999</v>
      </c>
    </row>
    <row r="13" spans="2:25" x14ac:dyDescent="0.3">
      <c r="B13" s="6" t="s">
        <v>1</v>
      </c>
      <c r="C13" s="281">
        <v>0.24466850200000001</v>
      </c>
      <c r="D13" s="281">
        <v>0.19915643299999999</v>
      </c>
      <c r="E13" s="281">
        <v>0.51731555200000001</v>
      </c>
      <c r="F13" s="281">
        <v>0.47969230800000001</v>
      </c>
      <c r="G13" s="281">
        <v>0.170670671</v>
      </c>
      <c r="H13" s="281">
        <v>0.117414248</v>
      </c>
      <c r="I13" s="281">
        <v>1</v>
      </c>
      <c r="J13" s="281">
        <v>0.56360316499999996</v>
      </c>
      <c r="K13" s="281">
        <v>0.47663043500000002</v>
      </c>
    </row>
    <row r="14" spans="2:25" x14ac:dyDescent="0.3">
      <c r="B14" s="6" t="s">
        <v>3</v>
      </c>
      <c r="C14" s="281">
        <v>0.29349542200000001</v>
      </c>
      <c r="D14" s="281">
        <v>0.184351404</v>
      </c>
      <c r="E14" s="281">
        <v>0.45236622300000001</v>
      </c>
      <c r="F14" s="281">
        <v>0.48420329699999998</v>
      </c>
      <c r="G14" s="281">
        <v>4.4131900000000002E-2</v>
      </c>
      <c r="H14" s="281">
        <v>9.1253973000000002E-2</v>
      </c>
      <c r="I14" s="281"/>
      <c r="J14" s="281">
        <v>0.62727774700000005</v>
      </c>
      <c r="K14" s="281">
        <v>0.340856031</v>
      </c>
    </row>
    <row r="15" spans="2:25" x14ac:dyDescent="0.3">
      <c r="B15" s="6" t="s">
        <v>4</v>
      </c>
      <c r="C15" s="281">
        <v>0.39224927999999998</v>
      </c>
      <c r="D15" s="281">
        <v>0.32861912700000001</v>
      </c>
      <c r="E15" s="281">
        <v>0.72435989099999998</v>
      </c>
      <c r="F15" s="281">
        <v>0.75321938700000002</v>
      </c>
      <c r="G15" s="281">
        <v>0.40402150999999997</v>
      </c>
      <c r="H15" s="281">
        <v>0.38070873599999999</v>
      </c>
      <c r="I15" s="281">
        <v>1</v>
      </c>
      <c r="J15" s="281">
        <v>0.74545454499999997</v>
      </c>
      <c r="K15" s="281">
        <v>0.637023593</v>
      </c>
      <c r="T15" s="283"/>
      <c r="U15" s="283"/>
      <c r="V15" s="283"/>
      <c r="W15" s="283"/>
      <c r="X15" s="283"/>
      <c r="Y15" s="283"/>
    </row>
    <row r="16" spans="2:25" x14ac:dyDescent="0.3">
      <c r="B16" s="6" t="s">
        <v>5</v>
      </c>
      <c r="C16" s="281">
        <v>0.212085887</v>
      </c>
      <c r="D16" s="281">
        <v>0.19559979799999999</v>
      </c>
      <c r="E16" s="281">
        <v>0.471801529</v>
      </c>
      <c r="F16" s="281">
        <v>0.36060894399999999</v>
      </c>
      <c r="G16" s="281">
        <v>9.5676173000000003E-2</v>
      </c>
      <c r="H16" s="281">
        <v>0.11373541400000001</v>
      </c>
      <c r="I16" s="281">
        <v>1</v>
      </c>
      <c r="J16" s="281">
        <v>0.60885167500000004</v>
      </c>
      <c r="K16" s="281">
        <v>0.302295918</v>
      </c>
      <c r="T16" s="261"/>
      <c r="U16" s="261"/>
      <c r="V16" s="261"/>
      <c r="W16" s="261"/>
      <c r="X16" s="261"/>
      <c r="Y16" s="261"/>
    </row>
    <row r="17" spans="2:25" x14ac:dyDescent="0.3">
      <c r="B17" s="6" t="s">
        <v>6</v>
      </c>
      <c r="C17" s="281">
        <v>0.25361497</v>
      </c>
      <c r="D17" s="281">
        <v>0.21261529500000001</v>
      </c>
      <c r="E17" s="281">
        <v>0.47353648799999998</v>
      </c>
      <c r="F17" s="281">
        <v>0.205588822</v>
      </c>
      <c r="G17" s="281">
        <v>6.6079294999999996E-2</v>
      </c>
      <c r="H17" s="281">
        <v>5.2877899999999999E-2</v>
      </c>
      <c r="I17" s="281"/>
      <c r="J17" s="281">
        <v>0.716772152</v>
      </c>
      <c r="K17" s="281">
        <v>0.21311475399999999</v>
      </c>
      <c r="T17" s="261"/>
      <c r="U17" s="261"/>
      <c r="V17" s="261"/>
      <c r="W17" s="261"/>
      <c r="X17" s="261"/>
      <c r="Y17" s="261"/>
    </row>
    <row r="18" spans="2:25" x14ac:dyDescent="0.3">
      <c r="T18" s="283"/>
      <c r="U18" s="283"/>
      <c r="V18" s="283"/>
      <c r="W18" s="283"/>
      <c r="X18" s="283"/>
      <c r="Y18" s="283"/>
    </row>
    <row r="19" spans="2:25" x14ac:dyDescent="0.3">
      <c r="B19" t="s">
        <v>401</v>
      </c>
      <c r="C19" t="s">
        <v>397</v>
      </c>
      <c r="T19" s="283"/>
      <c r="U19" s="283"/>
      <c r="V19" s="283"/>
      <c r="W19" s="283"/>
      <c r="X19" s="283"/>
      <c r="Y19" s="283"/>
    </row>
    <row r="20" spans="2:25" x14ac:dyDescent="0.3">
      <c r="B20" t="s">
        <v>342</v>
      </c>
      <c r="C20" t="s">
        <v>110</v>
      </c>
      <c r="D20" t="s">
        <v>111</v>
      </c>
      <c r="E20" t="s">
        <v>26</v>
      </c>
      <c r="F20" t="s">
        <v>27</v>
      </c>
      <c r="G20" t="s">
        <v>112</v>
      </c>
      <c r="H20" t="s">
        <v>113</v>
      </c>
      <c r="I20" t="s">
        <v>2</v>
      </c>
      <c r="J20" t="s">
        <v>33</v>
      </c>
      <c r="K20" t="s">
        <v>34</v>
      </c>
    </row>
    <row r="21" spans="2:25" x14ac:dyDescent="0.3">
      <c r="B21" s="6" t="s">
        <v>41</v>
      </c>
      <c r="C21" s="281">
        <v>1.8789E-2</v>
      </c>
      <c r="D21" s="281">
        <v>6.0656900000000003E-3</v>
      </c>
      <c r="E21" s="281">
        <v>0.103007893</v>
      </c>
      <c r="F21" s="281">
        <v>4.8432599999999999E-2</v>
      </c>
      <c r="G21" s="281">
        <v>5.4775200000000003E-2</v>
      </c>
      <c r="H21" s="281">
        <v>1.45863E-2</v>
      </c>
      <c r="I21" s="281">
        <v>0.654586636</v>
      </c>
      <c r="J21" s="281">
        <v>0.18120383500000001</v>
      </c>
      <c r="K21" s="281">
        <v>0.12895377099999999</v>
      </c>
    </row>
    <row r="22" spans="2:25" x14ac:dyDescent="0.3">
      <c r="B22" s="6" t="s">
        <v>1</v>
      </c>
      <c r="C22" s="281">
        <v>1.8738999999999999E-2</v>
      </c>
      <c r="D22" s="281">
        <v>5.50185E-3</v>
      </c>
      <c r="E22" s="281">
        <v>7.0445256999999997E-2</v>
      </c>
      <c r="F22" s="281">
        <v>3.2461499999999997E-2</v>
      </c>
      <c r="G22" s="281">
        <v>4.7797800000000001E-2</v>
      </c>
      <c r="H22" s="281">
        <v>2.0580500000000002E-2</v>
      </c>
      <c r="I22" s="281">
        <v>0.19491525400000001</v>
      </c>
      <c r="J22" s="281">
        <v>0.23250152199999999</v>
      </c>
      <c r="K22" s="281">
        <v>0.123369565</v>
      </c>
    </row>
    <row r="23" spans="2:25" x14ac:dyDescent="0.3">
      <c r="B23" s="6" t="s">
        <v>3</v>
      </c>
      <c r="C23" s="281">
        <v>7.0650499999999998E-3</v>
      </c>
      <c r="D23" s="281">
        <v>2.42699E-3</v>
      </c>
      <c r="E23" s="281">
        <v>3.6807899999999998E-2</v>
      </c>
      <c r="F23" s="281">
        <v>1.9230799999999999E-2</v>
      </c>
      <c r="G23" s="281">
        <v>0</v>
      </c>
      <c r="H23" s="281">
        <v>1.02533E-4</v>
      </c>
      <c r="I23" s="281"/>
      <c r="J23" s="281">
        <v>0.13252346800000001</v>
      </c>
      <c r="K23" s="281">
        <v>0.13618677000000001</v>
      </c>
    </row>
    <row r="24" spans="2:25" x14ac:dyDescent="0.3">
      <c r="B24" s="6" t="s">
        <v>4</v>
      </c>
      <c r="C24" s="281">
        <v>5.9439600000000002E-2</v>
      </c>
      <c r="D24" s="281">
        <v>2.4206999999999999E-2</v>
      </c>
      <c r="E24" s="281">
        <v>0.25046488300000003</v>
      </c>
      <c r="F24" s="281">
        <v>0.12971201099999999</v>
      </c>
      <c r="G24" s="281">
        <v>0.14496142200000001</v>
      </c>
      <c r="H24" s="281">
        <v>4.6996400000000001E-2</v>
      </c>
      <c r="I24" s="281">
        <v>0.88415672899999997</v>
      </c>
      <c r="J24" s="281">
        <v>0.42148760299999999</v>
      </c>
      <c r="K24" s="281">
        <v>0.243194192</v>
      </c>
    </row>
    <row r="25" spans="2:25" x14ac:dyDescent="0.3">
      <c r="B25" s="6" t="s">
        <v>5</v>
      </c>
      <c r="C25" s="281">
        <v>1.25597E-2</v>
      </c>
      <c r="D25" s="281">
        <v>3.3016399999999998E-3</v>
      </c>
      <c r="E25" s="281">
        <v>6.1012499999999997E-2</v>
      </c>
      <c r="F25" s="281">
        <v>2.8924800000000001E-2</v>
      </c>
      <c r="G25" s="281">
        <v>9.1996000000000005E-3</v>
      </c>
      <c r="H25" s="281">
        <v>4.92057E-3</v>
      </c>
      <c r="I25" s="281">
        <v>0.21666666700000001</v>
      </c>
      <c r="J25" s="281">
        <v>0.123803828</v>
      </c>
      <c r="K25" s="281">
        <v>5.9949000000000002E-2</v>
      </c>
    </row>
    <row r="26" spans="2:25" x14ac:dyDescent="0.3">
      <c r="B26" s="6" t="s">
        <v>6</v>
      </c>
      <c r="C26" s="281">
        <v>1.8571000000000001E-2</v>
      </c>
      <c r="D26" s="281">
        <v>4.5391800000000003E-3</v>
      </c>
      <c r="E26" s="281">
        <v>9.9438653000000002E-2</v>
      </c>
      <c r="F26" s="281">
        <v>2.1956099999999999E-2</v>
      </c>
      <c r="G26" s="281">
        <v>3.3039599999999999E-3</v>
      </c>
      <c r="H26" s="281">
        <v>9.35891E-4</v>
      </c>
      <c r="I26" s="281"/>
      <c r="J26" s="281">
        <v>0.10917721499999999</v>
      </c>
      <c r="K26" s="281">
        <v>0</v>
      </c>
    </row>
    <row r="28" spans="2:25" x14ac:dyDescent="0.3">
      <c r="B28" t="s">
        <v>403</v>
      </c>
      <c r="C28" t="s">
        <v>397</v>
      </c>
    </row>
    <row r="29" spans="2:25" x14ac:dyDescent="0.3">
      <c r="B29" t="s">
        <v>342</v>
      </c>
      <c r="C29" t="s">
        <v>110</v>
      </c>
      <c r="D29" t="s">
        <v>111</v>
      </c>
      <c r="E29" t="s">
        <v>26</v>
      </c>
      <c r="F29" t="s">
        <v>27</v>
      </c>
      <c r="G29" t="s">
        <v>112</v>
      </c>
      <c r="H29" t="s">
        <v>113</v>
      </c>
      <c r="I29" t="s">
        <v>2</v>
      </c>
      <c r="J29" t="s">
        <v>33</v>
      </c>
      <c r="K29" t="s">
        <v>34</v>
      </c>
    </row>
    <row r="30" spans="2:25" x14ac:dyDescent="0.3">
      <c r="B30" s="6" t="s">
        <v>41</v>
      </c>
      <c r="C30" s="276">
        <v>3.6850501200000001</v>
      </c>
      <c r="D30" s="276">
        <v>2.3340695440000001</v>
      </c>
      <c r="E30" s="276">
        <v>4.8548248410000001</v>
      </c>
      <c r="F30" s="276">
        <v>3.3756021889999999</v>
      </c>
      <c r="G30" s="276">
        <v>7.4065054310000003</v>
      </c>
      <c r="H30" s="276">
        <v>2.2461533490000001</v>
      </c>
      <c r="I30" s="276">
        <v>10.375943752</v>
      </c>
      <c r="J30" s="276">
        <v>6.5744122320000002</v>
      </c>
      <c r="K30" s="276">
        <v>5.1487908840000003</v>
      </c>
    </row>
    <row r="31" spans="2:25" x14ac:dyDescent="0.3">
      <c r="B31" s="6" t="s">
        <v>1</v>
      </c>
      <c r="C31" s="276">
        <v>3.6371040620000001</v>
      </c>
      <c r="D31" s="276">
        <v>2.4757806059999998</v>
      </c>
      <c r="E31" s="276">
        <v>5.5466995839999997</v>
      </c>
      <c r="F31" s="276">
        <v>3.6393120589999999</v>
      </c>
      <c r="G31" s="276">
        <v>7.7119379280000002</v>
      </c>
      <c r="H31" s="276">
        <v>2.7652309609999999</v>
      </c>
      <c r="I31" s="276">
        <v>7.0247175139999998</v>
      </c>
      <c r="J31" s="276">
        <v>6.1663966879999998</v>
      </c>
      <c r="K31" s="276">
        <v>4.1142151269999996</v>
      </c>
    </row>
    <row r="32" spans="2:25" x14ac:dyDescent="0.3">
      <c r="B32" s="6" t="s">
        <v>3</v>
      </c>
      <c r="C32" s="276">
        <v>3.6092209070000001</v>
      </c>
      <c r="D32" s="276">
        <v>2.1459529740000001</v>
      </c>
      <c r="E32" s="276">
        <v>3.9226780630000002</v>
      </c>
      <c r="F32" s="276">
        <v>3.1534278960000002</v>
      </c>
      <c r="G32" s="276">
        <v>1.604395604</v>
      </c>
      <c r="H32" s="276">
        <v>1.0786048690000001</v>
      </c>
      <c r="I32" s="276"/>
      <c r="J32" s="276">
        <v>6.5287558690000003</v>
      </c>
      <c r="K32" s="276">
        <v>9.3638698629999997</v>
      </c>
    </row>
    <row r="33" spans="2:11" x14ac:dyDescent="0.3">
      <c r="B33" s="6" t="s">
        <v>4</v>
      </c>
      <c r="C33" s="276">
        <v>4.296413737</v>
      </c>
      <c r="D33" s="276">
        <v>2.345737475</v>
      </c>
      <c r="E33" s="276">
        <v>4.719177857</v>
      </c>
      <c r="F33" s="276">
        <v>3.4453424520000002</v>
      </c>
      <c r="G33" s="276">
        <v>8.753014082</v>
      </c>
      <c r="H33" s="276">
        <v>2.5653932300000002</v>
      </c>
      <c r="I33" s="276">
        <v>12.005181715000001</v>
      </c>
      <c r="J33" s="276">
        <v>6.2236696230000002</v>
      </c>
      <c r="K33" s="276">
        <v>3.6282051279999998</v>
      </c>
    </row>
    <row r="34" spans="2:11" x14ac:dyDescent="0.3">
      <c r="B34" s="6" t="s">
        <v>5</v>
      </c>
      <c r="C34" s="276">
        <v>3.1987662530000001</v>
      </c>
      <c r="D34" s="276">
        <v>2.2389476039999998</v>
      </c>
      <c r="E34" s="276">
        <v>4.8670131459999997</v>
      </c>
      <c r="F34" s="276">
        <v>3.0589489890000001</v>
      </c>
      <c r="G34" s="276">
        <v>3.3525641030000002</v>
      </c>
      <c r="H34" s="276">
        <v>2.0505768440000001</v>
      </c>
      <c r="I34" s="276">
        <v>7.6180555559999998</v>
      </c>
      <c r="J34" s="276">
        <v>7.1459151930000004</v>
      </c>
      <c r="K34" s="276">
        <v>3.6415260200000001</v>
      </c>
    </row>
    <row r="35" spans="2:11" x14ac:dyDescent="0.3">
      <c r="B35" s="6" t="s">
        <v>6</v>
      </c>
      <c r="C35" s="276">
        <v>4.1952440839999996</v>
      </c>
      <c r="D35" s="276">
        <v>2.5744591520000002</v>
      </c>
      <c r="E35" s="276">
        <v>4.8934871580000001</v>
      </c>
      <c r="F35" s="276">
        <v>3.6023462780000002</v>
      </c>
      <c r="G35" s="276">
        <v>2.0625</v>
      </c>
      <c r="H35" s="276">
        <v>1.033923304</v>
      </c>
      <c r="I35" s="276"/>
      <c r="J35" s="276">
        <v>6.5878403240000001</v>
      </c>
      <c r="K35" s="276">
        <v>1.461538462</v>
      </c>
    </row>
    <row r="37" spans="2:11" x14ac:dyDescent="0.3">
      <c r="B37" t="s">
        <v>404</v>
      </c>
      <c r="C37" t="s">
        <v>397</v>
      </c>
    </row>
    <row r="38" spans="2:11" x14ac:dyDescent="0.3">
      <c r="B38" t="s">
        <v>342</v>
      </c>
      <c r="C38" t="s">
        <v>110</v>
      </c>
      <c r="D38" t="s">
        <v>111</v>
      </c>
      <c r="E38" t="s">
        <v>26</v>
      </c>
      <c r="F38" t="s">
        <v>27</v>
      </c>
      <c r="G38" t="s">
        <v>112</v>
      </c>
      <c r="H38" t="s">
        <v>113</v>
      </c>
      <c r="I38" t="s">
        <v>2</v>
      </c>
      <c r="J38" t="s">
        <v>33</v>
      </c>
      <c r="K38" t="s">
        <v>34</v>
      </c>
    </row>
    <row r="39" spans="2:11" x14ac:dyDescent="0.3">
      <c r="B39" s="6" t="s">
        <v>41</v>
      </c>
      <c r="C39" s="276">
        <v>0.49227944800000001</v>
      </c>
      <c r="D39" s="276">
        <v>0.124648414</v>
      </c>
      <c r="E39" s="276">
        <v>0.96405280900000001</v>
      </c>
      <c r="F39" s="276">
        <v>0.38757417700000002</v>
      </c>
      <c r="G39" s="276">
        <v>5.1756102339999996</v>
      </c>
      <c r="H39" s="276">
        <v>0.546281032</v>
      </c>
      <c r="I39" s="276">
        <v>4.6827576439999996</v>
      </c>
      <c r="J39" s="276">
        <v>1.2123912320000001</v>
      </c>
      <c r="K39" s="276">
        <v>1.306019485</v>
      </c>
    </row>
    <row r="40" spans="2:11" x14ac:dyDescent="0.3">
      <c r="B40" s="6" t="s">
        <v>1</v>
      </c>
      <c r="C40" s="276">
        <v>0.41977881700000003</v>
      </c>
      <c r="D40" s="276">
        <v>0.129221643</v>
      </c>
      <c r="E40" s="276">
        <v>1.351143451</v>
      </c>
      <c r="F40" s="276">
        <v>0.397463652</v>
      </c>
      <c r="G40" s="276">
        <v>7.8720674490000002</v>
      </c>
      <c r="H40" s="276">
        <v>1.526466916</v>
      </c>
      <c r="I40" s="276">
        <v>4.5928672319999997</v>
      </c>
      <c r="J40" s="276">
        <v>1.7559395250000001</v>
      </c>
      <c r="K40" s="276">
        <v>1.820648043</v>
      </c>
    </row>
    <row r="41" spans="2:11" x14ac:dyDescent="0.3">
      <c r="B41" s="6" t="s">
        <v>3</v>
      </c>
      <c r="C41" s="276">
        <v>0.25104222700000001</v>
      </c>
      <c r="D41" s="276">
        <v>7.7586051000000003E-2</v>
      </c>
      <c r="E41" s="276">
        <v>0.62049857500000005</v>
      </c>
      <c r="F41" s="276">
        <v>0.24958628799999999</v>
      </c>
      <c r="G41" s="276">
        <v>5.9981699999999999E-2</v>
      </c>
      <c r="H41" s="276">
        <v>2.27528E-2</v>
      </c>
      <c r="I41" s="276"/>
      <c r="J41" s="276">
        <v>1.1707746480000001</v>
      </c>
      <c r="K41" s="276">
        <v>1.1476407909999999</v>
      </c>
    </row>
    <row r="42" spans="2:11" x14ac:dyDescent="0.3">
      <c r="B42" s="6" t="s">
        <v>4</v>
      </c>
      <c r="C42" s="276">
        <v>1.192812639</v>
      </c>
      <c r="D42" s="276">
        <v>0.23602341700000001</v>
      </c>
      <c r="E42" s="276">
        <v>0.95490225100000004</v>
      </c>
      <c r="F42" s="276">
        <v>0.49686561000000001</v>
      </c>
      <c r="G42" s="276">
        <v>5.5222559799999997</v>
      </c>
      <c r="H42" s="276">
        <v>0.30375808900000001</v>
      </c>
      <c r="I42" s="276">
        <v>5.0222174900000001</v>
      </c>
      <c r="J42" s="276">
        <v>1.800443459</v>
      </c>
      <c r="K42" s="276">
        <v>0.82276828099999999</v>
      </c>
    </row>
    <row r="43" spans="2:11" x14ac:dyDescent="0.3">
      <c r="B43" s="6" t="s">
        <v>5</v>
      </c>
      <c r="C43" s="276">
        <v>0.37663268300000002</v>
      </c>
      <c r="D43" s="276">
        <v>9.9701778000000005E-2</v>
      </c>
      <c r="E43" s="276">
        <v>0.79962804399999998</v>
      </c>
      <c r="F43" s="276">
        <v>0.316974494</v>
      </c>
      <c r="G43" s="276">
        <v>1.155949519</v>
      </c>
      <c r="H43" s="276">
        <v>0.18186032099999999</v>
      </c>
      <c r="I43" s="276">
        <v>1.7152777779999999</v>
      </c>
      <c r="J43" s="276">
        <v>0.79580058899999995</v>
      </c>
      <c r="K43" s="276">
        <v>0.48171589300000001</v>
      </c>
    </row>
    <row r="44" spans="2:11" x14ac:dyDescent="0.3">
      <c r="B44" s="6" t="s">
        <v>6</v>
      </c>
      <c r="C44" s="276">
        <v>0.398779579</v>
      </c>
      <c r="D44" s="276">
        <v>7.4124679999999998E-2</v>
      </c>
      <c r="E44" s="276">
        <v>0.73302991799999995</v>
      </c>
      <c r="F44" s="276">
        <v>0.80703883499999995</v>
      </c>
      <c r="G44" s="276">
        <v>0.170833333</v>
      </c>
      <c r="H44" s="276">
        <v>1.03245E-2</v>
      </c>
      <c r="I44" s="276"/>
      <c r="J44" s="276">
        <v>0.55638337000000004</v>
      </c>
      <c r="K44" s="276">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156"/>
  <sheetViews>
    <sheetView showGridLines="0" zoomScale="70" zoomScaleNormal="70" workbookViewId="0">
      <selection activeCell="H45" sqref="H45"/>
    </sheetView>
  </sheetViews>
  <sheetFormatPr defaultRowHeight="14.4" x14ac:dyDescent="0.3"/>
  <cols>
    <col min="1" max="1" width="12.44140625" customWidth="1"/>
    <col min="2" max="2" width="16.21875" customWidth="1"/>
    <col min="3" max="3" width="14.5546875" customWidth="1"/>
    <col min="26" max="26" width="13.33203125" bestFit="1" customWidth="1"/>
  </cols>
  <sheetData>
    <row r="1" spans="1:26" ht="43.2" x14ac:dyDescent="0.3">
      <c r="B1" t="s">
        <v>335</v>
      </c>
      <c r="C1" s="108" t="s">
        <v>88</v>
      </c>
      <c r="D1" s="108" t="s">
        <v>89</v>
      </c>
      <c r="E1" s="108" t="s">
        <v>90</v>
      </c>
      <c r="F1" s="108" t="s">
        <v>91</v>
      </c>
      <c r="G1" s="108" t="s">
        <v>92</v>
      </c>
      <c r="H1" s="108" t="s">
        <v>93</v>
      </c>
      <c r="I1" s="108" t="s">
        <v>94</v>
      </c>
      <c r="J1" s="108" t="s">
        <v>95</v>
      </c>
      <c r="K1" s="108" t="s">
        <v>96</v>
      </c>
      <c r="L1" s="108" t="s">
        <v>97</v>
      </c>
      <c r="M1" s="108" t="s">
        <v>98</v>
      </c>
      <c r="N1" s="108" t="s">
        <v>99</v>
      </c>
      <c r="O1" s="108" t="s">
        <v>100</v>
      </c>
      <c r="P1" s="108" t="s">
        <v>101</v>
      </c>
      <c r="Q1" s="108" t="s">
        <v>102</v>
      </c>
      <c r="R1" s="108" t="s">
        <v>103</v>
      </c>
      <c r="S1" s="108" t="s">
        <v>104</v>
      </c>
      <c r="T1" s="108" t="s">
        <v>105</v>
      </c>
      <c r="U1" s="108" t="s">
        <v>106</v>
      </c>
      <c r="V1" s="108" t="s">
        <v>107</v>
      </c>
    </row>
    <row r="2" spans="1:26" x14ac:dyDescent="0.3">
      <c r="C2" s="109"/>
      <c r="D2" s="109"/>
      <c r="E2" s="109"/>
      <c r="F2" s="109"/>
      <c r="G2" s="109"/>
      <c r="H2" s="109"/>
      <c r="I2" s="109"/>
      <c r="J2" s="109"/>
      <c r="K2" s="109"/>
      <c r="L2" s="109"/>
      <c r="M2" s="109"/>
      <c r="N2" s="109"/>
      <c r="O2" s="109"/>
      <c r="P2" s="109"/>
      <c r="Q2" s="109"/>
      <c r="R2" s="109"/>
      <c r="S2" s="109"/>
      <c r="T2" s="109"/>
      <c r="U2" s="109"/>
      <c r="V2" s="109"/>
      <c r="Y2" t="s">
        <v>392</v>
      </c>
    </row>
    <row r="3" spans="1:26" x14ac:dyDescent="0.3">
      <c r="A3" s="100">
        <f>B3</f>
        <v>43954</v>
      </c>
      <c r="B3" s="100">
        <v>43954</v>
      </c>
      <c r="C3" s="200">
        <v>96.930959499999972</v>
      </c>
      <c r="D3" s="200">
        <v>255.25888490000011</v>
      </c>
      <c r="E3" s="200">
        <v>111.91528407999999</v>
      </c>
      <c r="F3" s="200">
        <v>333.89874730000008</v>
      </c>
      <c r="G3" s="200">
        <v>107.09228340000004</v>
      </c>
      <c r="H3" s="200">
        <v>378.50231058999998</v>
      </c>
      <c r="I3" s="200">
        <v>574.38113616999999</v>
      </c>
      <c r="J3" s="200">
        <v>59</v>
      </c>
      <c r="K3" s="200">
        <v>619.59895420000009</v>
      </c>
      <c r="L3" s="200">
        <v>506.48831849999999</v>
      </c>
      <c r="M3" s="200">
        <v>167.16700160000005</v>
      </c>
      <c r="N3" s="200">
        <v>157.78626657000001</v>
      </c>
      <c r="O3" s="200">
        <v>38</v>
      </c>
      <c r="P3" s="200">
        <v>57</v>
      </c>
      <c r="Q3" s="200">
        <v>133.68076381</v>
      </c>
      <c r="R3" s="200">
        <v>193</v>
      </c>
      <c r="S3" s="200">
        <v>66</v>
      </c>
      <c r="T3" s="200">
        <v>7</v>
      </c>
      <c r="U3" s="200">
        <v>82</v>
      </c>
      <c r="V3" s="200">
        <v>244.97252469</v>
      </c>
      <c r="W3" s="200">
        <f>SUM(C3:V3)</f>
        <v>4189.6734353100001</v>
      </c>
      <c r="Y3" s="200">
        <f>W3+W32+Z32</f>
        <v>82966.920243969987</v>
      </c>
    </row>
    <row r="4" spans="1:26" x14ac:dyDescent="0.3">
      <c r="A4" s="100">
        <f t="shared" ref="A4:A27" si="0">B4</f>
        <v>43961</v>
      </c>
      <c r="B4" s="100">
        <v>43961</v>
      </c>
      <c r="C4" s="200">
        <v>147.21965959999989</v>
      </c>
      <c r="D4" s="200">
        <v>274.16474970000013</v>
      </c>
      <c r="E4" s="200">
        <v>120.25915329999998</v>
      </c>
      <c r="F4" s="200">
        <v>382.98121560000004</v>
      </c>
      <c r="G4" s="200">
        <v>142.16502420000006</v>
      </c>
      <c r="H4" s="200">
        <v>447.77486819000001</v>
      </c>
      <c r="I4" s="200">
        <v>628.90284897000004</v>
      </c>
      <c r="J4" s="200">
        <v>74</v>
      </c>
      <c r="K4" s="200">
        <v>717.36716930000011</v>
      </c>
      <c r="L4" s="200">
        <v>583.32899079999993</v>
      </c>
      <c r="M4" s="200">
        <v>192.92014715000005</v>
      </c>
      <c r="N4" s="200">
        <v>175.97636262000003</v>
      </c>
      <c r="O4" s="200">
        <v>47</v>
      </c>
      <c r="P4" s="200">
        <v>63</v>
      </c>
      <c r="Q4" s="200">
        <v>145.30511136000001</v>
      </c>
      <c r="R4" s="200">
        <v>215</v>
      </c>
      <c r="S4" s="200">
        <v>75</v>
      </c>
      <c r="T4" s="200">
        <v>9</v>
      </c>
      <c r="U4" s="200">
        <v>94</v>
      </c>
      <c r="V4" s="200">
        <v>276.59758191999998</v>
      </c>
      <c r="W4" s="200">
        <f t="shared" ref="W4:W27" si="1">SUM(C4:V4)</f>
        <v>4811.9628827100014</v>
      </c>
      <c r="Y4" s="259">
        <f t="shared" ref="Y4:Y27" si="2">W4+W33+Z33</f>
        <v>95198.24954915003</v>
      </c>
      <c r="Z4" s="200"/>
    </row>
    <row r="5" spans="1:26" x14ac:dyDescent="0.3">
      <c r="A5" s="100">
        <f t="shared" si="0"/>
        <v>43968</v>
      </c>
      <c r="B5" s="100">
        <v>43968</v>
      </c>
      <c r="C5" s="200">
        <v>164.68844979999994</v>
      </c>
      <c r="D5" s="200">
        <v>305.1885377000001</v>
      </c>
      <c r="E5" s="200">
        <v>122.95203472999998</v>
      </c>
      <c r="F5" s="200">
        <v>430.77068329999997</v>
      </c>
      <c r="G5" s="200">
        <v>157.92091980000009</v>
      </c>
      <c r="H5" s="200">
        <v>499.20912997999994</v>
      </c>
      <c r="I5" s="200">
        <v>693.52472727000008</v>
      </c>
      <c r="J5" s="200">
        <v>77</v>
      </c>
      <c r="K5" s="200">
        <v>775.95453770000017</v>
      </c>
      <c r="L5" s="200">
        <v>663.57520449999993</v>
      </c>
      <c r="M5" s="200">
        <v>219.37124397000002</v>
      </c>
      <c r="N5" s="200">
        <v>201.90238468000001</v>
      </c>
      <c r="O5" s="200">
        <v>48</v>
      </c>
      <c r="P5" s="200">
        <v>68</v>
      </c>
      <c r="Q5" s="200">
        <v>164.02690913000004</v>
      </c>
      <c r="R5" s="200">
        <v>235</v>
      </c>
      <c r="S5" s="200">
        <v>83</v>
      </c>
      <c r="T5" s="200">
        <v>10</v>
      </c>
      <c r="U5" s="200">
        <v>107</v>
      </c>
      <c r="V5" s="200">
        <v>297.20214656999997</v>
      </c>
      <c r="W5" s="200">
        <f t="shared" si="1"/>
        <v>5324.2869091299999</v>
      </c>
      <c r="Y5" s="259">
        <f t="shared" si="2"/>
        <v>107362.54699306001</v>
      </c>
      <c r="Z5" s="200"/>
    </row>
    <row r="6" spans="1:26" x14ac:dyDescent="0.3">
      <c r="A6" s="100">
        <f t="shared" si="0"/>
        <v>43975</v>
      </c>
      <c r="B6" s="100">
        <v>43975</v>
      </c>
      <c r="C6" s="200">
        <v>189.1368657999999</v>
      </c>
      <c r="D6" s="200">
        <v>326.59602430000018</v>
      </c>
      <c r="E6" s="200">
        <v>134.27686315999995</v>
      </c>
      <c r="F6" s="200">
        <v>446.88729779999994</v>
      </c>
      <c r="G6" s="200">
        <v>161.65326249999998</v>
      </c>
      <c r="H6" s="200">
        <v>551.2528158099999</v>
      </c>
      <c r="I6" s="200">
        <v>739.56770426000003</v>
      </c>
      <c r="J6" s="200">
        <v>81</v>
      </c>
      <c r="K6" s="200">
        <v>817.07337580000012</v>
      </c>
      <c r="L6" s="200">
        <v>736.38170109999987</v>
      </c>
      <c r="M6" s="200">
        <v>235.03852386</v>
      </c>
      <c r="N6" s="200">
        <v>210.21027555000001</v>
      </c>
      <c r="O6" s="200">
        <v>52</v>
      </c>
      <c r="P6" s="200">
        <v>75</v>
      </c>
      <c r="Q6" s="200">
        <v>181.18477927000004</v>
      </c>
      <c r="R6" s="200">
        <v>253</v>
      </c>
      <c r="S6" s="200">
        <v>84</v>
      </c>
      <c r="T6" s="200">
        <v>10</v>
      </c>
      <c r="U6" s="200">
        <v>114</v>
      </c>
      <c r="V6" s="200">
        <v>322.77087371999994</v>
      </c>
      <c r="W6" s="200">
        <f t="shared" si="1"/>
        <v>5721.0303629299997</v>
      </c>
      <c r="Y6" s="259">
        <f t="shared" si="2"/>
        <v>116906.44067587001</v>
      </c>
      <c r="Z6" s="200"/>
    </row>
    <row r="7" spans="1:26" x14ac:dyDescent="0.3">
      <c r="A7" s="100">
        <f t="shared" si="0"/>
        <v>43982</v>
      </c>
      <c r="B7" s="100">
        <v>43982</v>
      </c>
      <c r="C7" s="200">
        <v>231.1802095999999</v>
      </c>
      <c r="D7" s="200">
        <v>348.06246550000014</v>
      </c>
      <c r="E7" s="200">
        <v>135.61293916</v>
      </c>
      <c r="F7" s="200">
        <v>440.31097139999997</v>
      </c>
      <c r="G7" s="200">
        <v>180.09673650000013</v>
      </c>
      <c r="H7" s="200">
        <v>624.58320810999999</v>
      </c>
      <c r="I7" s="200">
        <v>816.19992326000011</v>
      </c>
      <c r="J7" s="200">
        <v>84</v>
      </c>
      <c r="K7" s="200">
        <v>870.74346700000024</v>
      </c>
      <c r="L7" s="200">
        <v>797.12257209999984</v>
      </c>
      <c r="M7" s="200">
        <v>253.83699209999997</v>
      </c>
      <c r="N7" s="200">
        <v>241.17141500000002</v>
      </c>
      <c r="O7" s="200">
        <v>52</v>
      </c>
      <c r="P7" s="200">
        <v>86</v>
      </c>
      <c r="Q7" s="200">
        <v>198.54726577000002</v>
      </c>
      <c r="R7" s="200">
        <v>273</v>
      </c>
      <c r="S7" s="200">
        <v>98</v>
      </c>
      <c r="T7" s="200">
        <v>9</v>
      </c>
      <c r="U7" s="200">
        <v>117</v>
      </c>
      <c r="V7" s="200">
        <v>343.49747107999997</v>
      </c>
      <c r="W7" s="200">
        <f t="shared" si="1"/>
        <v>6199.9656365800001</v>
      </c>
      <c r="Y7" s="259">
        <f t="shared" si="2"/>
        <v>128204.02285211001</v>
      </c>
      <c r="Z7" s="200"/>
    </row>
    <row r="8" spans="1:26" x14ac:dyDescent="0.3">
      <c r="A8" s="100">
        <f t="shared" si="0"/>
        <v>43989</v>
      </c>
      <c r="B8" s="100">
        <v>43989</v>
      </c>
      <c r="C8" s="200">
        <v>275.74560169999995</v>
      </c>
      <c r="D8" s="200">
        <v>358.69693600000005</v>
      </c>
      <c r="E8" s="200">
        <v>157.35012326000003</v>
      </c>
      <c r="F8" s="200">
        <v>467.86362099999997</v>
      </c>
      <c r="G8" s="200">
        <v>201.70437429999993</v>
      </c>
      <c r="H8" s="200">
        <v>675.79228661000002</v>
      </c>
      <c r="I8" s="200">
        <v>881.28923896000015</v>
      </c>
      <c r="J8" s="200">
        <v>94</v>
      </c>
      <c r="K8" s="200">
        <v>938.94230350000021</v>
      </c>
      <c r="L8" s="200">
        <v>839.48280529999988</v>
      </c>
      <c r="M8" s="200">
        <v>282.05292861999999</v>
      </c>
      <c r="N8" s="200">
        <v>260.10204181</v>
      </c>
      <c r="O8" s="200">
        <v>61</v>
      </c>
      <c r="P8" s="200">
        <v>95</v>
      </c>
      <c r="Q8" s="200">
        <v>200.57888546000004</v>
      </c>
      <c r="R8" s="200">
        <v>297</v>
      </c>
      <c r="S8" s="200">
        <v>103</v>
      </c>
      <c r="T8" s="200">
        <v>10</v>
      </c>
      <c r="U8" s="200">
        <v>120</v>
      </c>
      <c r="V8" s="200">
        <v>353.45368967999997</v>
      </c>
      <c r="W8" s="200">
        <f t="shared" si="1"/>
        <v>6673.054836199999</v>
      </c>
      <c r="Y8" s="259">
        <f t="shared" si="2"/>
        <v>138767.10800238</v>
      </c>
      <c r="Z8" s="200"/>
    </row>
    <row r="9" spans="1:26" x14ac:dyDescent="0.3">
      <c r="A9" s="100">
        <f t="shared" si="0"/>
        <v>43996</v>
      </c>
      <c r="B9" s="100">
        <v>43996</v>
      </c>
      <c r="C9" s="200">
        <v>308.59420969999996</v>
      </c>
      <c r="D9" s="200">
        <v>376.79983530000004</v>
      </c>
      <c r="E9" s="200">
        <v>159.41173889000004</v>
      </c>
      <c r="F9" s="200">
        <v>488.32195210000009</v>
      </c>
      <c r="G9" s="200">
        <v>205.74200519999977</v>
      </c>
      <c r="H9" s="200">
        <v>701.42759509999996</v>
      </c>
      <c r="I9" s="200">
        <v>912.09467056000017</v>
      </c>
      <c r="J9" s="200">
        <v>91</v>
      </c>
      <c r="K9" s="200">
        <v>987.69429270000023</v>
      </c>
      <c r="L9" s="200">
        <v>928.50684739999997</v>
      </c>
      <c r="M9" s="200">
        <v>296.59562361999997</v>
      </c>
      <c r="N9" s="200">
        <v>285.19158283000002</v>
      </c>
      <c r="O9" s="200">
        <v>61</v>
      </c>
      <c r="P9" s="200">
        <v>97</v>
      </c>
      <c r="Q9" s="200">
        <v>203.08786410000005</v>
      </c>
      <c r="R9" s="200">
        <v>315</v>
      </c>
      <c r="S9" s="200">
        <v>111</v>
      </c>
      <c r="T9" s="200">
        <v>13</v>
      </c>
      <c r="U9" s="200">
        <v>128</v>
      </c>
      <c r="V9" s="200">
        <v>370.36894325999998</v>
      </c>
      <c r="W9" s="200">
        <f t="shared" si="1"/>
        <v>7039.8371607600002</v>
      </c>
      <c r="Y9" s="259">
        <f t="shared" si="2"/>
        <v>147922.65375207004</v>
      </c>
      <c r="Z9" s="200"/>
    </row>
    <row r="10" spans="1:26" x14ac:dyDescent="0.3">
      <c r="A10" s="100">
        <f t="shared" si="0"/>
        <v>44003</v>
      </c>
      <c r="B10" s="100">
        <v>44003</v>
      </c>
      <c r="C10" s="200">
        <v>351.50328719999993</v>
      </c>
      <c r="D10" s="200">
        <v>402.99403549999988</v>
      </c>
      <c r="E10" s="200">
        <v>172.69218892000004</v>
      </c>
      <c r="F10" s="200">
        <v>494.6756398</v>
      </c>
      <c r="G10" s="200">
        <v>224.72500369999989</v>
      </c>
      <c r="H10" s="200">
        <v>734.3980944299999</v>
      </c>
      <c r="I10" s="200">
        <v>934.55348416000015</v>
      </c>
      <c r="J10" s="200">
        <v>89</v>
      </c>
      <c r="K10" s="200">
        <v>1055.6443563000003</v>
      </c>
      <c r="L10" s="200">
        <v>1003.3734890000001</v>
      </c>
      <c r="M10" s="200">
        <v>316.40447184999994</v>
      </c>
      <c r="N10" s="200">
        <v>303.44332591</v>
      </c>
      <c r="O10" s="200">
        <v>63</v>
      </c>
      <c r="P10" s="200">
        <v>108</v>
      </c>
      <c r="Q10" s="200">
        <v>205.74351869000003</v>
      </c>
      <c r="R10" s="200">
        <v>336</v>
      </c>
      <c r="S10" s="200">
        <v>116</v>
      </c>
      <c r="T10" s="200">
        <v>14</v>
      </c>
      <c r="U10" s="200">
        <v>131</v>
      </c>
      <c r="V10" s="200">
        <v>388.52188985999999</v>
      </c>
      <c r="W10" s="200">
        <f t="shared" si="1"/>
        <v>7445.6727853199991</v>
      </c>
      <c r="Y10" s="259">
        <f t="shared" si="2"/>
        <v>157207.74317547999</v>
      </c>
      <c r="Z10" s="200"/>
    </row>
    <row r="11" spans="1:26" x14ac:dyDescent="0.3">
      <c r="A11" s="100">
        <f t="shared" si="0"/>
        <v>44010</v>
      </c>
      <c r="B11" s="100">
        <v>44010</v>
      </c>
      <c r="C11" s="200">
        <v>390.8672552999999</v>
      </c>
      <c r="D11" s="200">
        <v>424.93673989999979</v>
      </c>
      <c r="E11" s="200">
        <v>186.03624754999998</v>
      </c>
      <c r="F11" s="200">
        <v>511.99248309999984</v>
      </c>
      <c r="G11" s="200">
        <v>253.24864699999989</v>
      </c>
      <c r="H11" s="200">
        <v>765.16063534999989</v>
      </c>
      <c r="I11" s="200">
        <v>954.05360326000027</v>
      </c>
      <c r="J11" s="200">
        <v>81</v>
      </c>
      <c r="K11" s="200">
        <v>1097.7147306000002</v>
      </c>
      <c r="L11" s="200">
        <v>1096.2749856999999</v>
      </c>
      <c r="M11" s="200">
        <v>335.11749934999989</v>
      </c>
      <c r="N11" s="200">
        <v>325.84204876000001</v>
      </c>
      <c r="O11" s="200">
        <v>65</v>
      </c>
      <c r="P11" s="200">
        <v>115</v>
      </c>
      <c r="Q11" s="200">
        <v>204.61419401000001</v>
      </c>
      <c r="R11" s="200">
        <v>354</v>
      </c>
      <c r="S11" s="200">
        <v>138</v>
      </c>
      <c r="T11" s="200">
        <v>15</v>
      </c>
      <c r="U11" s="200">
        <v>139</v>
      </c>
      <c r="V11" s="200">
        <v>407.72042856999997</v>
      </c>
      <c r="W11" s="200">
        <f t="shared" si="1"/>
        <v>7860.579498449998</v>
      </c>
      <c r="Y11" s="259">
        <f t="shared" si="2"/>
        <v>165997.19986781001</v>
      </c>
      <c r="Z11" s="200"/>
    </row>
    <row r="12" spans="1:26" x14ac:dyDescent="0.3">
      <c r="A12" s="100">
        <f t="shared" si="0"/>
        <v>44017</v>
      </c>
      <c r="B12" s="100">
        <v>44017</v>
      </c>
      <c r="C12" s="200">
        <v>392.43357759999981</v>
      </c>
      <c r="D12" s="200">
        <v>414.14776889999985</v>
      </c>
      <c r="E12" s="200">
        <v>178.49598693999997</v>
      </c>
      <c r="F12" s="200">
        <v>487.01918339999975</v>
      </c>
      <c r="G12" s="200">
        <v>216.0622800000001</v>
      </c>
      <c r="H12" s="200">
        <v>765.47777954999992</v>
      </c>
      <c r="I12" s="200">
        <v>955.51719592000018</v>
      </c>
      <c r="J12" s="200">
        <v>70</v>
      </c>
      <c r="K12" s="200">
        <v>1116.2444880400003</v>
      </c>
      <c r="L12" s="200">
        <v>1130.5143132499998</v>
      </c>
      <c r="M12" s="200">
        <v>340.16456555999991</v>
      </c>
      <c r="N12" s="200">
        <v>332.70995737999999</v>
      </c>
      <c r="O12" s="200">
        <v>61</v>
      </c>
      <c r="P12" s="200">
        <v>119</v>
      </c>
      <c r="Q12" s="200">
        <v>194.53026</v>
      </c>
      <c r="R12" s="200">
        <v>356</v>
      </c>
      <c r="S12" s="200">
        <v>144</v>
      </c>
      <c r="T12" s="200">
        <v>16</v>
      </c>
      <c r="U12" s="200">
        <v>146</v>
      </c>
      <c r="V12" s="200">
        <v>427.35902135999993</v>
      </c>
      <c r="W12" s="200">
        <f t="shared" si="1"/>
        <v>7862.6763778999994</v>
      </c>
      <c r="Y12" s="259">
        <f t="shared" si="2"/>
        <v>170906.79981138004</v>
      </c>
      <c r="Z12" s="200"/>
    </row>
    <row r="13" spans="1:26" x14ac:dyDescent="0.3">
      <c r="A13" s="100">
        <f t="shared" si="0"/>
        <v>44024</v>
      </c>
      <c r="B13" s="100">
        <v>44024</v>
      </c>
      <c r="C13" s="200">
        <v>416.16790359999959</v>
      </c>
      <c r="D13" s="200">
        <v>430.6799831999997</v>
      </c>
      <c r="E13" s="200">
        <v>187.31468842999993</v>
      </c>
      <c r="F13" s="200">
        <v>492.18631789999972</v>
      </c>
      <c r="G13" s="200">
        <v>233.83212230000026</v>
      </c>
      <c r="H13" s="200">
        <v>792.90491496000004</v>
      </c>
      <c r="I13" s="200">
        <v>978.20070452000027</v>
      </c>
      <c r="J13" s="200">
        <v>64</v>
      </c>
      <c r="K13" s="200">
        <v>1168.6640661400002</v>
      </c>
      <c r="L13" s="200">
        <v>1210.1979131499997</v>
      </c>
      <c r="M13" s="200">
        <v>353.83582769999987</v>
      </c>
      <c r="N13" s="200">
        <v>343.52930220999997</v>
      </c>
      <c r="O13" s="200">
        <v>62</v>
      </c>
      <c r="P13" s="200">
        <v>131</v>
      </c>
      <c r="Q13" s="200">
        <v>191.30616610000004</v>
      </c>
      <c r="R13" s="200">
        <v>366</v>
      </c>
      <c r="S13" s="200">
        <v>149</v>
      </c>
      <c r="T13" s="200">
        <v>16</v>
      </c>
      <c r="U13" s="200">
        <v>147</v>
      </c>
      <c r="V13" s="200">
        <v>446.56495970999993</v>
      </c>
      <c r="W13" s="200">
        <f t="shared" si="1"/>
        <v>8180.3848699199998</v>
      </c>
      <c r="Y13" s="259">
        <f t="shared" si="2"/>
        <v>178841.68363188001</v>
      </c>
      <c r="Z13" s="200"/>
    </row>
    <row r="14" spans="1:26" x14ac:dyDescent="0.3">
      <c r="A14" s="100">
        <f t="shared" si="0"/>
        <v>44031</v>
      </c>
      <c r="B14" s="100">
        <v>44031</v>
      </c>
      <c r="C14" s="200">
        <v>442.00291609999977</v>
      </c>
      <c r="D14" s="200">
        <v>431.0008872999997</v>
      </c>
      <c r="E14" s="200">
        <v>195.27811766999992</v>
      </c>
      <c r="F14" s="200">
        <v>502.57336549999991</v>
      </c>
      <c r="G14" s="200">
        <v>212.29133630000024</v>
      </c>
      <c r="H14" s="200">
        <v>840.82681586000012</v>
      </c>
      <c r="I14" s="200">
        <v>981.89410882000038</v>
      </c>
      <c r="J14" s="200">
        <v>56</v>
      </c>
      <c r="K14" s="200">
        <v>1210.1196469400002</v>
      </c>
      <c r="L14" s="200">
        <v>1276.0076707499998</v>
      </c>
      <c r="M14" s="200">
        <v>369.48988108999993</v>
      </c>
      <c r="N14" s="200">
        <v>358.37871190999999</v>
      </c>
      <c r="O14" s="200">
        <v>67</v>
      </c>
      <c r="P14" s="200">
        <v>151</v>
      </c>
      <c r="Q14" s="200">
        <v>186.92406196000002</v>
      </c>
      <c r="R14" s="200">
        <v>376</v>
      </c>
      <c r="S14" s="200">
        <v>154</v>
      </c>
      <c r="T14" s="200">
        <v>16</v>
      </c>
      <c r="U14" s="200">
        <v>150</v>
      </c>
      <c r="V14" s="200">
        <v>464.44494114999998</v>
      </c>
      <c r="W14" s="200">
        <f t="shared" si="1"/>
        <v>8441.2324613499986</v>
      </c>
      <c r="Y14" s="259">
        <f t="shared" si="2"/>
        <v>186487.82261105001</v>
      </c>
      <c r="Z14" s="200"/>
    </row>
    <row r="15" spans="1:26" x14ac:dyDescent="0.3">
      <c r="A15" s="100">
        <f t="shared" si="0"/>
        <v>44038</v>
      </c>
      <c r="B15" s="100">
        <v>44038</v>
      </c>
      <c r="C15" s="200">
        <v>465.31587899999977</v>
      </c>
      <c r="D15" s="200">
        <v>413.53969079999979</v>
      </c>
      <c r="E15" s="200">
        <v>202.81018113999994</v>
      </c>
      <c r="F15" s="200">
        <v>520.52867849999984</v>
      </c>
      <c r="G15" s="200">
        <v>217.38182540000025</v>
      </c>
      <c r="H15" s="200">
        <v>869.84295955000016</v>
      </c>
      <c r="I15" s="200">
        <v>985.98349542000051</v>
      </c>
      <c r="J15" s="200">
        <v>46</v>
      </c>
      <c r="K15" s="200">
        <v>1245.37264684</v>
      </c>
      <c r="L15" s="200">
        <v>1346.2081343499999</v>
      </c>
      <c r="M15" s="200">
        <v>381.12678928999992</v>
      </c>
      <c r="N15" s="200">
        <v>364.20593468000004</v>
      </c>
      <c r="O15" s="200">
        <v>69</v>
      </c>
      <c r="P15" s="200">
        <v>156</v>
      </c>
      <c r="Q15" s="200">
        <v>177.51624863000006</v>
      </c>
      <c r="R15" s="200">
        <v>389</v>
      </c>
      <c r="S15" s="200">
        <v>160</v>
      </c>
      <c r="T15" s="200">
        <v>16</v>
      </c>
      <c r="U15" s="200">
        <v>156</v>
      </c>
      <c r="V15" s="200">
        <v>480.40505781000002</v>
      </c>
      <c r="W15" s="200">
        <f t="shared" si="1"/>
        <v>8662.2375214099993</v>
      </c>
      <c r="Y15" s="259">
        <f t="shared" si="2"/>
        <v>193044.82938319998</v>
      </c>
      <c r="Z15" s="200"/>
    </row>
    <row r="16" spans="1:26" x14ac:dyDescent="0.3">
      <c r="A16" s="100">
        <f t="shared" si="0"/>
        <v>44045</v>
      </c>
      <c r="B16" s="100">
        <v>44045</v>
      </c>
      <c r="C16" s="200">
        <v>474.03349259999959</v>
      </c>
      <c r="D16" s="200">
        <v>376.76099009999962</v>
      </c>
      <c r="E16" s="200">
        <v>201.31922633999989</v>
      </c>
      <c r="F16" s="200">
        <v>515.81816369999979</v>
      </c>
      <c r="G16" s="200">
        <v>209.22638880000022</v>
      </c>
      <c r="H16" s="200">
        <v>891.53419283000017</v>
      </c>
      <c r="I16" s="200">
        <v>961.34633421000035</v>
      </c>
      <c r="J16" s="200">
        <v>39</v>
      </c>
      <c r="K16" s="200">
        <v>1294.4275095399998</v>
      </c>
      <c r="L16" s="200">
        <v>1379.2017543900001</v>
      </c>
      <c r="M16" s="200">
        <v>383.15958007999996</v>
      </c>
      <c r="N16" s="200">
        <v>364.20487795000008</v>
      </c>
      <c r="O16" s="200">
        <v>65</v>
      </c>
      <c r="P16" s="200">
        <v>166</v>
      </c>
      <c r="Q16" s="200">
        <v>159.15237431000003</v>
      </c>
      <c r="R16" s="200">
        <v>401</v>
      </c>
      <c r="S16" s="200">
        <v>165</v>
      </c>
      <c r="T16" s="200">
        <v>16</v>
      </c>
      <c r="U16" s="200">
        <v>165</v>
      </c>
      <c r="V16" s="200">
        <v>494.45686045000002</v>
      </c>
      <c r="W16" s="200">
        <f t="shared" si="1"/>
        <v>8721.6417452999995</v>
      </c>
      <c r="Y16" s="259">
        <f t="shared" si="2"/>
        <v>196654.80368942002</v>
      </c>
      <c r="Z16" s="200"/>
    </row>
    <row r="17" spans="1:29" x14ac:dyDescent="0.3">
      <c r="A17" s="100">
        <f t="shared" si="0"/>
        <v>44052</v>
      </c>
      <c r="B17" s="100">
        <v>44052</v>
      </c>
      <c r="C17" s="200">
        <v>467.26469778999945</v>
      </c>
      <c r="D17" s="200">
        <v>327.80904511999961</v>
      </c>
      <c r="E17" s="200">
        <v>195.94336589999989</v>
      </c>
      <c r="F17" s="200">
        <v>476.65381538999964</v>
      </c>
      <c r="G17" s="200">
        <v>139.6392222000004</v>
      </c>
      <c r="H17" s="200">
        <v>899.20433576000005</v>
      </c>
      <c r="I17" s="200">
        <v>937.83824110000023</v>
      </c>
      <c r="J17" s="200">
        <v>32</v>
      </c>
      <c r="K17" s="200">
        <v>1309.33017359</v>
      </c>
      <c r="L17" s="200">
        <v>1405.1965711000003</v>
      </c>
      <c r="M17" s="200">
        <v>376.47673050999992</v>
      </c>
      <c r="N17" s="200">
        <v>367.34101114000009</v>
      </c>
      <c r="O17" s="200">
        <v>63</v>
      </c>
      <c r="P17" s="200">
        <v>175</v>
      </c>
      <c r="Q17" s="200">
        <v>141.98609505000002</v>
      </c>
      <c r="R17" s="200">
        <v>406</v>
      </c>
      <c r="S17" s="200">
        <v>176</v>
      </c>
      <c r="T17" s="200">
        <v>16</v>
      </c>
      <c r="U17" s="200">
        <v>164</v>
      </c>
      <c r="V17" s="200">
        <v>507.3792224</v>
      </c>
      <c r="W17" s="200">
        <f t="shared" si="1"/>
        <v>8584.0625270500004</v>
      </c>
      <c r="Y17" s="259">
        <f t="shared" si="2"/>
        <v>198857.04647175997</v>
      </c>
      <c r="Z17" s="200"/>
    </row>
    <row r="18" spans="1:29" x14ac:dyDescent="0.3">
      <c r="A18" s="100">
        <f t="shared" si="0"/>
        <v>44059</v>
      </c>
      <c r="B18" s="100">
        <v>44059</v>
      </c>
      <c r="C18" s="200">
        <v>484.01024998999947</v>
      </c>
      <c r="D18" s="200">
        <v>341.09118321999949</v>
      </c>
      <c r="E18" s="200">
        <v>199.81616840999982</v>
      </c>
      <c r="F18" s="200">
        <v>484.07086278999941</v>
      </c>
      <c r="G18" s="200">
        <v>130.32971260000022</v>
      </c>
      <c r="H18" s="200">
        <v>929.24237387999983</v>
      </c>
      <c r="I18" s="200">
        <v>958.87298830000009</v>
      </c>
      <c r="J18" s="200">
        <v>23</v>
      </c>
      <c r="K18" s="200">
        <v>1364.1155107899999</v>
      </c>
      <c r="L18" s="200">
        <v>1484.3956303000004</v>
      </c>
      <c r="M18" s="200">
        <v>380.05054443999995</v>
      </c>
      <c r="N18" s="200">
        <v>375.80810368000004</v>
      </c>
      <c r="O18" s="200">
        <v>63</v>
      </c>
      <c r="P18" s="200">
        <v>185</v>
      </c>
      <c r="Q18" s="200">
        <v>144.69037872000001</v>
      </c>
      <c r="R18" s="200">
        <v>425</v>
      </c>
      <c r="S18" s="200">
        <v>184</v>
      </c>
      <c r="T18" s="200">
        <v>17</v>
      </c>
      <c r="U18" s="200">
        <v>173</v>
      </c>
      <c r="V18" s="200">
        <v>520.62031313</v>
      </c>
      <c r="W18" s="200">
        <f t="shared" si="1"/>
        <v>8867.1140202499992</v>
      </c>
      <c r="Y18" s="259">
        <f t="shared" si="2"/>
        <v>206408.41328168006</v>
      </c>
      <c r="Z18" s="200"/>
    </row>
    <row r="19" spans="1:29" x14ac:dyDescent="0.3">
      <c r="A19" s="100">
        <f t="shared" si="0"/>
        <v>44066</v>
      </c>
      <c r="B19" s="100">
        <v>44066</v>
      </c>
      <c r="C19" s="200">
        <v>506.21285218999947</v>
      </c>
      <c r="D19" s="200">
        <v>336.70094291999931</v>
      </c>
      <c r="E19" s="200">
        <v>200.09237539999981</v>
      </c>
      <c r="F19" s="200">
        <v>491.70017688999951</v>
      </c>
      <c r="G19" s="200">
        <v>140.89265290000003</v>
      </c>
      <c r="H19" s="200">
        <v>959.58534712999972</v>
      </c>
      <c r="I19" s="200">
        <v>991.96205400000008</v>
      </c>
      <c r="J19" s="200">
        <v>20</v>
      </c>
      <c r="K19" s="200">
        <v>1419.7329764900001</v>
      </c>
      <c r="L19" s="200">
        <v>1568.1709688000005</v>
      </c>
      <c r="M19" s="200">
        <v>386.03909227999998</v>
      </c>
      <c r="N19" s="200">
        <v>385.09906769000008</v>
      </c>
      <c r="O19" s="200">
        <v>70</v>
      </c>
      <c r="P19" s="200">
        <v>199</v>
      </c>
      <c r="Q19" s="200">
        <v>142.45868987000006</v>
      </c>
      <c r="R19" s="200">
        <v>447</v>
      </c>
      <c r="S19" s="200">
        <v>197</v>
      </c>
      <c r="T19" s="200">
        <v>19</v>
      </c>
      <c r="U19" s="200">
        <v>175</v>
      </c>
      <c r="V19" s="200">
        <v>535.90963613999998</v>
      </c>
      <c r="W19" s="200">
        <f t="shared" si="1"/>
        <v>9191.5568326999983</v>
      </c>
      <c r="Y19" s="259">
        <f t="shared" si="2"/>
        <v>214218.80558737004</v>
      </c>
      <c r="Z19" s="200"/>
    </row>
    <row r="20" spans="1:29" x14ac:dyDescent="0.3">
      <c r="A20" s="100">
        <f t="shared" si="0"/>
        <v>44073</v>
      </c>
      <c r="B20" s="100">
        <v>44073</v>
      </c>
      <c r="C20" s="200">
        <v>511.0307041899996</v>
      </c>
      <c r="D20" s="200">
        <v>335.28049491999946</v>
      </c>
      <c r="E20" s="200">
        <v>199.1701339199999</v>
      </c>
      <c r="F20" s="200">
        <v>486.36290178999934</v>
      </c>
      <c r="G20" s="200">
        <v>134.43328010000005</v>
      </c>
      <c r="H20" s="200">
        <v>995.50198272999978</v>
      </c>
      <c r="I20" s="200">
        <v>1019.0012380000003</v>
      </c>
      <c r="J20" s="200">
        <v>9</v>
      </c>
      <c r="K20" s="200">
        <v>1433.67705712</v>
      </c>
      <c r="L20" s="200">
        <v>1653.0769281000007</v>
      </c>
      <c r="M20" s="200">
        <v>395.17450937000001</v>
      </c>
      <c r="N20" s="200">
        <v>398.56874886000014</v>
      </c>
      <c r="O20" s="200">
        <v>67</v>
      </c>
      <c r="P20" s="200">
        <v>207</v>
      </c>
      <c r="Q20" s="200">
        <v>145.96914327000002</v>
      </c>
      <c r="R20" s="200">
        <v>459</v>
      </c>
      <c r="S20" s="200">
        <v>214</v>
      </c>
      <c r="T20" s="200">
        <v>20</v>
      </c>
      <c r="U20" s="200">
        <v>185</v>
      </c>
      <c r="V20" s="200">
        <v>554.67955094000001</v>
      </c>
      <c r="W20" s="200">
        <f t="shared" si="1"/>
        <v>9422.9266733099994</v>
      </c>
      <c r="Y20" s="259">
        <f t="shared" si="2"/>
        <v>221081.49872725003</v>
      </c>
      <c r="Z20" s="200"/>
    </row>
    <row r="21" spans="1:29" x14ac:dyDescent="0.3">
      <c r="A21" s="100">
        <f t="shared" si="0"/>
        <v>44080</v>
      </c>
      <c r="B21" s="100">
        <v>44080</v>
      </c>
      <c r="C21" s="200">
        <v>509.12181962999966</v>
      </c>
      <c r="D21" s="200">
        <v>332.89152671999955</v>
      </c>
      <c r="E21" s="200">
        <v>203.40240771999993</v>
      </c>
      <c r="F21" s="200">
        <v>471.51351668999951</v>
      </c>
      <c r="G21" s="200">
        <v>128.63966729999993</v>
      </c>
      <c r="H21" s="200">
        <v>1019.3668163699999</v>
      </c>
      <c r="I21" s="200">
        <v>1032.2794405000004</v>
      </c>
      <c r="J21" s="200">
        <v>3</v>
      </c>
      <c r="K21" s="200">
        <v>1464.5433437199999</v>
      </c>
      <c r="L21" s="200">
        <v>1723.0880626000007</v>
      </c>
      <c r="M21" s="200">
        <v>402.68092794000006</v>
      </c>
      <c r="N21" s="200">
        <v>414.04420026000014</v>
      </c>
      <c r="O21" s="200">
        <v>74</v>
      </c>
      <c r="P21" s="200">
        <v>207</v>
      </c>
      <c r="Q21" s="200">
        <v>140.68171015999997</v>
      </c>
      <c r="R21" s="200">
        <v>464</v>
      </c>
      <c r="S21" s="200">
        <v>224</v>
      </c>
      <c r="T21" s="200">
        <v>20</v>
      </c>
      <c r="U21" s="200">
        <v>192</v>
      </c>
      <c r="V21" s="200">
        <v>577.50907170000005</v>
      </c>
      <c r="W21" s="200">
        <f t="shared" si="1"/>
        <v>9603.7625113100003</v>
      </c>
      <c r="Y21" s="259">
        <f t="shared" si="2"/>
        <v>227331.07548432003</v>
      </c>
      <c r="Z21" s="200"/>
    </row>
    <row r="22" spans="1:29" x14ac:dyDescent="0.3">
      <c r="A22" s="100">
        <f t="shared" si="0"/>
        <v>44087</v>
      </c>
      <c r="B22" s="100">
        <v>44087</v>
      </c>
      <c r="C22" s="200">
        <v>537.65116372999955</v>
      </c>
      <c r="D22" s="200">
        <v>359.32716871999946</v>
      </c>
      <c r="E22" s="200">
        <v>216.08612730000004</v>
      </c>
      <c r="F22" s="200">
        <v>484.75163788999953</v>
      </c>
      <c r="G22" s="200">
        <v>150.5397597000001</v>
      </c>
      <c r="H22" s="200">
        <v>1070.90586407</v>
      </c>
      <c r="I22" s="200">
        <v>1085.2112573000004</v>
      </c>
      <c r="J22" s="200">
        <v>2</v>
      </c>
      <c r="K22" s="200">
        <v>1531.4087279199998</v>
      </c>
      <c r="L22" s="200">
        <v>1801.8404419000008</v>
      </c>
      <c r="M22" s="200">
        <v>410.54898748000005</v>
      </c>
      <c r="N22" s="200">
        <v>434.19224998000016</v>
      </c>
      <c r="O22" s="200">
        <v>72</v>
      </c>
      <c r="P22" s="200">
        <v>217</v>
      </c>
      <c r="Q22" s="200">
        <v>141.19558427999993</v>
      </c>
      <c r="R22" s="200">
        <v>490</v>
      </c>
      <c r="S22" s="200">
        <v>239</v>
      </c>
      <c r="T22" s="200">
        <v>20</v>
      </c>
      <c r="U22" s="200">
        <v>198</v>
      </c>
      <c r="V22" s="200">
        <v>603.83583033000002</v>
      </c>
      <c r="W22" s="200">
        <f t="shared" si="1"/>
        <v>10065.4948006</v>
      </c>
      <c r="Y22" s="259">
        <f t="shared" si="2"/>
        <v>236738.57953643001</v>
      </c>
      <c r="Z22" s="200"/>
    </row>
    <row r="23" spans="1:29" x14ac:dyDescent="0.3">
      <c r="A23" s="100">
        <f t="shared" si="0"/>
        <v>44094</v>
      </c>
      <c r="B23" s="100">
        <v>44094</v>
      </c>
      <c r="C23" s="200">
        <v>572.53185162999944</v>
      </c>
      <c r="D23" s="200">
        <v>376.63049111999953</v>
      </c>
      <c r="E23" s="200">
        <v>235.09319133999998</v>
      </c>
      <c r="F23" s="200">
        <v>505.75806998999951</v>
      </c>
      <c r="G23" s="200">
        <v>174.2075304</v>
      </c>
      <c r="H23" s="200">
        <v>1120.0354511700002</v>
      </c>
      <c r="I23" s="200">
        <v>1123.1959963000004</v>
      </c>
      <c r="J23" s="200">
        <v>-1</v>
      </c>
      <c r="K23" s="200">
        <v>1595.8269336199996</v>
      </c>
      <c r="L23" s="200">
        <v>1896.7719804000008</v>
      </c>
      <c r="M23" s="200">
        <v>427.37917874000004</v>
      </c>
      <c r="N23" s="200">
        <v>454.36888427000019</v>
      </c>
      <c r="O23" s="200">
        <v>75</v>
      </c>
      <c r="P23" s="200">
        <v>229</v>
      </c>
      <c r="Q23" s="200">
        <v>136.03962220999995</v>
      </c>
      <c r="R23" s="200">
        <v>507</v>
      </c>
      <c r="S23" s="200">
        <v>253</v>
      </c>
      <c r="T23" s="200">
        <v>21</v>
      </c>
      <c r="U23" s="200">
        <v>205</v>
      </c>
      <c r="V23" s="200">
        <v>632.10146625000004</v>
      </c>
      <c r="W23" s="200">
        <f t="shared" si="1"/>
        <v>10538.94064744</v>
      </c>
      <c r="Y23" s="259">
        <f t="shared" si="2"/>
        <v>246277.47724681007</v>
      </c>
      <c r="Z23" s="200"/>
    </row>
    <row r="24" spans="1:29" x14ac:dyDescent="0.3">
      <c r="A24" s="100">
        <f t="shared" si="0"/>
        <v>44101</v>
      </c>
      <c r="B24" s="100">
        <v>44101</v>
      </c>
      <c r="C24" s="200">
        <v>600.52858432999938</v>
      </c>
      <c r="D24" s="200">
        <v>397.51205191999952</v>
      </c>
      <c r="E24" s="200">
        <v>242.97648843000002</v>
      </c>
      <c r="F24" s="200">
        <v>541.91303618999973</v>
      </c>
      <c r="G24" s="200">
        <v>176.02108560000033</v>
      </c>
      <c r="H24" s="200">
        <v>1167.1807571700001</v>
      </c>
      <c r="I24" s="200">
        <v>1162.8550671000003</v>
      </c>
      <c r="J24" s="200">
        <v>-3</v>
      </c>
      <c r="K24" s="200">
        <v>1655.0512432199998</v>
      </c>
      <c r="L24" s="200">
        <v>1983.2784038000009</v>
      </c>
      <c r="M24" s="200">
        <v>444.38144098000009</v>
      </c>
      <c r="N24" s="200">
        <v>477.06183653000016</v>
      </c>
      <c r="O24" s="200">
        <v>77</v>
      </c>
      <c r="P24" s="200">
        <v>243</v>
      </c>
      <c r="Q24" s="200">
        <v>134.16572625999993</v>
      </c>
      <c r="R24" s="200">
        <v>525</v>
      </c>
      <c r="S24" s="200">
        <v>265</v>
      </c>
      <c r="T24" s="200">
        <v>23</v>
      </c>
      <c r="U24" s="200">
        <v>213</v>
      </c>
      <c r="V24" s="200">
        <v>660.32169365000004</v>
      </c>
      <c r="W24" s="200">
        <f t="shared" si="1"/>
        <v>10986.24741518</v>
      </c>
      <c r="Y24" s="259">
        <f t="shared" si="2"/>
        <v>255861.61056563005</v>
      </c>
      <c r="Z24" s="200"/>
    </row>
    <row r="25" spans="1:29" x14ac:dyDescent="0.3">
      <c r="A25" s="100">
        <f t="shared" si="0"/>
        <v>44108</v>
      </c>
      <c r="B25" s="100">
        <v>44108</v>
      </c>
      <c r="C25" s="200">
        <v>628.65558742999929</v>
      </c>
      <c r="D25" s="200">
        <v>429.14454961999945</v>
      </c>
      <c r="E25" s="200">
        <v>256.18052618999991</v>
      </c>
      <c r="F25" s="200">
        <v>565.73728288999973</v>
      </c>
      <c r="G25" s="200">
        <v>195.05096950000006</v>
      </c>
      <c r="H25" s="200">
        <v>1215.9549901700002</v>
      </c>
      <c r="I25" s="200">
        <v>1199.2526805000002</v>
      </c>
      <c r="J25" s="200">
        <v>-13</v>
      </c>
      <c r="K25" s="200">
        <v>1719.36359412</v>
      </c>
      <c r="L25" s="200">
        <v>2080.4074413000008</v>
      </c>
      <c r="M25" s="200">
        <v>466.11244180000006</v>
      </c>
      <c r="N25" s="200">
        <v>500.90574525000011</v>
      </c>
      <c r="O25" s="200">
        <v>78</v>
      </c>
      <c r="P25" s="200">
        <v>250</v>
      </c>
      <c r="Q25" s="200">
        <v>131.54495830999997</v>
      </c>
      <c r="R25" s="200">
        <v>540</v>
      </c>
      <c r="S25" s="200">
        <v>273</v>
      </c>
      <c r="T25" s="200">
        <v>26</v>
      </c>
      <c r="U25" s="200">
        <v>223</v>
      </c>
      <c r="V25" s="200">
        <v>686.87624292999999</v>
      </c>
      <c r="W25" s="200">
        <f t="shared" si="1"/>
        <v>11452.18701001</v>
      </c>
      <c r="Y25" s="259">
        <f t="shared" si="2"/>
        <v>265373.71803016</v>
      </c>
      <c r="Z25" s="200"/>
    </row>
    <row r="26" spans="1:29" x14ac:dyDescent="0.3">
      <c r="A26" s="100">
        <f t="shared" si="0"/>
        <v>44115</v>
      </c>
      <c r="B26" s="100">
        <v>44115</v>
      </c>
      <c r="C26" s="200">
        <v>644.77413982999951</v>
      </c>
      <c r="D26" s="200">
        <v>435.96767561999968</v>
      </c>
      <c r="E26" s="200">
        <v>255.47413776999997</v>
      </c>
      <c r="F26" s="200">
        <v>562.65872048999972</v>
      </c>
      <c r="G26" s="200">
        <v>187.23730760000035</v>
      </c>
      <c r="H26" s="200">
        <v>1252.0760039500001</v>
      </c>
      <c r="I26" s="200">
        <v>1225.3069282000001</v>
      </c>
      <c r="J26" s="200">
        <v>-20</v>
      </c>
      <c r="K26" s="200">
        <v>1762.8144100200002</v>
      </c>
      <c r="L26" s="200">
        <v>2153.9211703000005</v>
      </c>
      <c r="M26" s="200">
        <v>476.49836593999999</v>
      </c>
      <c r="N26" s="200">
        <v>516.95334690000016</v>
      </c>
      <c r="O26" s="200">
        <v>81</v>
      </c>
      <c r="P26" s="200">
        <v>261</v>
      </c>
      <c r="Q26" s="200">
        <v>125.35025174999998</v>
      </c>
      <c r="R26" s="200">
        <v>561</v>
      </c>
      <c r="S26" s="200">
        <v>288</v>
      </c>
      <c r="T26" s="200">
        <v>28</v>
      </c>
      <c r="U26" s="200">
        <v>231</v>
      </c>
      <c r="V26" s="200">
        <v>711.18824534000009</v>
      </c>
      <c r="W26" s="200">
        <f t="shared" si="1"/>
        <v>11740.22070371</v>
      </c>
      <c r="Y26" s="259">
        <f t="shared" si="2"/>
        <v>273169.22923475999</v>
      </c>
      <c r="Z26" s="200"/>
    </row>
    <row r="27" spans="1:29" x14ac:dyDescent="0.3">
      <c r="A27" s="100">
        <f t="shared" si="0"/>
        <v>44122</v>
      </c>
      <c r="B27" s="100">
        <v>44122</v>
      </c>
      <c r="C27" s="200">
        <v>676.52247022999927</v>
      </c>
      <c r="D27" s="200">
        <v>456.23283461999927</v>
      </c>
      <c r="E27" s="200">
        <v>264.41101146000005</v>
      </c>
      <c r="F27" s="200">
        <v>576.41260508999949</v>
      </c>
      <c r="G27" s="200">
        <v>207.0012200000001</v>
      </c>
      <c r="H27" s="200">
        <v>1297.4770246500002</v>
      </c>
      <c r="I27" s="200">
        <v>1261.4576821000001</v>
      </c>
      <c r="J27" s="200">
        <v>-26</v>
      </c>
      <c r="K27" s="200">
        <v>1820.21137112</v>
      </c>
      <c r="L27" s="200">
        <v>2244.6159274000006</v>
      </c>
      <c r="M27" s="200">
        <v>490.18011402999991</v>
      </c>
      <c r="N27" s="200">
        <v>533.4513613900001</v>
      </c>
      <c r="O27" s="200">
        <v>89</v>
      </c>
      <c r="P27" s="200">
        <v>265</v>
      </c>
      <c r="Q27" s="200">
        <v>114.32367584999997</v>
      </c>
      <c r="R27" s="200">
        <v>570</v>
      </c>
      <c r="S27" s="200">
        <v>297</v>
      </c>
      <c r="T27" s="200">
        <v>28</v>
      </c>
      <c r="U27" s="200">
        <v>238</v>
      </c>
      <c r="V27" s="200">
        <v>733.97685784999999</v>
      </c>
      <c r="W27" s="200">
        <f t="shared" si="1"/>
        <v>12137.274155789999</v>
      </c>
      <c r="Y27" s="259">
        <f t="shared" si="2"/>
        <v>282696.85023564013</v>
      </c>
      <c r="Z27" s="200"/>
    </row>
    <row r="29" spans="1:29" x14ac:dyDescent="0.3">
      <c r="Y29" s="258" t="s">
        <v>2</v>
      </c>
    </row>
    <row r="30" spans="1:29" ht="43.2" x14ac:dyDescent="0.3">
      <c r="B30" t="s">
        <v>335</v>
      </c>
      <c r="C30" s="201" t="s">
        <v>254</v>
      </c>
      <c r="D30" s="201" t="s">
        <v>255</v>
      </c>
      <c r="E30" s="201" t="s">
        <v>256</v>
      </c>
      <c r="F30" s="201" t="s">
        <v>257</v>
      </c>
      <c r="G30" s="201" t="s">
        <v>258</v>
      </c>
      <c r="H30" s="201" t="s">
        <v>259</v>
      </c>
      <c r="I30" s="201" t="s">
        <v>260</v>
      </c>
      <c r="J30" s="201" t="s">
        <v>261</v>
      </c>
      <c r="K30" s="201" t="s">
        <v>262</v>
      </c>
      <c r="L30" s="201" t="s">
        <v>263</v>
      </c>
      <c r="M30" s="201" t="s">
        <v>264</v>
      </c>
      <c r="N30" s="201" t="s">
        <v>265</v>
      </c>
      <c r="O30" s="201" t="s">
        <v>266</v>
      </c>
      <c r="P30" s="201" t="s">
        <v>267</v>
      </c>
      <c r="Q30" s="201" t="s">
        <v>268</v>
      </c>
      <c r="R30" s="201" t="s">
        <v>269</v>
      </c>
      <c r="S30" s="201" t="s">
        <v>270</v>
      </c>
      <c r="T30" s="201" t="s">
        <v>271</v>
      </c>
      <c r="U30" s="201" t="s">
        <v>272</v>
      </c>
      <c r="V30" s="201" t="s">
        <v>273</v>
      </c>
      <c r="Z30" t="s">
        <v>41</v>
      </c>
      <c r="AA30" t="s">
        <v>1</v>
      </c>
      <c r="AB30" t="s">
        <v>4</v>
      </c>
      <c r="AC30" t="s">
        <v>5</v>
      </c>
    </row>
    <row r="31" spans="1:29" x14ac:dyDescent="0.3">
      <c r="C31" s="199">
        <v>3349.1516664999995</v>
      </c>
      <c r="D31" s="199">
        <v>3566.6514774999996</v>
      </c>
      <c r="E31" s="199">
        <v>938.49215149999986</v>
      </c>
      <c r="F31" s="199">
        <v>1458.7640160999999</v>
      </c>
      <c r="G31" s="199">
        <v>3581.4537746999995</v>
      </c>
      <c r="H31" s="199">
        <v>14556.46062</v>
      </c>
      <c r="I31" s="199">
        <v>14692.03224</v>
      </c>
      <c r="J31" s="199">
        <v>3716.9669339000002</v>
      </c>
      <c r="K31" s="199">
        <v>7189.4492590000009</v>
      </c>
      <c r="L31" s="199">
        <v>19510.009914999999</v>
      </c>
      <c r="M31" s="199">
        <v>304.34802768999998</v>
      </c>
      <c r="N31" s="199">
        <v>500.87579702999994</v>
      </c>
      <c r="O31" s="199">
        <v>135</v>
      </c>
      <c r="P31" s="199">
        <v>432.07005635999997</v>
      </c>
      <c r="Q31" s="199">
        <v>541.67850665000003</v>
      </c>
      <c r="R31" s="199">
        <v>1340.9837914999998</v>
      </c>
      <c r="S31" s="199">
        <v>1021.5026256000001</v>
      </c>
      <c r="T31" s="199">
        <v>304.51987802999997</v>
      </c>
      <c r="U31" s="199">
        <v>751.35788739999998</v>
      </c>
      <c r="V31" s="199">
        <v>1663.4781842000002</v>
      </c>
      <c r="Y31" t="s">
        <v>385</v>
      </c>
      <c r="Z31" s="256"/>
      <c r="AA31" s="256"/>
      <c r="AB31" s="256"/>
      <c r="AC31" s="256"/>
    </row>
    <row r="32" spans="1:29" x14ac:dyDescent="0.3">
      <c r="A32" s="100">
        <f>B32</f>
        <v>43954</v>
      </c>
      <c r="B32" s="100">
        <v>43954</v>
      </c>
      <c r="C32" s="200">
        <v>3263.1516664999995</v>
      </c>
      <c r="D32" s="200">
        <v>3397.6514774999996</v>
      </c>
      <c r="E32" s="200">
        <v>878.49215149999986</v>
      </c>
      <c r="F32" s="200">
        <v>1354.7640160999999</v>
      </c>
      <c r="G32" s="200">
        <v>3449.4537746999995</v>
      </c>
      <c r="H32" s="200">
        <v>14507.46062</v>
      </c>
      <c r="I32" s="200">
        <v>14606.03224</v>
      </c>
      <c r="J32" s="200">
        <v>3694.9669339000002</v>
      </c>
      <c r="K32" s="200">
        <v>7152.4492590000009</v>
      </c>
      <c r="L32" s="200">
        <v>19417.009914999999</v>
      </c>
      <c r="M32" s="200">
        <v>303.34802768999998</v>
      </c>
      <c r="N32" s="200">
        <v>495.87579702999994</v>
      </c>
      <c r="O32" s="200">
        <v>133</v>
      </c>
      <c r="P32" s="200">
        <v>395.07005635999997</v>
      </c>
      <c r="Q32" s="200">
        <v>525.67850665000003</v>
      </c>
      <c r="R32" s="200">
        <v>1335.9837914999998</v>
      </c>
      <c r="S32" s="200">
        <v>1016.5026256000001</v>
      </c>
      <c r="T32" s="200">
        <v>303.51987802999997</v>
      </c>
      <c r="U32" s="200">
        <v>742.35788739999998</v>
      </c>
      <c r="V32" s="200">
        <v>1658.4781842000002</v>
      </c>
      <c r="W32" s="200">
        <f>SUM(C32:V32)</f>
        <v>78631.246808659984</v>
      </c>
      <c r="Y32" s="257">
        <v>43954</v>
      </c>
      <c r="Z32">
        <v>146</v>
      </c>
      <c r="AA32" s="260">
        <f t="shared" ref="AA32:AA56" si="3">Z32*$AA$59</f>
        <v>28.721311475409824</v>
      </c>
      <c r="AB32" s="260">
        <f t="shared" ref="AB32:AB56" si="4">Z32*$AA$61</f>
        <v>74.196721311475429</v>
      </c>
      <c r="AC32" s="260">
        <f t="shared" ref="AC32:AC56" si="5">Z32*$AA$62</f>
        <v>43.081967213114758</v>
      </c>
    </row>
    <row r="33" spans="1:29" x14ac:dyDescent="0.3">
      <c r="A33" s="100">
        <f t="shared" ref="A33:A56" si="6">B33</f>
        <v>43961</v>
      </c>
      <c r="B33" s="100">
        <v>43961</v>
      </c>
      <c r="C33" s="200">
        <v>3749.8404550999994</v>
      </c>
      <c r="D33" s="200">
        <v>3881.9556732000001</v>
      </c>
      <c r="E33" s="200">
        <v>982.65372639999987</v>
      </c>
      <c r="F33" s="200">
        <v>1539.5980356999999</v>
      </c>
      <c r="G33" s="200">
        <v>3951.0342867999998</v>
      </c>
      <c r="H33" s="200">
        <v>16709.664588</v>
      </c>
      <c r="I33" s="200">
        <v>16772.431128</v>
      </c>
      <c r="J33" s="200">
        <v>4278.2277658000003</v>
      </c>
      <c r="K33" s="200">
        <v>8173.2114570000012</v>
      </c>
      <c r="L33" s="200">
        <v>22302.201628999999</v>
      </c>
      <c r="M33" s="200">
        <v>348.37993126999999</v>
      </c>
      <c r="N33" s="200">
        <v>568.04425466999999</v>
      </c>
      <c r="O33" s="200">
        <v>147</v>
      </c>
      <c r="P33" s="200">
        <v>436.91912354999999</v>
      </c>
      <c r="Q33" s="200">
        <v>596.95562618000008</v>
      </c>
      <c r="R33" s="200">
        <v>1531.4462473999997</v>
      </c>
      <c r="S33" s="200">
        <v>1161.2775240000001</v>
      </c>
      <c r="T33" s="200">
        <v>353.72565256999997</v>
      </c>
      <c r="U33" s="200">
        <v>847.72165410000002</v>
      </c>
      <c r="V33" s="200">
        <v>1904.9979077000003</v>
      </c>
      <c r="W33" s="200">
        <f t="shared" ref="W33:W56" si="7">SUM(C33:V33)</f>
        <v>90237.286666440035</v>
      </c>
      <c r="Y33" s="257">
        <v>43961</v>
      </c>
      <c r="Z33">
        <v>149</v>
      </c>
      <c r="AA33" s="260">
        <f t="shared" si="3"/>
        <v>29.311475409836053</v>
      </c>
      <c r="AB33" s="260">
        <f t="shared" si="4"/>
        <v>75.721311475409848</v>
      </c>
      <c r="AC33" s="260">
        <f t="shared" si="5"/>
        <v>43.967213114754102</v>
      </c>
    </row>
    <row r="34" spans="1:29" x14ac:dyDescent="0.3">
      <c r="A34" s="100">
        <f t="shared" si="6"/>
        <v>43968</v>
      </c>
      <c r="B34" s="100">
        <v>43968</v>
      </c>
      <c r="C34" s="200">
        <v>4225.6497771999993</v>
      </c>
      <c r="D34" s="200">
        <v>4371.0962325</v>
      </c>
      <c r="E34" s="200">
        <v>1080.0715660999999</v>
      </c>
      <c r="F34" s="200">
        <v>1701.3281373</v>
      </c>
      <c r="G34" s="200">
        <v>4419.5921926999999</v>
      </c>
      <c r="H34" s="200">
        <v>18870.632464999999</v>
      </c>
      <c r="I34" s="200">
        <v>19037.73979</v>
      </c>
      <c r="J34" s="200">
        <v>4832.0989176000003</v>
      </c>
      <c r="K34" s="200">
        <v>9315.6440480000019</v>
      </c>
      <c r="L34" s="200">
        <v>25124.344515000001</v>
      </c>
      <c r="M34" s="200">
        <v>396.13891580999996</v>
      </c>
      <c r="N34" s="200">
        <v>640.20901441000001</v>
      </c>
      <c r="O34" s="200">
        <v>164</v>
      </c>
      <c r="P34" s="200">
        <v>483.12213154999995</v>
      </c>
      <c r="Q34" s="200">
        <v>667.2377964100001</v>
      </c>
      <c r="R34" s="200">
        <v>1747.0735354999997</v>
      </c>
      <c r="S34" s="200">
        <v>1311.7303793000001</v>
      </c>
      <c r="T34" s="200">
        <v>390.57863614999997</v>
      </c>
      <c r="U34" s="200">
        <v>940.15035860000012</v>
      </c>
      <c r="V34" s="200">
        <v>2148.8216748000004</v>
      </c>
      <c r="W34" s="200">
        <f t="shared" si="7"/>
        <v>101867.26008393001</v>
      </c>
      <c r="Y34" s="257">
        <v>43968</v>
      </c>
      <c r="Z34">
        <v>171</v>
      </c>
      <c r="AA34" s="260">
        <f t="shared" si="3"/>
        <v>33.639344262295069</v>
      </c>
      <c r="AB34" s="260">
        <f t="shared" si="4"/>
        <v>86.901639344262321</v>
      </c>
      <c r="AC34" s="260">
        <f t="shared" si="5"/>
        <v>50.459016393442631</v>
      </c>
    </row>
    <row r="35" spans="1:29" x14ac:dyDescent="0.3">
      <c r="A35" s="100">
        <f t="shared" si="6"/>
        <v>43975</v>
      </c>
      <c r="B35" s="100">
        <v>43975</v>
      </c>
      <c r="C35" s="200">
        <v>4609.3670223999998</v>
      </c>
      <c r="D35" s="200">
        <v>4696.1018874000001</v>
      </c>
      <c r="E35" s="200">
        <v>1164.0162327999999</v>
      </c>
      <c r="F35" s="200">
        <v>1828.9050425999999</v>
      </c>
      <c r="G35" s="200">
        <v>4787.3016600999999</v>
      </c>
      <c r="H35" s="200">
        <v>20607.988996</v>
      </c>
      <c r="I35" s="200">
        <v>20681.511001999999</v>
      </c>
      <c r="J35" s="200">
        <v>5336.8094779000003</v>
      </c>
      <c r="K35" s="200">
        <v>10193.677745900002</v>
      </c>
      <c r="L35" s="200">
        <v>27383.333606</v>
      </c>
      <c r="M35" s="200">
        <v>434.24289861999995</v>
      </c>
      <c r="N35" s="200">
        <v>707.03889669</v>
      </c>
      <c r="O35" s="200">
        <v>179</v>
      </c>
      <c r="P35" s="200">
        <v>518.56457859</v>
      </c>
      <c r="Q35" s="200">
        <v>739.66275679000012</v>
      </c>
      <c r="R35" s="200">
        <v>1906.5277892999998</v>
      </c>
      <c r="S35" s="200">
        <v>1429.8250002</v>
      </c>
      <c r="T35" s="200">
        <v>420.60377394999995</v>
      </c>
      <c r="U35" s="200">
        <v>1016.6311440000002</v>
      </c>
      <c r="V35" s="200">
        <v>2350.3008017000006</v>
      </c>
      <c r="W35" s="200">
        <f t="shared" si="7"/>
        <v>110991.41031294</v>
      </c>
      <c r="Y35" s="257">
        <v>43975</v>
      </c>
      <c r="Z35">
        <v>194</v>
      </c>
      <c r="AA35" s="260">
        <f t="shared" si="3"/>
        <v>38.163934426229488</v>
      </c>
      <c r="AB35" s="260">
        <f t="shared" si="4"/>
        <v>98.590163934426258</v>
      </c>
      <c r="AC35" s="260">
        <f t="shared" si="5"/>
        <v>57.245901639344275</v>
      </c>
    </row>
    <row r="36" spans="1:29" x14ac:dyDescent="0.3">
      <c r="A36" s="100">
        <f t="shared" si="6"/>
        <v>43982</v>
      </c>
      <c r="B36" s="100">
        <v>43982</v>
      </c>
      <c r="C36" s="200">
        <v>5091.6766878999997</v>
      </c>
      <c r="D36" s="200">
        <v>5121.4700361000005</v>
      </c>
      <c r="E36" s="200">
        <v>1260.8085097999999</v>
      </c>
      <c r="F36" s="200">
        <v>1979.0380803999997</v>
      </c>
      <c r="G36" s="200">
        <v>5015.4079062999999</v>
      </c>
      <c r="H36" s="200">
        <v>22673.180731</v>
      </c>
      <c r="I36" s="200">
        <v>22829.915213</v>
      </c>
      <c r="J36" s="200">
        <v>5862.6256176000006</v>
      </c>
      <c r="K36" s="200">
        <v>11284.265573900002</v>
      </c>
      <c r="L36" s="200">
        <v>30025.9169</v>
      </c>
      <c r="M36" s="200">
        <v>476.20142065999994</v>
      </c>
      <c r="N36" s="200">
        <v>768.21386977999998</v>
      </c>
      <c r="O36" s="200">
        <v>209</v>
      </c>
      <c r="P36" s="200">
        <v>563.25225009999997</v>
      </c>
      <c r="Q36" s="200">
        <v>796.53677862000018</v>
      </c>
      <c r="R36" s="200">
        <v>2105.7629413</v>
      </c>
      <c r="S36" s="200">
        <v>1562.4683319999999</v>
      </c>
      <c r="T36" s="200">
        <v>463.63565926999996</v>
      </c>
      <c r="U36" s="200">
        <v>1124.6366777000003</v>
      </c>
      <c r="V36" s="200">
        <v>2580.0440301000008</v>
      </c>
      <c r="W36" s="200">
        <f t="shared" si="7"/>
        <v>121794.05721553</v>
      </c>
      <c r="Y36" s="257">
        <v>43982</v>
      </c>
      <c r="Z36">
        <v>210</v>
      </c>
      <c r="AA36" s="260">
        <f t="shared" si="3"/>
        <v>41.311475409836049</v>
      </c>
      <c r="AB36" s="260">
        <f t="shared" si="4"/>
        <v>106.72131147540986</v>
      </c>
      <c r="AC36" s="260">
        <f t="shared" si="5"/>
        <v>61.967213114754109</v>
      </c>
    </row>
    <row r="37" spans="1:29" x14ac:dyDescent="0.3">
      <c r="A37" s="100">
        <f t="shared" si="6"/>
        <v>43989</v>
      </c>
      <c r="B37" s="100">
        <v>43989</v>
      </c>
      <c r="C37" s="200">
        <v>5476.6229876999996</v>
      </c>
      <c r="D37" s="200">
        <v>5446.4547674000005</v>
      </c>
      <c r="E37" s="200">
        <v>1368.9216967999998</v>
      </c>
      <c r="F37" s="200">
        <v>2028.4170252999998</v>
      </c>
      <c r="G37" s="200">
        <v>5213.8229336000004</v>
      </c>
      <c r="H37" s="200">
        <v>24693.773858</v>
      </c>
      <c r="I37" s="200">
        <v>24866.306819000001</v>
      </c>
      <c r="J37" s="200">
        <v>6385.739683400001</v>
      </c>
      <c r="K37" s="200">
        <v>12265.820964900002</v>
      </c>
      <c r="L37" s="200">
        <v>32578.629616999999</v>
      </c>
      <c r="M37" s="200">
        <v>516.26282347999995</v>
      </c>
      <c r="N37" s="200">
        <v>823.87470761999998</v>
      </c>
      <c r="O37" s="200">
        <v>221</v>
      </c>
      <c r="P37" s="200">
        <v>599.28219863999993</v>
      </c>
      <c r="Q37" s="200">
        <v>830.37752301000023</v>
      </c>
      <c r="R37" s="200">
        <v>2325.6852729000002</v>
      </c>
      <c r="S37" s="200">
        <v>1715.0815272999998</v>
      </c>
      <c r="T37" s="200">
        <v>508.55077072999995</v>
      </c>
      <c r="U37" s="200">
        <v>1218.4769270000004</v>
      </c>
      <c r="V37" s="200">
        <v>2775.9510624000009</v>
      </c>
      <c r="W37" s="200">
        <f t="shared" si="7"/>
        <v>131859.05316618001</v>
      </c>
      <c r="Y37" s="257">
        <v>43989</v>
      </c>
      <c r="Z37">
        <v>235</v>
      </c>
      <c r="AA37" s="260">
        <f t="shared" si="3"/>
        <v>46.229508196721291</v>
      </c>
      <c r="AB37" s="260">
        <f t="shared" si="4"/>
        <v>119.42622950819676</v>
      </c>
      <c r="AC37" s="260">
        <f t="shared" si="5"/>
        <v>69.344262295081975</v>
      </c>
    </row>
    <row r="38" spans="1:29" x14ac:dyDescent="0.3">
      <c r="A38" s="100">
        <f t="shared" si="6"/>
        <v>43996</v>
      </c>
      <c r="B38" s="100">
        <v>43996</v>
      </c>
      <c r="C38" s="200">
        <v>5857.8555921999996</v>
      </c>
      <c r="D38" s="200">
        <v>5671.3179248000006</v>
      </c>
      <c r="E38" s="200">
        <v>1411.9533666999998</v>
      </c>
      <c r="F38" s="200">
        <v>2097.5463597999997</v>
      </c>
      <c r="G38" s="200">
        <v>5361.4551654000006</v>
      </c>
      <c r="H38" s="200">
        <v>26559.586082000002</v>
      </c>
      <c r="I38" s="200">
        <v>26702.216340999999</v>
      </c>
      <c r="J38" s="200">
        <v>6848.5021340000012</v>
      </c>
      <c r="K38" s="200">
        <v>13102.348932900002</v>
      </c>
      <c r="L38" s="200">
        <v>34660.206838999999</v>
      </c>
      <c r="M38" s="200">
        <v>560.96568631999992</v>
      </c>
      <c r="N38" s="200">
        <v>868.66524899000001</v>
      </c>
      <c r="O38" s="200">
        <v>239</v>
      </c>
      <c r="P38" s="200">
        <v>624.27425124999991</v>
      </c>
      <c r="Q38" s="200">
        <v>858.14935323000032</v>
      </c>
      <c r="R38" s="200">
        <v>2513.2728848000002</v>
      </c>
      <c r="S38" s="200">
        <v>1831.4962251999998</v>
      </c>
      <c r="T38" s="200">
        <v>540.46278611999992</v>
      </c>
      <c r="U38" s="200">
        <v>1310.5920298000003</v>
      </c>
      <c r="V38" s="200">
        <v>3003.9493878000007</v>
      </c>
      <c r="W38" s="200">
        <f t="shared" si="7"/>
        <v>140623.81659131002</v>
      </c>
      <c r="Y38" s="257">
        <v>43996</v>
      </c>
      <c r="Z38">
        <v>259</v>
      </c>
      <c r="AA38" s="260">
        <f t="shared" si="3"/>
        <v>50.950819672131125</v>
      </c>
      <c r="AB38" s="260">
        <f t="shared" si="4"/>
        <v>131.62295081967216</v>
      </c>
      <c r="AC38" s="260">
        <f t="shared" si="5"/>
        <v>76.426229508196741</v>
      </c>
    </row>
    <row r="39" spans="1:29" x14ac:dyDescent="0.3">
      <c r="A39" s="100">
        <f t="shared" si="6"/>
        <v>44003</v>
      </c>
      <c r="B39" s="100">
        <v>44003</v>
      </c>
      <c r="C39" s="200">
        <v>6240.2601333999992</v>
      </c>
      <c r="D39" s="200">
        <v>5872.0947994000007</v>
      </c>
      <c r="E39" s="200">
        <v>1488.9237866999997</v>
      </c>
      <c r="F39" s="200">
        <v>2156.6613048999998</v>
      </c>
      <c r="G39" s="200">
        <v>5535.2275043000009</v>
      </c>
      <c r="H39" s="200">
        <v>28470.208554000001</v>
      </c>
      <c r="I39" s="200">
        <v>28478.130721999998</v>
      </c>
      <c r="J39" s="200">
        <v>7317.6458795000017</v>
      </c>
      <c r="K39" s="200">
        <v>13980.658968900003</v>
      </c>
      <c r="L39" s="200">
        <v>36759.111281999998</v>
      </c>
      <c r="M39" s="200">
        <v>605.74245543999996</v>
      </c>
      <c r="N39" s="200">
        <v>919.95930369999996</v>
      </c>
      <c r="O39" s="200">
        <v>252</v>
      </c>
      <c r="P39" s="200">
        <v>669.98183874999995</v>
      </c>
      <c r="Q39" s="200">
        <v>881.42957265000041</v>
      </c>
      <c r="R39" s="200">
        <v>2703.4958628000004</v>
      </c>
      <c r="S39" s="200">
        <v>1943.3131690999999</v>
      </c>
      <c r="T39" s="200">
        <v>585.4572230199999</v>
      </c>
      <c r="U39" s="200">
        <v>1397.3341061000003</v>
      </c>
      <c r="V39" s="200">
        <v>3221.4339235000007</v>
      </c>
      <c r="W39" s="200">
        <f t="shared" si="7"/>
        <v>149479.07039015999</v>
      </c>
      <c r="Y39" s="257">
        <v>44003</v>
      </c>
      <c r="Z39">
        <v>283</v>
      </c>
      <c r="AA39" s="260">
        <f t="shared" si="3"/>
        <v>55.672131147540959</v>
      </c>
      <c r="AB39" s="260">
        <f t="shared" si="4"/>
        <v>143.81967213114757</v>
      </c>
      <c r="AC39" s="260">
        <f t="shared" si="5"/>
        <v>83.508196721311492</v>
      </c>
    </row>
    <row r="40" spans="1:29" x14ac:dyDescent="0.3">
      <c r="A40" s="100">
        <f t="shared" si="6"/>
        <v>44010</v>
      </c>
      <c r="B40" s="100">
        <v>44010</v>
      </c>
      <c r="C40" s="200">
        <v>6599.0439091999988</v>
      </c>
      <c r="D40" s="200">
        <v>6060.0448940000006</v>
      </c>
      <c r="E40" s="200">
        <v>1548.5007071999999</v>
      </c>
      <c r="F40" s="200">
        <v>2201.0316661999996</v>
      </c>
      <c r="G40" s="200">
        <v>5703.2649640000018</v>
      </c>
      <c r="H40" s="200">
        <v>30241.830026</v>
      </c>
      <c r="I40" s="200">
        <v>30148.905398999996</v>
      </c>
      <c r="J40" s="200">
        <v>7731.4194267000021</v>
      </c>
      <c r="K40" s="200">
        <v>14748.557632600003</v>
      </c>
      <c r="L40" s="200">
        <v>38839.776161999995</v>
      </c>
      <c r="M40" s="200">
        <v>649.63575760999993</v>
      </c>
      <c r="N40" s="200">
        <v>966.57830005000005</v>
      </c>
      <c r="O40" s="200">
        <v>282</v>
      </c>
      <c r="P40" s="200">
        <v>703.91126052000004</v>
      </c>
      <c r="Q40" s="200">
        <v>899.58220106000044</v>
      </c>
      <c r="R40" s="200">
        <v>2930.4057486000006</v>
      </c>
      <c r="S40" s="200">
        <v>2042.6238303</v>
      </c>
      <c r="T40" s="200">
        <v>617.45360801999993</v>
      </c>
      <c r="U40" s="200">
        <v>1481.9126952000004</v>
      </c>
      <c r="V40" s="200">
        <v>3443.1421811000005</v>
      </c>
      <c r="W40" s="200">
        <f t="shared" si="7"/>
        <v>157839.62036936</v>
      </c>
      <c r="Y40" s="257">
        <v>44010</v>
      </c>
      <c r="Z40">
        <v>297</v>
      </c>
      <c r="AA40" s="260">
        <f t="shared" si="3"/>
        <v>58.426229508196698</v>
      </c>
      <c r="AB40" s="260">
        <f t="shared" si="4"/>
        <v>150.93442622950823</v>
      </c>
      <c r="AC40" s="260">
        <f t="shared" si="5"/>
        <v>87.639344262295097</v>
      </c>
    </row>
    <row r="41" spans="1:29" x14ac:dyDescent="0.3">
      <c r="A41" s="100">
        <f t="shared" si="6"/>
        <v>44017</v>
      </c>
      <c r="B41" s="100">
        <v>44017</v>
      </c>
      <c r="C41" s="200">
        <v>6768.0222861999991</v>
      </c>
      <c r="D41" s="200">
        <v>6086.0294955000008</v>
      </c>
      <c r="E41" s="200">
        <v>1549.8651041599996</v>
      </c>
      <c r="F41" s="200">
        <v>2195.0961905999998</v>
      </c>
      <c r="G41" s="200">
        <v>5737.8575101000024</v>
      </c>
      <c r="H41" s="200">
        <v>31329.011357000003</v>
      </c>
      <c r="I41" s="200">
        <v>31184.189450999998</v>
      </c>
      <c r="J41" s="200">
        <v>8024.1570146000013</v>
      </c>
      <c r="K41" s="200">
        <v>15233.775376400004</v>
      </c>
      <c r="L41" s="200">
        <v>40006.779232999994</v>
      </c>
      <c r="M41" s="200">
        <v>689.61466516999997</v>
      </c>
      <c r="N41" s="200">
        <v>986.27796136000006</v>
      </c>
      <c r="O41" s="200">
        <v>298</v>
      </c>
      <c r="P41" s="200">
        <v>715.51888303999999</v>
      </c>
      <c r="Q41" s="200">
        <v>914.04229509000038</v>
      </c>
      <c r="R41" s="200">
        <v>3088.2167663000005</v>
      </c>
      <c r="S41" s="200">
        <v>2115.3536677000002</v>
      </c>
      <c r="T41" s="200">
        <v>644.84471069999995</v>
      </c>
      <c r="U41" s="200">
        <v>1554.0277029600004</v>
      </c>
      <c r="V41" s="200">
        <v>3601.4437626000004</v>
      </c>
      <c r="W41" s="200">
        <f t="shared" si="7"/>
        <v>162722.12343348004</v>
      </c>
      <c r="Y41" s="257">
        <v>44017</v>
      </c>
      <c r="Z41">
        <v>322</v>
      </c>
      <c r="AA41" s="260">
        <f t="shared" si="3"/>
        <v>63.34426229508194</v>
      </c>
      <c r="AB41" s="260">
        <f t="shared" si="4"/>
        <v>163.63934426229511</v>
      </c>
      <c r="AC41" s="260">
        <f t="shared" si="5"/>
        <v>95.01639344262297</v>
      </c>
    </row>
    <row r="42" spans="1:29" x14ac:dyDescent="0.3">
      <c r="A42" s="100">
        <f t="shared" si="6"/>
        <v>44024</v>
      </c>
      <c r="B42" s="100">
        <v>44024</v>
      </c>
      <c r="C42" s="200">
        <v>7109.7350015999982</v>
      </c>
      <c r="D42" s="200">
        <v>6281.3195453000008</v>
      </c>
      <c r="E42" s="200">
        <v>1572.0146120599998</v>
      </c>
      <c r="F42" s="200">
        <v>2217.4053915</v>
      </c>
      <c r="G42" s="200">
        <v>5706.0181808000016</v>
      </c>
      <c r="H42" s="200">
        <v>32959.522217000005</v>
      </c>
      <c r="I42" s="200">
        <v>32693.944826999999</v>
      </c>
      <c r="J42" s="200">
        <v>8295.9258683000007</v>
      </c>
      <c r="K42" s="200">
        <v>16035.070427400005</v>
      </c>
      <c r="L42" s="200">
        <v>42016.696975999992</v>
      </c>
      <c r="M42" s="200">
        <v>729.10236184999997</v>
      </c>
      <c r="N42" s="200">
        <v>1021.1823994599999</v>
      </c>
      <c r="O42" s="200">
        <v>314</v>
      </c>
      <c r="P42" s="200">
        <v>753.65812712000002</v>
      </c>
      <c r="Q42" s="200">
        <v>925.60145209000029</v>
      </c>
      <c r="R42" s="200">
        <v>3305.8998779000003</v>
      </c>
      <c r="S42" s="200">
        <v>2240.3832412000002</v>
      </c>
      <c r="T42" s="200">
        <v>677.60145691999992</v>
      </c>
      <c r="U42" s="200">
        <v>1632.2121012600005</v>
      </c>
      <c r="V42" s="200">
        <v>3830.0046972000005</v>
      </c>
      <c r="W42" s="200">
        <f t="shared" si="7"/>
        <v>170317.29876196</v>
      </c>
      <c r="Y42" s="257">
        <v>44024</v>
      </c>
      <c r="Z42">
        <v>344</v>
      </c>
      <c r="AA42" s="260">
        <f t="shared" si="3"/>
        <v>67.672131147540952</v>
      </c>
      <c r="AB42" s="260">
        <f t="shared" si="4"/>
        <v>174.81967213114757</v>
      </c>
      <c r="AC42" s="260">
        <f t="shared" si="5"/>
        <v>101.50819672131149</v>
      </c>
    </row>
    <row r="43" spans="1:29" x14ac:dyDescent="0.3">
      <c r="A43" s="100">
        <f t="shared" si="6"/>
        <v>44031</v>
      </c>
      <c r="B43" s="100">
        <v>44031</v>
      </c>
      <c r="C43" s="200">
        <v>7468.0290153999977</v>
      </c>
      <c r="D43" s="200">
        <v>6380.1511309000016</v>
      </c>
      <c r="E43" s="200">
        <v>1604.7824163599998</v>
      </c>
      <c r="F43" s="200">
        <v>2275.0362789999999</v>
      </c>
      <c r="G43" s="200">
        <v>5800.671592900002</v>
      </c>
      <c r="H43" s="200">
        <v>34653.040194000008</v>
      </c>
      <c r="I43" s="200">
        <v>33897.412886999999</v>
      </c>
      <c r="J43" s="200">
        <v>8660.7343255000014</v>
      </c>
      <c r="K43" s="200">
        <v>16818.927238400007</v>
      </c>
      <c r="L43" s="200">
        <v>43899.638026999994</v>
      </c>
      <c r="M43" s="200">
        <v>764.26293414999998</v>
      </c>
      <c r="N43" s="200">
        <v>1071.5751300299999</v>
      </c>
      <c r="O43" s="200">
        <v>322</v>
      </c>
      <c r="P43" s="200">
        <v>780.37830295999993</v>
      </c>
      <c r="Q43" s="200">
        <v>932.56886105000035</v>
      </c>
      <c r="R43" s="200">
        <v>3520.9831133000002</v>
      </c>
      <c r="S43" s="200">
        <v>2354.3700552</v>
      </c>
      <c r="T43" s="200">
        <v>712.66404548999992</v>
      </c>
      <c r="U43" s="200">
        <v>1723.4774289600005</v>
      </c>
      <c r="V43" s="200">
        <v>4043.8871721000005</v>
      </c>
      <c r="W43" s="200">
        <f t="shared" si="7"/>
        <v>177684.5901497</v>
      </c>
      <c r="Y43" s="257">
        <v>44031</v>
      </c>
      <c r="Z43">
        <v>362</v>
      </c>
      <c r="AA43" s="260">
        <f t="shared" si="3"/>
        <v>71.213114754098328</v>
      </c>
      <c r="AB43" s="260">
        <f t="shared" si="4"/>
        <v>183.96721311475414</v>
      </c>
      <c r="AC43" s="260">
        <f t="shared" si="5"/>
        <v>106.81967213114756</v>
      </c>
    </row>
    <row r="44" spans="1:29" x14ac:dyDescent="0.3">
      <c r="A44" s="100">
        <f t="shared" si="6"/>
        <v>44038</v>
      </c>
      <c r="B44" s="100">
        <v>44038</v>
      </c>
      <c r="C44" s="200">
        <v>7810.8215212999985</v>
      </c>
      <c r="D44" s="200">
        <v>6388.716666700002</v>
      </c>
      <c r="E44" s="200">
        <v>1634.0311985599997</v>
      </c>
      <c r="F44" s="200">
        <v>2290.7894821</v>
      </c>
      <c r="G44" s="200">
        <v>5934.2545115000012</v>
      </c>
      <c r="H44" s="200">
        <v>36271.619950000008</v>
      </c>
      <c r="I44" s="200">
        <v>34592.535625999997</v>
      </c>
      <c r="J44" s="200">
        <v>9016.0203332000019</v>
      </c>
      <c r="K44" s="200">
        <v>17606.726594400006</v>
      </c>
      <c r="L44" s="200">
        <v>45540.303381999991</v>
      </c>
      <c r="M44" s="200">
        <v>807.72486102999994</v>
      </c>
      <c r="N44" s="200">
        <v>1117.6751750799999</v>
      </c>
      <c r="O44" s="200">
        <v>334</v>
      </c>
      <c r="P44" s="200">
        <v>803.26664946999995</v>
      </c>
      <c r="Q44" s="200">
        <v>931.96606182000028</v>
      </c>
      <c r="R44" s="200">
        <v>3739.5055121</v>
      </c>
      <c r="S44" s="200">
        <v>2429.2386855</v>
      </c>
      <c r="T44" s="200">
        <v>739.4879202699999</v>
      </c>
      <c r="U44" s="200">
        <v>1801.1837109600006</v>
      </c>
      <c r="V44" s="200">
        <v>4223.7240198000009</v>
      </c>
      <c r="W44" s="200">
        <f t="shared" si="7"/>
        <v>184013.59186178999</v>
      </c>
      <c r="Y44" s="257">
        <v>44038</v>
      </c>
      <c r="Z44">
        <v>369</v>
      </c>
      <c r="AA44" s="260">
        <f t="shared" si="3"/>
        <v>72.590163934426201</v>
      </c>
      <c r="AB44" s="260">
        <f t="shared" si="4"/>
        <v>187.52459016393448</v>
      </c>
      <c r="AC44" s="260">
        <f t="shared" si="5"/>
        <v>108.88524590163937</v>
      </c>
    </row>
    <row r="45" spans="1:29" x14ac:dyDescent="0.3">
      <c r="A45" s="100">
        <f t="shared" si="6"/>
        <v>44045</v>
      </c>
      <c r="B45" s="100">
        <v>44045</v>
      </c>
      <c r="C45" s="200">
        <v>7991.7698064999986</v>
      </c>
      <c r="D45" s="200">
        <v>6249.6111428000022</v>
      </c>
      <c r="E45" s="200">
        <v>1653.9950963599995</v>
      </c>
      <c r="F45" s="200">
        <v>2289.3499559000002</v>
      </c>
      <c r="G45" s="200">
        <v>5875.5934953000015</v>
      </c>
      <c r="H45" s="200">
        <v>37376.203062000008</v>
      </c>
      <c r="I45" s="200">
        <v>34879.087022799999</v>
      </c>
      <c r="J45" s="200">
        <v>9222.3494609000027</v>
      </c>
      <c r="K45" s="200">
        <v>18108.536002400007</v>
      </c>
      <c r="L45" s="200">
        <v>46404.98206699999</v>
      </c>
      <c r="M45" s="200">
        <v>842.16699443999994</v>
      </c>
      <c r="N45" s="200">
        <v>1119.4750096499999</v>
      </c>
      <c r="O45" s="200">
        <v>349</v>
      </c>
      <c r="P45" s="200">
        <v>829.28050876999987</v>
      </c>
      <c r="Q45" s="200">
        <v>923.03476731000023</v>
      </c>
      <c r="R45" s="200">
        <v>3929.5232901999998</v>
      </c>
      <c r="S45" s="200">
        <v>2483.9326010300001</v>
      </c>
      <c r="T45" s="200">
        <v>763.63382411999987</v>
      </c>
      <c r="U45" s="200">
        <v>1866.4102236400004</v>
      </c>
      <c r="V45" s="200">
        <v>4379.2276130000009</v>
      </c>
      <c r="W45" s="200">
        <f t="shared" si="7"/>
        <v>187537.16194412002</v>
      </c>
      <c r="Y45" s="257">
        <v>44045</v>
      </c>
      <c r="Z45">
        <v>396</v>
      </c>
      <c r="AA45" s="260">
        <f t="shared" si="3"/>
        <v>77.901639344262264</v>
      </c>
      <c r="AB45" s="260">
        <f t="shared" si="4"/>
        <v>201.24590163934431</v>
      </c>
      <c r="AC45" s="260">
        <f t="shared" si="5"/>
        <v>116.85245901639347</v>
      </c>
    </row>
    <row r="46" spans="1:29" x14ac:dyDescent="0.3">
      <c r="A46" s="100">
        <f t="shared" si="6"/>
        <v>44052</v>
      </c>
      <c r="B46" s="100">
        <v>44052</v>
      </c>
      <c r="C46" s="200">
        <v>8105.6822920999984</v>
      </c>
      <c r="D46" s="200">
        <v>6154.5248434000023</v>
      </c>
      <c r="E46" s="200">
        <v>1640.4369196899993</v>
      </c>
      <c r="F46" s="200">
        <v>2270.5504718000002</v>
      </c>
      <c r="G46" s="200">
        <v>5695.8037227000023</v>
      </c>
      <c r="H46" s="200">
        <v>38047.81327440001</v>
      </c>
      <c r="I46" s="200">
        <v>35467.239228799997</v>
      </c>
      <c r="J46" s="200">
        <v>9363.2668526000034</v>
      </c>
      <c r="K46" s="200">
        <v>18540.052465500008</v>
      </c>
      <c r="L46" s="200">
        <v>46802.951702999992</v>
      </c>
      <c r="M46" s="200">
        <v>862.10761489999993</v>
      </c>
      <c r="N46" s="200">
        <v>1107.15488755</v>
      </c>
      <c r="O46" s="200">
        <v>364</v>
      </c>
      <c r="P46" s="200">
        <v>834.66828507999981</v>
      </c>
      <c r="Q46" s="200">
        <v>909.87583365000023</v>
      </c>
      <c r="R46" s="200">
        <v>4019.8357715100001</v>
      </c>
      <c r="S46" s="200">
        <v>2504.0047266400002</v>
      </c>
      <c r="T46" s="200">
        <v>788.85762223999984</v>
      </c>
      <c r="U46" s="200">
        <v>1926.1332781500005</v>
      </c>
      <c r="V46" s="200">
        <v>4460.0241510000005</v>
      </c>
      <c r="W46" s="200">
        <f t="shared" si="7"/>
        <v>189864.98394470997</v>
      </c>
      <c r="Y46" s="257">
        <v>44052</v>
      </c>
      <c r="Z46">
        <v>408</v>
      </c>
      <c r="AA46" s="260">
        <f t="shared" si="3"/>
        <v>80.262295081967181</v>
      </c>
      <c r="AB46" s="260">
        <f t="shared" si="4"/>
        <v>207.34426229508202</v>
      </c>
      <c r="AC46" s="260">
        <f t="shared" si="5"/>
        <v>120.39344262295084</v>
      </c>
    </row>
    <row r="47" spans="1:29" x14ac:dyDescent="0.3">
      <c r="A47" s="100">
        <f t="shared" si="6"/>
        <v>44059</v>
      </c>
      <c r="B47" s="100">
        <v>44059</v>
      </c>
      <c r="C47" s="200">
        <v>8408.3535202999992</v>
      </c>
      <c r="D47" s="200">
        <v>6272.7530322000021</v>
      </c>
      <c r="E47" s="200">
        <v>1670.3338966899992</v>
      </c>
      <c r="F47" s="200">
        <v>2317.7921344000006</v>
      </c>
      <c r="G47" s="200">
        <v>5637.9400611000019</v>
      </c>
      <c r="H47" s="200">
        <v>39642.069938400011</v>
      </c>
      <c r="I47" s="200">
        <v>37043.2365508</v>
      </c>
      <c r="J47" s="200">
        <v>9599.9309634000037</v>
      </c>
      <c r="K47" s="200">
        <v>19310.016999000007</v>
      </c>
      <c r="L47" s="200">
        <v>48698.044792999994</v>
      </c>
      <c r="M47" s="200">
        <v>901.89361474999998</v>
      </c>
      <c r="N47" s="200">
        <v>1160.2233387199999</v>
      </c>
      <c r="O47" s="200">
        <v>376</v>
      </c>
      <c r="P47" s="200">
        <v>865.85766682999974</v>
      </c>
      <c r="Q47" s="200">
        <v>900.35073101000035</v>
      </c>
      <c r="R47" s="200">
        <v>4222.4201089099997</v>
      </c>
      <c r="S47" s="200">
        <v>2610.0967095400001</v>
      </c>
      <c r="T47" s="200">
        <v>818.36818142999982</v>
      </c>
      <c r="U47" s="200">
        <v>2013.0449671500005</v>
      </c>
      <c r="V47" s="200">
        <v>4648.5720538000005</v>
      </c>
      <c r="W47" s="200">
        <f t="shared" si="7"/>
        <v>197117.29926143005</v>
      </c>
      <c r="Y47" s="257">
        <v>44059</v>
      </c>
      <c r="Z47">
        <v>424</v>
      </c>
      <c r="AA47" s="260">
        <f t="shared" si="3"/>
        <v>83.409836065573728</v>
      </c>
      <c r="AB47" s="260">
        <f t="shared" si="4"/>
        <v>215.47540983606564</v>
      </c>
      <c r="AC47" s="260">
        <f t="shared" si="5"/>
        <v>125.11475409836068</v>
      </c>
    </row>
    <row r="48" spans="1:29" x14ac:dyDescent="0.3">
      <c r="A48" s="100">
        <f t="shared" si="6"/>
        <v>44066</v>
      </c>
      <c r="B48" s="100">
        <v>44066</v>
      </c>
      <c r="C48" s="200">
        <v>8685.8273325999999</v>
      </c>
      <c r="D48" s="200">
        <v>6409.4081726000022</v>
      </c>
      <c r="E48" s="200">
        <v>1691.045387489999</v>
      </c>
      <c r="F48" s="200">
        <v>2339.0449151000003</v>
      </c>
      <c r="G48" s="200">
        <v>5712.2005343000019</v>
      </c>
      <c r="H48" s="200">
        <v>41240.783132400014</v>
      </c>
      <c r="I48" s="200">
        <v>38671.758447799999</v>
      </c>
      <c r="J48" s="200">
        <v>9916.8192005000037</v>
      </c>
      <c r="K48" s="200">
        <v>20047.979393400008</v>
      </c>
      <c r="L48" s="200">
        <v>50578.186661999993</v>
      </c>
      <c r="M48" s="200">
        <v>948.58881756999995</v>
      </c>
      <c r="N48" s="200">
        <v>1211.3309501499998</v>
      </c>
      <c r="O48" s="200">
        <v>387</v>
      </c>
      <c r="P48" s="200">
        <v>885.34082383999976</v>
      </c>
      <c r="Q48" s="200">
        <v>901.42939983000042</v>
      </c>
      <c r="R48" s="200">
        <v>4443.9713800099998</v>
      </c>
      <c r="S48" s="200">
        <v>2729.9324985400003</v>
      </c>
      <c r="T48" s="200">
        <v>835.12223866999977</v>
      </c>
      <c r="U48" s="200">
        <v>2089.0149022700007</v>
      </c>
      <c r="V48" s="200">
        <v>4850.4645656000002</v>
      </c>
      <c r="W48" s="200">
        <f t="shared" si="7"/>
        <v>204575.24875467003</v>
      </c>
      <c r="Y48" s="257">
        <v>44066</v>
      </c>
      <c r="Z48">
        <v>452</v>
      </c>
      <c r="AA48" s="260">
        <f t="shared" si="3"/>
        <v>88.918032786885206</v>
      </c>
      <c r="AB48" s="260">
        <f t="shared" si="4"/>
        <v>229.70491803278694</v>
      </c>
      <c r="AC48" s="260">
        <f t="shared" si="5"/>
        <v>133.3770491803279</v>
      </c>
    </row>
    <row r="49" spans="1:29" x14ac:dyDescent="0.3">
      <c r="A49" s="100">
        <f t="shared" si="6"/>
        <v>44073</v>
      </c>
      <c r="B49" s="100">
        <v>44073</v>
      </c>
      <c r="C49" s="200">
        <v>8962.1071410999994</v>
      </c>
      <c r="D49" s="200">
        <v>6478.3557455000027</v>
      </c>
      <c r="E49" s="200">
        <v>1720.4885613899992</v>
      </c>
      <c r="F49" s="200">
        <v>2361.7927751000007</v>
      </c>
      <c r="G49" s="200">
        <v>5772.3851014000011</v>
      </c>
      <c r="H49" s="200">
        <v>42708.408680400011</v>
      </c>
      <c r="I49" s="200">
        <v>40056.489392800002</v>
      </c>
      <c r="J49" s="200">
        <v>10206.682765800004</v>
      </c>
      <c r="K49" s="200">
        <v>20640.28726880001</v>
      </c>
      <c r="L49" s="200">
        <v>52334.761090999993</v>
      </c>
      <c r="M49" s="200">
        <v>975.93649577999997</v>
      </c>
      <c r="N49" s="200">
        <v>1238.5642919199997</v>
      </c>
      <c r="O49" s="200">
        <v>402</v>
      </c>
      <c r="P49" s="200">
        <v>909.61036400999978</v>
      </c>
      <c r="Q49" s="200">
        <v>914.41676879000033</v>
      </c>
      <c r="R49" s="200">
        <v>4620.3825348099999</v>
      </c>
      <c r="S49" s="200">
        <v>2826.3337724400003</v>
      </c>
      <c r="T49" s="200">
        <v>853.56740746999981</v>
      </c>
      <c r="U49" s="200">
        <v>2151.5606530300006</v>
      </c>
      <c r="V49" s="200">
        <v>5048.4412424000002</v>
      </c>
      <c r="W49" s="200">
        <f t="shared" si="7"/>
        <v>211182.57205394004</v>
      </c>
      <c r="Y49" s="257">
        <v>44073</v>
      </c>
      <c r="Z49">
        <v>476</v>
      </c>
      <c r="AA49" s="260">
        <f t="shared" si="3"/>
        <v>93.63934426229504</v>
      </c>
      <c r="AB49" s="260">
        <f t="shared" si="4"/>
        <v>241.90163934426235</v>
      </c>
      <c r="AC49" s="260">
        <f t="shared" si="5"/>
        <v>140.45901639344265</v>
      </c>
    </row>
    <row r="50" spans="1:29" x14ac:dyDescent="0.3">
      <c r="A50" s="100">
        <f t="shared" si="6"/>
        <v>44080</v>
      </c>
      <c r="B50" s="100">
        <v>44080</v>
      </c>
      <c r="C50" s="200">
        <v>9198.9438004999993</v>
      </c>
      <c r="D50" s="200">
        <v>6522.0628393000025</v>
      </c>
      <c r="E50" s="200">
        <v>1762.1462819899994</v>
      </c>
      <c r="F50" s="200">
        <v>2360.1909331000006</v>
      </c>
      <c r="G50" s="200">
        <v>5816.2246121000007</v>
      </c>
      <c r="H50" s="200">
        <v>44118.623480400012</v>
      </c>
      <c r="I50" s="200">
        <v>41179.815785800005</v>
      </c>
      <c r="J50" s="200">
        <v>10494.214811900003</v>
      </c>
      <c r="K50" s="200">
        <v>21289.63046410001</v>
      </c>
      <c r="L50" s="200">
        <v>53978.589344999993</v>
      </c>
      <c r="M50" s="200">
        <v>1002.0941356799999</v>
      </c>
      <c r="N50" s="200">
        <v>1262.3360301999996</v>
      </c>
      <c r="O50" s="200">
        <v>413</v>
      </c>
      <c r="P50" s="200">
        <v>922.05219658999977</v>
      </c>
      <c r="Q50" s="200">
        <v>934.01810061000037</v>
      </c>
      <c r="R50" s="200">
        <v>4727.76177611</v>
      </c>
      <c r="S50" s="200">
        <v>2903.7778994400005</v>
      </c>
      <c r="T50" s="200">
        <v>879.50354480999977</v>
      </c>
      <c r="U50" s="200">
        <v>2227.2509486800004</v>
      </c>
      <c r="V50" s="200">
        <v>5228.0759867000006</v>
      </c>
      <c r="W50" s="200">
        <f t="shared" si="7"/>
        <v>217220.31297301003</v>
      </c>
      <c r="Y50" s="257">
        <v>44080</v>
      </c>
      <c r="Z50">
        <v>507</v>
      </c>
      <c r="AA50" s="260">
        <f t="shared" si="3"/>
        <v>99.737704918032748</v>
      </c>
      <c r="AB50" s="260">
        <f t="shared" si="4"/>
        <v>257.65573770491807</v>
      </c>
      <c r="AC50" s="260">
        <f t="shared" si="5"/>
        <v>149.6065573770492</v>
      </c>
    </row>
    <row r="51" spans="1:29" x14ac:dyDescent="0.3">
      <c r="A51" s="100">
        <f t="shared" si="6"/>
        <v>44087</v>
      </c>
      <c r="B51" s="100">
        <v>44087</v>
      </c>
      <c r="C51" s="200">
        <v>9593.3476586999986</v>
      </c>
      <c r="D51" s="200">
        <v>6716.6180784000026</v>
      </c>
      <c r="E51" s="200">
        <v>1827.8432728899993</v>
      </c>
      <c r="F51" s="200">
        <v>2439.2609705000004</v>
      </c>
      <c r="G51" s="200">
        <v>5932.9292343000016</v>
      </c>
      <c r="H51" s="200">
        <v>46064.412429400014</v>
      </c>
      <c r="I51" s="200">
        <v>42976.022612800007</v>
      </c>
      <c r="J51" s="200">
        <v>10891.731015800004</v>
      </c>
      <c r="K51" s="200">
        <v>22236.114812100008</v>
      </c>
      <c r="L51" s="200">
        <v>56153.318616999997</v>
      </c>
      <c r="M51" s="200">
        <v>1033.2558890799999</v>
      </c>
      <c r="N51" s="200">
        <v>1329.5946258999998</v>
      </c>
      <c r="O51" s="200">
        <v>417</v>
      </c>
      <c r="P51" s="200">
        <v>954.40159269999958</v>
      </c>
      <c r="Q51" s="200">
        <v>952.30888135000032</v>
      </c>
      <c r="R51" s="200">
        <v>4912.68440861</v>
      </c>
      <c r="S51" s="200">
        <v>3003.1277449400004</v>
      </c>
      <c r="T51" s="200">
        <v>909.92988277999984</v>
      </c>
      <c r="U51" s="200">
        <v>2324.6929912800006</v>
      </c>
      <c r="V51" s="200">
        <v>5462.4900173000005</v>
      </c>
      <c r="W51" s="200">
        <f t="shared" si="7"/>
        <v>226131.08473583002</v>
      </c>
      <c r="Y51" s="257">
        <v>44087</v>
      </c>
      <c r="Z51">
        <v>542</v>
      </c>
      <c r="AA51" s="260">
        <f t="shared" si="3"/>
        <v>106.62295081967208</v>
      </c>
      <c r="AB51" s="260">
        <f t="shared" si="4"/>
        <v>275.44262295081973</v>
      </c>
      <c r="AC51" s="260">
        <f t="shared" si="5"/>
        <v>159.93442622950823</v>
      </c>
    </row>
    <row r="52" spans="1:29" x14ac:dyDescent="0.3">
      <c r="A52" s="100">
        <f t="shared" si="6"/>
        <v>44094</v>
      </c>
      <c r="B52" s="100">
        <v>44094</v>
      </c>
      <c r="C52" s="200">
        <v>9977.3484748999981</v>
      </c>
      <c r="D52" s="200">
        <v>6922.7482811000027</v>
      </c>
      <c r="E52" s="200">
        <v>1923.0586485899994</v>
      </c>
      <c r="F52" s="200">
        <v>2505.5148318000001</v>
      </c>
      <c r="G52" s="200">
        <v>6096.7466362000014</v>
      </c>
      <c r="H52" s="200">
        <v>47873.768718400017</v>
      </c>
      <c r="I52" s="200">
        <v>44786.236400800008</v>
      </c>
      <c r="J52" s="200">
        <v>11398.636922900003</v>
      </c>
      <c r="K52" s="200">
        <v>23170.869155100008</v>
      </c>
      <c r="L52" s="200">
        <v>58390.686994000003</v>
      </c>
      <c r="M52" s="200">
        <v>1077.9209609</v>
      </c>
      <c r="N52" s="200">
        <v>1382.3553668599998</v>
      </c>
      <c r="O52" s="200">
        <v>430</v>
      </c>
      <c r="P52" s="200">
        <v>998.77488456999981</v>
      </c>
      <c r="Q52" s="200">
        <v>964.63435039000024</v>
      </c>
      <c r="R52" s="200">
        <v>5114.7962455099996</v>
      </c>
      <c r="S52" s="200">
        <v>3115.6726495400003</v>
      </c>
      <c r="T52" s="200">
        <v>955.70780822999996</v>
      </c>
      <c r="U52" s="200">
        <v>2426.6018137800006</v>
      </c>
      <c r="V52" s="200">
        <v>5652.4574558000004</v>
      </c>
      <c r="W52" s="200">
        <f t="shared" si="7"/>
        <v>235164.53659937007</v>
      </c>
      <c r="Y52" s="257">
        <v>44094</v>
      </c>
      <c r="Z52">
        <v>574</v>
      </c>
      <c r="AA52" s="260">
        <f t="shared" si="3"/>
        <v>112.91803278688519</v>
      </c>
      <c r="AB52" s="260">
        <f t="shared" si="4"/>
        <v>291.70491803278696</v>
      </c>
      <c r="AC52" s="260">
        <f t="shared" si="5"/>
        <v>169.3770491803279</v>
      </c>
    </row>
    <row r="53" spans="1:29" x14ac:dyDescent="0.3">
      <c r="A53" s="100">
        <f t="shared" si="6"/>
        <v>44101</v>
      </c>
      <c r="B53" s="100">
        <v>44101</v>
      </c>
      <c r="C53" s="200">
        <v>10371.897985499998</v>
      </c>
      <c r="D53" s="200">
        <v>7151.5740047000036</v>
      </c>
      <c r="E53" s="200">
        <v>2019.8568441899993</v>
      </c>
      <c r="F53" s="200">
        <v>2569.5921421000003</v>
      </c>
      <c r="G53" s="200">
        <v>6234.208492300002</v>
      </c>
      <c r="H53" s="200">
        <v>49779.219664400014</v>
      </c>
      <c r="I53" s="200">
        <v>46622.593187800005</v>
      </c>
      <c r="J53" s="200">
        <v>11907.486683800003</v>
      </c>
      <c r="K53" s="200">
        <v>24098.613824100008</v>
      </c>
      <c r="L53" s="200">
        <v>60542.117930000008</v>
      </c>
      <c r="M53" s="200">
        <v>1119.6655050299998</v>
      </c>
      <c r="N53" s="200">
        <v>1447.11411856</v>
      </c>
      <c r="O53" s="200">
        <v>451</v>
      </c>
      <c r="P53" s="200">
        <v>1037.3109733199999</v>
      </c>
      <c r="Q53" s="200">
        <v>972.70691908000026</v>
      </c>
      <c r="R53" s="200">
        <v>5318.7189785099999</v>
      </c>
      <c r="S53" s="200">
        <v>3254.4586368400005</v>
      </c>
      <c r="T53" s="200">
        <v>991.24375923999992</v>
      </c>
      <c r="U53" s="200">
        <v>2521.0774060800004</v>
      </c>
      <c r="V53" s="200">
        <v>5858.9060949000004</v>
      </c>
      <c r="W53" s="200">
        <f t="shared" si="7"/>
        <v>244269.36315045005</v>
      </c>
      <c r="Y53" s="257">
        <v>44101</v>
      </c>
      <c r="Z53">
        <v>606</v>
      </c>
      <c r="AA53" s="260">
        <f t="shared" si="3"/>
        <v>119.21311475409831</v>
      </c>
      <c r="AB53" s="260">
        <f t="shared" si="4"/>
        <v>307.96721311475414</v>
      </c>
      <c r="AC53" s="260">
        <f t="shared" si="5"/>
        <v>178.81967213114757</v>
      </c>
    </row>
    <row r="54" spans="1:29" x14ac:dyDescent="0.3">
      <c r="A54" s="100">
        <f t="shared" si="6"/>
        <v>44108</v>
      </c>
      <c r="B54" s="100">
        <v>44108</v>
      </c>
      <c r="C54" s="200">
        <v>10758.923294399998</v>
      </c>
      <c r="D54" s="200">
        <v>7352.5366546000041</v>
      </c>
      <c r="E54" s="200">
        <v>2118.1934674899994</v>
      </c>
      <c r="F54" s="200">
        <v>2650.4629909000005</v>
      </c>
      <c r="G54" s="200">
        <v>6367.5570449000006</v>
      </c>
      <c r="H54" s="200">
        <v>51656.398736400013</v>
      </c>
      <c r="I54" s="200">
        <v>48473.639412800003</v>
      </c>
      <c r="J54" s="200">
        <v>12358.330778600004</v>
      </c>
      <c r="K54" s="200">
        <v>25057.382147100008</v>
      </c>
      <c r="L54" s="200">
        <v>62717.462146000005</v>
      </c>
      <c r="M54" s="200">
        <v>1157.6799846499998</v>
      </c>
      <c r="N54" s="200">
        <v>1484.4583327199998</v>
      </c>
      <c r="O54" s="200">
        <v>465</v>
      </c>
      <c r="P54" s="200">
        <v>1076.4706848799997</v>
      </c>
      <c r="Q54" s="200">
        <v>982.34658968000031</v>
      </c>
      <c r="R54" s="200">
        <v>5516.3894668100002</v>
      </c>
      <c r="S54" s="200">
        <v>3376.5247169400004</v>
      </c>
      <c r="T54" s="200">
        <v>1031.725009</v>
      </c>
      <c r="U54" s="200">
        <v>2620.9300220800005</v>
      </c>
      <c r="V54" s="200">
        <v>6074.1195402000003</v>
      </c>
      <c r="W54" s="200">
        <f t="shared" si="7"/>
        <v>253296.53102015003</v>
      </c>
      <c r="Y54" s="257">
        <v>44108</v>
      </c>
      <c r="Z54">
        <v>625</v>
      </c>
      <c r="AA54" s="260">
        <f t="shared" si="3"/>
        <v>122.95081967213109</v>
      </c>
      <c r="AB54" s="260">
        <f t="shared" si="4"/>
        <v>317.62295081967221</v>
      </c>
      <c r="AC54" s="260">
        <f t="shared" si="5"/>
        <v>184.42622950819674</v>
      </c>
    </row>
    <row r="55" spans="1:29" x14ac:dyDescent="0.3">
      <c r="A55" s="100">
        <f t="shared" si="6"/>
        <v>44115</v>
      </c>
      <c r="B55" s="100">
        <v>44115</v>
      </c>
      <c r="C55" s="200">
        <v>11091.731058899997</v>
      </c>
      <c r="D55" s="200">
        <v>7466.9312069000043</v>
      </c>
      <c r="E55" s="200">
        <v>2180.6955131899995</v>
      </c>
      <c r="F55" s="200">
        <v>2694.2290791000005</v>
      </c>
      <c r="G55" s="200">
        <v>6518.1043205999995</v>
      </c>
      <c r="H55" s="200">
        <v>53338.908799400015</v>
      </c>
      <c r="I55" s="200">
        <v>49963.700661800001</v>
      </c>
      <c r="J55" s="200">
        <v>12773.912460000003</v>
      </c>
      <c r="K55" s="200">
        <v>25842.979200700007</v>
      </c>
      <c r="L55" s="200">
        <v>64446.213684000002</v>
      </c>
      <c r="M55" s="200">
        <v>1188.6837003199998</v>
      </c>
      <c r="N55" s="200">
        <v>1544.25435629</v>
      </c>
      <c r="O55" s="200">
        <v>475</v>
      </c>
      <c r="P55" s="200">
        <v>1095.7017169899996</v>
      </c>
      <c r="Q55" s="200">
        <v>997.75910624000016</v>
      </c>
      <c r="R55" s="200">
        <v>5680.2484261099999</v>
      </c>
      <c r="S55" s="200">
        <v>3458.7227997400005</v>
      </c>
      <c r="T55" s="200">
        <v>1070.73318275</v>
      </c>
      <c r="U55" s="200">
        <v>2698.6563460200005</v>
      </c>
      <c r="V55" s="200">
        <v>6253.8429120000001</v>
      </c>
      <c r="W55" s="200">
        <f t="shared" si="7"/>
        <v>260781.00853105</v>
      </c>
      <c r="Y55" s="257">
        <v>44115</v>
      </c>
      <c r="Z55">
        <v>648</v>
      </c>
      <c r="AA55" s="260">
        <f t="shared" si="3"/>
        <v>127.47540983606552</v>
      </c>
      <c r="AB55" s="260">
        <f t="shared" si="4"/>
        <v>329.31147540983613</v>
      </c>
      <c r="AC55" s="260">
        <f t="shared" si="5"/>
        <v>191.2131147540984</v>
      </c>
    </row>
    <row r="56" spans="1:29" x14ac:dyDescent="0.3">
      <c r="A56" s="100">
        <f t="shared" si="6"/>
        <v>44122</v>
      </c>
      <c r="B56" s="100">
        <v>44122</v>
      </c>
      <c r="C56" s="200">
        <v>11452.663119699997</v>
      </c>
      <c r="D56" s="200">
        <v>7668.2310222000051</v>
      </c>
      <c r="E56" s="200">
        <v>2263.9851053899993</v>
      </c>
      <c r="F56" s="200">
        <v>2777.9994562000002</v>
      </c>
      <c r="G56" s="200">
        <v>6635.6210797999993</v>
      </c>
      <c r="H56" s="200">
        <v>55210.235910400013</v>
      </c>
      <c r="I56" s="200">
        <v>51860.310490800002</v>
      </c>
      <c r="J56" s="200">
        <v>13215.456095900005</v>
      </c>
      <c r="K56" s="200">
        <v>26807.409653700008</v>
      </c>
      <c r="L56" s="200">
        <v>66704.507528999995</v>
      </c>
      <c r="M56" s="200">
        <v>1225.2081913699999</v>
      </c>
      <c r="N56" s="200">
        <v>1594.90052724</v>
      </c>
      <c r="O56" s="200">
        <v>481</v>
      </c>
      <c r="P56" s="200">
        <v>1139.3845204899994</v>
      </c>
      <c r="Q56" s="200">
        <v>1017.2645714499999</v>
      </c>
      <c r="R56" s="200">
        <v>5885.2878192099997</v>
      </c>
      <c r="S56" s="200">
        <v>3587.1457521400007</v>
      </c>
      <c r="T56" s="200">
        <v>1109.3483539399999</v>
      </c>
      <c r="U56" s="200">
        <v>2803.1319684200002</v>
      </c>
      <c r="V56" s="200">
        <v>6445.4849125000001</v>
      </c>
      <c r="W56" s="200">
        <f t="shared" si="7"/>
        <v>269884.57607985014</v>
      </c>
      <c r="Y56" s="257">
        <v>44122</v>
      </c>
      <c r="Z56">
        <v>675</v>
      </c>
      <c r="AA56" s="260">
        <f t="shared" si="3"/>
        <v>132.78688524590157</v>
      </c>
      <c r="AB56" s="260">
        <f t="shared" si="4"/>
        <v>343.03278688524597</v>
      </c>
      <c r="AC56" s="260">
        <f t="shared" si="5"/>
        <v>199.18032786885249</v>
      </c>
    </row>
    <row r="57" spans="1:29" x14ac:dyDescent="0.3">
      <c r="A57" s="100"/>
      <c r="B57" s="100"/>
      <c r="C57" s="200"/>
      <c r="D57" s="200"/>
      <c r="E57" s="200"/>
      <c r="F57" s="200"/>
      <c r="G57" s="200"/>
      <c r="H57" s="200"/>
      <c r="I57" s="200"/>
      <c r="J57" s="200"/>
      <c r="K57" s="200"/>
      <c r="L57" s="200"/>
      <c r="M57" s="200"/>
      <c r="N57" s="200"/>
      <c r="O57" s="200"/>
      <c r="P57" s="200"/>
      <c r="Q57" s="200"/>
      <c r="R57" s="200"/>
      <c r="S57" s="200"/>
      <c r="T57" s="200"/>
      <c r="U57" s="200"/>
      <c r="V57" s="200"/>
    </row>
    <row r="58" spans="1:29" x14ac:dyDescent="0.3">
      <c r="A58" s="100"/>
      <c r="B58" s="100"/>
      <c r="C58" s="200"/>
      <c r="D58" s="200"/>
      <c r="E58" s="200"/>
      <c r="F58" s="200"/>
      <c r="G58" s="200"/>
      <c r="H58" s="200"/>
      <c r="I58" s="200"/>
      <c r="J58" s="200"/>
      <c r="K58" s="200"/>
      <c r="L58" s="200"/>
      <c r="M58" s="200"/>
      <c r="N58" s="200"/>
      <c r="O58" s="200"/>
      <c r="P58" s="200"/>
      <c r="Q58" s="200"/>
      <c r="R58" s="200"/>
      <c r="S58" s="200"/>
      <c r="T58" s="200"/>
      <c r="U58" s="200"/>
      <c r="V58" s="200"/>
      <c r="Y58" s="42" t="s">
        <v>41</v>
      </c>
      <c r="Z58">
        <v>41.140680064783979</v>
      </c>
    </row>
    <row r="59" spans="1:29" x14ac:dyDescent="0.3">
      <c r="A59" s="100"/>
      <c r="B59" s="100"/>
      <c r="C59" s="200"/>
      <c r="D59" s="200"/>
      <c r="E59" s="200"/>
      <c r="F59" s="200"/>
      <c r="G59" s="200"/>
      <c r="H59" s="200"/>
      <c r="I59" s="200"/>
      <c r="J59" s="200"/>
      <c r="K59" s="200"/>
      <c r="L59" s="200"/>
      <c r="M59" s="200"/>
      <c r="N59" s="200"/>
      <c r="O59" s="200"/>
      <c r="P59" s="200"/>
      <c r="Q59" s="200"/>
      <c r="R59" s="200"/>
      <c r="S59" s="200"/>
      <c r="T59" s="200"/>
      <c r="U59" s="200"/>
      <c r="V59" s="200"/>
      <c r="Y59" s="42" t="s">
        <v>1</v>
      </c>
      <c r="Z59">
        <v>8.0932485373345493</v>
      </c>
      <c r="AA59" s="261">
        <f>Z59/$Z$58</f>
        <v>0.19672131147540975</v>
      </c>
    </row>
    <row r="60" spans="1:29" x14ac:dyDescent="0.3">
      <c r="A60" s="100"/>
      <c r="B60" s="100"/>
      <c r="C60" s="200"/>
      <c r="D60" s="200"/>
      <c r="E60" s="200"/>
      <c r="F60" s="200"/>
      <c r="G60" s="200"/>
      <c r="H60" s="200"/>
      <c r="I60" s="200"/>
      <c r="J60" s="200"/>
      <c r="K60" s="200"/>
      <c r="L60" s="200"/>
      <c r="M60" s="200"/>
      <c r="N60" s="200"/>
      <c r="O60" s="200"/>
      <c r="P60" s="200"/>
      <c r="Q60" s="200"/>
      <c r="R60" s="200"/>
      <c r="S60" s="200"/>
      <c r="T60" s="200"/>
      <c r="U60" s="200"/>
      <c r="V60" s="200"/>
      <c r="Y60" s="42" t="s">
        <v>3</v>
      </c>
      <c r="Z60">
        <v>0</v>
      </c>
      <c r="AA60" s="261">
        <f t="shared" ref="AA60:AA63" si="8">Z60/$Z$58</f>
        <v>0</v>
      </c>
    </row>
    <row r="61" spans="1:29" x14ac:dyDescent="0.3">
      <c r="A61" s="100"/>
      <c r="B61" s="100"/>
      <c r="C61" s="200"/>
      <c r="D61" s="200"/>
      <c r="E61" s="200"/>
      <c r="F61" s="200"/>
      <c r="G61" s="200"/>
      <c r="H61" s="200"/>
      <c r="I61" s="200"/>
      <c r="J61" s="200"/>
      <c r="K61" s="200"/>
      <c r="L61" s="200"/>
      <c r="M61" s="200"/>
      <c r="N61" s="200"/>
      <c r="O61" s="200"/>
      <c r="P61" s="200"/>
      <c r="Q61" s="200"/>
      <c r="R61" s="200"/>
      <c r="S61" s="200"/>
      <c r="T61" s="200"/>
      <c r="U61" s="200"/>
      <c r="V61" s="200"/>
      <c r="Y61" s="42" t="s">
        <v>4</v>
      </c>
      <c r="Z61">
        <v>20.9075587214476</v>
      </c>
      <c r="AA61" s="261">
        <f t="shared" si="8"/>
        <v>0.50819672131147553</v>
      </c>
    </row>
    <row r="62" spans="1:29" x14ac:dyDescent="0.3">
      <c r="B62" s="100"/>
      <c r="C62" s="200"/>
      <c r="D62" s="200"/>
      <c r="E62" s="200"/>
      <c r="F62" s="200"/>
      <c r="G62" s="200"/>
      <c r="H62" s="200"/>
      <c r="I62" s="200"/>
      <c r="J62" s="200"/>
      <c r="K62" s="200"/>
      <c r="L62" s="200"/>
      <c r="M62" s="200"/>
      <c r="N62" s="200"/>
      <c r="O62" s="200"/>
      <c r="P62" s="200"/>
      <c r="Q62" s="200"/>
      <c r="R62" s="200"/>
      <c r="S62" s="200"/>
      <c r="T62" s="200"/>
      <c r="U62" s="200"/>
      <c r="V62" s="200"/>
      <c r="Y62" s="42" t="s">
        <v>5</v>
      </c>
      <c r="Z62">
        <v>12.139872806001831</v>
      </c>
      <c r="AA62" s="261">
        <f t="shared" si="8"/>
        <v>0.2950819672131148</v>
      </c>
    </row>
    <row r="63" spans="1:29" x14ac:dyDescent="0.3">
      <c r="Y63" s="8" t="s">
        <v>6</v>
      </c>
      <c r="Z63">
        <v>0</v>
      </c>
      <c r="AA63" s="261">
        <f t="shared" si="8"/>
        <v>0</v>
      </c>
    </row>
    <row r="65" spans="2:6" x14ac:dyDescent="0.3">
      <c r="B65" t="s">
        <v>292</v>
      </c>
    </row>
    <row r="66" spans="2:6" x14ac:dyDescent="0.3">
      <c r="B66" s="209" t="s">
        <v>283</v>
      </c>
      <c r="C66" t="s">
        <v>295</v>
      </c>
      <c r="D66" s="209" t="s">
        <v>189</v>
      </c>
      <c r="E66" s="209" t="s">
        <v>284</v>
      </c>
      <c r="F66" s="209" t="s">
        <v>296</v>
      </c>
    </row>
    <row r="67" spans="2:6" x14ac:dyDescent="0.3">
      <c r="B67" s="209" t="s">
        <v>290</v>
      </c>
      <c r="C67" t="s">
        <v>3</v>
      </c>
      <c r="D67" t="s">
        <v>285</v>
      </c>
      <c r="E67">
        <v>1356</v>
      </c>
      <c r="F67">
        <v>10</v>
      </c>
    </row>
    <row r="68" spans="2:6" x14ac:dyDescent="0.3">
      <c r="B68" s="209" t="s">
        <v>290</v>
      </c>
      <c r="C68" t="s">
        <v>3</v>
      </c>
      <c r="D68" t="s">
        <v>286</v>
      </c>
      <c r="E68">
        <v>209</v>
      </c>
      <c r="F68">
        <v>10</v>
      </c>
    </row>
    <row r="69" spans="2:6" x14ac:dyDescent="0.3">
      <c r="B69" s="209" t="s">
        <v>290</v>
      </c>
      <c r="C69" t="s">
        <v>3</v>
      </c>
      <c r="D69" t="s">
        <v>287</v>
      </c>
      <c r="E69">
        <v>5</v>
      </c>
      <c r="F69">
        <v>10</v>
      </c>
    </row>
    <row r="70" spans="2:6" x14ac:dyDescent="0.3">
      <c r="B70" s="209" t="s">
        <v>290</v>
      </c>
      <c r="C70" t="s">
        <v>3</v>
      </c>
      <c r="D70" t="s">
        <v>288</v>
      </c>
      <c r="E70">
        <v>9</v>
      </c>
      <c r="F70">
        <v>10</v>
      </c>
    </row>
    <row r="71" spans="2:6" x14ac:dyDescent="0.3">
      <c r="B71" s="209" t="s">
        <v>290</v>
      </c>
      <c r="C71" t="s">
        <v>3</v>
      </c>
      <c r="D71" t="s">
        <v>293</v>
      </c>
      <c r="E71">
        <v>25</v>
      </c>
      <c r="F71">
        <v>10</v>
      </c>
    </row>
    <row r="72" spans="2:6" x14ac:dyDescent="0.3">
      <c r="B72" s="209" t="s">
        <v>290</v>
      </c>
      <c r="C72" t="s">
        <v>3</v>
      </c>
      <c r="D72" t="s">
        <v>294</v>
      </c>
      <c r="E72">
        <v>29</v>
      </c>
      <c r="F72">
        <v>10</v>
      </c>
    </row>
    <row r="73" spans="2:6" x14ac:dyDescent="0.3">
      <c r="B73" s="209" t="s">
        <v>290</v>
      </c>
      <c r="C73" t="s">
        <v>3</v>
      </c>
      <c r="D73" t="s">
        <v>289</v>
      </c>
      <c r="E73">
        <v>233</v>
      </c>
      <c r="F73">
        <v>10</v>
      </c>
    </row>
    <row r="74" spans="2:6" x14ac:dyDescent="0.3">
      <c r="B74" s="209" t="s">
        <v>291</v>
      </c>
      <c r="C74" t="s">
        <v>4</v>
      </c>
      <c r="D74" t="s">
        <v>285</v>
      </c>
      <c r="E74">
        <v>1021</v>
      </c>
      <c r="F74">
        <v>41</v>
      </c>
    </row>
    <row r="75" spans="2:6" x14ac:dyDescent="0.3">
      <c r="B75" s="209" t="s">
        <v>291</v>
      </c>
      <c r="C75" t="s">
        <v>4</v>
      </c>
      <c r="D75" t="s">
        <v>286</v>
      </c>
      <c r="E75">
        <v>444</v>
      </c>
      <c r="F75">
        <v>41</v>
      </c>
    </row>
    <row r="76" spans="2:6" x14ac:dyDescent="0.3">
      <c r="B76" s="209" t="s">
        <v>291</v>
      </c>
      <c r="C76" t="s">
        <v>4</v>
      </c>
      <c r="D76" t="s">
        <v>287</v>
      </c>
      <c r="E76">
        <v>247</v>
      </c>
      <c r="F76">
        <v>41</v>
      </c>
    </row>
    <row r="77" spans="2:6" x14ac:dyDescent="0.3">
      <c r="B77" s="209" t="s">
        <v>291</v>
      </c>
      <c r="C77" t="s">
        <v>4</v>
      </c>
      <c r="D77" t="s">
        <v>288</v>
      </c>
      <c r="E77">
        <v>244</v>
      </c>
      <c r="F77">
        <v>41</v>
      </c>
    </row>
    <row r="78" spans="2:6" x14ac:dyDescent="0.3">
      <c r="B78" s="209" t="s">
        <v>291</v>
      </c>
      <c r="C78" t="s">
        <v>4</v>
      </c>
      <c r="D78" t="s">
        <v>293</v>
      </c>
      <c r="E78">
        <v>17</v>
      </c>
      <c r="F78">
        <v>41</v>
      </c>
    </row>
    <row r="79" spans="2:6" x14ac:dyDescent="0.3">
      <c r="B79" s="209" t="s">
        <v>291</v>
      </c>
      <c r="C79" t="s">
        <v>4</v>
      </c>
      <c r="D79" t="s">
        <v>294</v>
      </c>
      <c r="E79">
        <v>31</v>
      </c>
      <c r="F79">
        <v>41</v>
      </c>
    </row>
    <row r="80" spans="2:6" x14ac:dyDescent="0.3">
      <c r="B80" s="209" t="s">
        <v>291</v>
      </c>
      <c r="C80" t="s">
        <v>4</v>
      </c>
      <c r="D80" t="s">
        <v>289</v>
      </c>
      <c r="E80">
        <v>3</v>
      </c>
      <c r="F80">
        <v>41</v>
      </c>
    </row>
    <row r="82" spans="2:3" x14ac:dyDescent="0.3">
      <c r="B82" s="12" t="s">
        <v>118</v>
      </c>
    </row>
    <row r="83" spans="2:3" x14ac:dyDescent="0.3">
      <c r="B83" s="3" t="s">
        <v>110</v>
      </c>
      <c r="C83">
        <v>0</v>
      </c>
    </row>
    <row r="84" spans="2:3" x14ac:dyDescent="0.3">
      <c r="B84" s="3" t="s">
        <v>111</v>
      </c>
      <c r="C84">
        <v>1</v>
      </c>
    </row>
    <row r="85" spans="2:3" x14ac:dyDescent="0.3">
      <c r="B85" s="3" t="s">
        <v>26</v>
      </c>
      <c r="C85">
        <v>2</v>
      </c>
    </row>
    <row r="86" spans="2:3" x14ac:dyDescent="0.3">
      <c r="B86" s="3" t="s">
        <v>27</v>
      </c>
      <c r="C86">
        <v>3</v>
      </c>
    </row>
    <row r="87" spans="2:3" x14ac:dyDescent="0.3">
      <c r="B87" s="3" t="s">
        <v>28</v>
      </c>
      <c r="C87">
        <v>4</v>
      </c>
    </row>
    <row r="88" spans="2:3" x14ac:dyDescent="0.3">
      <c r="B88" s="3" t="s">
        <v>46</v>
      </c>
      <c r="C88">
        <v>5</v>
      </c>
    </row>
    <row r="89" spans="2:3" x14ac:dyDescent="0.3">
      <c r="B89" s="3" t="s">
        <v>112</v>
      </c>
      <c r="C89">
        <v>6</v>
      </c>
    </row>
    <row r="90" spans="2:3" x14ac:dyDescent="0.3">
      <c r="B90" s="3" t="s">
        <v>113</v>
      </c>
      <c r="C90">
        <v>7</v>
      </c>
    </row>
    <row r="91" spans="2:3" x14ac:dyDescent="0.3">
      <c r="B91" s="3" t="s">
        <v>2</v>
      </c>
      <c r="C91">
        <v>8</v>
      </c>
    </row>
    <row r="92" spans="2:3" x14ac:dyDescent="0.3">
      <c r="B92" s="3" t="s">
        <v>33</v>
      </c>
      <c r="C92">
        <v>9</v>
      </c>
    </row>
    <row r="93" spans="2:3" x14ac:dyDescent="0.3">
      <c r="B93" s="3" t="s">
        <v>34</v>
      </c>
      <c r="C93">
        <v>10</v>
      </c>
    </row>
    <row r="94" spans="2:3" x14ac:dyDescent="0.3">
      <c r="C94">
        <v>11</v>
      </c>
    </row>
    <row r="95" spans="2:3" x14ac:dyDescent="0.3">
      <c r="C95">
        <v>12</v>
      </c>
    </row>
    <row r="96" spans="2:3" x14ac:dyDescent="0.3">
      <c r="C96">
        <v>13</v>
      </c>
    </row>
    <row r="97" spans="2:9" x14ac:dyDescent="0.3">
      <c r="C97">
        <v>14</v>
      </c>
    </row>
    <row r="98" spans="2:9" x14ac:dyDescent="0.3">
      <c r="C98">
        <v>15</v>
      </c>
    </row>
    <row r="99" spans="2:9" x14ac:dyDescent="0.3">
      <c r="C99">
        <v>16</v>
      </c>
    </row>
    <row r="104" spans="2:9" x14ac:dyDescent="0.3">
      <c r="F104" t="s">
        <v>329</v>
      </c>
      <c r="G104" t="s">
        <v>328</v>
      </c>
      <c r="H104" t="s">
        <v>330</v>
      </c>
      <c r="I104" t="s">
        <v>331</v>
      </c>
    </row>
    <row r="105" spans="2:9" x14ac:dyDescent="0.3">
      <c r="B105" s="100">
        <v>43905</v>
      </c>
      <c r="C105" s="229">
        <v>703</v>
      </c>
      <c r="D105" s="101">
        <v>731.16134275652576</v>
      </c>
      <c r="F105" s="200">
        <f>G105</f>
        <v>533.83926781023342</v>
      </c>
      <c r="G105" s="200">
        <v>533.83926781023342</v>
      </c>
    </row>
    <row r="106" spans="2:9" x14ac:dyDescent="0.3">
      <c r="B106" s="100">
        <v>43912</v>
      </c>
      <c r="C106" s="229">
        <v>649</v>
      </c>
      <c r="D106" s="101">
        <v>436.17563385249258</v>
      </c>
      <c r="F106" s="200">
        <v>419</v>
      </c>
      <c r="G106" s="200">
        <v>533.83926781023342</v>
      </c>
    </row>
    <row r="107" spans="2:9" x14ac:dyDescent="0.3">
      <c r="B107" s="100">
        <v>43919</v>
      </c>
      <c r="C107" s="229">
        <v>437</v>
      </c>
      <c r="D107" s="101">
        <v>670.2558532283756</v>
      </c>
      <c r="F107" s="200">
        <v>255</v>
      </c>
      <c r="G107" s="200">
        <v>527.41422541954717</v>
      </c>
    </row>
    <row r="108" spans="2:9" x14ac:dyDescent="0.3">
      <c r="B108" s="100">
        <v>43926</v>
      </c>
      <c r="C108" s="229">
        <v>621</v>
      </c>
      <c r="D108" s="101">
        <v>663.91673895435736</v>
      </c>
      <c r="F108" s="200">
        <v>273</v>
      </c>
      <c r="G108" s="200">
        <v>513.84909303678796</v>
      </c>
    </row>
    <row r="109" spans="2:9" x14ac:dyDescent="0.3">
      <c r="B109" s="100">
        <v>43933</v>
      </c>
      <c r="C109" s="229">
        <v>529</v>
      </c>
      <c r="D109" s="101">
        <v>679.67324524399032</v>
      </c>
      <c r="F109" s="200">
        <v>148</v>
      </c>
      <c r="G109" s="200">
        <v>502.53760811948757</v>
      </c>
    </row>
    <row r="110" spans="2:9" x14ac:dyDescent="0.3">
      <c r="B110" s="100">
        <v>43940</v>
      </c>
      <c r="C110" s="229">
        <v>447</v>
      </c>
      <c r="D110" s="101">
        <v>697.86513312906754</v>
      </c>
      <c r="F110" s="200">
        <v>126</v>
      </c>
      <c r="G110" s="200">
        <v>502.7073206278294</v>
      </c>
      <c r="H110">
        <v>126</v>
      </c>
      <c r="I110">
        <v>126</v>
      </c>
    </row>
    <row r="111" spans="2:9" x14ac:dyDescent="0.3">
      <c r="B111" s="100">
        <v>43947</v>
      </c>
      <c r="C111" s="229">
        <v>447</v>
      </c>
      <c r="D111" s="101">
        <v>632.2420333176126</v>
      </c>
      <c r="F111" s="200"/>
      <c r="G111" s="200">
        <v>482.56092450384483</v>
      </c>
      <c r="H111" s="101">
        <v>224.75</v>
      </c>
      <c r="I111">
        <v>126</v>
      </c>
    </row>
    <row r="112" spans="2:9" x14ac:dyDescent="0.3">
      <c r="B112" s="100">
        <v>43954</v>
      </c>
      <c r="C112" s="229">
        <v>447</v>
      </c>
      <c r="D112" s="101">
        <v>637.36103547674054</v>
      </c>
      <c r="F112" s="200"/>
      <c r="G112" s="200">
        <v>497.493340435682</v>
      </c>
      <c r="H112" s="101">
        <v>323.5</v>
      </c>
      <c r="I112">
        <v>126</v>
      </c>
    </row>
    <row r="113" spans="2:9" x14ac:dyDescent="0.3">
      <c r="B113" s="100">
        <v>43961</v>
      </c>
      <c r="C113" s="229">
        <v>447</v>
      </c>
      <c r="D113" s="101">
        <v>722.781807889638</v>
      </c>
      <c r="F113" s="200"/>
      <c r="G113" s="200">
        <v>497.88641020319881</v>
      </c>
      <c r="H113" s="101">
        <v>422.25</v>
      </c>
      <c r="I113">
        <v>126</v>
      </c>
    </row>
    <row r="114" spans="2:9" x14ac:dyDescent="0.3">
      <c r="B114" s="100">
        <v>43968</v>
      </c>
      <c r="C114" s="229">
        <v>447</v>
      </c>
      <c r="D114" s="101">
        <v>695.11832934521135</v>
      </c>
      <c r="F114" s="200"/>
      <c r="G114" s="200">
        <v>521.40362663020903</v>
      </c>
      <c r="H114">
        <v>521</v>
      </c>
      <c r="I114">
        <v>126</v>
      </c>
    </row>
    <row r="118" spans="2:9" x14ac:dyDescent="0.3">
      <c r="H118" s="101"/>
    </row>
    <row r="119" spans="2:9" x14ac:dyDescent="0.3">
      <c r="H119" s="101"/>
    </row>
    <row r="120" spans="2:9" x14ac:dyDescent="0.3">
      <c r="H120" s="101"/>
    </row>
    <row r="129" spans="2:10" x14ac:dyDescent="0.3">
      <c r="B129" s="232" t="s">
        <v>341</v>
      </c>
    </row>
    <row r="130" spans="2:10" ht="50.4" x14ac:dyDescent="0.3">
      <c r="B130" s="233" t="s">
        <v>342</v>
      </c>
      <c r="C130" s="236" t="s">
        <v>343</v>
      </c>
      <c r="D130" s="236" t="s">
        <v>344</v>
      </c>
      <c r="E130" s="236" t="s">
        <v>345</v>
      </c>
      <c r="F130" s="236" t="s">
        <v>346</v>
      </c>
      <c r="G130" s="236" t="s">
        <v>347</v>
      </c>
      <c r="H130" s="233" t="s">
        <v>348</v>
      </c>
      <c r="I130" s="233" t="s">
        <v>349</v>
      </c>
      <c r="J130" s="236" t="s">
        <v>350</v>
      </c>
    </row>
    <row r="131" spans="2:10" ht="16.8" x14ac:dyDescent="0.3">
      <c r="B131" s="233" t="s">
        <v>1</v>
      </c>
      <c r="C131" s="233">
        <v>31</v>
      </c>
      <c r="D131" s="233">
        <v>100</v>
      </c>
      <c r="E131" s="233">
        <v>37</v>
      </c>
      <c r="F131" s="233">
        <v>251</v>
      </c>
      <c r="G131" s="233">
        <v>252</v>
      </c>
      <c r="H131" s="233">
        <v>231</v>
      </c>
      <c r="I131" s="233">
        <v>218</v>
      </c>
      <c r="J131" s="233">
        <v>211</v>
      </c>
    </row>
    <row r="132" spans="2:10" ht="16.8" x14ac:dyDescent="0.3">
      <c r="B132" s="233" t="s">
        <v>3</v>
      </c>
      <c r="C132" s="233">
        <v>0</v>
      </c>
      <c r="D132" s="233">
        <v>152</v>
      </c>
      <c r="E132" s="233">
        <v>38</v>
      </c>
      <c r="F132" s="233">
        <v>191</v>
      </c>
      <c r="G132" s="233">
        <v>196</v>
      </c>
      <c r="H132" s="233">
        <v>196</v>
      </c>
      <c r="I132" s="233">
        <v>193</v>
      </c>
      <c r="J132" s="233">
        <v>188</v>
      </c>
    </row>
    <row r="133" spans="2:10" ht="16.8" x14ac:dyDescent="0.3">
      <c r="B133" s="233" t="s">
        <v>4</v>
      </c>
      <c r="C133" s="233">
        <v>60</v>
      </c>
      <c r="D133" s="233">
        <v>86</v>
      </c>
      <c r="E133" s="233">
        <v>21</v>
      </c>
      <c r="F133" s="233">
        <v>128</v>
      </c>
      <c r="G133" s="233">
        <v>128</v>
      </c>
      <c r="H133" s="233">
        <v>112</v>
      </c>
      <c r="I133" s="233">
        <v>95</v>
      </c>
      <c r="J133" s="233">
        <v>60</v>
      </c>
    </row>
    <row r="134" spans="2:10" ht="16.8" x14ac:dyDescent="0.3">
      <c r="B134" s="233" t="s">
        <v>5</v>
      </c>
      <c r="C134" s="233">
        <v>35</v>
      </c>
      <c r="D134" s="233">
        <v>76</v>
      </c>
      <c r="E134" s="233">
        <v>18</v>
      </c>
      <c r="F134" s="233">
        <v>178</v>
      </c>
      <c r="G134" s="233">
        <v>193</v>
      </c>
      <c r="H134" s="233">
        <v>180</v>
      </c>
      <c r="I134" s="233">
        <v>166</v>
      </c>
      <c r="J134" s="233">
        <v>138</v>
      </c>
    </row>
    <row r="135" spans="2:10" ht="16.8" x14ac:dyDescent="0.3">
      <c r="B135" s="233" t="s">
        <v>6</v>
      </c>
      <c r="C135" s="233">
        <v>0</v>
      </c>
      <c r="D135" s="233">
        <v>49</v>
      </c>
      <c r="E135" s="233">
        <v>17</v>
      </c>
      <c r="F135" s="233">
        <v>70</v>
      </c>
      <c r="G135" s="233">
        <v>73</v>
      </c>
      <c r="H135" s="233">
        <v>70</v>
      </c>
      <c r="I135" s="233">
        <v>64</v>
      </c>
      <c r="J135" s="233">
        <v>64</v>
      </c>
    </row>
    <row r="136" spans="2:10" ht="16.8" x14ac:dyDescent="0.3">
      <c r="B136" s="233" t="s">
        <v>351</v>
      </c>
      <c r="C136" s="233">
        <v>126</v>
      </c>
      <c r="D136" s="233">
        <v>463</v>
      </c>
      <c r="E136" s="233">
        <v>131</v>
      </c>
      <c r="F136" s="233">
        <v>818</v>
      </c>
      <c r="G136" s="233">
        <v>842</v>
      </c>
      <c r="H136" s="233">
        <v>789</v>
      </c>
      <c r="I136" s="233">
        <v>736</v>
      </c>
      <c r="J136" s="233">
        <v>661</v>
      </c>
    </row>
    <row r="140" spans="2:10" x14ac:dyDescent="0.3">
      <c r="B140" s="42" t="s">
        <v>28</v>
      </c>
      <c r="C140" s="46"/>
    </row>
    <row r="141" spans="2:10" ht="72" x14ac:dyDescent="0.3">
      <c r="B141" s="47" t="s">
        <v>0</v>
      </c>
      <c r="C141" s="48" t="s">
        <v>9</v>
      </c>
      <c r="D141" s="48" t="s">
        <v>390</v>
      </c>
    </row>
    <row r="142" spans="2:10" x14ac:dyDescent="0.3">
      <c r="B142" s="42" t="s">
        <v>41</v>
      </c>
      <c r="C142" s="21">
        <v>240</v>
      </c>
      <c r="D142" s="21">
        <v>295</v>
      </c>
    </row>
    <row r="143" spans="2:10" x14ac:dyDescent="0.3">
      <c r="B143" s="42" t="s">
        <v>1</v>
      </c>
      <c r="C143" s="65">
        <v>63</v>
      </c>
      <c r="D143" s="21">
        <f>$D$142*C143/$C$142</f>
        <v>77.4375</v>
      </c>
    </row>
    <row r="144" spans="2:10" x14ac:dyDescent="0.3">
      <c r="B144" s="42" t="s">
        <v>3</v>
      </c>
      <c r="C144" s="65">
        <v>58</v>
      </c>
      <c r="D144" s="21">
        <f t="shared" ref="D144:D147" si="9">$D$142*C144/$C$142</f>
        <v>71.291666666666671</v>
      </c>
    </row>
    <row r="145" spans="2:4" x14ac:dyDescent="0.3">
      <c r="B145" s="42" t="s">
        <v>4</v>
      </c>
      <c r="C145" s="65">
        <v>70</v>
      </c>
      <c r="D145" s="21">
        <f t="shared" si="9"/>
        <v>86.041666666666671</v>
      </c>
    </row>
    <row r="146" spans="2:4" x14ac:dyDescent="0.3">
      <c r="B146" s="42" t="s">
        <v>5</v>
      </c>
      <c r="C146" s="65">
        <v>30</v>
      </c>
      <c r="D146" s="21">
        <f t="shared" si="9"/>
        <v>36.875</v>
      </c>
    </row>
    <row r="147" spans="2:4" x14ac:dyDescent="0.3">
      <c r="B147" s="8" t="s">
        <v>6</v>
      </c>
      <c r="C147" s="65">
        <v>19</v>
      </c>
      <c r="D147" s="21">
        <f t="shared" si="9"/>
        <v>23.354166666666668</v>
      </c>
    </row>
    <row r="148" spans="2:4" x14ac:dyDescent="0.3">
      <c r="B148" s="8"/>
      <c r="C148" s="35"/>
    </row>
    <row r="149" spans="2:4" x14ac:dyDescent="0.3">
      <c r="B149" s="42" t="s">
        <v>46</v>
      </c>
      <c r="C149" s="69"/>
    </row>
    <row r="150" spans="2:4" ht="72" x14ac:dyDescent="0.3">
      <c r="B150" s="47" t="s">
        <v>0</v>
      </c>
      <c r="C150" s="50" t="s">
        <v>9</v>
      </c>
      <c r="D150" s="48" t="s">
        <v>390</v>
      </c>
    </row>
    <row r="151" spans="2:4" x14ac:dyDescent="0.3">
      <c r="B151" s="42" t="s">
        <v>41</v>
      </c>
      <c r="C151" s="21">
        <v>269</v>
      </c>
      <c r="D151" s="21">
        <v>175</v>
      </c>
    </row>
    <row r="152" spans="2:4" x14ac:dyDescent="0.3">
      <c r="B152" s="42" t="s">
        <v>1</v>
      </c>
      <c r="C152" s="65">
        <v>44</v>
      </c>
      <c r="D152" s="21">
        <f>$D$151*C152/$C$151</f>
        <v>28.624535315985131</v>
      </c>
    </row>
    <row r="153" spans="2:4" x14ac:dyDescent="0.3">
      <c r="B153" s="42" t="s">
        <v>3</v>
      </c>
      <c r="C153" s="65">
        <v>98</v>
      </c>
      <c r="D153" s="21">
        <f t="shared" ref="D153:D156" si="10">$D$151*C153/$C$151</f>
        <v>63.754646840148702</v>
      </c>
    </row>
    <row r="154" spans="2:4" x14ac:dyDescent="0.3">
      <c r="B154" s="42" t="s">
        <v>4</v>
      </c>
      <c r="C154" s="65">
        <v>78</v>
      </c>
      <c r="D154" s="21">
        <f t="shared" si="10"/>
        <v>50.743494423791823</v>
      </c>
    </row>
    <row r="155" spans="2:4" x14ac:dyDescent="0.3">
      <c r="B155" s="42" t="s">
        <v>5</v>
      </c>
      <c r="C155" s="65">
        <v>31</v>
      </c>
      <c r="D155" s="21">
        <f t="shared" si="10"/>
        <v>20.167286245353161</v>
      </c>
    </row>
    <row r="156" spans="2:4" x14ac:dyDescent="0.3">
      <c r="B156" s="8" t="s">
        <v>6</v>
      </c>
      <c r="C156" s="65">
        <v>18</v>
      </c>
      <c r="D156" s="21">
        <f t="shared" si="10"/>
        <v>11.71003717472119</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sheetPr>
  <dimension ref="A1:Y72"/>
  <sheetViews>
    <sheetView showGridLines="0" showRowColHeaders="0" tabSelected="1" workbookViewId="0">
      <pane ySplit="5" topLeftCell="A6" activePane="bottomLeft" state="frozen"/>
      <selection pane="bottomLeft" activeCell="B12" sqref="B12"/>
    </sheetView>
  </sheetViews>
  <sheetFormatPr defaultColWidth="8.88671875" defaultRowHeight="14.4" outlineLevelRow="1" x14ac:dyDescent="0.3"/>
  <cols>
    <col min="1" max="1" width="8.88671875" style="8" customWidth="1"/>
    <col min="2" max="16384" width="8.88671875" style="8"/>
  </cols>
  <sheetData>
    <row r="1" spans="1:25" ht="14.4" customHeight="1" x14ac:dyDescent="0.3"/>
    <row r="2" spans="1:25" ht="14.4" customHeight="1" x14ac:dyDescent="0.35">
      <c r="A2" s="294" t="s">
        <v>340</v>
      </c>
      <c r="B2" s="9" t="str">
        <f>'READ ME'!$C$7</f>
        <v>Backlog Modelling for Surgery in Ontario for Ramp Up Planning (+ PPE Requirements)</v>
      </c>
    </row>
    <row r="3" spans="1:25" ht="14.4" customHeight="1" x14ac:dyDescent="0.3">
      <c r="A3" s="294"/>
      <c r="B3" s="8" t="str">
        <f>'READ ME'!$C$8&amp;", "&amp;'READ ME'!$C$9</f>
        <v>Ontario Health (Cancer Care Ontario), Version 4.0</v>
      </c>
    </row>
    <row r="4" spans="1:25" ht="14.4" customHeight="1" x14ac:dyDescent="0.3"/>
    <row r="5" spans="1:25" s="78" customFormat="1" ht="14.4" customHeight="1" thickBot="1" x14ac:dyDescent="0.35"/>
    <row r="6" spans="1:25" ht="14.4" customHeight="1" thickTop="1" x14ac:dyDescent="0.3"/>
    <row r="7" spans="1:25" ht="18" x14ac:dyDescent="0.35">
      <c r="B7" s="9"/>
    </row>
    <row r="8" spans="1:25" x14ac:dyDescent="0.3">
      <c r="R8" s="221"/>
    </row>
    <row r="11" spans="1:25" x14ac:dyDescent="0.3">
      <c r="B11" s="8" t="s">
        <v>409</v>
      </c>
    </row>
    <row r="12" spans="1:25" x14ac:dyDescent="0.3">
      <c r="P12" s="12"/>
    </row>
    <row r="13" spans="1:25" ht="14.4" customHeight="1" x14ac:dyDescent="0.3">
      <c r="B13" s="293" t="s">
        <v>239</v>
      </c>
      <c r="C13" s="293"/>
      <c r="D13" s="293"/>
      <c r="E13" s="293"/>
      <c r="F13" s="293"/>
      <c r="G13" s="293"/>
      <c r="H13" s="293"/>
      <c r="I13" s="293"/>
      <c r="J13" s="293"/>
      <c r="K13" s="293"/>
      <c r="L13" s="293"/>
      <c r="P13" s="224"/>
      <c r="Q13"/>
      <c r="R13"/>
      <c r="S13"/>
      <c r="T13"/>
      <c r="U13"/>
      <c r="V13"/>
      <c r="W13"/>
      <c r="X13"/>
      <c r="Y13"/>
    </row>
    <row r="14" spans="1:25" x14ac:dyDescent="0.3">
      <c r="B14" s="293"/>
      <c r="C14" s="293"/>
      <c r="D14" s="293"/>
      <c r="E14" s="293"/>
      <c r="F14" s="293"/>
      <c r="G14" s="293"/>
      <c r="H14" s="293"/>
      <c r="I14" s="293"/>
      <c r="J14" s="293"/>
      <c r="K14" s="293"/>
      <c r="L14" s="293"/>
      <c r="P14" s="222"/>
      <c r="Q14"/>
      <c r="R14"/>
      <c r="S14"/>
      <c r="T14"/>
      <c r="U14"/>
      <c r="V14"/>
      <c r="W14"/>
      <c r="X14"/>
      <c r="Y14"/>
    </row>
    <row r="15" spans="1:25" x14ac:dyDescent="0.3">
      <c r="B15" s="293"/>
      <c r="C15" s="293"/>
      <c r="D15" s="293"/>
      <c r="E15" s="293"/>
      <c r="F15" s="293"/>
      <c r="G15" s="293"/>
      <c r="H15" s="293"/>
      <c r="I15" s="293"/>
      <c r="J15" s="293"/>
      <c r="K15" s="293"/>
      <c r="L15" s="293"/>
      <c r="P15" s="222"/>
      <c r="Q15"/>
      <c r="R15"/>
      <c r="S15"/>
      <c r="T15"/>
      <c r="U15"/>
      <c r="V15"/>
      <c r="W15"/>
      <c r="X15"/>
      <c r="Y15"/>
    </row>
    <row r="16" spans="1:25" x14ac:dyDescent="0.3">
      <c r="B16" s="293"/>
      <c r="C16" s="293"/>
      <c r="D16" s="293"/>
      <c r="E16" s="293"/>
      <c r="F16" s="293"/>
      <c r="G16" s="293"/>
      <c r="H16" s="293"/>
      <c r="I16" s="293"/>
      <c r="J16" s="293"/>
      <c r="K16" s="293"/>
      <c r="L16" s="293"/>
      <c r="Q16"/>
      <c r="R16"/>
      <c r="S16"/>
      <c r="T16"/>
      <c r="U16"/>
      <c r="V16"/>
      <c r="W16"/>
      <c r="X16"/>
      <c r="Y16"/>
    </row>
    <row r="17" spans="2:25" x14ac:dyDescent="0.3">
      <c r="Q17"/>
      <c r="R17"/>
      <c r="S17"/>
      <c r="T17"/>
      <c r="U17"/>
      <c r="V17"/>
      <c r="W17"/>
      <c r="X17"/>
      <c r="Y17"/>
    </row>
    <row r="18" spans="2:25" ht="14.4" customHeight="1" x14ac:dyDescent="0.3">
      <c r="B18" s="292" t="s">
        <v>65</v>
      </c>
      <c r="C18" s="292"/>
      <c r="D18" s="292"/>
      <c r="E18" s="292"/>
      <c r="F18" s="292"/>
      <c r="G18" s="292"/>
      <c r="H18" s="292"/>
      <c r="I18" s="292"/>
      <c r="J18" s="292"/>
      <c r="K18" s="292"/>
      <c r="L18" s="292"/>
      <c r="M18" s="93"/>
      <c r="Q18"/>
      <c r="R18"/>
      <c r="S18"/>
      <c r="T18"/>
      <c r="U18"/>
      <c r="V18"/>
      <c r="W18"/>
      <c r="X18"/>
      <c r="Y18"/>
    </row>
    <row r="19" spans="2:25" x14ac:dyDescent="0.3">
      <c r="B19" s="292"/>
      <c r="C19" s="292"/>
      <c r="D19" s="292"/>
      <c r="E19" s="292"/>
      <c r="F19" s="292"/>
      <c r="G19" s="292"/>
      <c r="H19" s="292"/>
      <c r="I19" s="292"/>
      <c r="J19" s="292"/>
      <c r="K19" s="292"/>
      <c r="L19" s="292"/>
      <c r="M19" s="93"/>
      <c r="Q19"/>
      <c r="R19"/>
      <c r="S19"/>
      <c r="T19"/>
      <c r="U19"/>
      <c r="V19"/>
      <c r="W19"/>
      <c r="X19"/>
      <c r="Y19"/>
    </row>
    <row r="20" spans="2:25" x14ac:dyDescent="0.3">
      <c r="B20" s="292"/>
      <c r="C20" s="292"/>
      <c r="D20" s="292"/>
      <c r="E20" s="292"/>
      <c r="F20" s="292"/>
      <c r="G20" s="292"/>
      <c r="H20" s="292"/>
      <c r="I20" s="292"/>
      <c r="J20" s="292"/>
      <c r="K20" s="292"/>
      <c r="L20" s="292"/>
      <c r="M20" s="93"/>
      <c r="Q20"/>
      <c r="R20"/>
      <c r="S20"/>
      <c r="T20"/>
      <c r="U20"/>
      <c r="V20"/>
      <c r="W20"/>
      <c r="X20"/>
      <c r="Y20"/>
    </row>
    <row r="21" spans="2:25" x14ac:dyDescent="0.3">
      <c r="Q21"/>
      <c r="R21"/>
      <c r="S21"/>
      <c r="T21"/>
      <c r="U21"/>
      <c r="V21"/>
      <c r="W21"/>
      <c r="X21"/>
      <c r="Y21"/>
    </row>
    <row r="22" spans="2:25" x14ac:dyDescent="0.3">
      <c r="B22" s="4" t="s">
        <v>66</v>
      </c>
      <c r="C22" s="5"/>
      <c r="D22" s="4" t="s">
        <v>67</v>
      </c>
      <c r="P22" s="105"/>
      <c r="Q22" s="105"/>
      <c r="R22" s="105"/>
      <c r="S22" s="105"/>
      <c r="T22" s="105"/>
      <c r="U22" s="105"/>
      <c r="V22"/>
      <c r="W22"/>
      <c r="X22"/>
      <c r="Y22"/>
    </row>
    <row r="23" spans="2:25" x14ac:dyDescent="0.3">
      <c r="B23" s="290" t="str">
        <f ca="1">'READ ME'!C19</f>
        <v>Cover Page</v>
      </c>
      <c r="C23" s="291"/>
      <c r="D23" s="284" t="s">
        <v>337</v>
      </c>
      <c r="E23" s="285"/>
      <c r="F23" s="285"/>
      <c r="G23" s="285"/>
      <c r="H23" s="285"/>
      <c r="I23" s="285"/>
      <c r="J23" s="285"/>
      <c r="K23" s="285"/>
      <c r="L23" s="286"/>
      <c r="P23" s="105"/>
      <c r="Q23" s="105"/>
      <c r="R23" s="105"/>
      <c r="S23" s="105"/>
      <c r="T23" s="105"/>
      <c r="U23" s="105"/>
      <c r="V23"/>
      <c r="W23"/>
      <c r="X23"/>
      <c r="Y23"/>
    </row>
    <row r="24" spans="2:25" x14ac:dyDescent="0.3">
      <c r="B24" s="290"/>
      <c r="C24" s="291"/>
      <c r="D24" s="287"/>
      <c r="E24" s="288"/>
      <c r="F24" s="288"/>
      <c r="G24" s="288"/>
      <c r="H24" s="288"/>
      <c r="I24" s="288"/>
      <c r="J24" s="288"/>
      <c r="K24" s="288"/>
      <c r="L24" s="289"/>
      <c r="P24" s="110"/>
      <c r="Q24" s="105"/>
      <c r="R24" s="105"/>
      <c r="S24" s="105"/>
      <c r="T24" s="105"/>
      <c r="U24" s="105"/>
      <c r="V24"/>
      <c r="W24"/>
      <c r="X24"/>
      <c r="Y24"/>
    </row>
    <row r="25" spans="2:25" ht="14.4" customHeight="1" x14ac:dyDescent="0.3">
      <c r="B25" s="290" t="str">
        <f ca="1">'READ ME'!C20</f>
        <v>Data Inputs</v>
      </c>
      <c r="C25" s="291"/>
      <c r="D25" s="284" t="s">
        <v>75</v>
      </c>
      <c r="E25" s="285"/>
      <c r="F25" s="285"/>
      <c r="G25" s="285"/>
      <c r="H25" s="285"/>
      <c r="I25" s="285"/>
      <c r="J25" s="285"/>
      <c r="K25" s="285"/>
      <c r="L25" s="286"/>
      <c r="P25" s="105"/>
      <c r="Q25" s="105"/>
      <c r="R25" s="105"/>
      <c r="S25" s="105"/>
      <c r="T25" s="105"/>
      <c r="U25" s="105"/>
    </row>
    <row r="26" spans="2:25" x14ac:dyDescent="0.3">
      <c r="B26" s="290"/>
      <c r="C26" s="291"/>
      <c r="D26" s="287"/>
      <c r="E26" s="288"/>
      <c r="F26" s="288"/>
      <c r="G26" s="288"/>
      <c r="H26" s="288"/>
      <c r="I26" s="288"/>
      <c r="J26" s="288"/>
      <c r="K26" s="288"/>
      <c r="L26" s="289"/>
      <c r="P26" s="105"/>
      <c r="Q26" s="105"/>
      <c r="R26" s="105"/>
      <c r="S26" s="105"/>
      <c r="T26" s="105"/>
      <c r="U26" s="105"/>
    </row>
    <row r="27" spans="2:25" x14ac:dyDescent="0.3">
      <c r="B27" s="290" t="str">
        <f ca="1">'READ ME'!C21</f>
        <v>Custom Graphics</v>
      </c>
      <c r="C27" s="291"/>
      <c r="D27" s="284" t="s">
        <v>109</v>
      </c>
      <c r="E27" s="285"/>
      <c r="F27" s="285"/>
      <c r="G27" s="285"/>
      <c r="H27" s="285"/>
      <c r="I27" s="285"/>
      <c r="J27" s="285"/>
      <c r="K27" s="285"/>
      <c r="L27" s="286"/>
      <c r="P27" s="105"/>
      <c r="Q27" s="105"/>
      <c r="R27" s="105"/>
      <c r="S27" s="105"/>
      <c r="T27" s="105"/>
      <c r="U27" s="105"/>
    </row>
    <row r="28" spans="2:25" x14ac:dyDescent="0.3">
      <c r="B28" s="290"/>
      <c r="C28" s="291"/>
      <c r="D28" s="287"/>
      <c r="E28" s="288"/>
      <c r="F28" s="288"/>
      <c r="G28" s="288"/>
      <c r="H28" s="288"/>
      <c r="I28" s="288"/>
      <c r="J28" s="288"/>
      <c r="K28" s="288"/>
      <c r="L28" s="289"/>
      <c r="P28" s="105"/>
      <c r="Q28" s="105"/>
      <c r="R28" s="105"/>
      <c r="S28" s="105"/>
      <c r="T28" s="105"/>
      <c r="U28" s="105"/>
    </row>
    <row r="29" spans="2:25" x14ac:dyDescent="0.3">
      <c r="B29" s="290" t="str">
        <f ca="1">'READ ME'!C22</f>
        <v>Ontario Graphics</v>
      </c>
      <c r="C29" s="291"/>
      <c r="D29" s="284" t="s">
        <v>76</v>
      </c>
      <c r="E29" s="285"/>
      <c r="F29" s="285"/>
      <c r="G29" s="285"/>
      <c r="H29" s="285"/>
      <c r="I29" s="285"/>
      <c r="J29" s="285"/>
      <c r="K29" s="285"/>
      <c r="L29" s="286"/>
    </row>
    <row r="30" spans="2:25" x14ac:dyDescent="0.3">
      <c r="B30" s="290"/>
      <c r="C30" s="291"/>
      <c r="D30" s="287"/>
      <c r="E30" s="288"/>
      <c r="F30" s="288"/>
      <c r="G30" s="288"/>
      <c r="H30" s="288"/>
      <c r="I30" s="288"/>
      <c r="J30" s="288"/>
      <c r="K30" s="288"/>
      <c r="L30" s="289"/>
    </row>
    <row r="31" spans="2:25" x14ac:dyDescent="0.3">
      <c r="B31" s="290" t="str">
        <f ca="1">'READ ME'!C23</f>
        <v>Regional Graphics</v>
      </c>
      <c r="C31" s="291"/>
      <c r="D31" s="284" t="s">
        <v>77</v>
      </c>
      <c r="E31" s="285"/>
      <c r="F31" s="285"/>
      <c r="G31" s="285"/>
      <c r="H31" s="285"/>
      <c r="I31" s="285"/>
      <c r="J31" s="285"/>
      <c r="K31" s="285"/>
      <c r="L31" s="286"/>
    </row>
    <row r="32" spans="2:25" x14ac:dyDescent="0.3">
      <c r="B32" s="290"/>
      <c r="C32" s="291"/>
      <c r="D32" s="287"/>
      <c r="E32" s="288"/>
      <c r="F32" s="288"/>
      <c r="G32" s="288"/>
      <c r="H32" s="288"/>
      <c r="I32" s="288"/>
      <c r="J32" s="288"/>
      <c r="K32" s="288"/>
      <c r="L32" s="289"/>
    </row>
    <row r="33" spans="2:12" x14ac:dyDescent="0.3">
      <c r="B33" s="290" t="str">
        <f ca="1">'READ ME'!C24</f>
        <v>Documentation</v>
      </c>
      <c r="C33" s="291"/>
      <c r="D33" s="284" t="s">
        <v>74</v>
      </c>
      <c r="E33" s="285"/>
      <c r="F33" s="285"/>
      <c r="G33" s="285"/>
      <c r="H33" s="285"/>
      <c r="I33" s="285"/>
      <c r="J33" s="285"/>
      <c r="K33" s="285"/>
      <c r="L33" s="286"/>
    </row>
    <row r="34" spans="2:12" x14ac:dyDescent="0.3">
      <c r="B34" s="290"/>
      <c r="C34" s="291"/>
      <c r="D34" s="287"/>
      <c r="E34" s="288"/>
      <c r="F34" s="288"/>
      <c r="G34" s="288"/>
      <c r="H34" s="288"/>
      <c r="I34" s="288"/>
      <c r="J34" s="288"/>
      <c r="K34" s="288"/>
      <c r="L34" s="289"/>
    </row>
    <row r="35" spans="2:12" ht="14.4" customHeight="1" x14ac:dyDescent="0.3">
      <c r="B35" s="290" t="str">
        <f ca="1">'READ ME'!C25</f>
        <v>PPE Inputs</v>
      </c>
      <c r="C35" s="291"/>
      <c r="D35" s="284" t="s">
        <v>236</v>
      </c>
      <c r="E35" s="285"/>
      <c r="F35" s="285"/>
      <c r="G35" s="285"/>
      <c r="H35" s="285"/>
      <c r="I35" s="285"/>
      <c r="J35" s="285"/>
      <c r="K35" s="285"/>
      <c r="L35" s="286"/>
    </row>
    <row r="36" spans="2:12" x14ac:dyDescent="0.3">
      <c r="B36" s="290"/>
      <c r="C36" s="291"/>
      <c r="D36" s="287"/>
      <c r="E36" s="288"/>
      <c r="F36" s="288"/>
      <c r="G36" s="288"/>
      <c r="H36" s="288"/>
      <c r="I36" s="288"/>
      <c r="J36" s="288"/>
      <c r="K36" s="288"/>
      <c r="L36" s="289"/>
    </row>
    <row r="37" spans="2:12" ht="14.4" customHeight="1" x14ac:dyDescent="0.3">
      <c r="B37" s="290" t="str">
        <f ca="1">'READ ME'!C26</f>
        <v>PPE Outputs</v>
      </c>
      <c r="C37" s="291"/>
      <c r="D37" s="284" t="s">
        <v>237</v>
      </c>
      <c r="E37" s="285"/>
      <c r="F37" s="285"/>
      <c r="G37" s="285"/>
      <c r="H37" s="285"/>
      <c r="I37" s="285"/>
      <c r="J37" s="285"/>
      <c r="K37" s="285"/>
      <c r="L37" s="286"/>
    </row>
    <row r="38" spans="2:12" x14ac:dyDescent="0.3">
      <c r="B38" s="290"/>
      <c r="C38" s="291"/>
      <c r="D38" s="287"/>
      <c r="E38" s="288"/>
      <c r="F38" s="288"/>
      <c r="G38" s="288"/>
      <c r="H38" s="288"/>
      <c r="I38" s="288"/>
      <c r="J38" s="288"/>
      <c r="K38" s="288"/>
      <c r="L38" s="289"/>
    </row>
    <row r="40" spans="2:12" x14ac:dyDescent="0.3">
      <c r="B40" s="295" t="str">
        <f>"For questions or comments on this document, 
contact " &amp;'READ ME'!C14 &amp;" at "&amp;'READ ME'!C13</f>
        <v>For questions or comments on this document, 
contact System and Infrastructure Planning at planning@ontariohealth.ca</v>
      </c>
      <c r="C40" s="295"/>
      <c r="D40" s="295"/>
      <c r="E40" s="295"/>
      <c r="F40" s="295"/>
      <c r="G40" s="295"/>
      <c r="H40" s="295"/>
      <c r="I40" s="295"/>
      <c r="J40" s="295"/>
    </row>
    <row r="41" spans="2:12" x14ac:dyDescent="0.3">
      <c r="B41" s="295"/>
      <c r="C41" s="295"/>
      <c r="D41" s="295"/>
      <c r="E41" s="295"/>
      <c r="F41" s="295"/>
      <c r="G41" s="295"/>
      <c r="H41" s="295"/>
      <c r="I41" s="295"/>
      <c r="J41" s="295"/>
    </row>
    <row r="43" spans="2:12" x14ac:dyDescent="0.3">
      <c r="B43" s="12" t="s">
        <v>78</v>
      </c>
    </row>
    <row r="45" spans="2:12" x14ac:dyDescent="0.3">
      <c r="B45" s="10" t="s">
        <v>238</v>
      </c>
    </row>
    <row r="46" spans="2:12" x14ac:dyDescent="0.3">
      <c r="B46" s="118" t="s">
        <v>248</v>
      </c>
      <c r="C46" s="198" t="s">
        <v>245</v>
      </c>
    </row>
    <row r="47" spans="2:12" x14ac:dyDescent="0.3">
      <c r="B47" s="118" t="s">
        <v>249</v>
      </c>
      <c r="C47" s="8" t="s">
        <v>352</v>
      </c>
    </row>
    <row r="48" spans="2:12" x14ac:dyDescent="0.3">
      <c r="B48" s="118" t="s">
        <v>250</v>
      </c>
      <c r="C48" s="198" t="s">
        <v>246</v>
      </c>
    </row>
    <row r="49" spans="2:4" x14ac:dyDescent="0.3">
      <c r="B49" s="118" t="s">
        <v>251</v>
      </c>
      <c r="C49" s="198" t="s">
        <v>247</v>
      </c>
    </row>
    <row r="50" spans="2:4" x14ac:dyDescent="0.3">
      <c r="B50" s="118" t="s">
        <v>252</v>
      </c>
      <c r="C50" s="192" t="s">
        <v>334</v>
      </c>
    </row>
    <row r="51" spans="2:4" x14ac:dyDescent="0.3">
      <c r="B51" s="118" t="s">
        <v>253</v>
      </c>
      <c r="C51" s="8" t="s">
        <v>306</v>
      </c>
    </row>
    <row r="52" spans="2:4" x14ac:dyDescent="0.3">
      <c r="B52" s="118" t="s">
        <v>307</v>
      </c>
      <c r="C52" s="198" t="s">
        <v>305</v>
      </c>
    </row>
    <row r="53" spans="2:4" x14ac:dyDescent="0.3">
      <c r="B53" s="118" t="s">
        <v>370</v>
      </c>
      <c r="C53" s="198" t="s">
        <v>282</v>
      </c>
    </row>
    <row r="55" spans="2:4" x14ac:dyDescent="0.3">
      <c r="B55" s="10" t="s">
        <v>372</v>
      </c>
    </row>
    <row r="56" spans="2:4" x14ac:dyDescent="0.3">
      <c r="B56" s="118" t="s">
        <v>248</v>
      </c>
      <c r="C56" s="8" t="s">
        <v>373</v>
      </c>
    </row>
    <row r="57" spans="2:4" x14ac:dyDescent="0.3">
      <c r="B57" s="118" t="s">
        <v>249</v>
      </c>
      <c r="C57" s="8" t="s">
        <v>374</v>
      </c>
    </row>
    <row r="58" spans="2:4" x14ac:dyDescent="0.3">
      <c r="B58" s="118" t="s">
        <v>250</v>
      </c>
      <c r="C58" s="192" t="s">
        <v>387</v>
      </c>
    </row>
    <row r="59" spans="2:4" x14ac:dyDescent="0.3">
      <c r="B59" s="118" t="s">
        <v>251</v>
      </c>
      <c r="C59" s="8" t="s">
        <v>384</v>
      </c>
    </row>
    <row r="60" spans="2:4" x14ac:dyDescent="0.3">
      <c r="B60" s="118" t="s">
        <v>252</v>
      </c>
      <c r="C60" s="8" t="s">
        <v>395</v>
      </c>
    </row>
    <row r="61" spans="2:4" x14ac:dyDescent="0.3">
      <c r="B61" s="118"/>
    </row>
    <row r="62" spans="2:4" x14ac:dyDescent="0.3">
      <c r="B62" s="10" t="s">
        <v>399</v>
      </c>
    </row>
    <row r="63" spans="2:4" x14ac:dyDescent="0.3">
      <c r="B63" s="118" t="s">
        <v>248</v>
      </c>
      <c r="C63" s="282" t="s">
        <v>406</v>
      </c>
    </row>
    <row r="64" spans="2:4" x14ac:dyDescent="0.3">
      <c r="B64" s="118"/>
      <c r="C64" s="110"/>
      <c r="D64" s="105"/>
    </row>
    <row r="65" spans="2:4" x14ac:dyDescent="0.3">
      <c r="B65" s="118"/>
      <c r="C65" s="105"/>
      <c r="D65" s="105"/>
    </row>
    <row r="66" spans="2:4" x14ac:dyDescent="0.3">
      <c r="B66" s="118"/>
      <c r="C66" s="105"/>
      <c r="D66" s="105"/>
    </row>
    <row r="67" spans="2:4" x14ac:dyDescent="0.3">
      <c r="B67" s="118"/>
    </row>
    <row r="68" spans="2:4" x14ac:dyDescent="0.3">
      <c r="B68" s="118"/>
    </row>
    <row r="70" spans="2:4" hidden="1" outlineLevel="1" x14ac:dyDescent="0.3"/>
    <row r="71" spans="2:4" hidden="1" outlineLevel="1" x14ac:dyDescent="0.3"/>
    <row r="72" spans="2:4" collapsed="1" x14ac:dyDescent="0.3"/>
  </sheetData>
  <sheetProtection algorithmName="SHA-512" hashValue="8K9x/Y292bq2/6Ua3Uu7FbKJQedIfU/bhu3SDI1aQtSN6IS62jIM+O8mV2OdQ5i7/4zEKKkVHZ+w9KjmUj0giA==" saltValue="FZKBztZNrNPYMewVhEhkrg==" spinCount="100000" sheet="1" objects="1" scenarios="1"/>
  <mergeCells count="20">
    <mergeCell ref="A2:A3"/>
    <mergeCell ref="B40:J41"/>
    <mergeCell ref="B23:C24"/>
    <mergeCell ref="B27:C28"/>
    <mergeCell ref="B29:C30"/>
    <mergeCell ref="B31:C32"/>
    <mergeCell ref="B33:C34"/>
    <mergeCell ref="D33:L34"/>
    <mergeCell ref="D31:L32"/>
    <mergeCell ref="D23:L24"/>
    <mergeCell ref="D27:L28"/>
    <mergeCell ref="D29:L30"/>
    <mergeCell ref="B25:C26"/>
    <mergeCell ref="D25:L26"/>
    <mergeCell ref="B35:C36"/>
    <mergeCell ref="D35:L36"/>
    <mergeCell ref="B37:C38"/>
    <mergeCell ref="D37:L38"/>
    <mergeCell ref="B18:L20"/>
    <mergeCell ref="B13:L1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3"/>
  </sheetPr>
  <dimension ref="A1:AP211"/>
  <sheetViews>
    <sheetView showGridLines="0" showRowColHeaders="0" zoomScaleNormal="100" workbookViewId="0">
      <pane ySplit="5" topLeftCell="A6" activePane="bottomLeft" state="frozen"/>
      <selection pane="bottomLeft" activeCell="F48" sqref="F48"/>
    </sheetView>
  </sheetViews>
  <sheetFormatPr defaultColWidth="8.88671875" defaultRowHeight="14.4" outlineLevelRow="1" x14ac:dyDescent="0.3"/>
  <cols>
    <col min="1" max="1" width="8.88671875" style="8" customWidth="1"/>
    <col min="2" max="2" width="20.33203125" style="8" customWidth="1"/>
    <col min="3" max="3" width="13.6640625" style="8" customWidth="1"/>
    <col min="4" max="5" width="15.6640625" style="8" customWidth="1"/>
    <col min="6" max="6" width="13.21875" style="8" customWidth="1"/>
    <col min="7" max="8" width="8.77734375" style="8" customWidth="1"/>
    <col min="9" max="16384" width="8.88671875" style="8"/>
  </cols>
  <sheetData>
    <row r="1" spans="1:21" ht="14.4" customHeight="1" x14ac:dyDescent="0.3"/>
    <row r="2" spans="1:21" ht="14.4" customHeight="1" x14ac:dyDescent="0.35">
      <c r="A2" s="294" t="s">
        <v>340</v>
      </c>
      <c r="B2" s="9" t="str">
        <f>'READ ME'!$C$7</f>
        <v>Backlog Modelling for Surgery in Ontario for Ramp Up Planning (+ PPE Requirements)</v>
      </c>
    </row>
    <row r="3" spans="1:21" ht="14.4" customHeight="1" x14ac:dyDescent="0.3">
      <c r="A3" s="294"/>
      <c r="B3" s="8" t="str">
        <f>'READ ME'!$C$8&amp;", "&amp;'READ ME'!$C$9</f>
        <v>Ontario Health (Cancer Care Ontario), Version 4.0</v>
      </c>
    </row>
    <row r="4" spans="1:21" ht="14.4" customHeight="1" x14ac:dyDescent="0.3"/>
    <row r="5" spans="1:21" s="78" customFormat="1" ht="14.4" customHeight="1" thickBot="1" x14ac:dyDescent="0.35"/>
    <row r="6" spans="1:21" ht="14.4" customHeight="1" thickTop="1" x14ac:dyDescent="0.3"/>
    <row r="7" spans="1:21" ht="14.4" customHeight="1" x14ac:dyDescent="0.3">
      <c r="B7" s="2" t="s">
        <v>72</v>
      </c>
    </row>
    <row r="8" spans="1:21" ht="14.4" customHeight="1" x14ac:dyDescent="0.3">
      <c r="B8" s="92" t="s">
        <v>71</v>
      </c>
      <c r="C8" s="104" t="s">
        <v>353</v>
      </c>
    </row>
    <row r="9" spans="1:21" ht="14.4" customHeight="1" x14ac:dyDescent="0.3"/>
    <row r="10" spans="1:21" ht="14.4" customHeight="1" x14ac:dyDescent="0.3">
      <c r="B10" s="54"/>
      <c r="C10" s="55"/>
      <c r="D10" s="55"/>
      <c r="E10" s="55"/>
      <c r="F10" s="56"/>
      <c r="G10" s="56"/>
      <c r="H10" s="56"/>
      <c r="I10" s="56"/>
      <c r="J10" s="57"/>
      <c r="K10" s="57"/>
      <c r="L10" s="57"/>
      <c r="M10" s="57"/>
    </row>
    <row r="11" spans="1:21" ht="18" x14ac:dyDescent="0.35">
      <c r="B11" s="41" t="s">
        <v>80</v>
      </c>
      <c r="N11"/>
      <c r="O11"/>
      <c r="P11"/>
    </row>
    <row r="12" spans="1:21" x14ac:dyDescent="0.3">
      <c r="B12" s="104" t="s">
        <v>371</v>
      </c>
      <c r="N12"/>
      <c r="O12"/>
      <c r="P12"/>
    </row>
    <row r="13" spans="1:21" x14ac:dyDescent="0.3">
      <c r="B13" s="104"/>
      <c r="N13"/>
      <c r="O13"/>
      <c r="P13"/>
    </row>
    <row r="14" spans="1:21" x14ac:dyDescent="0.3">
      <c r="B14" s="246" t="s">
        <v>84</v>
      </c>
      <c r="N14"/>
      <c r="O14"/>
      <c r="P14"/>
      <c r="U14" s="12"/>
    </row>
    <row r="15" spans="1:21" x14ac:dyDescent="0.3">
      <c r="B15" s="231"/>
      <c r="N15"/>
      <c r="O15"/>
      <c r="P15"/>
      <c r="U15" s="12"/>
    </row>
    <row r="16" spans="1:21" ht="43.2" x14ac:dyDescent="0.3">
      <c r="C16" s="14" t="str">
        <f>"Scenario 1:"&amp;CHAR(10)&amp;"+"&amp;C17&amp;" day a week"</f>
        <v>Scenario 1:
+1 day a week</v>
      </c>
      <c r="D16" s="15" t="str">
        <f>"Scenario 2:"&amp;CHAR(10)&amp;"+"&amp;D17&amp;" days a week"</f>
        <v>Scenario 2:
+2 days a week</v>
      </c>
      <c r="E16" s="16" t="str">
        <f>"Scenario 3:"&amp;CHAR(10)&amp;"+"&amp;E17&amp;" days a week"</f>
        <v>Scenario 3:
+3 days a week</v>
      </c>
      <c r="N16"/>
      <c r="O16"/>
      <c r="P16"/>
      <c r="U16" s="12"/>
    </row>
    <row r="17" spans="2:24" x14ac:dyDescent="0.3">
      <c r="B17" s="45"/>
      <c r="C17" s="94">
        <v>1</v>
      </c>
      <c r="D17" s="94">
        <v>2</v>
      </c>
      <c r="E17" s="94">
        <v>3</v>
      </c>
      <c r="F17"/>
      <c r="G17"/>
      <c r="H17"/>
      <c r="I17"/>
      <c r="J17"/>
      <c r="K17"/>
      <c r="L17"/>
      <c r="M17"/>
      <c r="N17"/>
      <c r="O17"/>
      <c r="P17"/>
      <c r="U17" s="12"/>
    </row>
    <row r="18" spans="2:24" x14ac:dyDescent="0.3">
      <c r="B18" s="45"/>
      <c r="C18"/>
      <c r="D18"/>
      <c r="E18"/>
      <c r="F18"/>
      <c r="G18"/>
      <c r="H18"/>
      <c r="I18"/>
      <c r="J18"/>
      <c r="K18"/>
      <c r="L18"/>
      <c r="M18"/>
      <c r="N18"/>
      <c r="O18"/>
      <c r="P18"/>
      <c r="U18" s="12"/>
    </row>
    <row r="19" spans="2:24" x14ac:dyDescent="0.3">
      <c r="B19" s="12" t="s">
        <v>364</v>
      </c>
      <c r="C19"/>
      <c r="D19"/>
      <c r="E19"/>
      <c r="F19"/>
      <c r="G19"/>
      <c r="H19"/>
      <c r="I19"/>
      <c r="J19"/>
      <c r="K19"/>
      <c r="L19"/>
      <c r="M19"/>
      <c r="N19"/>
      <c r="O19"/>
      <c r="P19"/>
      <c r="U19" s="12"/>
    </row>
    <row r="20" spans="2:24" x14ac:dyDescent="0.3">
      <c r="B20" s="12"/>
      <c r="C20"/>
      <c r="D20"/>
      <c r="E20"/>
      <c r="F20"/>
      <c r="G20"/>
      <c r="H20"/>
      <c r="I20"/>
      <c r="J20"/>
      <c r="K20"/>
      <c r="L20"/>
      <c r="M20"/>
      <c r="N20"/>
      <c r="O20"/>
      <c r="P20"/>
      <c r="U20" s="12"/>
    </row>
    <row r="21" spans="2:24" ht="43.2" x14ac:dyDescent="0.3">
      <c r="B21" s="47"/>
      <c r="C21" s="48" t="s">
        <v>9</v>
      </c>
      <c r="D21" s="49" t="s">
        <v>357</v>
      </c>
      <c r="E21" s="50" t="s">
        <v>358</v>
      </c>
      <c r="F21" s="51" t="s">
        <v>7</v>
      </c>
      <c r="G21" s="51" t="s">
        <v>8</v>
      </c>
      <c r="H21" s="238" t="s">
        <v>359</v>
      </c>
      <c r="I21" s="238" t="s">
        <v>360</v>
      </c>
      <c r="J21" s="51" t="s">
        <v>48</v>
      </c>
      <c r="K21" s="51" t="s">
        <v>18</v>
      </c>
      <c r="L21" s="52" t="s">
        <v>39</v>
      </c>
      <c r="M21"/>
      <c r="N21"/>
      <c r="O21"/>
      <c r="P21"/>
      <c r="U21" s="12"/>
    </row>
    <row r="22" spans="2:24" x14ac:dyDescent="0.3">
      <c r="B22" s="42"/>
      <c r="C22" s="95">
        <v>228</v>
      </c>
      <c r="D22" s="96">
        <v>1</v>
      </c>
      <c r="E22" s="96">
        <v>2.7309346649999999</v>
      </c>
      <c r="F22" s="97">
        <v>0.54555375500000003</v>
      </c>
      <c r="G22" s="97">
        <v>0.11</v>
      </c>
      <c r="H22" s="96">
        <v>4.4899577700000002</v>
      </c>
      <c r="I22" s="96">
        <v>3.3925738719999998</v>
      </c>
      <c r="J22" s="95">
        <v>50</v>
      </c>
      <c r="K22" s="98">
        <v>8</v>
      </c>
      <c r="L22" s="99">
        <v>0.5</v>
      </c>
      <c r="N22"/>
      <c r="O22"/>
      <c r="P22"/>
      <c r="U22" s="12"/>
    </row>
    <row r="23" spans="2:24" x14ac:dyDescent="0.3">
      <c r="N23"/>
      <c r="O23"/>
      <c r="P23"/>
      <c r="U23" s="12"/>
    </row>
    <row r="24" spans="2:24" x14ac:dyDescent="0.3">
      <c r="B24" s="54"/>
      <c r="C24" s="55"/>
      <c r="D24" s="55"/>
      <c r="E24" s="55"/>
      <c r="F24" s="56"/>
      <c r="G24" s="56"/>
      <c r="H24" s="56"/>
      <c r="I24" s="56"/>
      <c r="J24" s="57"/>
      <c r="K24" s="57"/>
      <c r="L24" s="57"/>
      <c r="M24" s="57"/>
      <c r="N24"/>
      <c r="O24"/>
      <c r="P24"/>
      <c r="U24" s="12"/>
    </row>
    <row r="25" spans="2:24" ht="18" x14ac:dyDescent="0.35">
      <c r="B25" s="41" t="s">
        <v>82</v>
      </c>
      <c r="F25"/>
      <c r="O25"/>
      <c r="P25"/>
      <c r="U25" s="12"/>
    </row>
    <row r="26" spans="2:24" x14ac:dyDescent="0.3">
      <c r="N26"/>
      <c r="O26"/>
      <c r="P26"/>
      <c r="U26" s="12"/>
    </row>
    <row r="27" spans="2:24" x14ac:dyDescent="0.3">
      <c r="B27" s="246" t="s">
        <v>84</v>
      </c>
      <c r="N27"/>
      <c r="O27"/>
      <c r="P27"/>
      <c r="U27" s="12"/>
    </row>
    <row r="28" spans="2:24" x14ac:dyDescent="0.3">
      <c r="B28" s="231"/>
      <c r="N28"/>
      <c r="O28"/>
      <c r="P28"/>
      <c r="U28" s="12"/>
    </row>
    <row r="29" spans="2:24" ht="43.2" x14ac:dyDescent="0.3">
      <c r="B29" s="45"/>
      <c r="C29" s="14" t="str">
        <f>"Scenario 1:"&amp;CHAR(10)&amp;"+"&amp;C30&amp;" day a week"</f>
        <v>Scenario 1:
+1 day a week</v>
      </c>
      <c r="D29" s="15" t="str">
        <f>"Scenario 2:"&amp;CHAR(10)&amp;"+"&amp;D30&amp;" days a week"</f>
        <v>Scenario 2:
+2 days a week</v>
      </c>
      <c r="E29" s="16" t="str">
        <f>"Scenario 3:"&amp;CHAR(10)&amp;"+"&amp;E30&amp;" days a week"</f>
        <v>Scenario 3:
+3 days a week</v>
      </c>
      <c r="N29"/>
      <c r="O29"/>
      <c r="R29" s="44"/>
      <c r="S29" s="44"/>
      <c r="T29" s="44"/>
      <c r="U29" s="1"/>
      <c r="V29" s="1"/>
      <c r="W29" s="1"/>
      <c r="X29" s="1"/>
    </row>
    <row r="30" spans="2:24" x14ac:dyDescent="0.3">
      <c r="B30" s="42" t="s">
        <v>41</v>
      </c>
      <c r="C30" s="94">
        <v>1</v>
      </c>
      <c r="D30" s="94">
        <v>2</v>
      </c>
      <c r="E30" s="94">
        <v>3</v>
      </c>
      <c r="N30"/>
      <c r="O30"/>
      <c r="R30"/>
    </row>
    <row r="31" spans="2:24" x14ac:dyDescent="0.3">
      <c r="B31" s="42" t="s">
        <v>1</v>
      </c>
      <c r="C31" s="43">
        <f>C30</f>
        <v>1</v>
      </c>
      <c r="D31" s="43">
        <f t="shared" ref="D31:E31" si="0">D30</f>
        <v>2</v>
      </c>
      <c r="E31" s="43">
        <f t="shared" si="0"/>
        <v>3</v>
      </c>
      <c r="M31"/>
      <c r="N31"/>
      <c r="O31"/>
      <c r="R31"/>
    </row>
    <row r="32" spans="2:24" x14ac:dyDescent="0.3">
      <c r="B32" s="42" t="s">
        <v>3</v>
      </c>
      <c r="C32" s="43">
        <f t="shared" ref="C32:C35" si="1">C31</f>
        <v>1</v>
      </c>
      <c r="D32" s="43">
        <f t="shared" ref="D32:D35" si="2">D31</f>
        <v>2</v>
      </c>
      <c r="E32" s="43">
        <f t="shared" ref="E32:E35" si="3">E31</f>
        <v>3</v>
      </c>
      <c r="M32"/>
      <c r="N32"/>
      <c r="O32"/>
      <c r="P32"/>
      <c r="Q32"/>
      <c r="R32"/>
    </row>
    <row r="33" spans="2:18" x14ac:dyDescent="0.3">
      <c r="B33" s="42" t="s">
        <v>4</v>
      </c>
      <c r="C33" s="43">
        <f t="shared" si="1"/>
        <v>1</v>
      </c>
      <c r="D33" s="43">
        <f t="shared" si="2"/>
        <v>2</v>
      </c>
      <c r="E33" s="43">
        <f t="shared" si="3"/>
        <v>3</v>
      </c>
      <c r="F33" s="1"/>
      <c r="G33" s="1"/>
      <c r="H33" s="1"/>
      <c r="I33" s="1"/>
      <c r="N33"/>
      <c r="P33"/>
      <c r="Q33"/>
      <c r="R33"/>
    </row>
    <row r="34" spans="2:18" x14ac:dyDescent="0.3">
      <c r="B34" s="42" t="s">
        <v>5</v>
      </c>
      <c r="C34" s="43">
        <f t="shared" si="1"/>
        <v>1</v>
      </c>
      <c r="D34" s="43">
        <f t="shared" si="2"/>
        <v>2</v>
      </c>
      <c r="E34" s="43">
        <f t="shared" si="3"/>
        <v>3</v>
      </c>
      <c r="N34"/>
      <c r="P34"/>
      <c r="Q34"/>
      <c r="R34"/>
    </row>
    <row r="35" spans="2:18" x14ac:dyDescent="0.3">
      <c r="B35" s="42" t="s">
        <v>6</v>
      </c>
      <c r="C35" s="43">
        <f t="shared" si="1"/>
        <v>1</v>
      </c>
      <c r="D35" s="43">
        <f t="shared" si="2"/>
        <v>2</v>
      </c>
      <c r="E35" s="43">
        <f t="shared" si="3"/>
        <v>3</v>
      </c>
      <c r="N35"/>
      <c r="P35"/>
      <c r="Q35"/>
      <c r="R35"/>
    </row>
    <row r="36" spans="2:18" customFormat="1" x14ac:dyDescent="0.3">
      <c r="B36" s="8"/>
    </row>
    <row r="37" spans="2:18" customFormat="1" x14ac:dyDescent="0.3">
      <c r="B37" s="12" t="s">
        <v>339</v>
      </c>
      <c r="C37" s="8"/>
      <c r="D37" s="8"/>
      <c r="E37" s="8"/>
      <c r="F37" s="8"/>
      <c r="G37" s="8"/>
      <c r="H37" s="8"/>
      <c r="I37" s="8"/>
    </row>
    <row r="38" spans="2:18" customFormat="1" x14ac:dyDescent="0.3">
      <c r="B38" s="8" t="s">
        <v>308</v>
      </c>
      <c r="C38" s="8"/>
      <c r="D38" s="8"/>
      <c r="E38" s="8"/>
      <c r="F38" s="8"/>
      <c r="G38" s="8"/>
      <c r="H38" s="8"/>
      <c r="I38" s="8"/>
    </row>
    <row r="39" spans="2:18" customFormat="1" x14ac:dyDescent="0.3">
      <c r="B39" s="8" t="s">
        <v>396</v>
      </c>
      <c r="C39" s="8"/>
      <c r="D39" s="8"/>
      <c r="E39" s="8"/>
      <c r="F39" s="8"/>
      <c r="G39" s="8"/>
      <c r="H39" s="8"/>
      <c r="I39" s="8"/>
    </row>
    <row r="40" spans="2:18" customFormat="1" x14ac:dyDescent="0.3">
      <c r="B40" s="8" t="s">
        <v>366</v>
      </c>
      <c r="C40" s="8"/>
      <c r="D40" s="8"/>
      <c r="E40" s="8"/>
      <c r="F40" s="8"/>
      <c r="G40" s="8"/>
      <c r="H40" s="8"/>
      <c r="I40" s="8"/>
    </row>
    <row r="41" spans="2:18" customFormat="1" x14ac:dyDescent="0.3">
      <c r="B41" s="8" t="s">
        <v>332</v>
      </c>
      <c r="C41" s="8"/>
      <c r="D41" s="8"/>
      <c r="E41" s="8"/>
      <c r="F41" s="8"/>
      <c r="G41" s="8"/>
      <c r="H41" s="8"/>
      <c r="I41" s="8"/>
    </row>
    <row r="42" spans="2:18" customFormat="1" x14ac:dyDescent="0.3">
      <c r="B42" s="8" t="s">
        <v>336</v>
      </c>
      <c r="C42" s="8"/>
      <c r="D42" s="8"/>
      <c r="E42" s="8"/>
      <c r="F42" s="8"/>
      <c r="G42" s="8"/>
      <c r="H42" s="8"/>
      <c r="I42" s="8"/>
    </row>
    <row r="43" spans="2:18" customFormat="1" x14ac:dyDescent="0.3">
      <c r="B43" s="8"/>
      <c r="C43" s="8"/>
      <c r="D43" s="8"/>
      <c r="E43" s="8"/>
      <c r="F43" s="8"/>
      <c r="G43" s="8"/>
      <c r="H43" s="8"/>
      <c r="I43" s="8"/>
      <c r="M43" s="237" t="s">
        <v>338</v>
      </c>
      <c r="N43" s="8"/>
    </row>
    <row r="44" spans="2:18" customFormat="1" x14ac:dyDescent="0.3">
      <c r="B44" s="192" t="s">
        <v>386</v>
      </c>
      <c r="C44" s="8"/>
      <c r="D44" s="8"/>
      <c r="E44" s="8"/>
      <c r="F44" s="8"/>
      <c r="G44" s="8"/>
      <c r="H44" s="8"/>
      <c r="I44" s="8"/>
    </row>
    <row r="45" spans="2:18" customFormat="1" x14ac:dyDescent="0.3">
      <c r="B45" s="8"/>
      <c r="C45" s="8"/>
      <c r="D45" s="8"/>
      <c r="E45" s="8"/>
      <c r="F45" s="8"/>
      <c r="G45" s="8"/>
      <c r="H45" s="8"/>
      <c r="I45" s="8"/>
    </row>
    <row r="46" spans="2:18" customFormat="1" x14ac:dyDescent="0.3">
      <c r="B46" s="8"/>
      <c r="C46" s="118" t="s">
        <v>327</v>
      </c>
      <c r="D46" s="275">
        <v>43996</v>
      </c>
      <c r="E46" s="221"/>
      <c r="G46" s="8"/>
      <c r="H46" s="8"/>
      <c r="I46" s="8"/>
    </row>
    <row r="47" spans="2:18" customFormat="1" x14ac:dyDescent="0.3">
      <c r="B47" s="8"/>
      <c r="C47" s="118" t="s">
        <v>326</v>
      </c>
      <c r="D47" s="226">
        <v>0</v>
      </c>
      <c r="E47" s="8"/>
      <c r="G47" s="8"/>
      <c r="H47" s="8"/>
      <c r="I47" s="8"/>
      <c r="N47" s="8"/>
      <c r="O47" s="222"/>
      <c r="P47" s="222"/>
      <c r="Q47" s="222"/>
      <c r="R47" s="222"/>
    </row>
    <row r="48" spans="2:18" customFormat="1" x14ac:dyDescent="0.3">
      <c r="B48" s="8"/>
      <c r="C48" s="118" t="s">
        <v>367</v>
      </c>
      <c r="D48" s="274">
        <f>D46+D47*7</f>
        <v>43996</v>
      </c>
      <c r="E48" s="8"/>
      <c r="F48" s="8"/>
      <c r="G48" s="8"/>
      <c r="H48" s="8"/>
      <c r="I48" s="8"/>
      <c r="N48" s="8"/>
      <c r="O48" s="222"/>
      <c r="P48" s="222"/>
      <c r="Q48" s="222"/>
      <c r="R48" s="222"/>
    </row>
    <row r="49" spans="2:18" customFormat="1" x14ac:dyDescent="0.3">
      <c r="B49" s="8"/>
      <c r="C49" s="118"/>
      <c r="D49" s="227"/>
      <c r="E49" s="8"/>
      <c r="F49" s="8"/>
      <c r="G49" s="8"/>
      <c r="H49" s="8"/>
      <c r="I49" s="8"/>
      <c r="N49" s="8"/>
      <c r="O49" s="8"/>
      <c r="P49" s="8"/>
      <c r="Q49" s="8"/>
      <c r="R49" s="8"/>
    </row>
    <row r="50" spans="2:18" customFormat="1" x14ac:dyDescent="0.3">
      <c r="B50" s="12" t="s">
        <v>117</v>
      </c>
      <c r="C50" s="8"/>
      <c r="D50" s="8"/>
      <c r="E50" s="8"/>
      <c r="F50" s="8"/>
      <c r="G50" s="8"/>
      <c r="H50" s="8"/>
      <c r="I50" s="8"/>
      <c r="N50" s="224"/>
      <c r="O50" s="222"/>
      <c r="P50" s="222"/>
      <c r="Q50" s="222"/>
      <c r="R50" s="222"/>
    </row>
    <row r="51" spans="2:18" customFormat="1" x14ac:dyDescent="0.3">
      <c r="B51" s="207" t="s">
        <v>277</v>
      </c>
      <c r="N51" s="223"/>
      <c r="O51" s="221"/>
      <c r="P51" s="221"/>
      <c r="Q51" s="225"/>
      <c r="R51" s="222"/>
    </row>
    <row r="52" spans="2:18" customFormat="1" x14ac:dyDescent="0.3">
      <c r="I52" s="4"/>
      <c r="N52" s="223"/>
      <c r="O52" s="221"/>
      <c r="P52" s="221"/>
      <c r="Q52" s="222"/>
      <c r="R52" s="222"/>
    </row>
    <row r="53" spans="2:18" customFormat="1" x14ac:dyDescent="0.3">
      <c r="N53" s="223"/>
      <c r="O53" s="221"/>
      <c r="P53" s="221"/>
      <c r="Q53" s="222"/>
      <c r="R53" s="222"/>
    </row>
    <row r="54" spans="2:18" customFormat="1" x14ac:dyDescent="0.3">
      <c r="I54" s="224"/>
      <c r="J54" s="222"/>
      <c r="K54" s="222"/>
      <c r="L54" s="222"/>
      <c r="M54" s="222"/>
      <c r="N54" s="222"/>
      <c r="O54" s="222"/>
      <c r="P54" s="222"/>
      <c r="Q54" s="222"/>
      <c r="R54" s="222"/>
    </row>
    <row r="55" spans="2:18" customFormat="1" x14ac:dyDescent="0.3">
      <c r="I55" s="222"/>
      <c r="J55" s="222"/>
      <c r="K55" s="222"/>
      <c r="L55" s="222"/>
      <c r="M55" s="222"/>
      <c r="N55" s="8"/>
      <c r="O55" s="8"/>
      <c r="P55" s="8"/>
      <c r="Q55" s="8"/>
      <c r="R55" s="8"/>
    </row>
    <row r="56" spans="2:18" customFormat="1" x14ac:dyDescent="0.3">
      <c r="I56" s="222"/>
      <c r="J56" s="222"/>
      <c r="K56" s="222"/>
      <c r="L56" s="222"/>
      <c r="M56" s="222"/>
      <c r="N56" s="8"/>
      <c r="O56" s="8"/>
      <c r="P56" s="8"/>
      <c r="Q56" s="8"/>
      <c r="R56" s="8"/>
    </row>
    <row r="57" spans="2:18" customFormat="1" x14ac:dyDescent="0.3">
      <c r="I57" s="8"/>
      <c r="J57" s="222"/>
      <c r="K57" s="222"/>
      <c r="L57" s="222"/>
      <c r="M57" s="222"/>
      <c r="N57" s="8"/>
      <c r="O57" s="8"/>
      <c r="P57" s="8"/>
      <c r="Q57" s="8"/>
      <c r="R57" s="8"/>
    </row>
    <row r="58" spans="2:18" customFormat="1" x14ac:dyDescent="0.3">
      <c r="I58" s="8"/>
      <c r="J58" s="222"/>
      <c r="K58" s="222"/>
      <c r="L58" s="222"/>
      <c r="M58" s="222"/>
      <c r="N58" s="8"/>
      <c r="O58" s="8"/>
      <c r="P58" s="8"/>
      <c r="Q58" s="8"/>
      <c r="R58" s="8"/>
    </row>
    <row r="59" spans="2:18" customFormat="1" x14ac:dyDescent="0.3">
      <c r="I59" s="8"/>
      <c r="J59" s="222"/>
      <c r="K59" s="222"/>
      <c r="L59" s="222"/>
      <c r="M59" s="222"/>
      <c r="N59" s="8"/>
      <c r="O59" s="8"/>
      <c r="P59" s="8"/>
      <c r="Q59" s="8"/>
      <c r="R59" s="8"/>
    </row>
    <row r="60" spans="2:18" customFormat="1" x14ac:dyDescent="0.3">
      <c r="N60" s="8"/>
      <c r="O60" s="8"/>
      <c r="P60" s="8"/>
      <c r="Q60" s="8"/>
      <c r="R60" s="8"/>
    </row>
    <row r="61" spans="2:18" customFormat="1" x14ac:dyDescent="0.3"/>
    <row r="62" spans="2:18" customFormat="1" x14ac:dyDescent="0.3">
      <c r="K62" s="12" t="s">
        <v>407</v>
      </c>
    </row>
    <row r="63" spans="2:18" customFormat="1" ht="43.2" x14ac:dyDescent="0.3">
      <c r="K63" s="51" t="s">
        <v>18</v>
      </c>
      <c r="L63" s="220" t="s">
        <v>39</v>
      </c>
    </row>
    <row r="64" spans="2:18" customFormat="1" x14ac:dyDescent="0.3">
      <c r="K64" s="277">
        <v>8</v>
      </c>
      <c r="L64" s="279">
        <v>0.5</v>
      </c>
    </row>
    <row r="65" spans="2:23" customFormat="1" x14ac:dyDescent="0.3">
      <c r="B65" s="12" t="s">
        <v>362</v>
      </c>
    </row>
    <row r="66" spans="2:23" x14ac:dyDescent="0.3">
      <c r="B66" s="42" t="s">
        <v>26</v>
      </c>
      <c r="C66" s="219" t="s">
        <v>320</v>
      </c>
      <c r="D66" s="46"/>
      <c r="E66" s="46"/>
      <c r="F66" s="46"/>
      <c r="G66" s="1"/>
      <c r="H66" s="1"/>
      <c r="I66" s="1"/>
      <c r="L66" s="10" t="s">
        <v>361</v>
      </c>
      <c r="N66"/>
      <c r="O66"/>
      <c r="P66"/>
      <c r="Q66"/>
      <c r="R66"/>
    </row>
    <row r="67" spans="2:23" ht="43.2" x14ac:dyDescent="0.3">
      <c r="B67" s="47" t="s">
        <v>0</v>
      </c>
      <c r="C67" s="48" t="s">
        <v>9</v>
      </c>
      <c r="D67" s="49" t="s">
        <v>357</v>
      </c>
      <c r="E67" s="50" t="s">
        <v>358</v>
      </c>
      <c r="F67" s="51" t="s">
        <v>86</v>
      </c>
      <c r="G67" s="51" t="s">
        <v>87</v>
      </c>
      <c r="H67" s="238" t="s">
        <v>359</v>
      </c>
      <c r="I67" s="238" t="s">
        <v>360</v>
      </c>
      <c r="J67" s="51" t="s">
        <v>48</v>
      </c>
      <c r="K67" s="51" t="s">
        <v>18</v>
      </c>
      <c r="L67" s="220" t="s">
        <v>39</v>
      </c>
      <c r="M67" s="51" t="s">
        <v>40</v>
      </c>
      <c r="N67"/>
      <c r="O67"/>
      <c r="P67"/>
      <c r="Q67"/>
      <c r="R67"/>
      <c r="S67"/>
      <c r="T67"/>
      <c r="U67"/>
      <c r="V67"/>
      <c r="W67"/>
    </row>
    <row r="68" spans="2:23" x14ac:dyDescent="0.3">
      <c r="B68" s="42" t="s">
        <v>41</v>
      </c>
      <c r="C68" s="21">
        <f>SUM(C69:C73)</f>
        <v>1537.1557172948678</v>
      </c>
      <c r="D68" s="58">
        <v>0.37</v>
      </c>
      <c r="E68" s="58">
        <v>2.6599154810000001</v>
      </c>
      <c r="F68" s="59">
        <v>0.53604499400000005</v>
      </c>
      <c r="G68" s="59">
        <v>0.103007893</v>
      </c>
      <c r="H68" s="58">
        <v>4.8548248410000001</v>
      </c>
      <c r="I68" s="58">
        <v>0.96405280900000001</v>
      </c>
      <c r="J68" s="21">
        <f>SUM(J69:J73)</f>
        <v>818</v>
      </c>
      <c r="K68" s="278">
        <f>$K$64</f>
        <v>8</v>
      </c>
      <c r="L68" s="99">
        <f>$L$64</f>
        <v>0.5</v>
      </c>
      <c r="M68" s="53"/>
      <c r="N68"/>
      <c r="O68"/>
      <c r="P68"/>
      <c r="Q68"/>
      <c r="R68"/>
      <c r="S68"/>
      <c r="T68"/>
      <c r="U68"/>
      <c r="V68"/>
      <c r="W68"/>
    </row>
    <row r="69" spans="2:23" x14ac:dyDescent="0.3">
      <c r="B69" s="42" t="s">
        <v>1</v>
      </c>
      <c r="C69" s="21">
        <f>IF(ISERROR(VLOOKUP($B$66,'Backlog Volumes'!$B$83:$B$93,1,0)),0,AVERAGE(HLOOKUP($B$66&amp;B69,'Backlog Volumes'!$C$1:$V$27,MATCH($D$46,'Backlog Volumes'!$A$1:$A$27,0),0),HLOOKUP($B$66&amp;B69,'Backlog Volumes'!$C$1:$V$27,MATCH($D$48,'Backlog Volumes'!$A$1:$A$27,0),0))*(1-M69))</f>
        <v>205.5128456397679</v>
      </c>
      <c r="D69" s="58">
        <v>0.37</v>
      </c>
      <c r="E69" s="58">
        <v>2.501453718</v>
      </c>
      <c r="F69" s="59">
        <v>0.51731555200000001</v>
      </c>
      <c r="G69" s="59">
        <v>7.0445256999999997E-2</v>
      </c>
      <c r="H69" s="239">
        <v>5.5466995839999997</v>
      </c>
      <c r="I69" s="239">
        <v>1.351143451</v>
      </c>
      <c r="J69" s="21">
        <v>251</v>
      </c>
      <c r="K69" s="278">
        <f t="shared" ref="K69:K73" si="4">$K$64</f>
        <v>8</v>
      </c>
      <c r="L69" s="99">
        <f t="shared" ref="L69:L73" si="5">$L$64</f>
        <v>0.5</v>
      </c>
      <c r="M69" s="60">
        <v>1.11382E-3</v>
      </c>
      <c r="N69"/>
      <c r="O69"/>
      <c r="P69"/>
      <c r="Q69"/>
      <c r="R69"/>
      <c r="S69"/>
      <c r="T69"/>
      <c r="U69"/>
      <c r="V69"/>
      <c r="W69"/>
    </row>
    <row r="70" spans="2:23" x14ac:dyDescent="0.3">
      <c r="B70" s="42" t="s">
        <v>3</v>
      </c>
      <c r="C70" s="21">
        <f>IF(ISERROR(VLOOKUP($B$66,'Backlog Volumes'!$B$83:$B$93,1,0)),0,AVERAGE(HLOOKUP($B$66&amp;B70,'Backlog Volumes'!$C$1:$V$27,MATCH($D$46,'Backlog Volumes'!$A$1:$A$27,0),0),HLOOKUP($B$66&amp;B70,'Backlog Volumes'!$C$1:$V$27,MATCH($D$48,'Backlog Volumes'!$A$1:$A$27,0),0))*(1-M70))</f>
        <v>308.25049129735191</v>
      </c>
      <c r="D70" s="58">
        <v>0.37</v>
      </c>
      <c r="E70" s="58">
        <v>2.016666667</v>
      </c>
      <c r="F70" s="59">
        <v>0.45236622300000001</v>
      </c>
      <c r="G70" s="59">
        <v>3.6807899999999998E-2</v>
      </c>
      <c r="H70" s="239">
        <v>3.9226780630000002</v>
      </c>
      <c r="I70" s="239">
        <v>0.62049857500000005</v>
      </c>
      <c r="J70" s="21">
        <v>191</v>
      </c>
      <c r="K70" s="278">
        <f t="shared" si="4"/>
        <v>8</v>
      </c>
      <c r="L70" s="99">
        <f t="shared" si="5"/>
        <v>0.5</v>
      </c>
      <c r="M70" s="60">
        <v>1.11382E-3</v>
      </c>
      <c r="N70"/>
      <c r="O70"/>
      <c r="P70"/>
      <c r="Q70"/>
      <c r="R70"/>
      <c r="S70"/>
      <c r="T70"/>
      <c r="U70"/>
      <c r="V70"/>
      <c r="W70"/>
    </row>
    <row r="71" spans="2:23" x14ac:dyDescent="0.3">
      <c r="B71" s="42" t="s">
        <v>4</v>
      </c>
      <c r="C71" s="21">
        <f>IF(ISERROR(VLOOKUP($B$66,'Backlog Volumes'!$B$83:$B$93,1,0)),0,AVERAGE(HLOOKUP($B$66&amp;B71,'Backlog Volumes'!$C$1:$V$27,MATCH($D$46,'Backlog Volumes'!$A$1:$A$27,0),0),HLOOKUP($B$66&amp;B71,'Backlog Volumes'!$C$1:$V$27,MATCH($D$48,'Backlog Volumes'!$A$1:$A$27,0),0))*(1-M71))</f>
        <v>487.77804934331203</v>
      </c>
      <c r="D71" s="58">
        <v>0.37</v>
      </c>
      <c r="E71" s="58">
        <v>3.685340676</v>
      </c>
      <c r="F71" s="59">
        <v>0.72435989099999998</v>
      </c>
      <c r="G71" s="59">
        <v>0.25046488300000003</v>
      </c>
      <c r="H71" s="239">
        <v>4.719177857</v>
      </c>
      <c r="I71" s="239">
        <v>0.95490225100000004</v>
      </c>
      <c r="J71" s="21">
        <v>128</v>
      </c>
      <c r="K71" s="278">
        <f t="shared" si="4"/>
        <v>8</v>
      </c>
      <c r="L71" s="99">
        <f t="shared" si="5"/>
        <v>0.5</v>
      </c>
      <c r="M71" s="60">
        <v>1.11382E-3</v>
      </c>
      <c r="N71"/>
      <c r="O71"/>
      <c r="P71"/>
      <c r="Q71"/>
      <c r="R71"/>
      <c r="S71"/>
      <c r="T71"/>
      <c r="U71"/>
      <c r="V71"/>
      <c r="W71"/>
    </row>
    <row r="72" spans="2:23" x14ac:dyDescent="0.3">
      <c r="B72" s="42" t="s">
        <v>5</v>
      </c>
      <c r="C72" s="21">
        <f>IF(ISERROR(VLOOKUP($B$66,'Backlog Volumes'!$B$83:$B$93,1,0)),0,AVERAGE(HLOOKUP($B$66&amp;B72,'Backlog Volumes'!$C$1:$V$27,MATCH($D$46,'Backlog Volumes'!$A$1:$A$27,0),0),HLOOKUP($B$66&amp;B72,'Backlog Volumes'!$C$1:$V$27,MATCH($D$48,'Backlog Volumes'!$A$1:$A$27,0),0))*(1-M72))</f>
        <v>376.38014810744619</v>
      </c>
      <c r="D72" s="58">
        <v>0.37</v>
      </c>
      <c r="E72" s="58">
        <v>2.6015169</v>
      </c>
      <c r="F72" s="59">
        <v>0.471801529</v>
      </c>
      <c r="G72" s="59">
        <v>6.1012499999999997E-2</v>
      </c>
      <c r="H72" s="239">
        <v>4.8670131459999997</v>
      </c>
      <c r="I72" s="239">
        <v>0.79962804399999998</v>
      </c>
      <c r="J72" s="21">
        <v>178</v>
      </c>
      <c r="K72" s="278">
        <f t="shared" si="4"/>
        <v>8</v>
      </c>
      <c r="L72" s="99">
        <f t="shared" si="5"/>
        <v>0.5</v>
      </c>
      <c r="M72" s="60">
        <v>1.11382E-3</v>
      </c>
      <c r="N72"/>
      <c r="O72"/>
      <c r="P72"/>
      <c r="Q72"/>
      <c r="R72"/>
      <c r="S72"/>
      <c r="T72"/>
      <c r="U72"/>
      <c r="V72"/>
      <c r="W72"/>
    </row>
    <row r="73" spans="2:23" x14ac:dyDescent="0.3">
      <c r="B73" s="8" t="s">
        <v>6</v>
      </c>
      <c r="C73" s="21">
        <f>IF(ISERROR(VLOOKUP($B$66,'Backlog Volumes'!$B$83:$B$93,1,0)),0,AVERAGE(HLOOKUP($B$66&amp;B73,'Backlog Volumes'!$C$1:$V$27,MATCH($D$46,'Backlog Volumes'!$A$1:$A$27,0),0),HLOOKUP($B$66&amp;B73,'Backlog Volumes'!$C$1:$V$27,MATCH($D$48,'Backlog Volumes'!$A$1:$A$27,0),0))*(1-M73))</f>
        <v>159.23418290698956</v>
      </c>
      <c r="D73" s="58">
        <v>0.37</v>
      </c>
      <c r="E73" s="58">
        <v>2.2063285220000002</v>
      </c>
      <c r="F73" s="59">
        <v>0.47353648799999998</v>
      </c>
      <c r="G73" s="59">
        <v>9.9438653000000002E-2</v>
      </c>
      <c r="H73" s="239">
        <v>4.8934871580000001</v>
      </c>
      <c r="I73" s="239">
        <v>0.73302991799999995</v>
      </c>
      <c r="J73" s="21">
        <v>70</v>
      </c>
      <c r="K73" s="278">
        <f t="shared" si="4"/>
        <v>8</v>
      </c>
      <c r="L73" s="99">
        <f t="shared" si="5"/>
        <v>0.5</v>
      </c>
      <c r="M73" s="60">
        <v>1.11382E-3</v>
      </c>
      <c r="N73"/>
      <c r="O73"/>
      <c r="P73"/>
      <c r="Q73"/>
      <c r="R73"/>
      <c r="S73"/>
      <c r="T73"/>
      <c r="U73"/>
      <c r="V73"/>
      <c r="W73"/>
    </row>
    <row r="74" spans="2:23" x14ac:dyDescent="0.3">
      <c r="C74" s="1"/>
      <c r="D74" s="1"/>
      <c r="E74" s="1"/>
      <c r="F74" s="1"/>
      <c r="G74" s="1"/>
      <c r="H74" s="240"/>
      <c r="I74" s="240"/>
      <c r="M74" s="1"/>
      <c r="N74"/>
      <c r="O74"/>
      <c r="P74"/>
      <c r="Q74"/>
      <c r="R74"/>
      <c r="S74"/>
      <c r="T74"/>
      <c r="U74"/>
      <c r="V74"/>
      <c r="W74"/>
    </row>
    <row r="75" spans="2:23" x14ac:dyDescent="0.3">
      <c r="B75" s="42" t="s">
        <v>27</v>
      </c>
      <c r="C75" s="46"/>
      <c r="D75" s="46"/>
      <c r="E75" s="46"/>
      <c r="F75" s="46"/>
      <c r="G75" s="1"/>
      <c r="H75" s="240"/>
      <c r="I75" s="240"/>
      <c r="M75" s="1"/>
      <c r="N75"/>
      <c r="O75"/>
      <c r="P75"/>
      <c r="Q75"/>
      <c r="R75"/>
    </row>
    <row r="76" spans="2:23" ht="43.2" x14ac:dyDescent="0.3">
      <c r="B76" s="47" t="s">
        <v>0</v>
      </c>
      <c r="C76" s="48" t="s">
        <v>9</v>
      </c>
      <c r="D76" s="49" t="s">
        <v>357</v>
      </c>
      <c r="E76" s="50" t="s">
        <v>358</v>
      </c>
      <c r="F76" s="51" t="s">
        <v>86</v>
      </c>
      <c r="G76" s="51" t="s">
        <v>87</v>
      </c>
      <c r="H76" s="238" t="s">
        <v>359</v>
      </c>
      <c r="I76" s="238" t="s">
        <v>360</v>
      </c>
      <c r="J76" s="51" t="s">
        <v>48</v>
      </c>
      <c r="K76" s="51" t="s">
        <v>18</v>
      </c>
      <c r="L76" s="220" t="s">
        <v>39</v>
      </c>
      <c r="M76" s="51" t="s">
        <v>40</v>
      </c>
      <c r="N76"/>
      <c r="O76"/>
      <c r="P76"/>
      <c r="Q76"/>
      <c r="R76"/>
    </row>
    <row r="77" spans="2:23" x14ac:dyDescent="0.3">
      <c r="B77" s="42" t="s">
        <v>41</v>
      </c>
      <c r="C77" s="21">
        <f>SUM(C78:C82)</f>
        <v>3615.0115118269032</v>
      </c>
      <c r="D77" s="58">
        <v>0.37</v>
      </c>
      <c r="E77" s="58">
        <v>2.144256999</v>
      </c>
      <c r="F77" s="59">
        <v>0.50002392900000003</v>
      </c>
      <c r="G77" s="107">
        <v>4.8432599999999999E-2</v>
      </c>
      <c r="H77" s="239">
        <v>3.3756021889999999</v>
      </c>
      <c r="I77" s="239">
        <v>0.38757417700000002</v>
      </c>
      <c r="J77" s="21">
        <f>SUM(J78:J82)</f>
        <v>818</v>
      </c>
      <c r="K77" s="278">
        <f>$K$64</f>
        <v>8</v>
      </c>
      <c r="L77" s="99">
        <f>$L$64</f>
        <v>0.5</v>
      </c>
      <c r="M77" s="53"/>
      <c r="N77"/>
      <c r="O77"/>
      <c r="P77"/>
      <c r="Q77"/>
      <c r="R77"/>
    </row>
    <row r="78" spans="2:23" x14ac:dyDescent="0.3">
      <c r="B78" s="42" t="s">
        <v>1</v>
      </c>
      <c r="C78" s="21">
        <f>IF(ISERROR(VLOOKUP($B$75,'Backlog Volumes'!$B$83:$B$93,1,0)),0,AVERAGE(HLOOKUP($B$75&amp;B78,'Backlog Volumes'!$C$1:$V$27,MATCH($D$46,'Backlog Volumes'!$A$1:$A$27,0),0),HLOOKUP($B$75&amp;B78,'Backlog Volumes'!$C$1:$V$27,MATCH($D$48,'Backlog Volumes'!$A$1:$A$27,0),0))*(1-M78))</f>
        <v>927.04207585184304</v>
      </c>
      <c r="D78" s="58">
        <v>0.37</v>
      </c>
      <c r="E78" s="58">
        <v>2.0131999999999999</v>
      </c>
      <c r="F78" s="59">
        <v>0.47969230800000001</v>
      </c>
      <c r="G78" s="107">
        <v>3.2461499999999997E-2</v>
      </c>
      <c r="H78" s="239">
        <v>3.6393120589999999</v>
      </c>
      <c r="I78" s="239">
        <v>0.397463652</v>
      </c>
      <c r="J78" s="21">
        <v>251</v>
      </c>
      <c r="K78" s="278">
        <f t="shared" ref="K78:K82" si="6">$K$64</f>
        <v>8</v>
      </c>
      <c r="L78" s="99">
        <f t="shared" ref="L78:L82" si="7">$L$64</f>
        <v>0.5</v>
      </c>
      <c r="M78" s="62">
        <v>1.5775559999999999E-3</v>
      </c>
      <c r="N78"/>
      <c r="O78"/>
      <c r="P78"/>
      <c r="Q78"/>
      <c r="R78"/>
    </row>
    <row r="79" spans="2:23" x14ac:dyDescent="0.3">
      <c r="B79" s="42" t="s">
        <v>3</v>
      </c>
      <c r="C79" s="21">
        <f>IF(ISERROR(VLOOKUP($B$75,'Backlog Volumes'!$B$83:$B$93,1,0)),0,AVERAGE(HLOOKUP($B$75&amp;B79,'Backlog Volumes'!$C$1:$V$27,MATCH($D$46,'Backlog Volumes'!$A$1:$A$27,0),0),HLOOKUP($B$75&amp;B79,'Backlog Volumes'!$C$1:$V$27,MATCH($D$48,'Backlog Volumes'!$A$1:$A$27,0),0))*(1-M79))</f>
        <v>700.32105378878441</v>
      </c>
      <c r="D79" s="58">
        <v>0.37</v>
      </c>
      <c r="E79" s="58">
        <v>1.8167773199999999</v>
      </c>
      <c r="F79" s="59">
        <v>0.48420329699999998</v>
      </c>
      <c r="G79" s="107">
        <v>1.9230799999999999E-2</v>
      </c>
      <c r="H79" s="239">
        <v>3.1534278960000002</v>
      </c>
      <c r="I79" s="239">
        <v>0.24958628799999999</v>
      </c>
      <c r="J79" s="21">
        <v>191</v>
      </c>
      <c r="K79" s="278">
        <f t="shared" si="6"/>
        <v>8</v>
      </c>
      <c r="L79" s="99">
        <f t="shared" si="7"/>
        <v>0.5</v>
      </c>
      <c r="M79" s="62">
        <v>1.5775559999999999E-3</v>
      </c>
      <c r="N79"/>
      <c r="O79"/>
      <c r="P79"/>
      <c r="Q79"/>
      <c r="R79"/>
    </row>
    <row r="80" spans="2:23" x14ac:dyDescent="0.3">
      <c r="B80" s="42" t="s">
        <v>4</v>
      </c>
      <c r="C80" s="21">
        <f>IF(ISERROR(VLOOKUP($B$75,'Backlog Volumes'!$B$83:$B$93,1,0)),0,AVERAGE(HLOOKUP($B$75&amp;B80,'Backlog Volumes'!$C$1:$V$27,MATCH($D$46,'Backlog Volumes'!$A$1:$A$27,0),0),HLOOKUP($B$75&amp;B80,'Backlog Volumes'!$C$1:$V$27,MATCH($D$48,'Backlog Volumes'!$A$1:$A$27,0),0))*(1-M80))</f>
        <v>986.13614964238559</v>
      </c>
      <c r="D80" s="58">
        <v>0.37</v>
      </c>
      <c r="E80" s="58">
        <v>3.1635448369999999</v>
      </c>
      <c r="F80" s="59">
        <v>0.75321938700000002</v>
      </c>
      <c r="G80" s="107">
        <v>0.12971201099999999</v>
      </c>
      <c r="H80" s="239">
        <v>3.4453424520000002</v>
      </c>
      <c r="I80" s="239">
        <v>0.49686561000000001</v>
      </c>
      <c r="J80" s="21">
        <v>128</v>
      </c>
      <c r="K80" s="278">
        <f t="shared" si="6"/>
        <v>8</v>
      </c>
      <c r="L80" s="99">
        <f t="shared" si="7"/>
        <v>0.5</v>
      </c>
      <c r="M80" s="62">
        <v>1.5775559999999999E-3</v>
      </c>
      <c r="N80"/>
      <c r="O80"/>
      <c r="P80"/>
      <c r="Q80"/>
      <c r="R80"/>
    </row>
    <row r="81" spans="2:18" x14ac:dyDescent="0.3">
      <c r="B81" s="42" t="s">
        <v>5</v>
      </c>
      <c r="C81" s="21">
        <f>IF(ISERROR(VLOOKUP($B$75,'Backlog Volumes'!$B$83:$B$93,1,0)),0,AVERAGE(HLOOKUP($B$75&amp;B81,'Backlog Volumes'!$C$1:$V$27,MATCH($D$46,'Backlog Volumes'!$A$1:$A$27,0),0),HLOOKUP($B$75&amp;B81,'Backlog Volumes'!$C$1:$V$27,MATCH($D$48,'Backlog Volumes'!$A$1:$A$27,0),0))*(1-M81))</f>
        <v>910.6557901398902</v>
      </c>
      <c r="D81" s="58">
        <v>0.37</v>
      </c>
      <c r="E81" s="58">
        <v>1.8071836349999999</v>
      </c>
      <c r="F81" s="59">
        <v>0.36060894399999999</v>
      </c>
      <c r="G81" s="107">
        <v>2.8924800000000001E-2</v>
      </c>
      <c r="H81" s="239">
        <v>3.0589489890000001</v>
      </c>
      <c r="I81" s="239">
        <v>0.316974494</v>
      </c>
      <c r="J81" s="21">
        <v>178</v>
      </c>
      <c r="K81" s="278">
        <f t="shared" si="6"/>
        <v>8</v>
      </c>
      <c r="L81" s="99">
        <f t="shared" si="7"/>
        <v>0.5</v>
      </c>
      <c r="M81" s="62">
        <v>1.5775559999999999E-3</v>
      </c>
      <c r="N81"/>
      <c r="O81"/>
      <c r="P81"/>
      <c r="Q81"/>
      <c r="R81"/>
    </row>
    <row r="82" spans="2:18" x14ac:dyDescent="0.3">
      <c r="B82" s="8" t="s">
        <v>6</v>
      </c>
      <c r="C82" s="21">
        <f>IF(ISERROR(VLOOKUP($B$75,'Backlog Volumes'!$B$83:$B$93,1,0)),0,AVERAGE(HLOOKUP($B$75&amp;B82,'Backlog Volumes'!$C$1:$V$27,MATCH($D$46,'Backlog Volumes'!$A$1:$A$27,0),0),HLOOKUP($B$75&amp;B82,'Backlog Volumes'!$C$1:$V$27,MATCH($D$48,'Backlog Volumes'!$A$1:$A$27,0),0))*(1-M82))</f>
        <v>90.856442404000006</v>
      </c>
      <c r="D82" s="58">
        <v>0.37</v>
      </c>
      <c r="E82" s="58">
        <v>1.5459414499999999</v>
      </c>
      <c r="F82" s="59">
        <v>0.205588822</v>
      </c>
      <c r="G82" s="107">
        <v>2.1956099999999999E-2</v>
      </c>
      <c r="H82" s="239">
        <v>3.6023462780000002</v>
      </c>
      <c r="I82" s="239">
        <v>0.80703883499999995</v>
      </c>
      <c r="J82" s="21">
        <v>70</v>
      </c>
      <c r="K82" s="278">
        <f t="shared" si="6"/>
        <v>8</v>
      </c>
      <c r="L82" s="99">
        <f t="shared" si="7"/>
        <v>0.5</v>
      </c>
      <c r="M82" s="62">
        <v>1.5775559999999999E-3</v>
      </c>
      <c r="N82"/>
      <c r="O82"/>
      <c r="P82"/>
      <c r="Q82"/>
      <c r="R82"/>
    </row>
    <row r="83" spans="2:18" x14ac:dyDescent="0.3">
      <c r="C83" s="1"/>
      <c r="D83" s="1"/>
      <c r="E83" s="1"/>
      <c r="F83" s="1"/>
      <c r="G83" s="1"/>
      <c r="H83" s="240"/>
      <c r="I83" s="240"/>
      <c r="M83" s="1"/>
      <c r="N83"/>
      <c r="O83"/>
      <c r="P83"/>
      <c r="Q83"/>
      <c r="R83"/>
    </row>
    <row r="84" spans="2:18" x14ac:dyDescent="0.3">
      <c r="B84" s="42" t="s">
        <v>33</v>
      </c>
      <c r="C84" s="46"/>
      <c r="D84" s="46"/>
      <c r="E84" s="46"/>
      <c r="F84" s="46"/>
      <c r="G84" s="1"/>
      <c r="H84" s="240"/>
      <c r="I84" s="240"/>
      <c r="M84" s="1"/>
      <c r="N84"/>
      <c r="O84"/>
      <c r="P84"/>
      <c r="Q84"/>
      <c r="R84"/>
    </row>
    <row r="85" spans="2:18" ht="43.2" x14ac:dyDescent="0.3">
      <c r="B85" s="47" t="s">
        <v>0</v>
      </c>
      <c r="C85" s="48" t="s">
        <v>9</v>
      </c>
      <c r="D85" s="49" t="s">
        <v>357</v>
      </c>
      <c r="E85" s="50" t="s">
        <v>358</v>
      </c>
      <c r="F85" s="51" t="s">
        <v>86</v>
      </c>
      <c r="G85" s="51" t="s">
        <v>87</v>
      </c>
      <c r="H85" s="238" t="s">
        <v>359</v>
      </c>
      <c r="I85" s="238" t="s">
        <v>360</v>
      </c>
      <c r="J85" s="51" t="s">
        <v>48</v>
      </c>
      <c r="K85" s="51" t="s">
        <v>18</v>
      </c>
      <c r="L85" s="220" t="s">
        <v>39</v>
      </c>
      <c r="M85" s="51" t="s">
        <v>40</v>
      </c>
      <c r="N85"/>
      <c r="O85"/>
      <c r="P85"/>
      <c r="Q85"/>
      <c r="R85"/>
    </row>
    <row r="86" spans="2:18" x14ac:dyDescent="0.3">
      <c r="B86" s="42" t="s">
        <v>41</v>
      </c>
      <c r="C86" s="21">
        <f>SUM(C87:C91)</f>
        <v>939.92166430863836</v>
      </c>
      <c r="D86" s="58">
        <v>0.37</v>
      </c>
      <c r="E86" s="58">
        <v>2.4538110949999998</v>
      </c>
      <c r="F86" s="59">
        <v>0.62611975499999994</v>
      </c>
      <c r="G86" s="107">
        <v>0.18120383500000001</v>
      </c>
      <c r="H86" s="239">
        <v>6.5744122320000002</v>
      </c>
      <c r="I86" s="239">
        <v>1.2123912320000001</v>
      </c>
      <c r="J86" s="21">
        <v>463</v>
      </c>
      <c r="K86" s="278">
        <f>$K$64</f>
        <v>8</v>
      </c>
      <c r="L86" s="99">
        <f>$L$64</f>
        <v>0.5</v>
      </c>
      <c r="M86" s="53"/>
      <c r="N86"/>
      <c r="O86"/>
      <c r="P86"/>
      <c r="Q86"/>
      <c r="R86"/>
    </row>
    <row r="87" spans="2:18" x14ac:dyDescent="0.3">
      <c r="B87" s="42" t="s">
        <v>1</v>
      </c>
      <c r="C87" s="21">
        <f>IF(ISERROR(VLOOKUP($B$84,'Backlog Volumes'!$B$83:$B$93,1,0)),0,AVERAGE(HLOOKUP($B$84&amp;B87,'Backlog Volumes'!$C$1:$V$27,MATCH($D$46,'Backlog Volumes'!$A$1:$A$27,0),0),HLOOKUP($B$84&amp;B87,'Backlog Volumes'!$C$1:$V$27,MATCH($D$48,'Backlog Volumes'!$A$1:$A$27,0),0))*(1-M87))</f>
        <v>202.45172365667719</v>
      </c>
      <c r="D87" s="58">
        <v>0.37</v>
      </c>
      <c r="E87" s="58">
        <v>2.3545445319999998</v>
      </c>
      <c r="F87" s="59">
        <v>0.56360316499999996</v>
      </c>
      <c r="G87" s="107">
        <v>0.23250152199999999</v>
      </c>
      <c r="H87" s="239">
        <v>6.1663966879999998</v>
      </c>
      <c r="I87" s="239">
        <v>1.7559395250000001</v>
      </c>
      <c r="J87" s="21">
        <v>100</v>
      </c>
      <c r="K87" s="278">
        <f t="shared" ref="K87:K91" si="8">$K$64</f>
        <v>8</v>
      </c>
      <c r="L87" s="99">
        <f t="shared" ref="L87:L91" si="9">$L$64</f>
        <v>0.5</v>
      </c>
      <c r="M87" s="62">
        <v>3.1323409999999999E-3</v>
      </c>
      <c r="O87"/>
    </row>
    <row r="88" spans="2:18" x14ac:dyDescent="0.3">
      <c r="B88" s="42" t="s">
        <v>3</v>
      </c>
      <c r="C88" s="21">
        <f>IF(ISERROR(VLOOKUP($B$84,'Backlog Volumes'!$B$83:$B$93,1,0)),0,AVERAGE(HLOOKUP($B$84&amp;B88,'Backlog Volumes'!$C$1:$V$27,MATCH($D$46,'Backlog Volumes'!$A$1:$A$27,0),0),HLOOKUP($B$84&amp;B88,'Backlog Volumes'!$C$1:$V$27,MATCH($D$48,'Backlog Volumes'!$A$1:$A$27,0),0))*(1-M88))</f>
        <v>295.66658498771449</v>
      </c>
      <c r="D88" s="58">
        <v>0.37</v>
      </c>
      <c r="E88" s="58">
        <v>2.2440824589999999</v>
      </c>
      <c r="F88" s="59">
        <v>0.62727774700000005</v>
      </c>
      <c r="G88" s="107">
        <v>0.13252346800000001</v>
      </c>
      <c r="H88" s="239">
        <v>6.5287558690000003</v>
      </c>
      <c r="I88" s="239">
        <v>1.1707746480000001</v>
      </c>
      <c r="J88" s="21">
        <v>152</v>
      </c>
      <c r="K88" s="278">
        <f t="shared" si="8"/>
        <v>8</v>
      </c>
      <c r="L88" s="99">
        <f t="shared" si="9"/>
        <v>0.5</v>
      </c>
      <c r="M88" s="62">
        <v>3.1323409999999999E-3</v>
      </c>
      <c r="O88"/>
    </row>
    <row r="89" spans="2:18" x14ac:dyDescent="0.3">
      <c r="B89" s="42" t="s">
        <v>4</v>
      </c>
      <c r="C89" s="21">
        <f>IF(ISERROR(VLOOKUP($B$84,'Backlog Volumes'!$B$83:$B$93,1,0)),0,AVERAGE(HLOOKUP($B$84&amp;B89,'Backlog Volumes'!$C$1:$V$27,MATCH($D$46,'Backlog Volumes'!$A$1:$A$27,0),0),HLOOKUP($B$84&amp;B89,'Backlog Volumes'!$C$1:$V$27,MATCH($D$48,'Backlog Volumes'!$A$1:$A$27,0),0))*(1-M89))</f>
        <v>96.696162923000003</v>
      </c>
      <c r="D89" s="58">
        <v>0.37</v>
      </c>
      <c r="E89" s="58">
        <v>3.3819283750000002</v>
      </c>
      <c r="F89" s="59">
        <v>0.74545454499999997</v>
      </c>
      <c r="G89" s="107">
        <v>0.42148760299999999</v>
      </c>
      <c r="H89" s="239">
        <v>6.2236696230000002</v>
      </c>
      <c r="I89" s="239">
        <v>1.800443459</v>
      </c>
      <c r="J89" s="21">
        <v>86</v>
      </c>
      <c r="K89" s="278">
        <f t="shared" si="8"/>
        <v>8</v>
      </c>
      <c r="L89" s="99">
        <f t="shared" si="9"/>
        <v>0.5</v>
      </c>
      <c r="M89" s="62">
        <v>3.1323409999999999E-3</v>
      </c>
      <c r="O89"/>
    </row>
    <row r="90" spans="2:18" x14ac:dyDescent="0.3">
      <c r="B90" s="42" t="s">
        <v>5</v>
      </c>
      <c r="C90" s="21">
        <f>IF(ISERROR(VLOOKUP($B$84,'Backlog Volumes'!$B$83:$B$93,1,0)),0,AVERAGE(HLOOKUP($B$84&amp;B90,'Backlog Volumes'!$C$1:$V$27,MATCH($D$46,'Backlog Volumes'!$A$1:$A$27,0),0),HLOOKUP($B$84&amp;B90,'Backlog Volumes'!$C$1:$V$27,MATCH($D$48,'Backlog Volumes'!$A$1:$A$27,0),0))*(1-M90))</f>
        <v>284.29826554224672</v>
      </c>
      <c r="D90" s="58">
        <v>0.37</v>
      </c>
      <c r="E90" s="58">
        <v>2.3569876399999998</v>
      </c>
      <c r="F90" s="59">
        <v>0.60885167500000004</v>
      </c>
      <c r="G90" s="107">
        <v>0.123803828</v>
      </c>
      <c r="H90" s="239">
        <v>7.1459151930000004</v>
      </c>
      <c r="I90" s="239">
        <v>0.79580058899999995</v>
      </c>
      <c r="J90" s="21">
        <v>76</v>
      </c>
      <c r="K90" s="278">
        <f t="shared" si="8"/>
        <v>8</v>
      </c>
      <c r="L90" s="99">
        <f t="shared" si="9"/>
        <v>0.5</v>
      </c>
      <c r="M90" s="62">
        <v>3.1323409999999999E-3</v>
      </c>
      <c r="O90"/>
    </row>
    <row r="91" spans="2:18" x14ac:dyDescent="0.3">
      <c r="B91" s="8" t="s">
        <v>6</v>
      </c>
      <c r="C91" s="21">
        <f>IF(ISERROR(VLOOKUP($B$84,'Backlog Volumes'!$B$83:$B$93,1,0)),0,AVERAGE(HLOOKUP($B$84&amp;B91,'Backlog Volumes'!$C$1:$V$27,MATCH($D$46,'Backlog Volumes'!$A$1:$A$27,0),0),HLOOKUP($B$84&amp;B91,'Backlog Volumes'!$C$1:$V$27,MATCH($D$48,'Backlog Volumes'!$A$1:$A$27,0),0))*(1-M91))</f>
        <v>60.808927198999996</v>
      </c>
      <c r="D91" s="58">
        <v>0.37</v>
      </c>
      <c r="E91" s="58">
        <v>2.680537975</v>
      </c>
      <c r="F91" s="59">
        <v>0.716772152</v>
      </c>
      <c r="G91" s="107">
        <v>0.10917721499999999</v>
      </c>
      <c r="H91" s="239">
        <v>6.5878403240000001</v>
      </c>
      <c r="I91" s="239">
        <v>0.55638337000000004</v>
      </c>
      <c r="J91" s="21">
        <v>49</v>
      </c>
      <c r="K91" s="278">
        <f t="shared" si="8"/>
        <v>8</v>
      </c>
      <c r="L91" s="99">
        <f t="shared" si="9"/>
        <v>0.5</v>
      </c>
      <c r="M91" s="62">
        <v>3.1323409999999999E-3</v>
      </c>
      <c r="O91"/>
    </row>
    <row r="92" spans="2:18" x14ac:dyDescent="0.3">
      <c r="C92" s="1"/>
      <c r="D92" s="1"/>
      <c r="E92" s="1"/>
      <c r="F92" s="1"/>
      <c r="G92" s="1"/>
      <c r="H92" s="240"/>
      <c r="I92" s="240"/>
      <c r="M92" s="1"/>
      <c r="O92"/>
    </row>
    <row r="93" spans="2:18" x14ac:dyDescent="0.3">
      <c r="B93" s="42" t="s">
        <v>34</v>
      </c>
      <c r="C93" s="46"/>
      <c r="D93" s="46"/>
      <c r="E93" s="46"/>
      <c r="F93" s="46"/>
      <c r="G93" s="1"/>
      <c r="H93" s="240"/>
      <c r="I93" s="240"/>
      <c r="M93" s="1"/>
      <c r="O93"/>
    </row>
    <row r="94" spans="2:18" ht="43.2" x14ac:dyDescent="0.3">
      <c r="B94" s="47" t="s">
        <v>0</v>
      </c>
      <c r="C94" s="48" t="s">
        <v>9</v>
      </c>
      <c r="D94" s="49" t="s">
        <v>357</v>
      </c>
      <c r="E94" s="50" t="s">
        <v>358</v>
      </c>
      <c r="F94" s="51" t="s">
        <v>86</v>
      </c>
      <c r="G94" s="51" t="s">
        <v>87</v>
      </c>
      <c r="H94" s="238" t="s">
        <v>359</v>
      </c>
      <c r="I94" s="238" t="s">
        <v>360</v>
      </c>
      <c r="J94" s="51" t="s">
        <v>48</v>
      </c>
      <c r="K94" s="51" t="s">
        <v>18</v>
      </c>
      <c r="L94" s="220" t="s">
        <v>39</v>
      </c>
      <c r="M94" s="51" t="s">
        <v>40</v>
      </c>
      <c r="O94"/>
    </row>
    <row r="95" spans="2:18" x14ac:dyDescent="0.3">
      <c r="B95" s="42" t="s">
        <v>41</v>
      </c>
      <c r="C95" s="21">
        <f>SUM(C96:C100)</f>
        <v>934.99749450781553</v>
      </c>
      <c r="D95" s="58">
        <v>0.37</v>
      </c>
      <c r="E95" s="58">
        <v>2.1369350439999999</v>
      </c>
      <c r="F95" s="59">
        <v>0.42380004399999999</v>
      </c>
      <c r="G95" s="107">
        <v>0.12895377099999999</v>
      </c>
      <c r="H95" s="239">
        <v>5.1487908840000003</v>
      </c>
      <c r="I95" s="239">
        <v>1.306019485</v>
      </c>
      <c r="J95" s="21">
        <v>463</v>
      </c>
      <c r="K95" s="278">
        <f>$K$64</f>
        <v>8</v>
      </c>
      <c r="L95" s="99">
        <f>$L$64</f>
        <v>0.5</v>
      </c>
      <c r="M95" s="53"/>
      <c r="O95"/>
    </row>
    <row r="96" spans="2:18" x14ac:dyDescent="0.3">
      <c r="B96" s="42" t="s">
        <v>1</v>
      </c>
      <c r="C96" s="21">
        <f>IF(ISERROR(VLOOKUP($B$93,'Backlog Volumes'!$B$83:$B$93,1,0)),0,AVERAGE(HLOOKUP($B$93&amp;B96,'Backlog Volumes'!$C$1:$V$27,MATCH($D$46,'Backlog Volumes'!$A$1:$A$27,0),0),HLOOKUP($B$93&amp;B96,'Backlog Volumes'!$C$1:$V$27,MATCH($D$48,'Backlog Volumes'!$A$1:$A$27,0),0))*(1-M96))</f>
        <v>369.43194724081548</v>
      </c>
      <c r="D96" s="58">
        <v>0.37</v>
      </c>
      <c r="E96" s="58">
        <v>2.1901992749999999</v>
      </c>
      <c r="F96" s="59">
        <v>0.47663043500000002</v>
      </c>
      <c r="G96" s="107">
        <v>0.123369565</v>
      </c>
      <c r="H96" s="239">
        <v>4.1142151269999996</v>
      </c>
      <c r="I96" s="239">
        <v>1.820648043</v>
      </c>
      <c r="J96" s="21">
        <v>100</v>
      </c>
      <c r="K96" s="278">
        <f t="shared" ref="K96:K100" si="10">$K$64</f>
        <v>8</v>
      </c>
      <c r="L96" s="99">
        <f t="shared" ref="L96:L100" si="11">$L$64</f>
        <v>0.5</v>
      </c>
      <c r="M96" s="62">
        <v>2.5298989999999999E-3</v>
      </c>
      <c r="O96"/>
    </row>
    <row r="97" spans="2:15" x14ac:dyDescent="0.3">
      <c r="B97" s="42" t="s">
        <v>3</v>
      </c>
      <c r="C97" s="21">
        <f>IF(ISERROR(VLOOKUP($B$93,'Backlog Volumes'!$B$83:$B$93,1,0)),0,AVERAGE(HLOOKUP($B$93&amp;B97,'Backlog Volumes'!$C$1:$V$27,MATCH($D$46,'Backlog Volumes'!$A$1:$A$27,0),0),HLOOKUP($B$93&amp;B97,'Backlog Volumes'!$C$1:$V$27,MATCH($D$48,'Backlog Volumes'!$A$1:$A$27,0),0))*(1-M97))</f>
        <v>314.20308181500002</v>
      </c>
      <c r="D97" s="58">
        <v>0.37</v>
      </c>
      <c r="E97" s="58">
        <v>1.9222827499999999</v>
      </c>
      <c r="F97" s="59">
        <v>0.340856031</v>
      </c>
      <c r="G97" s="107">
        <v>0.13618677000000001</v>
      </c>
      <c r="H97" s="239">
        <v>9.3638698629999997</v>
      </c>
      <c r="I97" s="239">
        <v>1.1476407909999999</v>
      </c>
      <c r="J97" s="21">
        <v>152</v>
      </c>
      <c r="K97" s="278">
        <f t="shared" si="10"/>
        <v>8</v>
      </c>
      <c r="L97" s="99">
        <f t="shared" si="11"/>
        <v>0.5</v>
      </c>
      <c r="M97" s="62">
        <v>2.5298989999999999E-3</v>
      </c>
      <c r="O97"/>
    </row>
    <row r="98" spans="2:15" x14ac:dyDescent="0.3">
      <c r="B98" s="42" t="s">
        <v>4</v>
      </c>
      <c r="C98" s="21">
        <f>IF(ISERROR(VLOOKUP($B$93,'Backlog Volumes'!$B$83:$B$93,1,0)),0,AVERAGE(HLOOKUP($B$93&amp;B98,'Backlog Volumes'!$C$1:$V$27,MATCH($D$46,'Backlog Volumes'!$A$1:$A$27,0),0),HLOOKUP($B$93&amp;B98,'Backlog Volumes'!$C$1:$V$27,MATCH($D$48,'Backlog Volumes'!$A$1:$A$27,0),0))*(1-M98))</f>
        <v>127.676172928</v>
      </c>
      <c r="D98" s="58">
        <v>0.37</v>
      </c>
      <c r="E98" s="58">
        <v>2.8845130069999998</v>
      </c>
      <c r="F98" s="59">
        <v>0.637023593</v>
      </c>
      <c r="G98" s="107">
        <v>0.243194192</v>
      </c>
      <c r="H98" s="239">
        <v>3.6282051279999998</v>
      </c>
      <c r="I98" s="239">
        <v>0.82276828099999999</v>
      </c>
      <c r="J98" s="21">
        <v>86</v>
      </c>
      <c r="K98" s="278">
        <f t="shared" si="10"/>
        <v>8</v>
      </c>
      <c r="L98" s="99">
        <f t="shared" si="11"/>
        <v>0.5</v>
      </c>
      <c r="M98" s="62">
        <v>2.5298989999999999E-3</v>
      </c>
      <c r="O98"/>
    </row>
    <row r="99" spans="2:15" x14ac:dyDescent="0.3">
      <c r="B99" s="42" t="s">
        <v>5</v>
      </c>
      <c r="C99" s="21">
        <f>IF(ISERROR(VLOOKUP($B$93,'Backlog Volumes'!$B$83:$B$93,1,0)),0,AVERAGE(HLOOKUP($B$93&amp;B99,'Backlog Volumes'!$C$1:$V$27,MATCH($D$46,'Backlog Volumes'!$A$1:$A$27,0),0),HLOOKUP($B$93&amp;B99,'Backlog Volumes'!$C$1:$V$27,MATCH($D$48,'Backlog Volumes'!$A$1:$A$27,0),0))*(1-M99))</f>
        <v>110.71918121100001</v>
      </c>
      <c r="D99" s="58">
        <v>0.37</v>
      </c>
      <c r="E99" s="58">
        <v>1.8582270409999999</v>
      </c>
      <c r="F99" s="59">
        <v>0.302295918</v>
      </c>
      <c r="G99" s="107">
        <v>5.9949000000000002E-2</v>
      </c>
      <c r="H99" s="239">
        <v>3.6415260200000001</v>
      </c>
      <c r="I99" s="239">
        <v>0.48171589300000001</v>
      </c>
      <c r="J99" s="21">
        <v>76</v>
      </c>
      <c r="K99" s="278">
        <f t="shared" si="10"/>
        <v>8</v>
      </c>
      <c r="L99" s="99">
        <f t="shared" si="11"/>
        <v>0.5</v>
      </c>
      <c r="M99" s="62">
        <v>2.5298989999999999E-3</v>
      </c>
      <c r="O99"/>
    </row>
    <row r="100" spans="2:15" x14ac:dyDescent="0.3">
      <c r="B100" s="8" t="s">
        <v>6</v>
      </c>
      <c r="C100" s="21">
        <f>IF(ISERROR(VLOOKUP($B$93,'Backlog Volumes'!$B$83:$B$93,1,0)),0,AVERAGE(HLOOKUP($B$93&amp;B100,'Backlog Volumes'!$C$1:$V$27,MATCH($D$46,'Backlog Volumes'!$A$1:$A$27,0),0),HLOOKUP($B$93&amp;B100,'Backlog Volumes'!$C$1:$V$27,MATCH($D$48,'Backlog Volumes'!$A$1:$A$27,0),0))*(1-M100))</f>
        <v>12.967111313</v>
      </c>
      <c r="D100" s="58">
        <v>0.37</v>
      </c>
      <c r="E100" s="58">
        <v>1.8814207650000001</v>
      </c>
      <c r="F100" s="59">
        <v>0.21311475399999999</v>
      </c>
      <c r="G100" s="107">
        <v>0</v>
      </c>
      <c r="H100" s="239">
        <v>1.461538462</v>
      </c>
      <c r="I100" s="239">
        <v>0</v>
      </c>
      <c r="J100" s="21">
        <v>49</v>
      </c>
      <c r="K100" s="278">
        <f t="shared" si="10"/>
        <v>8</v>
      </c>
      <c r="L100" s="99">
        <f t="shared" si="11"/>
        <v>0.5</v>
      </c>
      <c r="M100" s="62">
        <v>2.5298989999999999E-3</v>
      </c>
      <c r="O100"/>
    </row>
    <row r="101" spans="2:15" x14ac:dyDescent="0.3">
      <c r="C101" s="1"/>
      <c r="D101" s="1"/>
      <c r="E101" s="1"/>
      <c r="F101" s="63"/>
      <c r="G101" s="63"/>
      <c r="H101" s="240"/>
      <c r="I101" s="240"/>
      <c r="M101" s="1"/>
      <c r="O101"/>
    </row>
    <row r="102" spans="2:15" x14ac:dyDescent="0.3">
      <c r="B102" s="42" t="s">
        <v>2</v>
      </c>
      <c r="C102" s="46"/>
      <c r="D102" s="46"/>
      <c r="E102" s="46"/>
      <c r="F102" s="64"/>
      <c r="G102" s="63"/>
      <c r="H102" s="240"/>
      <c r="I102" s="240"/>
      <c r="M102" s="1"/>
      <c r="O102"/>
    </row>
    <row r="103" spans="2:15" ht="43.2" x14ac:dyDescent="0.3">
      <c r="B103" s="47" t="s">
        <v>0</v>
      </c>
      <c r="C103" s="48" t="s">
        <v>9</v>
      </c>
      <c r="D103" s="49" t="s">
        <v>357</v>
      </c>
      <c r="E103" s="50" t="s">
        <v>358</v>
      </c>
      <c r="F103" s="51" t="s">
        <v>86</v>
      </c>
      <c r="G103" s="51" t="s">
        <v>87</v>
      </c>
      <c r="H103" s="238" t="s">
        <v>359</v>
      </c>
      <c r="I103" s="238" t="s">
        <v>360</v>
      </c>
      <c r="J103" s="51" t="s">
        <v>48</v>
      </c>
      <c r="K103" s="51" t="s">
        <v>18</v>
      </c>
      <c r="L103" s="220" t="s">
        <v>39</v>
      </c>
      <c r="M103" s="51" t="s">
        <v>40</v>
      </c>
      <c r="O103" s="103"/>
    </row>
    <row r="104" spans="2:15" x14ac:dyDescent="0.3">
      <c r="B104" s="42" t="s">
        <v>41</v>
      </c>
      <c r="C104" s="21">
        <f>SUM(C105:C109)</f>
        <v>243.1929977392615</v>
      </c>
      <c r="D104" s="58">
        <v>0.37</v>
      </c>
      <c r="E104" s="58">
        <v>6.0647980370000001</v>
      </c>
      <c r="F104" s="59">
        <v>1</v>
      </c>
      <c r="G104" s="107">
        <v>0.654586636</v>
      </c>
      <c r="H104" s="239">
        <v>10.375943752</v>
      </c>
      <c r="I104" s="239">
        <v>4.6827576439999996</v>
      </c>
      <c r="J104" s="21">
        <v>126</v>
      </c>
      <c r="K104" s="278">
        <f>$K$64</f>
        <v>8</v>
      </c>
      <c r="L104" s="99">
        <f>$L$64</f>
        <v>0.5</v>
      </c>
      <c r="M104" s="53"/>
      <c r="O104" s="103"/>
    </row>
    <row r="105" spans="2:15" x14ac:dyDescent="0.3">
      <c r="B105" s="42" t="s">
        <v>1</v>
      </c>
      <c r="C105" s="65">
        <f>IFERROR(IF(ISERROR(VLOOKUP($B$102,'Backlog Volumes'!$B$83:$B$93,1,0)),0,AVERAGE(HLOOKUP(B105,'Backlog Volumes'!$Y$30:$AC$56,MATCH($D$46,'Backlog Volumes'!$A$1:$A$27,0),0),HLOOKUP(B105,'Backlog Volumes'!$Y$30:$AC$56,MATCH($D$48,'Backlog Volumes'!$A$1:$A$27,0),0))*(1-M105)),0)</f>
        <v>47.841245456903877</v>
      </c>
      <c r="D105" s="58">
        <v>0.37</v>
      </c>
      <c r="E105" s="58">
        <v>4.5454096049999997</v>
      </c>
      <c r="F105" s="59">
        <v>1</v>
      </c>
      <c r="G105" s="107">
        <v>0.19491525400000001</v>
      </c>
      <c r="H105" s="239">
        <v>7.0247175139999998</v>
      </c>
      <c r="I105" s="239">
        <v>4.5928672319999997</v>
      </c>
      <c r="J105" s="21">
        <v>31</v>
      </c>
      <c r="K105" s="278">
        <f t="shared" ref="K105:K109" si="12">$K$64</f>
        <v>8</v>
      </c>
      <c r="L105" s="99">
        <f t="shared" ref="L105:L109" si="13">$L$64</f>
        <v>0.5</v>
      </c>
      <c r="M105" s="62">
        <v>6.1030896759608141E-2</v>
      </c>
      <c r="O105" s="204">
        <v>8.0932485373345493</v>
      </c>
    </row>
    <row r="106" spans="2:15" x14ac:dyDescent="0.3">
      <c r="B106" s="42" t="s">
        <v>3</v>
      </c>
      <c r="C106" s="65">
        <f>IFERROR(IF(ISERROR(VLOOKUP($B$102,'Backlog Volumes'!$B$83:$B$93,1,0)),0,AVERAGE(HLOOKUP(B106,'Backlog Volumes'!$Y$30:$AC$56,MATCH($D$46,'Backlog Volumes'!$A$1:$A$27,0),0),HLOOKUP(B106,'Backlog Volumes'!$Y$30:$AC$56,MATCH($D$48,'Backlog Volumes'!$A$1:$A$27,0),0))*(1-M106)),0)</f>
        <v>0</v>
      </c>
      <c r="D106" s="58">
        <v>0.37</v>
      </c>
      <c r="E106" s="58">
        <v>0</v>
      </c>
      <c r="F106" s="59">
        <v>0</v>
      </c>
      <c r="G106" s="107">
        <v>0</v>
      </c>
      <c r="H106" s="239">
        <v>0</v>
      </c>
      <c r="I106" s="239">
        <v>0</v>
      </c>
      <c r="J106" s="21">
        <v>0</v>
      </c>
      <c r="K106" s="278">
        <f t="shared" si="12"/>
        <v>8</v>
      </c>
      <c r="L106" s="99">
        <f t="shared" si="13"/>
        <v>0.5</v>
      </c>
      <c r="M106" s="62">
        <v>6.1030896759608141E-2</v>
      </c>
      <c r="O106" s="204">
        <v>0</v>
      </c>
    </row>
    <row r="107" spans="2:15" x14ac:dyDescent="0.3">
      <c r="B107" s="42" t="s">
        <v>4</v>
      </c>
      <c r="C107" s="65">
        <f>IFERROR(IF(ISERROR(VLOOKUP($B$102,'Backlog Volumes'!$B$83:$B$93,1,0)),0,AVERAGE(HLOOKUP(B107,'Backlog Volumes'!$Y$30:$AC$56,MATCH($D$46,'Backlog Volumes'!$A$1:$A$27,0),0),HLOOKUP(B107,'Backlog Volumes'!$Y$30:$AC$56,MATCH($D$48,'Backlog Volumes'!$A$1:$A$27,0),0))*(1-M107)),0)</f>
        <v>123.58988409700176</v>
      </c>
      <c r="D107" s="58">
        <v>0.37</v>
      </c>
      <c r="E107" s="58">
        <v>6.8447756960000001</v>
      </c>
      <c r="F107" s="59">
        <v>1</v>
      </c>
      <c r="G107" s="107">
        <v>0.88415672899999997</v>
      </c>
      <c r="H107" s="239">
        <v>12.005181715000001</v>
      </c>
      <c r="I107" s="239">
        <v>5.0222174900000001</v>
      </c>
      <c r="J107" s="21">
        <v>60</v>
      </c>
      <c r="K107" s="278">
        <f t="shared" si="12"/>
        <v>8</v>
      </c>
      <c r="L107" s="99">
        <f t="shared" si="13"/>
        <v>0.5</v>
      </c>
      <c r="M107" s="62">
        <v>6.1030896759608141E-2</v>
      </c>
      <c r="O107" s="204">
        <v>20.9075587214476</v>
      </c>
    </row>
    <row r="108" spans="2:15" x14ac:dyDescent="0.3">
      <c r="B108" s="42" t="s">
        <v>5</v>
      </c>
      <c r="C108" s="65">
        <f>IFERROR(IF(ISERROR(VLOOKUP($B$102,'Backlog Volumes'!$B$83:$B$93,1,0)),0,AVERAGE(HLOOKUP(B108,'Backlog Volumes'!$Y$30:$AC$56,MATCH($D$46,'Backlog Volumes'!$A$1:$A$27,0),0),HLOOKUP(B108,'Backlog Volumes'!$Y$30:$AC$56,MATCH($D$48,'Backlog Volumes'!$A$1:$A$27,0),0))*(1-M108)),0)</f>
        <v>71.761868185355866</v>
      </c>
      <c r="D108" s="58">
        <v>0.37</v>
      </c>
      <c r="E108" s="58">
        <v>4.4102777780000002</v>
      </c>
      <c r="F108" s="59">
        <v>1</v>
      </c>
      <c r="G108" s="107">
        <v>0.21666666700000001</v>
      </c>
      <c r="H108" s="239">
        <v>7.6180555559999998</v>
      </c>
      <c r="I108" s="239">
        <v>1.7152777779999999</v>
      </c>
      <c r="J108" s="21">
        <v>35</v>
      </c>
      <c r="K108" s="278">
        <f t="shared" si="12"/>
        <v>8</v>
      </c>
      <c r="L108" s="99">
        <f t="shared" si="13"/>
        <v>0.5</v>
      </c>
      <c r="M108" s="62">
        <v>6.1030896759608141E-2</v>
      </c>
      <c r="O108" s="204">
        <v>12.139872806001831</v>
      </c>
    </row>
    <row r="109" spans="2:15" x14ac:dyDescent="0.3">
      <c r="B109" s="8" t="s">
        <v>6</v>
      </c>
      <c r="C109" s="65">
        <f>IFERROR(IF(ISERROR(VLOOKUP($B$102,'Backlog Volumes'!$B$83:$B$93,1,0)),0,AVERAGE(HLOOKUP(B109,'Backlog Volumes'!$Y$30:$AC$56,MATCH($D$46,'Backlog Volumes'!$A$1:$A$27,0),0),HLOOKUP(B109,'Backlog Volumes'!$Y$30:$AC$56,MATCH($D$48,'Backlog Volumes'!$A$1:$A$27,0),0))*(1-M109)),0)</f>
        <v>0</v>
      </c>
      <c r="D109" s="58">
        <v>0.37</v>
      </c>
      <c r="E109" s="58">
        <v>0</v>
      </c>
      <c r="F109" s="59">
        <v>0</v>
      </c>
      <c r="G109" s="107">
        <v>0</v>
      </c>
      <c r="H109" s="239">
        <v>0</v>
      </c>
      <c r="I109" s="239">
        <v>0</v>
      </c>
      <c r="J109" s="21">
        <v>0</v>
      </c>
      <c r="K109" s="278">
        <f t="shared" si="12"/>
        <v>8</v>
      </c>
      <c r="L109" s="99">
        <f t="shared" si="13"/>
        <v>0.5</v>
      </c>
      <c r="M109" s="62">
        <v>6.1030896759608141E-2</v>
      </c>
      <c r="O109" s="205">
        <v>0</v>
      </c>
    </row>
    <row r="110" spans="2:15" x14ac:dyDescent="0.3">
      <c r="C110" s="1"/>
      <c r="D110" s="1"/>
      <c r="E110" s="1"/>
      <c r="F110" s="1"/>
      <c r="G110" s="1"/>
      <c r="H110" s="240"/>
      <c r="I110" s="240"/>
      <c r="M110" s="1"/>
      <c r="O110" s="103"/>
    </row>
    <row r="111" spans="2:15" x14ac:dyDescent="0.3">
      <c r="B111" s="42" t="s">
        <v>28</v>
      </c>
      <c r="C111" s="255" t="s">
        <v>391</v>
      </c>
      <c r="D111" s="46"/>
      <c r="E111" s="46"/>
      <c r="F111" s="46"/>
      <c r="G111" s="1"/>
      <c r="H111" s="240"/>
      <c r="I111" s="240"/>
      <c r="M111" s="1"/>
      <c r="O111" s="103"/>
    </row>
    <row r="112" spans="2:15" ht="43.2" x14ac:dyDescent="0.3">
      <c r="B112" s="47" t="s">
        <v>0</v>
      </c>
      <c r="C112" s="48" t="s">
        <v>9</v>
      </c>
      <c r="D112" s="49" t="s">
        <v>357</v>
      </c>
      <c r="E112" s="50" t="s">
        <v>358</v>
      </c>
      <c r="F112" s="51" t="s">
        <v>86</v>
      </c>
      <c r="G112" s="51" t="s">
        <v>87</v>
      </c>
      <c r="H112" s="238" t="s">
        <v>359</v>
      </c>
      <c r="I112" s="238" t="s">
        <v>360</v>
      </c>
      <c r="J112" s="51" t="s">
        <v>48</v>
      </c>
      <c r="K112" s="51" t="s">
        <v>18</v>
      </c>
      <c r="L112" s="220" t="s">
        <v>39</v>
      </c>
      <c r="M112" s="51" t="s">
        <v>40</v>
      </c>
      <c r="O112" s="103"/>
    </row>
    <row r="113" spans="2:15" x14ac:dyDescent="0.3">
      <c r="B113" s="42" t="s">
        <v>41</v>
      </c>
      <c r="C113" s="21">
        <f>SUM(C114:C118)</f>
        <v>295.00000000000006</v>
      </c>
      <c r="D113" s="58">
        <v>0.37</v>
      </c>
      <c r="E113" s="66">
        <v>3.25</v>
      </c>
      <c r="F113" s="67">
        <v>1</v>
      </c>
      <c r="G113" s="107">
        <v>1</v>
      </c>
      <c r="H113" s="241">
        <v>7</v>
      </c>
      <c r="I113" s="241">
        <v>3</v>
      </c>
      <c r="J113" s="21">
        <v>131</v>
      </c>
      <c r="K113" s="278">
        <f>$K$64</f>
        <v>8</v>
      </c>
      <c r="L113" s="99">
        <f>$L$64</f>
        <v>0.5</v>
      </c>
      <c r="M113" s="68"/>
      <c r="O113" s="103"/>
    </row>
    <row r="114" spans="2:15" x14ac:dyDescent="0.3">
      <c r="B114" s="42" t="s">
        <v>1</v>
      </c>
      <c r="C114" s="65">
        <f>IF(ISERROR(VLOOKUP($B$111,'Backlog Volumes'!$B$83:$B$93,1,0)),0,VLOOKUP(B114,'Backlog Volumes'!$B$142:$D$147,3,0))</f>
        <v>77.4375</v>
      </c>
      <c r="D114" s="58">
        <v>0.37</v>
      </c>
      <c r="E114" s="66">
        <v>3.25</v>
      </c>
      <c r="F114" s="67">
        <v>1</v>
      </c>
      <c r="G114" s="107">
        <v>1</v>
      </c>
      <c r="H114" s="241">
        <v>7</v>
      </c>
      <c r="I114" s="241">
        <v>3</v>
      </c>
      <c r="J114" s="21">
        <v>37</v>
      </c>
      <c r="K114" s="278">
        <f t="shared" ref="K114:K118" si="14">$K$64</f>
        <v>8</v>
      </c>
      <c r="L114" s="99">
        <f t="shared" ref="L114:L118" si="15">$L$64</f>
        <v>0.5</v>
      </c>
      <c r="M114" s="68"/>
      <c r="O114" s="206"/>
    </row>
    <row r="115" spans="2:15" x14ac:dyDescent="0.3">
      <c r="B115" s="42" t="s">
        <v>3</v>
      </c>
      <c r="C115" s="65">
        <f>IF(ISERROR(VLOOKUP($B$111,'Backlog Volumes'!$B$83:$B$93,1,0)),0,VLOOKUP(B115,'Backlog Volumes'!$B$142:$D$147,3,0))</f>
        <v>71.291666666666671</v>
      </c>
      <c r="D115" s="58">
        <v>0.37</v>
      </c>
      <c r="E115" s="66">
        <v>3.25</v>
      </c>
      <c r="F115" s="67">
        <v>1</v>
      </c>
      <c r="G115" s="107">
        <v>1</v>
      </c>
      <c r="H115" s="241">
        <v>6</v>
      </c>
      <c r="I115" s="241">
        <v>2</v>
      </c>
      <c r="J115" s="21">
        <v>38</v>
      </c>
      <c r="K115" s="278">
        <f t="shared" si="14"/>
        <v>8</v>
      </c>
      <c r="L115" s="99">
        <f t="shared" si="15"/>
        <v>0.5</v>
      </c>
      <c r="M115" s="68"/>
      <c r="O115" s="206"/>
    </row>
    <row r="116" spans="2:15" x14ac:dyDescent="0.3">
      <c r="B116" s="42" t="s">
        <v>4</v>
      </c>
      <c r="C116" s="65">
        <f>IF(ISERROR(VLOOKUP($B$111,'Backlog Volumes'!$B$83:$B$93,1,0)),0,VLOOKUP(B116,'Backlog Volumes'!$B$142:$D$147,3,0))</f>
        <v>86.041666666666671</v>
      </c>
      <c r="D116" s="58">
        <v>0.37</v>
      </c>
      <c r="E116" s="66">
        <v>3.25</v>
      </c>
      <c r="F116" s="67">
        <v>1</v>
      </c>
      <c r="G116" s="107">
        <v>1</v>
      </c>
      <c r="H116" s="241">
        <v>7</v>
      </c>
      <c r="I116" s="241">
        <v>3</v>
      </c>
      <c r="J116" s="21">
        <v>21</v>
      </c>
      <c r="K116" s="278">
        <f t="shared" si="14"/>
        <v>8</v>
      </c>
      <c r="L116" s="99">
        <f t="shared" si="15"/>
        <v>0.5</v>
      </c>
      <c r="M116" s="68"/>
      <c r="O116" s="206"/>
    </row>
    <row r="117" spans="2:15" x14ac:dyDescent="0.3">
      <c r="B117" s="42" t="s">
        <v>5</v>
      </c>
      <c r="C117" s="65">
        <f>IF(ISERROR(VLOOKUP($B$111,'Backlog Volumes'!$B$83:$B$93,1,0)),0,VLOOKUP(B117,'Backlog Volumes'!$B$142:$D$147,3,0))</f>
        <v>36.875</v>
      </c>
      <c r="D117" s="58">
        <v>0.37</v>
      </c>
      <c r="E117" s="66">
        <v>3.25</v>
      </c>
      <c r="F117" s="67">
        <v>1</v>
      </c>
      <c r="G117" s="107">
        <v>1</v>
      </c>
      <c r="H117" s="241">
        <v>8</v>
      </c>
      <c r="I117" s="241">
        <v>3</v>
      </c>
      <c r="J117" s="21">
        <v>18</v>
      </c>
      <c r="K117" s="278">
        <f t="shared" si="14"/>
        <v>8</v>
      </c>
      <c r="L117" s="99">
        <f t="shared" si="15"/>
        <v>0.5</v>
      </c>
      <c r="M117" s="68"/>
      <c r="O117" s="206"/>
    </row>
    <row r="118" spans="2:15" x14ac:dyDescent="0.3">
      <c r="B118" s="8" t="s">
        <v>6</v>
      </c>
      <c r="C118" s="65">
        <f>IF(ISERROR(VLOOKUP($B$111,'Backlog Volumes'!$B$83:$B$93,1,0)),0,VLOOKUP(B118,'Backlog Volumes'!$B$142:$D$147,3,0))</f>
        <v>23.354166666666668</v>
      </c>
      <c r="D118" s="58">
        <v>0.37</v>
      </c>
      <c r="E118" s="66">
        <v>3.25</v>
      </c>
      <c r="F118" s="67">
        <v>1</v>
      </c>
      <c r="G118" s="107">
        <v>1</v>
      </c>
      <c r="H118" s="241">
        <v>7</v>
      </c>
      <c r="I118" s="241">
        <v>3</v>
      </c>
      <c r="J118" s="21">
        <v>17</v>
      </c>
      <c r="K118" s="278">
        <f t="shared" si="14"/>
        <v>8</v>
      </c>
      <c r="L118" s="99">
        <f t="shared" si="15"/>
        <v>0.5</v>
      </c>
      <c r="M118" s="68"/>
      <c r="O118" s="206"/>
    </row>
    <row r="119" spans="2:15" x14ac:dyDescent="0.3">
      <c r="C119" s="35"/>
      <c r="D119" s="35"/>
      <c r="E119" s="35"/>
      <c r="F119" s="35"/>
      <c r="G119" s="35"/>
      <c r="H119" s="242"/>
      <c r="I119" s="242"/>
      <c r="M119" s="1"/>
      <c r="O119" s="103"/>
    </row>
    <row r="120" spans="2:15" x14ac:dyDescent="0.3">
      <c r="B120" s="42" t="s">
        <v>46</v>
      </c>
      <c r="C120" s="255" t="s">
        <v>391</v>
      </c>
      <c r="D120" s="69"/>
      <c r="E120" s="69"/>
      <c r="F120" s="69"/>
      <c r="G120" s="70"/>
      <c r="H120" s="243"/>
      <c r="I120" s="243"/>
      <c r="M120" s="1"/>
      <c r="O120" s="103"/>
    </row>
    <row r="121" spans="2:15" ht="43.2" x14ac:dyDescent="0.3">
      <c r="B121" s="47" t="s">
        <v>0</v>
      </c>
      <c r="C121" s="50" t="s">
        <v>9</v>
      </c>
      <c r="D121" s="49" t="s">
        <v>357</v>
      </c>
      <c r="E121" s="50" t="s">
        <v>358</v>
      </c>
      <c r="F121" s="51" t="s">
        <v>86</v>
      </c>
      <c r="G121" s="51" t="s">
        <v>87</v>
      </c>
      <c r="H121" s="238" t="s">
        <v>359</v>
      </c>
      <c r="I121" s="238" t="s">
        <v>360</v>
      </c>
      <c r="J121" s="51" t="s">
        <v>48</v>
      </c>
      <c r="K121" s="51" t="s">
        <v>18</v>
      </c>
      <c r="L121" s="220" t="s">
        <v>39</v>
      </c>
      <c r="M121" s="51" t="s">
        <v>40</v>
      </c>
      <c r="O121" s="103"/>
    </row>
    <row r="122" spans="2:15" x14ac:dyDescent="0.3">
      <c r="B122" s="42" t="s">
        <v>41</v>
      </c>
      <c r="C122" s="21">
        <f>SUM(C123:C127)</f>
        <v>175</v>
      </c>
      <c r="D122" s="58">
        <v>0.37</v>
      </c>
      <c r="E122" s="66">
        <v>3.25</v>
      </c>
      <c r="F122" s="67">
        <v>1</v>
      </c>
      <c r="G122" s="107">
        <v>1</v>
      </c>
      <c r="H122" s="241">
        <v>8</v>
      </c>
      <c r="I122" s="241">
        <v>4</v>
      </c>
      <c r="J122" s="21">
        <v>131</v>
      </c>
      <c r="K122" s="278">
        <f>$K$64</f>
        <v>8</v>
      </c>
      <c r="L122" s="99">
        <f>$L$64</f>
        <v>0.5</v>
      </c>
      <c r="M122" s="68"/>
      <c r="O122" s="103"/>
    </row>
    <row r="123" spans="2:15" x14ac:dyDescent="0.3">
      <c r="B123" s="42" t="s">
        <v>1</v>
      </c>
      <c r="C123" s="65">
        <f>IF(ISERROR(VLOOKUP($B$120,'Backlog Volumes'!$B$83:$B$93,1,0)),0,VLOOKUP(B123,'Backlog Volumes'!$B$151:$D$156,3,0))</f>
        <v>28.624535315985131</v>
      </c>
      <c r="D123" s="58">
        <v>0.37</v>
      </c>
      <c r="E123" s="66">
        <v>3.25</v>
      </c>
      <c r="F123" s="67">
        <v>1</v>
      </c>
      <c r="G123" s="107">
        <v>1</v>
      </c>
      <c r="H123" s="241">
        <v>8</v>
      </c>
      <c r="I123" s="241">
        <v>4</v>
      </c>
      <c r="J123" s="21">
        <v>37</v>
      </c>
      <c r="K123" s="278">
        <f t="shared" ref="K123:K127" si="16">$K$64</f>
        <v>8</v>
      </c>
      <c r="L123" s="99">
        <f t="shared" ref="L123:L127" si="17">$L$64</f>
        <v>0.5</v>
      </c>
      <c r="M123" s="68"/>
      <c r="O123" s="206"/>
    </row>
    <row r="124" spans="2:15" x14ac:dyDescent="0.3">
      <c r="B124" s="42" t="s">
        <v>3</v>
      </c>
      <c r="C124" s="65">
        <f>IF(ISERROR(VLOOKUP($B$120,'Backlog Volumes'!$B$83:$B$93,1,0)),0,VLOOKUP(B124,'Backlog Volumes'!$B$151:$D$156,3,0))</f>
        <v>63.754646840148702</v>
      </c>
      <c r="D124" s="58">
        <v>0.37</v>
      </c>
      <c r="E124" s="66">
        <v>3.25</v>
      </c>
      <c r="F124" s="67">
        <v>1</v>
      </c>
      <c r="G124" s="107">
        <v>1</v>
      </c>
      <c r="H124" s="241">
        <v>7</v>
      </c>
      <c r="I124" s="241">
        <v>4</v>
      </c>
      <c r="J124" s="21">
        <v>38</v>
      </c>
      <c r="K124" s="278">
        <f t="shared" si="16"/>
        <v>8</v>
      </c>
      <c r="L124" s="99">
        <f t="shared" si="17"/>
        <v>0.5</v>
      </c>
      <c r="M124" s="68"/>
      <c r="O124" s="206"/>
    </row>
    <row r="125" spans="2:15" x14ac:dyDescent="0.3">
      <c r="B125" s="42" t="s">
        <v>4</v>
      </c>
      <c r="C125" s="65">
        <f>IF(ISERROR(VLOOKUP($B$120,'Backlog Volumes'!$B$83:$B$93,1,0)),0,VLOOKUP(B125,'Backlog Volumes'!$B$151:$D$156,3,0))</f>
        <v>50.743494423791823</v>
      </c>
      <c r="D125" s="58">
        <v>0.37</v>
      </c>
      <c r="E125" s="66">
        <v>3.25</v>
      </c>
      <c r="F125" s="67">
        <v>1</v>
      </c>
      <c r="G125" s="107">
        <v>1</v>
      </c>
      <c r="H125" s="241">
        <v>8</v>
      </c>
      <c r="I125" s="241">
        <v>4</v>
      </c>
      <c r="J125" s="21">
        <v>21</v>
      </c>
      <c r="K125" s="278">
        <f t="shared" si="16"/>
        <v>8</v>
      </c>
      <c r="L125" s="99">
        <f t="shared" si="17"/>
        <v>0.5</v>
      </c>
      <c r="M125" s="68"/>
      <c r="O125" s="206"/>
    </row>
    <row r="126" spans="2:15" x14ac:dyDescent="0.3">
      <c r="B126" s="42" t="s">
        <v>5</v>
      </c>
      <c r="C126" s="65">
        <f>IF(ISERROR(VLOOKUP($B$120,'Backlog Volumes'!$B$83:$B$93,1,0)),0,VLOOKUP(B126,'Backlog Volumes'!$B$151:$D$156,3,0))</f>
        <v>20.167286245353161</v>
      </c>
      <c r="D126" s="58">
        <v>0.37</v>
      </c>
      <c r="E126" s="66">
        <v>3.25</v>
      </c>
      <c r="F126" s="67">
        <v>1</v>
      </c>
      <c r="G126" s="107">
        <v>1</v>
      </c>
      <c r="H126" s="241">
        <v>10</v>
      </c>
      <c r="I126" s="241">
        <v>5</v>
      </c>
      <c r="J126" s="21">
        <v>18</v>
      </c>
      <c r="K126" s="278">
        <f t="shared" si="16"/>
        <v>8</v>
      </c>
      <c r="L126" s="99">
        <f t="shared" si="17"/>
        <v>0.5</v>
      </c>
      <c r="M126" s="68"/>
      <c r="O126" s="206"/>
    </row>
    <row r="127" spans="2:15" x14ac:dyDescent="0.3">
      <c r="B127" s="8" t="s">
        <v>6</v>
      </c>
      <c r="C127" s="65">
        <f>IF(ISERROR(VLOOKUP($B$120,'Backlog Volumes'!$B$83:$B$93,1,0)),0,VLOOKUP(B127,'Backlog Volumes'!$B$151:$D$156,3,0))</f>
        <v>11.71003717472119</v>
      </c>
      <c r="D127" s="58">
        <v>0.37</v>
      </c>
      <c r="E127" s="66">
        <v>3.25</v>
      </c>
      <c r="F127" s="67">
        <v>1</v>
      </c>
      <c r="G127" s="107">
        <v>1</v>
      </c>
      <c r="H127" s="241">
        <v>4</v>
      </c>
      <c r="I127" s="241">
        <v>3</v>
      </c>
      <c r="J127" s="21">
        <v>17</v>
      </c>
      <c r="K127" s="278">
        <f t="shared" si="16"/>
        <v>8</v>
      </c>
      <c r="L127" s="99">
        <f t="shared" si="17"/>
        <v>0.5</v>
      </c>
      <c r="M127" s="68"/>
      <c r="O127" s="206"/>
    </row>
    <row r="128" spans="2:15" x14ac:dyDescent="0.3">
      <c r="H128" s="244"/>
      <c r="I128" s="244"/>
      <c r="M128" s="1"/>
      <c r="O128"/>
    </row>
    <row r="129" spans="2:17" x14ac:dyDescent="0.3">
      <c r="B129" s="42" t="s">
        <v>110</v>
      </c>
      <c r="C129" s="69"/>
      <c r="D129" s="69"/>
      <c r="E129" s="69"/>
      <c r="F129" s="69"/>
      <c r="G129" s="70"/>
      <c r="H129" s="243"/>
      <c r="I129" s="243"/>
      <c r="M129" s="1"/>
      <c r="O129"/>
    </row>
    <row r="130" spans="2:17" ht="43.2" x14ac:dyDescent="0.3">
      <c r="B130" s="47" t="s">
        <v>0</v>
      </c>
      <c r="C130" s="50" t="s">
        <v>9</v>
      </c>
      <c r="D130" s="49" t="s">
        <v>357</v>
      </c>
      <c r="E130" s="50" t="s">
        <v>358</v>
      </c>
      <c r="F130" s="51" t="s">
        <v>86</v>
      </c>
      <c r="G130" s="51" t="s">
        <v>87</v>
      </c>
      <c r="H130" s="238" t="s">
        <v>359</v>
      </c>
      <c r="I130" s="238" t="s">
        <v>360</v>
      </c>
      <c r="J130" s="51" t="s">
        <v>48</v>
      </c>
      <c r="K130" s="51" t="s">
        <v>18</v>
      </c>
      <c r="L130" s="220" t="s">
        <v>39</v>
      </c>
      <c r="M130" s="51" t="s">
        <v>40</v>
      </c>
      <c r="O130"/>
    </row>
    <row r="131" spans="2:17" x14ac:dyDescent="0.3">
      <c r="B131" s="42" t="s">
        <v>41</v>
      </c>
      <c r="C131" s="21">
        <f>SUM(C132:C136)</f>
        <v>20400.1284089</v>
      </c>
      <c r="D131" s="58">
        <v>0.37</v>
      </c>
      <c r="E131" s="66">
        <v>1.359893198</v>
      </c>
      <c r="F131" s="67">
        <v>0.26578918600000001</v>
      </c>
      <c r="G131" s="60">
        <v>1.8789E-2</v>
      </c>
      <c r="H131" s="241">
        <v>3.6850501200000001</v>
      </c>
      <c r="I131" s="241">
        <v>0.49227944800000001</v>
      </c>
      <c r="J131" s="21">
        <f>SUM(J132:J136)</f>
        <v>842</v>
      </c>
      <c r="K131" s="278">
        <f>$K$64</f>
        <v>8</v>
      </c>
      <c r="L131" s="99">
        <f>$L$64</f>
        <v>0.5</v>
      </c>
      <c r="M131" s="68"/>
      <c r="O131"/>
      <c r="Q131" s="105"/>
    </row>
    <row r="132" spans="2:17" x14ac:dyDescent="0.3">
      <c r="B132" s="42" t="s">
        <v>1</v>
      </c>
      <c r="C132" s="21">
        <f>IF(ISERROR(VLOOKUP($B$129,'Backlog Volumes'!$B$83:$B$93,1,0)),0,AVERAGE(HLOOKUP($B$129&amp;B132,'Backlog Volumes'!$C$30:$V$56,MATCH($D$46,'Backlog Volumes'!$A$1:$A$27,0),0),HLOOKUP($B$129&amp;B132,'Backlog Volumes'!$C$30:$V$56,MATCH($D$48,'Backlog Volumes'!$A$1:$A$27,0),0))*(1-M132))</f>
        <v>5361.4551654000006</v>
      </c>
      <c r="D132" s="58">
        <v>0.37</v>
      </c>
      <c r="E132" s="66">
        <v>1.2800227740000001</v>
      </c>
      <c r="F132" s="67">
        <v>0.24466850200000001</v>
      </c>
      <c r="G132" s="60">
        <v>1.8738999999999999E-2</v>
      </c>
      <c r="H132" s="241">
        <v>3.6371040620000001</v>
      </c>
      <c r="I132" s="241">
        <v>0.41977881700000003</v>
      </c>
      <c r="J132" s="21">
        <v>252</v>
      </c>
      <c r="K132" s="278">
        <f t="shared" ref="K132:K136" si="18">$K$64</f>
        <v>8</v>
      </c>
      <c r="L132" s="99">
        <f t="shared" ref="L132:L136" si="19">$L$64</f>
        <v>0.5</v>
      </c>
      <c r="M132" s="68"/>
      <c r="O132"/>
      <c r="Q132" s="105"/>
    </row>
    <row r="133" spans="2:17" x14ac:dyDescent="0.3">
      <c r="B133" s="42" t="s">
        <v>3</v>
      </c>
      <c r="C133" s="21">
        <f>IF(ISERROR(VLOOKUP($B$129,'Backlog Volumes'!$B$83:$B$93,1,0)),0,AVERAGE(HLOOKUP($B$129&amp;B133,'Backlog Volumes'!$C$30:$V$56,MATCH($D$46,'Backlog Volumes'!$A$1:$A$27,0),0),HLOOKUP($B$129&amp;B133,'Backlog Volumes'!$C$30:$V$56,MATCH($D$48,'Backlog Volumes'!$A$1:$A$27,0),0))*(1-M133))</f>
        <v>5857.8555921999996</v>
      </c>
      <c r="D133" s="58">
        <v>0.37</v>
      </c>
      <c r="E133" s="66">
        <v>1.2355094200000001</v>
      </c>
      <c r="F133" s="67">
        <v>0.29349542200000001</v>
      </c>
      <c r="G133" s="60">
        <v>7.0650499999999998E-3</v>
      </c>
      <c r="H133" s="241">
        <v>3.6092209070000001</v>
      </c>
      <c r="I133" s="241">
        <v>0.25104222700000001</v>
      </c>
      <c r="J133" s="21">
        <v>196</v>
      </c>
      <c r="K133" s="278">
        <f t="shared" si="18"/>
        <v>8</v>
      </c>
      <c r="L133" s="99">
        <f t="shared" si="19"/>
        <v>0.5</v>
      </c>
      <c r="M133" s="68"/>
      <c r="O133"/>
    </row>
    <row r="134" spans="2:17" x14ac:dyDescent="0.3">
      <c r="B134" s="42" t="s">
        <v>4</v>
      </c>
      <c r="C134" s="21">
        <f>IF(ISERROR(VLOOKUP($B$129,'Backlog Volumes'!$B$83:$B$93,1,0)),0,AVERAGE(HLOOKUP($B$129&amp;B134,'Backlog Volumes'!$C$30:$V$56,MATCH($D$46,'Backlog Volumes'!$A$1:$A$27,0),0),HLOOKUP($B$129&amp;B134,'Backlog Volumes'!$C$30:$V$56,MATCH($D$48,'Backlog Volumes'!$A$1:$A$27,0),0))*(1-M134))</f>
        <v>2097.5463597999997</v>
      </c>
      <c r="D134" s="58">
        <v>0.37</v>
      </c>
      <c r="E134" s="66">
        <v>1.944672835</v>
      </c>
      <c r="F134" s="67">
        <v>0.39224927999999998</v>
      </c>
      <c r="G134" s="60">
        <v>5.9439600000000002E-2</v>
      </c>
      <c r="H134" s="241">
        <v>4.296413737</v>
      </c>
      <c r="I134" s="241">
        <v>1.192812639</v>
      </c>
      <c r="J134" s="21">
        <v>128</v>
      </c>
      <c r="K134" s="278">
        <f t="shared" si="18"/>
        <v>8</v>
      </c>
      <c r="L134" s="99">
        <f t="shared" si="19"/>
        <v>0.5</v>
      </c>
      <c r="M134" s="68"/>
      <c r="O134"/>
    </row>
    <row r="135" spans="2:17" x14ac:dyDescent="0.3">
      <c r="B135" s="42" t="s">
        <v>5</v>
      </c>
      <c r="C135" s="21">
        <f>IF(ISERROR(VLOOKUP($B$129,'Backlog Volumes'!$B$83:$B$93,1,0)),0,AVERAGE(HLOOKUP($B$129&amp;B135,'Backlog Volumes'!$C$30:$V$56,MATCH($D$46,'Backlog Volumes'!$A$1:$A$27,0),0),HLOOKUP($B$129&amp;B135,'Backlog Volumes'!$C$30:$V$56,MATCH($D$48,'Backlog Volumes'!$A$1:$A$27,0),0))*(1-M135))</f>
        <v>5671.3179248000006</v>
      </c>
      <c r="D135" s="58">
        <v>0.37</v>
      </c>
      <c r="E135" s="66">
        <v>1.341588639</v>
      </c>
      <c r="F135" s="67">
        <v>0.212085887</v>
      </c>
      <c r="G135" s="60">
        <v>1.25597E-2</v>
      </c>
      <c r="H135" s="241">
        <v>3.1987662530000001</v>
      </c>
      <c r="I135" s="241">
        <v>0.37663268300000002</v>
      </c>
      <c r="J135" s="21">
        <v>193</v>
      </c>
      <c r="K135" s="278">
        <f t="shared" si="18"/>
        <v>8</v>
      </c>
      <c r="L135" s="99">
        <f t="shared" si="19"/>
        <v>0.5</v>
      </c>
      <c r="M135" s="68"/>
      <c r="O135"/>
    </row>
    <row r="136" spans="2:17" x14ac:dyDescent="0.3">
      <c r="B136" s="8" t="s">
        <v>6</v>
      </c>
      <c r="C136" s="21">
        <f>IF(ISERROR(VLOOKUP($B$129,'Backlog Volumes'!$B$83:$B$93,1,0)),0,AVERAGE(HLOOKUP($B$129&amp;B136,'Backlog Volumes'!$C$30:$V$56,MATCH($D$46,'Backlog Volumes'!$A$1:$A$27,0),0),HLOOKUP($B$129&amp;B136,'Backlog Volumes'!$C$30:$V$56,MATCH($D$48,'Backlog Volumes'!$A$1:$A$27,0),0))*(1-M136))</f>
        <v>1411.9533666999998</v>
      </c>
      <c r="D136" s="58">
        <v>0.37</v>
      </c>
      <c r="E136" s="66">
        <v>1.2672526230000001</v>
      </c>
      <c r="F136" s="67">
        <v>0.25361497</v>
      </c>
      <c r="G136" s="60">
        <v>1.8571000000000001E-2</v>
      </c>
      <c r="H136" s="241">
        <v>4.1952440839999996</v>
      </c>
      <c r="I136" s="241">
        <v>0.398779579</v>
      </c>
      <c r="J136" s="21">
        <v>73</v>
      </c>
      <c r="K136" s="278">
        <f t="shared" si="18"/>
        <v>8</v>
      </c>
      <c r="L136" s="99">
        <f t="shared" si="19"/>
        <v>0.5</v>
      </c>
      <c r="M136" s="68"/>
      <c r="O136"/>
    </row>
    <row r="137" spans="2:17" x14ac:dyDescent="0.3">
      <c r="H137" s="244"/>
      <c r="I137" s="244"/>
      <c r="M137" s="1"/>
      <c r="O137"/>
    </row>
    <row r="138" spans="2:17" x14ac:dyDescent="0.3">
      <c r="B138" s="42" t="s">
        <v>111</v>
      </c>
      <c r="C138" s="69"/>
      <c r="D138" s="69"/>
      <c r="E138" s="69"/>
      <c r="F138" s="69"/>
      <c r="G138" s="70"/>
      <c r="H138" s="243"/>
      <c r="I138" s="243"/>
      <c r="M138" s="1"/>
      <c r="O138"/>
    </row>
    <row r="139" spans="2:17" ht="43.2" x14ac:dyDescent="0.3">
      <c r="B139" s="47" t="s">
        <v>0</v>
      </c>
      <c r="C139" s="50" t="s">
        <v>9</v>
      </c>
      <c r="D139" s="49" t="s">
        <v>357</v>
      </c>
      <c r="E139" s="50" t="s">
        <v>358</v>
      </c>
      <c r="F139" s="51" t="s">
        <v>86</v>
      </c>
      <c r="G139" s="51" t="s">
        <v>87</v>
      </c>
      <c r="H139" s="238" t="s">
        <v>359</v>
      </c>
      <c r="I139" s="238" t="s">
        <v>360</v>
      </c>
      <c r="J139" s="51" t="s">
        <v>48</v>
      </c>
      <c r="K139" s="51" t="s">
        <v>18</v>
      </c>
      <c r="L139" s="220" t="s">
        <v>39</v>
      </c>
      <c r="M139" s="51" t="s">
        <v>40</v>
      </c>
      <c r="O139"/>
    </row>
    <row r="140" spans="2:17" x14ac:dyDescent="0.3">
      <c r="B140" s="42" t="s">
        <v>41</v>
      </c>
      <c r="C140" s="21">
        <f>SUM(C141:C145)</f>
        <v>107872.8603289</v>
      </c>
      <c r="D140" s="58">
        <v>0.37</v>
      </c>
      <c r="E140" s="66">
        <v>1.0466172199999999</v>
      </c>
      <c r="F140" s="67">
        <v>0.20894348700000001</v>
      </c>
      <c r="G140" s="60">
        <v>6.0656900000000003E-3</v>
      </c>
      <c r="H140" s="241">
        <v>2.3340695440000001</v>
      </c>
      <c r="I140" s="241">
        <v>0.124648414</v>
      </c>
      <c r="J140" s="21">
        <f>SUM(J141:J145)</f>
        <v>842</v>
      </c>
      <c r="K140" s="278">
        <f>$K$64</f>
        <v>8</v>
      </c>
      <c r="L140" s="99">
        <f>$L$64</f>
        <v>0.5</v>
      </c>
      <c r="M140" s="68"/>
      <c r="O140"/>
    </row>
    <row r="141" spans="2:17" x14ac:dyDescent="0.3">
      <c r="B141" s="42" t="s">
        <v>1</v>
      </c>
      <c r="C141" s="21">
        <f>IF(ISERROR(VLOOKUP($B$138,'Backlog Volumes'!$B$83:$B$93,1,0)),0,AVERAGE(HLOOKUP($B$138&amp;B141,'Backlog Volumes'!$C$30:$V$56,MATCH($D$46,'Backlog Volumes'!$A$1:$A$27,0),0),HLOOKUP($B$138&amp;B141,'Backlog Volumes'!$C$30:$V$56,MATCH($D$48,'Backlog Volumes'!$A$1:$A$27,0),0))*(1-M141))</f>
        <v>34660.206838999999</v>
      </c>
      <c r="D141" s="58">
        <v>0.37</v>
      </c>
      <c r="E141" s="66">
        <v>0.97850036699999998</v>
      </c>
      <c r="F141" s="67">
        <v>0.19915643299999999</v>
      </c>
      <c r="G141" s="60">
        <v>5.50185E-3</v>
      </c>
      <c r="H141" s="241">
        <v>2.4757806059999998</v>
      </c>
      <c r="I141" s="241">
        <v>0.129221643</v>
      </c>
      <c r="J141" s="21">
        <v>252</v>
      </c>
      <c r="K141" s="278">
        <f t="shared" ref="K141:K145" si="20">$K$64</f>
        <v>8</v>
      </c>
      <c r="L141" s="99">
        <f t="shared" ref="L141:L145" si="21">$L$64</f>
        <v>0.5</v>
      </c>
      <c r="M141" s="68"/>
      <c r="O141"/>
    </row>
    <row r="142" spans="2:17" x14ac:dyDescent="0.3">
      <c r="B142" s="42" t="s">
        <v>3</v>
      </c>
      <c r="C142" s="21">
        <f>IF(ISERROR(VLOOKUP($B$138,'Backlog Volumes'!$B$83:$B$93,1,0)),0,AVERAGE(HLOOKUP($B$138&amp;B142,'Backlog Volumes'!$C$30:$V$56,MATCH($D$46,'Backlog Volumes'!$A$1:$A$27,0),0),HLOOKUP($B$138&amp;B142,'Backlog Volumes'!$C$30:$V$56,MATCH($D$48,'Backlog Volumes'!$A$1:$A$27,0),0))*(1-M142))</f>
        <v>26559.586082000002</v>
      </c>
      <c r="D142" s="58">
        <v>0.37</v>
      </c>
      <c r="E142" s="66">
        <v>0.95684800800000003</v>
      </c>
      <c r="F142" s="67">
        <v>0.184351404</v>
      </c>
      <c r="G142" s="60">
        <v>2.42699E-3</v>
      </c>
      <c r="H142" s="241">
        <v>2.1459529740000001</v>
      </c>
      <c r="I142" s="241">
        <v>7.7586051000000003E-2</v>
      </c>
      <c r="J142" s="21">
        <v>196</v>
      </c>
      <c r="K142" s="278">
        <f t="shared" si="20"/>
        <v>8</v>
      </c>
      <c r="L142" s="99">
        <f t="shared" si="21"/>
        <v>0.5</v>
      </c>
      <c r="M142" s="68"/>
      <c r="O142"/>
    </row>
    <row r="143" spans="2:17" x14ac:dyDescent="0.3">
      <c r="B143" s="42" t="s">
        <v>4</v>
      </c>
      <c r="C143" s="21">
        <f>IF(ISERROR(VLOOKUP($B$138,'Backlog Volumes'!$B$83:$B$93,1,0)),0,AVERAGE(HLOOKUP($B$138&amp;B143,'Backlog Volumes'!$C$30:$V$56,MATCH($D$46,'Backlog Volumes'!$A$1:$A$27,0),0),HLOOKUP($B$138&amp;B143,'Backlog Volumes'!$C$30:$V$56,MATCH($D$48,'Backlog Volumes'!$A$1:$A$27,0),0))*(1-M143))</f>
        <v>13102.348932900002</v>
      </c>
      <c r="D143" s="58">
        <v>0.37</v>
      </c>
      <c r="E143" s="66">
        <v>1.635725018</v>
      </c>
      <c r="F143" s="67">
        <v>0.32861912700000001</v>
      </c>
      <c r="G143" s="60">
        <v>2.4206999999999999E-2</v>
      </c>
      <c r="H143" s="241">
        <v>2.345737475</v>
      </c>
      <c r="I143" s="241">
        <v>0.23602341700000001</v>
      </c>
      <c r="J143" s="21">
        <v>128</v>
      </c>
      <c r="K143" s="278">
        <f t="shared" si="20"/>
        <v>8</v>
      </c>
      <c r="L143" s="99">
        <f t="shared" si="21"/>
        <v>0.5</v>
      </c>
      <c r="M143" s="68"/>
      <c r="O143"/>
    </row>
    <row r="144" spans="2:17" x14ac:dyDescent="0.3">
      <c r="B144" s="42" t="s">
        <v>5</v>
      </c>
      <c r="C144" s="21">
        <f>IF(ISERROR(VLOOKUP($B$138,'Backlog Volumes'!$B$83:$B$93,1,0)),0,AVERAGE(HLOOKUP($B$138&amp;B144,'Backlog Volumes'!$C$30:$V$56,MATCH($D$46,'Backlog Volumes'!$A$1:$A$27,0),0),HLOOKUP($B$138&amp;B144,'Backlog Volumes'!$C$30:$V$56,MATCH($D$48,'Backlog Volumes'!$A$1:$A$27,0),0))*(1-M144))</f>
        <v>26702.216340999999</v>
      </c>
      <c r="D144" s="58">
        <v>0.37</v>
      </c>
      <c r="E144" s="66">
        <v>0.99686856599999996</v>
      </c>
      <c r="F144" s="67">
        <v>0.19559979799999999</v>
      </c>
      <c r="G144" s="60">
        <v>3.3016399999999998E-3</v>
      </c>
      <c r="H144" s="241">
        <v>2.2389476039999998</v>
      </c>
      <c r="I144" s="241">
        <v>9.9701778000000005E-2</v>
      </c>
      <c r="J144" s="21">
        <v>193</v>
      </c>
      <c r="K144" s="278">
        <f t="shared" si="20"/>
        <v>8</v>
      </c>
      <c r="L144" s="99">
        <f t="shared" si="21"/>
        <v>0.5</v>
      </c>
      <c r="M144" s="68"/>
      <c r="O144"/>
    </row>
    <row r="145" spans="2:15" x14ac:dyDescent="0.3">
      <c r="B145" s="8" t="s">
        <v>6</v>
      </c>
      <c r="C145" s="21">
        <f>IF(ISERROR(VLOOKUP($B$138,'Backlog Volumes'!$B$83:$B$93,1,0)),0,AVERAGE(HLOOKUP($B$138&amp;B145,'Backlog Volumes'!$C$30:$V$56,MATCH($D$46,'Backlog Volumes'!$A$1:$A$27,0),0),HLOOKUP($B$138&amp;B145,'Backlog Volumes'!$C$30:$V$56,MATCH($D$48,'Backlog Volumes'!$A$1:$A$27,0),0))*(1-M145))</f>
        <v>6848.5021340000012</v>
      </c>
      <c r="D145" s="58">
        <v>0.37</v>
      </c>
      <c r="E145" s="66">
        <v>0.98956714400000001</v>
      </c>
      <c r="F145" s="67">
        <v>0.21261529500000001</v>
      </c>
      <c r="G145" s="60">
        <v>4.5391800000000003E-3</v>
      </c>
      <c r="H145" s="241">
        <v>2.5744591520000002</v>
      </c>
      <c r="I145" s="241">
        <v>7.4124679999999998E-2</v>
      </c>
      <c r="J145" s="21">
        <v>73</v>
      </c>
      <c r="K145" s="278">
        <f t="shared" si="20"/>
        <v>8</v>
      </c>
      <c r="L145" s="99">
        <f t="shared" si="21"/>
        <v>0.5</v>
      </c>
      <c r="M145" s="68"/>
      <c r="O145"/>
    </row>
    <row r="146" spans="2:15" x14ac:dyDescent="0.3">
      <c r="C146" s="69"/>
      <c r="D146" s="112"/>
      <c r="E146" s="113"/>
      <c r="F146" s="114"/>
      <c r="G146" s="115"/>
      <c r="H146" s="245"/>
      <c r="I146" s="245"/>
      <c r="J146" s="116"/>
      <c r="K146" s="46"/>
      <c r="L146" s="117"/>
      <c r="M146"/>
      <c r="O146"/>
    </row>
    <row r="147" spans="2:15" x14ac:dyDescent="0.3">
      <c r="B147" s="42" t="s">
        <v>112</v>
      </c>
      <c r="C147" s="69"/>
      <c r="D147" s="69"/>
      <c r="E147" s="69"/>
      <c r="F147" s="69"/>
      <c r="G147" s="70"/>
      <c r="H147" s="243"/>
      <c r="I147" s="243"/>
      <c r="M147" s="1"/>
      <c r="O147"/>
    </row>
    <row r="148" spans="2:15" ht="43.2" x14ac:dyDescent="0.3">
      <c r="B148" s="47" t="s">
        <v>0</v>
      </c>
      <c r="C148" s="50" t="s">
        <v>9</v>
      </c>
      <c r="D148" s="49" t="s">
        <v>357</v>
      </c>
      <c r="E148" s="50" t="s">
        <v>358</v>
      </c>
      <c r="F148" s="51" t="s">
        <v>86</v>
      </c>
      <c r="G148" s="51" t="s">
        <v>87</v>
      </c>
      <c r="H148" s="238" t="s">
        <v>359</v>
      </c>
      <c r="I148" s="238" t="s">
        <v>360</v>
      </c>
      <c r="J148" s="234" t="s">
        <v>48</v>
      </c>
      <c r="K148" s="51" t="s">
        <v>18</v>
      </c>
      <c r="L148" s="220" t="s">
        <v>39</v>
      </c>
      <c r="M148" s="51" t="s">
        <v>40</v>
      </c>
      <c r="O148"/>
    </row>
    <row r="149" spans="2:15" x14ac:dyDescent="0.3">
      <c r="B149" s="42" t="s">
        <v>41</v>
      </c>
      <c r="C149" s="21">
        <f>SUM(C150:C154)</f>
        <v>3151.0545397900005</v>
      </c>
      <c r="D149" s="58">
        <v>0.37</v>
      </c>
      <c r="E149" s="66">
        <v>1.594723452</v>
      </c>
      <c r="F149" s="67">
        <v>0.19094349299999999</v>
      </c>
      <c r="G149" s="60">
        <v>5.4775200000000003E-2</v>
      </c>
      <c r="H149" s="241">
        <v>7.4065054310000003</v>
      </c>
      <c r="I149" s="241">
        <v>5.1756102339999996</v>
      </c>
      <c r="J149" s="235">
        <f>SUM(J150:J154)</f>
        <v>623</v>
      </c>
      <c r="K149" s="278">
        <f>$K$64</f>
        <v>8</v>
      </c>
      <c r="L149" s="99">
        <f>$L$64</f>
        <v>0.5</v>
      </c>
      <c r="M149" s="68"/>
      <c r="O149"/>
    </row>
    <row r="150" spans="2:15" x14ac:dyDescent="0.3">
      <c r="B150" s="42" t="s">
        <v>1</v>
      </c>
      <c r="C150" s="21">
        <f>IF(ISERROR(VLOOKUP($B$147,'Backlog Volumes'!$B$83:$B$93,1,0)),0,AVERAGE(HLOOKUP($B$147&amp;B150,'Backlog Volumes'!$C$30:$V$56,MATCH($D$46,'Backlog Volumes'!$A$1:$A$27,0),0),HLOOKUP($B$147&amp;B150,'Backlog Volumes'!$C$30:$V$56,MATCH($D$48,'Backlog Volumes'!$A$1:$A$27,0),0))*(1-M150))</f>
        <v>858.14935323000032</v>
      </c>
      <c r="D150" s="58">
        <v>0.37</v>
      </c>
      <c r="E150" s="66">
        <v>1.517634301</v>
      </c>
      <c r="F150" s="67">
        <v>0.170670671</v>
      </c>
      <c r="G150" s="60">
        <v>4.7797800000000001E-2</v>
      </c>
      <c r="H150" s="241">
        <v>7.7119379280000002</v>
      </c>
      <c r="I150" s="241">
        <v>7.8720674490000002</v>
      </c>
      <c r="J150" s="235">
        <v>202</v>
      </c>
      <c r="K150" s="278">
        <f t="shared" ref="K150:K154" si="22">$K$64</f>
        <v>8</v>
      </c>
      <c r="L150" s="99">
        <f t="shared" ref="L150:L154" si="23">$L$64</f>
        <v>0.5</v>
      </c>
      <c r="M150" s="68"/>
      <c r="O150"/>
    </row>
    <row r="151" spans="2:15" x14ac:dyDescent="0.3">
      <c r="B151" s="42" t="s">
        <v>3</v>
      </c>
      <c r="C151" s="21">
        <f>IF(ISERROR(VLOOKUP($B$147,'Backlog Volumes'!$B$83:$B$93,1,0)),0,AVERAGE(HLOOKUP($B$147&amp;B151,'Backlog Volumes'!$C$30:$V$56,MATCH($D$46,'Backlog Volumes'!$A$1:$A$27,0),0),HLOOKUP($B$147&amp;B151,'Backlog Volumes'!$C$30:$V$56,MATCH($D$48,'Backlog Volumes'!$A$1:$A$27,0),0))*(1-M151))</f>
        <v>560.96568631999992</v>
      </c>
      <c r="D151" s="58">
        <v>0.37</v>
      </c>
      <c r="E151" s="66">
        <v>0.94888457800000003</v>
      </c>
      <c r="F151" s="67">
        <v>4.4131900000000002E-2</v>
      </c>
      <c r="G151" s="60">
        <v>0</v>
      </c>
      <c r="H151" s="241">
        <v>1.604395604</v>
      </c>
      <c r="I151" s="241">
        <v>5.9981699999999999E-2</v>
      </c>
      <c r="J151" s="235">
        <v>188</v>
      </c>
      <c r="K151" s="278">
        <f t="shared" si="22"/>
        <v>8</v>
      </c>
      <c r="L151" s="99">
        <f t="shared" si="23"/>
        <v>0.5</v>
      </c>
      <c r="M151" s="68"/>
      <c r="O151"/>
    </row>
    <row r="152" spans="2:15" x14ac:dyDescent="0.3">
      <c r="B152" s="42" t="s">
        <v>4</v>
      </c>
      <c r="C152" s="21">
        <f>IF(ISERROR(VLOOKUP($B$147,'Backlog Volumes'!$B$83:$B$93,1,0)),0,AVERAGE(HLOOKUP($B$147&amp;B152,'Backlog Volumes'!$C$30:$V$56,MATCH($D$46,'Backlog Volumes'!$A$1:$A$27,0),0),HLOOKUP($B$147&amp;B152,'Backlog Volumes'!$C$30:$V$56,MATCH($D$48,'Backlog Volumes'!$A$1:$A$27,0),0))*(1-M152))</f>
        <v>624.27425124999991</v>
      </c>
      <c r="D152" s="58">
        <v>0.37</v>
      </c>
      <c r="E152" s="66">
        <v>2.353799392</v>
      </c>
      <c r="F152" s="67">
        <v>0.40402150999999997</v>
      </c>
      <c r="G152" s="60">
        <v>0.14496142200000001</v>
      </c>
      <c r="H152" s="241">
        <v>8.753014082</v>
      </c>
      <c r="I152" s="241">
        <v>5.5222559799999997</v>
      </c>
      <c r="J152" s="235">
        <v>40</v>
      </c>
      <c r="K152" s="278">
        <f t="shared" si="22"/>
        <v>8</v>
      </c>
      <c r="L152" s="99">
        <f t="shared" si="23"/>
        <v>0.5</v>
      </c>
      <c r="M152" s="68"/>
      <c r="O152"/>
    </row>
    <row r="153" spans="2:15" x14ac:dyDescent="0.3">
      <c r="B153" s="42" t="s">
        <v>5</v>
      </c>
      <c r="C153" s="21">
        <f>IF(ISERROR(VLOOKUP($B$147,'Backlog Volumes'!$B$83:$B$93,1,0)),0,AVERAGE(HLOOKUP($B$147&amp;B153,'Backlog Volumes'!$C$30:$V$56,MATCH($D$46,'Backlog Volumes'!$A$1:$A$27,0),0),HLOOKUP($B$147&amp;B153,'Backlog Volumes'!$C$30:$V$56,MATCH($D$48,'Backlog Volumes'!$A$1:$A$27,0),0))*(1-M153))</f>
        <v>868.66524899000001</v>
      </c>
      <c r="D153" s="58">
        <v>0.37</v>
      </c>
      <c r="E153" s="66">
        <v>1.3117180310000001</v>
      </c>
      <c r="F153" s="67">
        <v>9.5676173000000003E-2</v>
      </c>
      <c r="G153" s="60">
        <v>9.1996000000000005E-3</v>
      </c>
      <c r="H153" s="241">
        <v>3.3525641030000002</v>
      </c>
      <c r="I153" s="241">
        <v>1.155949519</v>
      </c>
      <c r="J153" s="235">
        <v>132</v>
      </c>
      <c r="K153" s="278">
        <f t="shared" si="22"/>
        <v>8</v>
      </c>
      <c r="L153" s="99">
        <f t="shared" si="23"/>
        <v>0.5</v>
      </c>
      <c r="M153" s="68"/>
      <c r="O153"/>
    </row>
    <row r="154" spans="2:15" x14ac:dyDescent="0.3">
      <c r="B154" s="8" t="s">
        <v>6</v>
      </c>
      <c r="C154" s="21">
        <f>IF(ISERROR(VLOOKUP($B$147,'Backlog Volumes'!$B$83:$B$93,1,0)),0,AVERAGE(HLOOKUP($B$147&amp;B154,'Backlog Volumes'!$C$30:$V$56,MATCH($D$46,'Backlog Volumes'!$A$1:$A$27,0),0),HLOOKUP($B$147&amp;B154,'Backlog Volumes'!$C$30:$V$56,MATCH($D$48,'Backlog Volumes'!$A$1:$A$27,0),0))*(1-M154))</f>
        <v>239</v>
      </c>
      <c r="D154" s="58">
        <v>0.37</v>
      </c>
      <c r="E154" s="66">
        <v>1.1803046989999999</v>
      </c>
      <c r="F154" s="67">
        <v>6.6079294999999996E-2</v>
      </c>
      <c r="G154" s="60">
        <v>3.3039599999999999E-3</v>
      </c>
      <c r="H154" s="241">
        <v>2.0625</v>
      </c>
      <c r="I154" s="241">
        <v>0.170833333</v>
      </c>
      <c r="J154" s="235">
        <v>61</v>
      </c>
      <c r="K154" s="278">
        <f t="shared" si="22"/>
        <v>8</v>
      </c>
      <c r="L154" s="99">
        <f t="shared" si="23"/>
        <v>0.5</v>
      </c>
      <c r="M154" s="68"/>
      <c r="O154"/>
    </row>
    <row r="155" spans="2:15" x14ac:dyDescent="0.3">
      <c r="H155" s="244"/>
      <c r="I155" s="244"/>
      <c r="J155" s="192"/>
      <c r="M155" s="1"/>
      <c r="O155"/>
    </row>
    <row r="156" spans="2:15" x14ac:dyDescent="0.3">
      <c r="B156" s="42" t="s">
        <v>113</v>
      </c>
      <c r="C156" s="69"/>
      <c r="D156" s="69"/>
      <c r="E156" s="69"/>
      <c r="F156" s="69"/>
      <c r="G156" s="70"/>
      <c r="H156" s="243"/>
      <c r="I156" s="243"/>
      <c r="J156" s="192"/>
      <c r="M156" s="1"/>
      <c r="O156"/>
    </row>
    <row r="157" spans="2:15" ht="43.2" x14ac:dyDescent="0.3">
      <c r="B157" s="47" t="s">
        <v>0</v>
      </c>
      <c r="C157" s="50" t="s">
        <v>9</v>
      </c>
      <c r="D157" s="49" t="s">
        <v>357</v>
      </c>
      <c r="E157" s="50" t="s">
        <v>358</v>
      </c>
      <c r="F157" s="51" t="s">
        <v>86</v>
      </c>
      <c r="G157" s="51" t="s">
        <v>87</v>
      </c>
      <c r="H157" s="238" t="s">
        <v>359</v>
      </c>
      <c r="I157" s="238" t="s">
        <v>360</v>
      </c>
      <c r="J157" s="234" t="s">
        <v>48</v>
      </c>
      <c r="K157" s="51" t="s">
        <v>18</v>
      </c>
      <c r="L157" s="220" t="s">
        <v>39</v>
      </c>
      <c r="M157" s="51" t="s">
        <v>40</v>
      </c>
      <c r="O157"/>
    </row>
    <row r="158" spans="2:15" x14ac:dyDescent="0.3">
      <c r="B158" s="42" t="s">
        <v>41</v>
      </c>
      <c r="C158" s="21">
        <f>SUM(C159:C163)</f>
        <v>9199.7733137200012</v>
      </c>
      <c r="D158" s="58">
        <v>0.37</v>
      </c>
      <c r="E158" s="66">
        <v>1.0779551190000001</v>
      </c>
      <c r="F158" s="67">
        <v>0.144628331</v>
      </c>
      <c r="G158" s="60">
        <v>1.45863E-2</v>
      </c>
      <c r="H158" s="241">
        <v>2.2461533490000001</v>
      </c>
      <c r="I158" s="241">
        <v>0.546281032</v>
      </c>
      <c r="J158" s="235">
        <f>SUM(J159:J163)</f>
        <v>623</v>
      </c>
      <c r="K158" s="278">
        <f>$K$64</f>
        <v>8</v>
      </c>
      <c r="L158" s="99">
        <f>$L$64</f>
        <v>0.5</v>
      </c>
      <c r="M158" s="68"/>
      <c r="O158"/>
    </row>
    <row r="159" spans="2:15" x14ac:dyDescent="0.3">
      <c r="B159" s="42" t="s">
        <v>1</v>
      </c>
      <c r="C159" s="21">
        <f>IF(ISERROR(VLOOKUP($B$156,'Backlog Volumes'!$B$83:$B$93,1,0)),0,AVERAGE(HLOOKUP($B$156&amp;B159,'Backlog Volumes'!$C$30:$V$56,MATCH($D$46,'Backlog Volumes'!$A$1:$A$27,0),0),HLOOKUP($B$156&amp;B159,'Backlog Volumes'!$C$30:$V$56,MATCH($D$48,'Backlog Volumes'!$A$1:$A$27,0),0))*(1-M159))</f>
        <v>3003.9493878000007</v>
      </c>
      <c r="D159" s="58">
        <v>0.37</v>
      </c>
      <c r="E159" s="66">
        <v>0.99737906799999998</v>
      </c>
      <c r="F159" s="67">
        <v>0.117414248</v>
      </c>
      <c r="G159" s="60">
        <v>2.0580500000000002E-2</v>
      </c>
      <c r="H159" s="241">
        <v>2.7652309609999999</v>
      </c>
      <c r="I159" s="241">
        <v>1.526466916</v>
      </c>
      <c r="J159" s="235">
        <v>202</v>
      </c>
      <c r="K159" s="278">
        <f t="shared" ref="K159:K163" si="24">$K$64</f>
        <v>8</v>
      </c>
      <c r="L159" s="99">
        <f t="shared" ref="L159:L163" si="25">$L$64</f>
        <v>0.5</v>
      </c>
      <c r="M159" s="68"/>
      <c r="O159"/>
    </row>
    <row r="160" spans="2:15" x14ac:dyDescent="0.3">
      <c r="B160" s="42" t="s">
        <v>3</v>
      </c>
      <c r="C160" s="21">
        <f>IF(ISERROR(VLOOKUP($B$156,'Backlog Volumes'!$B$83:$B$93,1,0)),0,AVERAGE(HLOOKUP($B$156&amp;B160,'Backlog Volumes'!$C$30:$V$56,MATCH($D$46,'Backlog Volumes'!$A$1:$A$27,0),0),HLOOKUP($B$156&amp;B160,'Backlog Volumes'!$C$30:$V$56,MATCH($D$48,'Backlog Volumes'!$A$1:$A$27,0),0))*(1-M160))</f>
        <v>2513.2728848000002</v>
      </c>
      <c r="D160" s="58">
        <v>0.37</v>
      </c>
      <c r="E160" s="66">
        <v>0.76780819600000005</v>
      </c>
      <c r="F160" s="67">
        <v>9.1253973000000002E-2</v>
      </c>
      <c r="G160" s="60">
        <v>1.02533E-4</v>
      </c>
      <c r="H160" s="241">
        <v>1.0786048690000001</v>
      </c>
      <c r="I160" s="241">
        <v>2.27528E-2</v>
      </c>
      <c r="J160" s="235">
        <v>188</v>
      </c>
      <c r="K160" s="278">
        <f t="shared" si="24"/>
        <v>8</v>
      </c>
      <c r="L160" s="99">
        <f t="shared" si="25"/>
        <v>0.5</v>
      </c>
      <c r="M160" s="68"/>
      <c r="O160"/>
    </row>
    <row r="161" spans="2:15" x14ac:dyDescent="0.3">
      <c r="B161" s="42" t="s">
        <v>4</v>
      </c>
      <c r="C161" s="21">
        <f>IF(ISERROR(VLOOKUP($B$156,'Backlog Volumes'!$B$83:$B$93,1,0)),0,AVERAGE(HLOOKUP($B$156&amp;B161,'Backlog Volumes'!$C$30:$V$56,MATCH($D$46,'Backlog Volumes'!$A$1:$A$27,0),0),HLOOKUP($B$156&amp;B161,'Backlog Volumes'!$C$30:$V$56,MATCH($D$48,'Backlog Volumes'!$A$1:$A$27,0),0))*(1-M161))</f>
        <v>1310.5920298000003</v>
      </c>
      <c r="D161" s="58">
        <v>0.37</v>
      </c>
      <c r="E161" s="66">
        <v>1.967456257</v>
      </c>
      <c r="F161" s="67">
        <v>0.38070873599999999</v>
      </c>
      <c r="G161" s="60">
        <v>4.6996400000000001E-2</v>
      </c>
      <c r="H161" s="241">
        <v>2.5653932300000002</v>
      </c>
      <c r="I161" s="241">
        <v>0.30375808900000001</v>
      </c>
      <c r="J161" s="235">
        <v>40</v>
      </c>
      <c r="K161" s="278">
        <f t="shared" si="24"/>
        <v>8</v>
      </c>
      <c r="L161" s="99">
        <f t="shared" si="25"/>
        <v>0.5</v>
      </c>
      <c r="M161" s="68"/>
      <c r="O161"/>
    </row>
    <row r="162" spans="2:15" x14ac:dyDescent="0.3">
      <c r="B162" s="42" t="s">
        <v>5</v>
      </c>
      <c r="C162" s="21">
        <f>IF(ISERROR(VLOOKUP($B$156,'Backlog Volumes'!$B$83:$B$93,1,0)),0,AVERAGE(HLOOKUP($B$156&amp;B162,'Backlog Volumes'!$C$30:$V$56,MATCH($D$46,'Backlog Volumes'!$A$1:$A$27,0),0),HLOOKUP($B$156&amp;B162,'Backlog Volumes'!$C$30:$V$56,MATCH($D$48,'Backlog Volumes'!$A$1:$A$27,0),0))*(1-M162))</f>
        <v>1831.4962251999998</v>
      </c>
      <c r="D162" s="58">
        <v>0.37</v>
      </c>
      <c r="E162" s="66">
        <v>1.0221402129999999</v>
      </c>
      <c r="F162" s="67">
        <v>0.11373541400000001</v>
      </c>
      <c r="G162" s="60">
        <v>4.92057E-3</v>
      </c>
      <c r="H162" s="241">
        <v>2.0505768440000001</v>
      </c>
      <c r="I162" s="241">
        <v>0.18186032099999999</v>
      </c>
      <c r="J162" s="235">
        <v>132</v>
      </c>
      <c r="K162" s="278">
        <f t="shared" si="24"/>
        <v>8</v>
      </c>
      <c r="L162" s="99">
        <f t="shared" si="25"/>
        <v>0.5</v>
      </c>
      <c r="M162" s="68"/>
      <c r="O162"/>
    </row>
    <row r="163" spans="2:15" x14ac:dyDescent="0.3">
      <c r="B163" s="8" t="s">
        <v>6</v>
      </c>
      <c r="C163" s="21">
        <f>IF(ISERROR(VLOOKUP($B$156,'Backlog Volumes'!$B$83:$B$93,1,0)),0,AVERAGE(HLOOKUP($B$156&amp;B163,'Backlog Volumes'!$C$30:$V$56,MATCH($D$46,'Backlog Volumes'!$A$1:$A$27,0),0),HLOOKUP($B$156&amp;B163,'Backlog Volumes'!$C$30:$V$56,MATCH($D$48,'Backlog Volumes'!$A$1:$A$27,0),0))*(1-M163))</f>
        <v>540.46278611999992</v>
      </c>
      <c r="D163" s="58">
        <v>0.37</v>
      </c>
      <c r="E163" s="66">
        <v>0.91142567500000005</v>
      </c>
      <c r="F163" s="67">
        <v>5.2877899999999999E-2</v>
      </c>
      <c r="G163" s="60">
        <v>9.35891E-4</v>
      </c>
      <c r="H163" s="241">
        <v>1.033923304</v>
      </c>
      <c r="I163" s="241">
        <v>1.03245E-2</v>
      </c>
      <c r="J163" s="235">
        <v>61</v>
      </c>
      <c r="K163" s="278">
        <f t="shared" si="24"/>
        <v>8</v>
      </c>
      <c r="L163" s="99">
        <f t="shared" si="25"/>
        <v>0.5</v>
      </c>
      <c r="M163" s="68"/>
      <c r="O163"/>
    </row>
    <row r="164" spans="2:15" x14ac:dyDescent="0.3">
      <c r="C164" s="69"/>
      <c r="D164" s="112"/>
      <c r="E164" s="113"/>
      <c r="F164" s="114"/>
      <c r="G164" s="115"/>
      <c r="H164" s="69"/>
      <c r="I164" s="69"/>
      <c r="J164" s="116"/>
      <c r="K164" s="46"/>
      <c r="L164" s="117"/>
      <c r="M164"/>
      <c r="O164"/>
    </row>
    <row r="165" spans="2:15" x14ac:dyDescent="0.3">
      <c r="C165" s="69"/>
      <c r="D165" s="112"/>
      <c r="E165" s="113"/>
      <c r="F165" s="114"/>
      <c r="G165" s="115"/>
      <c r="H165" s="69"/>
      <c r="I165" s="69"/>
      <c r="J165" s="116"/>
      <c r="K165" s="46"/>
      <c r="L165" s="117"/>
      <c r="M165"/>
      <c r="O165"/>
    </row>
    <row r="166" spans="2:15" x14ac:dyDescent="0.3">
      <c r="C166" s="69"/>
      <c r="D166" s="112"/>
      <c r="E166" s="113"/>
      <c r="F166" s="114"/>
      <c r="G166" s="115"/>
      <c r="H166" s="69"/>
      <c r="I166" s="69"/>
      <c r="J166" s="116"/>
      <c r="K166" s="46"/>
      <c r="L166" s="117"/>
      <c r="M166"/>
      <c r="O166"/>
    </row>
    <row r="167" spans="2:15" x14ac:dyDescent="0.3">
      <c r="C167" s="69"/>
      <c r="D167" s="112"/>
      <c r="E167" s="113"/>
      <c r="F167" s="114"/>
      <c r="G167" s="115"/>
      <c r="H167" s="69"/>
      <c r="I167" s="69"/>
      <c r="J167" s="116"/>
      <c r="K167" s="46"/>
      <c r="L167" s="117"/>
      <c r="M167"/>
      <c r="O167"/>
    </row>
    <row r="168" spans="2:15" x14ac:dyDescent="0.3">
      <c r="C168" s="69"/>
      <c r="D168" s="112"/>
      <c r="E168" s="113"/>
      <c r="F168" s="114"/>
      <c r="G168" s="115"/>
      <c r="H168" s="69"/>
      <c r="I168" s="69"/>
      <c r="J168" s="116"/>
      <c r="K168" s="46"/>
      <c r="L168" s="117"/>
      <c r="M168"/>
      <c r="O168"/>
    </row>
    <row r="169" spans="2:15" x14ac:dyDescent="0.3">
      <c r="C169" s="69"/>
      <c r="D169" s="112"/>
      <c r="E169" s="113"/>
      <c r="F169" s="114"/>
      <c r="G169" s="115"/>
      <c r="H169" s="69"/>
      <c r="I169" s="69"/>
      <c r="J169" s="116"/>
      <c r="K169" s="46"/>
      <c r="L169" s="117"/>
      <c r="M169"/>
      <c r="O169"/>
    </row>
    <row r="170" spans="2:15" x14ac:dyDescent="0.3">
      <c r="M170" s="1"/>
      <c r="O170"/>
    </row>
    <row r="171" spans="2:15" x14ac:dyDescent="0.3">
      <c r="M171" s="1"/>
      <c r="O171"/>
    </row>
    <row r="172" spans="2:15" x14ac:dyDescent="0.3">
      <c r="O172"/>
    </row>
    <row r="173" spans="2:15" hidden="1" outlineLevel="1" x14ac:dyDescent="0.3">
      <c r="B173" s="8" t="s">
        <v>22</v>
      </c>
      <c r="D173"/>
      <c r="E173"/>
      <c r="G173"/>
      <c r="H173"/>
      <c r="O173"/>
    </row>
    <row r="174" spans="2:15" hidden="1" outlineLevel="1" x14ac:dyDescent="0.3">
      <c r="B174" s="8" t="s">
        <v>47</v>
      </c>
      <c r="D174"/>
      <c r="E174"/>
      <c r="G174"/>
      <c r="H174"/>
      <c r="O174"/>
    </row>
    <row r="175" spans="2:15" hidden="1" outlineLevel="1" x14ac:dyDescent="0.3">
      <c r="B175" s="8" t="s">
        <v>110</v>
      </c>
      <c r="D175"/>
      <c r="E175"/>
      <c r="G175"/>
      <c r="H175"/>
      <c r="O175"/>
    </row>
    <row r="176" spans="2:15" hidden="1" outlineLevel="1" x14ac:dyDescent="0.3">
      <c r="B176" s="8" t="s">
        <v>111</v>
      </c>
      <c r="D176"/>
      <c r="E176"/>
      <c r="G176"/>
      <c r="H176"/>
      <c r="O176"/>
    </row>
    <row r="177" spans="2:42" hidden="1" outlineLevel="1" x14ac:dyDescent="0.3">
      <c r="B177" s="8" t="s">
        <v>112</v>
      </c>
      <c r="D177"/>
      <c r="E177"/>
      <c r="G177"/>
      <c r="H177"/>
      <c r="O177"/>
    </row>
    <row r="178" spans="2:42" hidden="1" outlineLevel="1" x14ac:dyDescent="0.3">
      <c r="B178" s="8" t="s">
        <v>113</v>
      </c>
      <c r="D178"/>
      <c r="E178" s="12" t="s">
        <v>393</v>
      </c>
      <c r="G178"/>
      <c r="H178"/>
      <c r="O178"/>
    </row>
    <row r="179" spans="2:42" hidden="1" outlineLevel="1" x14ac:dyDescent="0.3">
      <c r="B179" s="8" t="s">
        <v>26</v>
      </c>
      <c r="C179" s="42" t="s">
        <v>41</v>
      </c>
      <c r="D179"/>
      <c r="E179" s="272">
        <v>1.5</v>
      </c>
      <c r="G179"/>
      <c r="H179"/>
      <c r="O179"/>
    </row>
    <row r="180" spans="2:42" hidden="1" outlineLevel="1" x14ac:dyDescent="0.3">
      <c r="B180" s="8" t="s">
        <v>27</v>
      </c>
      <c r="C180" s="42" t="s">
        <v>1</v>
      </c>
      <c r="D180"/>
      <c r="E180" s="8" t="s">
        <v>394</v>
      </c>
      <c r="G180"/>
      <c r="H180"/>
      <c r="O180"/>
    </row>
    <row r="181" spans="2:42" hidden="1" outlineLevel="1" x14ac:dyDescent="0.3">
      <c r="B181" s="8" t="s">
        <v>33</v>
      </c>
      <c r="C181" s="42" t="s">
        <v>3</v>
      </c>
      <c r="D181"/>
      <c r="E181"/>
      <c r="G181"/>
      <c r="H181"/>
      <c r="O181"/>
    </row>
    <row r="182" spans="2:42" hidden="1" outlineLevel="1" x14ac:dyDescent="0.3">
      <c r="B182" s="8" t="s">
        <v>34</v>
      </c>
      <c r="C182" s="42" t="s">
        <v>4</v>
      </c>
      <c r="D182"/>
      <c r="E182"/>
      <c r="G182"/>
      <c r="H182"/>
      <c r="O182"/>
    </row>
    <row r="183" spans="2:42" hidden="1" outlineLevel="1" x14ac:dyDescent="0.3">
      <c r="B183" s="8" t="s">
        <v>2</v>
      </c>
      <c r="C183" s="42" t="s">
        <v>5</v>
      </c>
      <c r="D183"/>
      <c r="E183"/>
      <c r="G183"/>
      <c r="H183"/>
      <c r="O183"/>
    </row>
    <row r="184" spans="2:42" hidden="1" outlineLevel="1" x14ac:dyDescent="0.3">
      <c r="B184" s="8" t="s">
        <v>28</v>
      </c>
      <c r="C184" s="8" t="s">
        <v>6</v>
      </c>
      <c r="D184"/>
      <c r="E184"/>
      <c r="G184"/>
      <c r="H184"/>
      <c r="O184"/>
    </row>
    <row r="185" spans="2:42" hidden="1" outlineLevel="1" x14ac:dyDescent="0.3">
      <c r="B185" s="8" t="s">
        <v>46</v>
      </c>
      <c r="D185"/>
      <c r="E185"/>
      <c r="F185"/>
      <c r="G185"/>
      <c r="H185"/>
      <c r="O185"/>
    </row>
    <row r="186" spans="2:42" collapsed="1" x14ac:dyDescent="0.3">
      <c r="D186"/>
      <c r="E186"/>
      <c r="F186"/>
      <c r="G186"/>
      <c r="H186"/>
    </row>
    <row r="187" spans="2:42" hidden="1" outlineLevel="1" x14ac:dyDescent="0.3">
      <c r="B187" s="262" t="s">
        <v>0</v>
      </c>
      <c r="C187" s="8" t="str">
        <f>B66</f>
        <v>Cancer_P2P3</v>
      </c>
      <c r="D187" s="8" t="str">
        <f>B75</f>
        <v>Cancer_P4</v>
      </c>
      <c r="E187" s="8" t="str">
        <f>B84</f>
        <v>Vascular_P2P3</v>
      </c>
      <c r="F187" s="8" t="str">
        <f>B93</f>
        <v>Vascular_P4</v>
      </c>
      <c r="G187" s="8" t="str">
        <f>B102</f>
        <v>Transplant</v>
      </c>
      <c r="H187" s="8" t="str">
        <f>B111</f>
        <v>Cardiac_CABG</v>
      </c>
      <c r="I187" s="8" t="str">
        <f>B120</f>
        <v>Cardiac_Valve</v>
      </c>
      <c r="J187" s="8" t="str">
        <f>B129</f>
        <v>Benign_P2P3</v>
      </c>
      <c r="K187" s="8" t="str">
        <f>B138</f>
        <v>Benign_P4</v>
      </c>
      <c r="L187" s="8" t="str">
        <f>B147</f>
        <v>Pediatric_P2P3</v>
      </c>
      <c r="M187" s="8" t="str">
        <f>B156</f>
        <v>Pediatric_P4</v>
      </c>
      <c r="Q187" s="262"/>
      <c r="AE187" s="262"/>
    </row>
    <row r="188" spans="2:42" hidden="1" outlineLevel="1" x14ac:dyDescent="0.3">
      <c r="B188" s="42" t="s">
        <v>41</v>
      </c>
      <c r="C188" s="24">
        <f>C68</f>
        <v>1537.1557172948678</v>
      </c>
      <c r="D188" s="24">
        <f>C77</f>
        <v>3615.0115118269032</v>
      </c>
      <c r="E188" s="24">
        <f>C86</f>
        <v>939.92166430863836</v>
      </c>
      <c r="F188" s="24">
        <f>C95</f>
        <v>934.99749450781553</v>
      </c>
      <c r="G188" s="24">
        <f>C104</f>
        <v>243.1929977392615</v>
      </c>
      <c r="H188" s="24">
        <f>C113</f>
        <v>295.00000000000006</v>
      </c>
      <c r="I188" s="24">
        <f>C122</f>
        <v>175</v>
      </c>
      <c r="J188" s="24">
        <f>C131</f>
        <v>20400.1284089</v>
      </c>
      <c r="K188" s="24">
        <f>C140</f>
        <v>107872.8603289</v>
      </c>
      <c r="L188" s="24">
        <f>C149</f>
        <v>3151.0545397900005</v>
      </c>
      <c r="M188" s="24">
        <f>C158</f>
        <v>9199.7733137200012</v>
      </c>
      <c r="Q188" s="42"/>
      <c r="R188" s="280"/>
      <c r="S188" s="280"/>
      <c r="T188" s="280"/>
      <c r="U188" s="280"/>
      <c r="V188" s="280"/>
      <c r="W188" s="280"/>
      <c r="X188" s="280"/>
      <c r="Y188" s="280"/>
      <c r="Z188" s="280"/>
      <c r="AA188" s="280"/>
      <c r="AB188" s="280"/>
      <c r="AE188" s="42"/>
      <c r="AF188" s="280"/>
      <c r="AG188" s="280"/>
      <c r="AH188" s="280"/>
      <c r="AI188" s="280"/>
      <c r="AJ188" s="280"/>
      <c r="AK188" s="280"/>
      <c r="AL188" s="280"/>
      <c r="AM188" s="280"/>
      <c r="AN188" s="280"/>
      <c r="AO188" s="280"/>
      <c r="AP188" s="280"/>
    </row>
    <row r="189" spans="2:42" hidden="1" outlineLevel="1" x14ac:dyDescent="0.3">
      <c r="B189" s="42" t="s">
        <v>1</v>
      </c>
      <c r="C189" s="24">
        <f t="shared" ref="C189:C193" si="26">C69</f>
        <v>205.5128456397679</v>
      </c>
      <c r="D189" s="24">
        <f t="shared" ref="D189:D193" si="27">C78</f>
        <v>927.04207585184304</v>
      </c>
      <c r="E189" s="24">
        <f t="shared" ref="E189:E193" si="28">C87</f>
        <v>202.45172365667719</v>
      </c>
      <c r="F189" s="24">
        <f t="shared" ref="F189:F193" si="29">C96</f>
        <v>369.43194724081548</v>
      </c>
      <c r="G189" s="24">
        <f t="shared" ref="G189:G193" si="30">C105</f>
        <v>47.841245456903877</v>
      </c>
      <c r="H189" s="24">
        <f t="shared" ref="H189:H193" si="31">C114</f>
        <v>77.4375</v>
      </c>
      <c r="I189" s="24">
        <f t="shared" ref="I189:I193" si="32">C123</f>
        <v>28.624535315985131</v>
      </c>
      <c r="J189" s="24">
        <f t="shared" ref="J189:J193" si="33">C132</f>
        <v>5361.4551654000006</v>
      </c>
      <c r="K189" s="24">
        <f t="shared" ref="K189:K193" si="34">C141</f>
        <v>34660.206838999999</v>
      </c>
      <c r="L189" s="24">
        <f t="shared" ref="L189:L193" si="35">C150</f>
        <v>858.14935323000032</v>
      </c>
      <c r="M189" s="24">
        <f t="shared" ref="M189:M193" si="36">C159</f>
        <v>3003.9493878000007</v>
      </c>
      <c r="Q189" s="42"/>
      <c r="R189" s="280"/>
      <c r="S189" s="280"/>
      <c r="T189" s="280"/>
      <c r="U189" s="280"/>
      <c r="V189" s="280"/>
      <c r="W189" s="280"/>
      <c r="X189" s="280"/>
      <c r="Y189" s="280"/>
      <c r="Z189" s="280"/>
      <c r="AA189" s="280"/>
      <c r="AB189" s="280"/>
      <c r="AE189" s="42"/>
      <c r="AF189" s="280"/>
      <c r="AG189" s="280"/>
      <c r="AH189" s="280"/>
      <c r="AI189" s="280"/>
      <c r="AJ189" s="280"/>
      <c r="AK189" s="280"/>
      <c r="AL189" s="280"/>
      <c r="AM189" s="280"/>
      <c r="AN189" s="280"/>
      <c r="AO189" s="280"/>
      <c r="AP189" s="280"/>
    </row>
    <row r="190" spans="2:42" hidden="1" outlineLevel="1" x14ac:dyDescent="0.3">
      <c r="B190" s="42" t="s">
        <v>3</v>
      </c>
      <c r="C190" s="24">
        <f t="shared" si="26"/>
        <v>308.25049129735191</v>
      </c>
      <c r="D190" s="24">
        <f t="shared" si="27"/>
        <v>700.32105378878441</v>
      </c>
      <c r="E190" s="24">
        <f t="shared" si="28"/>
        <v>295.66658498771449</v>
      </c>
      <c r="F190" s="24">
        <f t="shared" si="29"/>
        <v>314.20308181500002</v>
      </c>
      <c r="G190" s="24">
        <f t="shared" si="30"/>
        <v>0</v>
      </c>
      <c r="H190" s="24">
        <f t="shared" si="31"/>
        <v>71.291666666666671</v>
      </c>
      <c r="I190" s="24">
        <f t="shared" si="32"/>
        <v>63.754646840148702</v>
      </c>
      <c r="J190" s="24">
        <f t="shared" si="33"/>
        <v>5857.8555921999996</v>
      </c>
      <c r="K190" s="24">
        <f t="shared" si="34"/>
        <v>26559.586082000002</v>
      </c>
      <c r="L190" s="24">
        <f t="shared" si="35"/>
        <v>560.96568631999992</v>
      </c>
      <c r="M190" s="24">
        <f t="shared" si="36"/>
        <v>2513.2728848000002</v>
      </c>
      <c r="Q190" s="42"/>
      <c r="R190" s="280"/>
      <c r="S190" s="280"/>
      <c r="T190" s="280"/>
      <c r="U190" s="280"/>
      <c r="V190" s="280"/>
      <c r="W190" s="280"/>
      <c r="X190" s="280"/>
      <c r="Y190" s="280"/>
      <c r="Z190" s="280"/>
      <c r="AA190" s="280"/>
      <c r="AB190" s="280"/>
      <c r="AE190" s="42"/>
      <c r="AF190" s="280"/>
      <c r="AG190" s="280"/>
      <c r="AH190" s="280"/>
      <c r="AI190" s="280"/>
      <c r="AJ190" s="280"/>
      <c r="AK190" s="280"/>
      <c r="AL190" s="280"/>
      <c r="AM190" s="280"/>
      <c r="AN190" s="280"/>
      <c r="AO190" s="280"/>
      <c r="AP190" s="280"/>
    </row>
    <row r="191" spans="2:42" hidden="1" outlineLevel="1" x14ac:dyDescent="0.3">
      <c r="B191" s="42" t="s">
        <v>4</v>
      </c>
      <c r="C191" s="24">
        <f t="shared" si="26"/>
        <v>487.77804934331203</v>
      </c>
      <c r="D191" s="24">
        <f t="shared" si="27"/>
        <v>986.13614964238559</v>
      </c>
      <c r="E191" s="24">
        <f t="shared" si="28"/>
        <v>96.696162923000003</v>
      </c>
      <c r="F191" s="24">
        <f t="shared" si="29"/>
        <v>127.676172928</v>
      </c>
      <c r="G191" s="24">
        <f t="shared" si="30"/>
        <v>123.58988409700176</v>
      </c>
      <c r="H191" s="24">
        <f t="shared" si="31"/>
        <v>86.041666666666671</v>
      </c>
      <c r="I191" s="24">
        <f t="shared" si="32"/>
        <v>50.743494423791823</v>
      </c>
      <c r="J191" s="24">
        <f t="shared" si="33"/>
        <v>2097.5463597999997</v>
      </c>
      <c r="K191" s="24">
        <f t="shared" si="34"/>
        <v>13102.348932900002</v>
      </c>
      <c r="L191" s="24">
        <f t="shared" si="35"/>
        <v>624.27425124999991</v>
      </c>
      <c r="M191" s="24">
        <f t="shared" si="36"/>
        <v>1310.5920298000003</v>
      </c>
      <c r="Q191" s="42"/>
      <c r="R191" s="280"/>
      <c r="S191" s="280"/>
      <c r="T191" s="280"/>
      <c r="U191" s="280"/>
      <c r="V191" s="280"/>
      <c r="W191" s="280"/>
      <c r="X191" s="280"/>
      <c r="Y191" s="280"/>
      <c r="Z191" s="280"/>
      <c r="AA191" s="280"/>
      <c r="AB191" s="280"/>
      <c r="AE191" s="42"/>
      <c r="AF191" s="280"/>
      <c r="AG191" s="280"/>
      <c r="AH191" s="280"/>
      <c r="AI191" s="280"/>
      <c r="AJ191" s="280"/>
      <c r="AK191" s="280"/>
      <c r="AL191" s="280"/>
      <c r="AM191" s="280"/>
      <c r="AN191" s="280"/>
      <c r="AO191" s="280"/>
      <c r="AP191" s="280"/>
    </row>
    <row r="192" spans="2:42" hidden="1" outlineLevel="1" x14ac:dyDescent="0.3">
      <c r="B192" s="42" t="s">
        <v>5</v>
      </c>
      <c r="C192" s="24">
        <f t="shared" si="26"/>
        <v>376.38014810744619</v>
      </c>
      <c r="D192" s="24">
        <f t="shared" si="27"/>
        <v>910.6557901398902</v>
      </c>
      <c r="E192" s="24">
        <f t="shared" si="28"/>
        <v>284.29826554224672</v>
      </c>
      <c r="F192" s="24">
        <f t="shared" si="29"/>
        <v>110.71918121100001</v>
      </c>
      <c r="G192" s="24">
        <f t="shared" si="30"/>
        <v>71.761868185355866</v>
      </c>
      <c r="H192" s="24">
        <f t="shared" si="31"/>
        <v>36.875</v>
      </c>
      <c r="I192" s="24">
        <f t="shared" si="32"/>
        <v>20.167286245353161</v>
      </c>
      <c r="J192" s="24">
        <f t="shared" si="33"/>
        <v>5671.3179248000006</v>
      </c>
      <c r="K192" s="24">
        <f t="shared" si="34"/>
        <v>26702.216340999999</v>
      </c>
      <c r="L192" s="24">
        <f t="shared" si="35"/>
        <v>868.66524899000001</v>
      </c>
      <c r="M192" s="24">
        <f t="shared" si="36"/>
        <v>1831.4962251999998</v>
      </c>
      <c r="Q192" s="42"/>
      <c r="R192" s="280"/>
      <c r="S192" s="280"/>
      <c r="T192" s="280"/>
      <c r="U192" s="280"/>
      <c r="V192" s="280"/>
      <c r="W192" s="280"/>
      <c r="X192" s="280"/>
      <c r="Y192" s="280"/>
      <c r="Z192" s="280"/>
      <c r="AA192" s="280"/>
      <c r="AB192" s="280"/>
      <c r="AE192" s="42"/>
      <c r="AF192" s="280"/>
      <c r="AG192" s="280"/>
      <c r="AH192" s="280"/>
      <c r="AI192" s="280"/>
      <c r="AJ192" s="280"/>
      <c r="AK192" s="280"/>
      <c r="AL192" s="280"/>
      <c r="AM192" s="280"/>
      <c r="AN192" s="280"/>
      <c r="AO192" s="280"/>
      <c r="AP192" s="280"/>
    </row>
    <row r="193" spans="2:42" hidden="1" outlineLevel="1" x14ac:dyDescent="0.3">
      <c r="B193" s="8" t="s">
        <v>6</v>
      </c>
      <c r="C193" s="24">
        <f t="shared" si="26"/>
        <v>159.23418290698956</v>
      </c>
      <c r="D193" s="24">
        <f t="shared" si="27"/>
        <v>90.856442404000006</v>
      </c>
      <c r="E193" s="24">
        <f t="shared" si="28"/>
        <v>60.808927198999996</v>
      </c>
      <c r="F193" s="24">
        <f t="shared" si="29"/>
        <v>12.967111313</v>
      </c>
      <c r="G193" s="24">
        <f t="shared" si="30"/>
        <v>0</v>
      </c>
      <c r="H193" s="24">
        <f t="shared" si="31"/>
        <v>23.354166666666668</v>
      </c>
      <c r="I193" s="24">
        <f t="shared" si="32"/>
        <v>11.71003717472119</v>
      </c>
      <c r="J193" s="24">
        <f t="shared" si="33"/>
        <v>1411.9533666999998</v>
      </c>
      <c r="K193" s="24">
        <f t="shared" si="34"/>
        <v>6848.5021340000012</v>
      </c>
      <c r="L193" s="24">
        <f t="shared" si="35"/>
        <v>239</v>
      </c>
      <c r="M193" s="24">
        <f t="shared" si="36"/>
        <v>540.46278611999992</v>
      </c>
      <c r="R193" s="280"/>
      <c r="S193" s="280"/>
      <c r="T193" s="280"/>
      <c r="U193" s="280"/>
      <c r="V193" s="280"/>
      <c r="W193" s="280"/>
      <c r="X193" s="280"/>
      <c r="Y193" s="280"/>
      <c r="Z193" s="280"/>
      <c r="AA193" s="280"/>
      <c r="AB193" s="280"/>
      <c r="AF193" s="280"/>
      <c r="AG193" s="280"/>
      <c r="AH193" s="280"/>
      <c r="AI193" s="280"/>
      <c r="AJ193" s="280"/>
      <c r="AK193" s="280"/>
      <c r="AL193" s="280"/>
      <c r="AM193" s="280"/>
      <c r="AN193" s="280"/>
      <c r="AO193" s="280"/>
      <c r="AP193" s="280"/>
    </row>
    <row r="194" spans="2:42" hidden="1" outlineLevel="1" x14ac:dyDescent="0.3"/>
    <row r="195" spans="2:42" hidden="1" outlineLevel="1" x14ac:dyDescent="0.3"/>
    <row r="196" spans="2:42" hidden="1" outlineLevel="1" x14ac:dyDescent="0.3">
      <c r="C196" s="268"/>
      <c r="D196" s="296" t="s">
        <v>389</v>
      </c>
      <c r="E196" s="296"/>
      <c r="F196" s="296"/>
      <c r="G196" s="296"/>
      <c r="H196" s="296"/>
      <c r="L196" s="268"/>
      <c r="M196" s="296" t="s">
        <v>389</v>
      </c>
      <c r="N196" s="296"/>
      <c r="O196" s="296"/>
      <c r="P196" s="296"/>
      <c r="Q196" s="296"/>
    </row>
    <row r="197" spans="2:42" hidden="1" outlineLevel="1" x14ac:dyDescent="0.3">
      <c r="B197" s="12" t="s">
        <v>388</v>
      </c>
      <c r="C197" s="265" t="s">
        <v>41</v>
      </c>
      <c r="D197" s="265" t="s">
        <v>1</v>
      </c>
      <c r="E197" s="265" t="s">
        <v>3</v>
      </c>
      <c r="F197" s="265" t="s">
        <v>4</v>
      </c>
      <c r="G197" s="265" t="s">
        <v>5</v>
      </c>
      <c r="H197" s="273" t="s">
        <v>6</v>
      </c>
      <c r="K197" s="12" t="s">
        <v>388</v>
      </c>
      <c r="L197" s="265" t="s">
        <v>41</v>
      </c>
      <c r="M197" s="265" t="s">
        <v>1</v>
      </c>
      <c r="N197" s="265" t="s">
        <v>3</v>
      </c>
      <c r="O197" s="265" t="s">
        <v>4</v>
      </c>
      <c r="P197" s="265" t="s">
        <v>5</v>
      </c>
      <c r="Q197" s="273" t="s">
        <v>6</v>
      </c>
    </row>
    <row r="198" spans="2:42" hidden="1" outlineLevel="1" x14ac:dyDescent="0.3">
      <c r="B198" s="8" t="str">
        <f t="array" ref="B198:B208">TRANSPOSE(C187:M187)</f>
        <v>Cancer_P2P3</v>
      </c>
      <c r="C198" s="266">
        <f t="array" ref="C198:H208">TRANSPOSE(C188:M193)</f>
        <v>1537.1557172948678</v>
      </c>
      <c r="D198" s="263">
        <v>205.5128456397679</v>
      </c>
      <c r="E198" s="263">
        <v>308.25049129735191</v>
      </c>
      <c r="F198" s="263">
        <v>487.77804934331203</v>
      </c>
      <c r="G198" s="263">
        <v>376.38014810744619</v>
      </c>
      <c r="H198" s="263">
        <v>159.23418290698956</v>
      </c>
      <c r="I198" s="160">
        <f t="shared" ref="I198:I208" si="37">C198/$C$209</f>
        <v>1.0360698841404954E-2</v>
      </c>
      <c r="K198" s="8" t="s">
        <v>26</v>
      </c>
      <c r="L198" s="266" t="str">
        <f t="shared" ref="L198:L209" si="38">TEXT(C198,"#,###")&amp;" ("&amp;TEXT(C198/C$209,"0.0%")&amp;")"</f>
        <v>1,537 (1.0%)</v>
      </c>
      <c r="M198" s="270" t="str">
        <f t="shared" ref="M198:M209" si="39">TEXT(D198,"#,###")&amp;" ("&amp;TEXT(D198/D$209,"0.0%")&amp;")"</f>
        <v>206 (0.4%)</v>
      </c>
      <c r="N198" s="270" t="str">
        <f t="shared" ref="N198:N209" si="40">TEXT(E198,"#,###")&amp;" ("&amp;TEXT(E198/E$209,"0.0%")&amp;")"</f>
        <v>308 (0.8%)</v>
      </c>
      <c r="O198" s="270" t="str">
        <f t="shared" ref="O198:O209" si="41">TEXT(F198,"#,###")&amp;" ("&amp;TEXT(F198/F$209,"0.0%")&amp;")"</f>
        <v>488 (2.6%)</v>
      </c>
      <c r="P198" s="270" t="str">
        <f t="shared" ref="P198:P209" si="42">TEXT(G198,"#,###")&amp;" ("&amp;TEXT(G198/G$209,"0.0%")&amp;")"</f>
        <v>376 (1.0%)</v>
      </c>
      <c r="Q198" s="270" t="str">
        <f t="shared" ref="Q198:Q209" si="43">TEXT(H198,"#,###")&amp;" ("&amp;TEXT(H198/H$209,"0.0%")&amp;")"</f>
        <v>159 (1.7%)</v>
      </c>
    </row>
    <row r="199" spans="2:42" hidden="1" outlineLevel="1" x14ac:dyDescent="0.3">
      <c r="B199" s="8" t="str">
        <v>Cancer_P4</v>
      </c>
      <c r="C199" s="266">
        <v>3615.0115118269032</v>
      </c>
      <c r="D199" s="263">
        <v>927.04207585184304</v>
      </c>
      <c r="E199" s="263">
        <v>700.32105378878441</v>
      </c>
      <c r="F199" s="263">
        <v>986.13614964238559</v>
      </c>
      <c r="G199" s="263">
        <v>910.6557901398902</v>
      </c>
      <c r="H199" s="263">
        <v>90.856442404000006</v>
      </c>
      <c r="I199" s="160">
        <f t="shared" si="37"/>
        <v>2.4365810933041517E-2</v>
      </c>
      <c r="K199" s="8" t="s">
        <v>27</v>
      </c>
      <c r="L199" s="266" t="str">
        <f t="shared" si="38"/>
        <v>3,615 (2.4%)</v>
      </c>
      <c r="M199" s="270" t="str">
        <f t="shared" si="39"/>
        <v>927 (2.0%)</v>
      </c>
      <c r="N199" s="270" t="str">
        <f t="shared" si="40"/>
        <v>700 (1.9%)</v>
      </c>
      <c r="O199" s="270" t="str">
        <f t="shared" si="41"/>
        <v>986 (5.2%)</v>
      </c>
      <c r="P199" s="270" t="str">
        <f t="shared" si="42"/>
        <v>911 (2.5%)</v>
      </c>
      <c r="Q199" s="270" t="str">
        <f t="shared" si="43"/>
        <v>91 (1.0%)</v>
      </c>
    </row>
    <row r="200" spans="2:42" hidden="1" outlineLevel="1" x14ac:dyDescent="0.3">
      <c r="B200" s="8" t="str">
        <v>Vascular_P2P3</v>
      </c>
      <c r="C200" s="266">
        <v>939.92166430863836</v>
      </c>
      <c r="D200" s="263">
        <v>202.45172365667719</v>
      </c>
      <c r="E200" s="263">
        <v>295.66658498771449</v>
      </c>
      <c r="F200" s="263">
        <v>96.696162923000003</v>
      </c>
      <c r="G200" s="263">
        <v>284.29826554224672</v>
      </c>
      <c r="H200" s="263">
        <v>60.808927198999996</v>
      </c>
      <c r="I200" s="160">
        <f t="shared" si="37"/>
        <v>6.3352366899767174E-3</v>
      </c>
      <c r="K200" s="8" t="s">
        <v>33</v>
      </c>
      <c r="L200" s="266" t="str">
        <f t="shared" si="38"/>
        <v>940 (0.6%)</v>
      </c>
      <c r="M200" s="270" t="str">
        <f t="shared" si="39"/>
        <v>202 (0.4%)</v>
      </c>
      <c r="N200" s="270" t="str">
        <f t="shared" si="40"/>
        <v>296 (0.8%)</v>
      </c>
      <c r="O200" s="270" t="str">
        <f t="shared" si="41"/>
        <v>97 (0.5%)</v>
      </c>
      <c r="P200" s="270" t="str">
        <f t="shared" si="42"/>
        <v>284 (0.8%)</v>
      </c>
      <c r="Q200" s="270" t="str">
        <f t="shared" si="43"/>
        <v>61 (0.6%)</v>
      </c>
    </row>
    <row r="201" spans="2:42" hidden="1" outlineLevel="1" x14ac:dyDescent="0.3">
      <c r="B201" s="8" t="str">
        <v>Vascular_P4</v>
      </c>
      <c r="C201" s="266">
        <v>934.99749450781553</v>
      </c>
      <c r="D201" s="263">
        <v>369.43194724081548</v>
      </c>
      <c r="E201" s="263">
        <v>314.20308181500002</v>
      </c>
      <c r="F201" s="263">
        <v>127.676172928</v>
      </c>
      <c r="G201" s="263">
        <v>110.71918121100001</v>
      </c>
      <c r="H201" s="263">
        <v>12.967111313</v>
      </c>
      <c r="I201" s="160">
        <f t="shared" si="37"/>
        <v>6.3020469228137338E-3</v>
      </c>
      <c r="K201" s="8" t="s">
        <v>34</v>
      </c>
      <c r="L201" s="266" t="str">
        <f t="shared" si="38"/>
        <v>935 (0.6%)</v>
      </c>
      <c r="M201" s="270" t="str">
        <f t="shared" si="39"/>
        <v>369 (0.8%)</v>
      </c>
      <c r="N201" s="270" t="str">
        <f t="shared" si="40"/>
        <v>314 (0.8%)</v>
      </c>
      <c r="O201" s="270" t="str">
        <f t="shared" si="41"/>
        <v>128 (0.7%)</v>
      </c>
      <c r="P201" s="270" t="str">
        <f t="shared" si="42"/>
        <v>111 (0.3%)</v>
      </c>
      <c r="Q201" s="270" t="str">
        <f t="shared" si="43"/>
        <v>13 (0.1%)</v>
      </c>
    </row>
    <row r="202" spans="2:42" hidden="1" outlineLevel="1" x14ac:dyDescent="0.3">
      <c r="B202" s="8" t="str">
        <v>Transplant</v>
      </c>
      <c r="C202" s="266">
        <v>243.1929977392615</v>
      </c>
      <c r="D202" s="263">
        <v>47.841245456903877</v>
      </c>
      <c r="E202" s="263">
        <v>0</v>
      </c>
      <c r="F202" s="263">
        <v>123.58988409700176</v>
      </c>
      <c r="G202" s="263">
        <v>71.761868185355866</v>
      </c>
      <c r="H202" s="263">
        <v>0</v>
      </c>
      <c r="I202" s="160">
        <f t="shared" si="37"/>
        <v>1.6391634117258582E-3</v>
      </c>
      <c r="K202" s="8" t="s">
        <v>2</v>
      </c>
      <c r="L202" s="266" t="str">
        <f t="shared" si="38"/>
        <v>243 (0.2%)</v>
      </c>
      <c r="M202" s="270" t="str">
        <f t="shared" si="39"/>
        <v>48 (0.1%)</v>
      </c>
      <c r="N202" s="270" t="str">
        <f t="shared" si="40"/>
        <v xml:space="preserve"> (0.0%)</v>
      </c>
      <c r="O202" s="270" t="str">
        <f t="shared" si="41"/>
        <v>124 (0.6%)</v>
      </c>
      <c r="P202" s="270" t="str">
        <f t="shared" si="42"/>
        <v>72 (0.2%)</v>
      </c>
      <c r="Q202" s="270" t="str">
        <f t="shared" si="43"/>
        <v xml:space="preserve"> (0.0%)</v>
      </c>
    </row>
    <row r="203" spans="2:42" hidden="1" outlineLevel="1" x14ac:dyDescent="0.3">
      <c r="B203" s="8" t="str">
        <v>Cardiac_CABG</v>
      </c>
      <c r="C203" s="266">
        <v>295.00000000000006</v>
      </c>
      <c r="D203" s="263">
        <v>77.4375</v>
      </c>
      <c r="E203" s="263">
        <v>71.291666666666671</v>
      </c>
      <c r="F203" s="263">
        <v>86.041666666666671</v>
      </c>
      <c r="G203" s="263">
        <v>36.875</v>
      </c>
      <c r="H203" s="263">
        <v>23.354166666666668</v>
      </c>
      <c r="I203" s="160">
        <f t="shared" si="37"/>
        <v>1.9883516834541762E-3</v>
      </c>
      <c r="K203" s="8" t="s">
        <v>28</v>
      </c>
      <c r="L203" s="266" t="str">
        <f t="shared" si="38"/>
        <v>295 (0.2%)</v>
      </c>
      <c r="M203" s="270" t="str">
        <f t="shared" si="39"/>
        <v>77 (0.2%)</v>
      </c>
      <c r="N203" s="270" t="str">
        <f t="shared" si="40"/>
        <v>71 (0.2%)</v>
      </c>
      <c r="O203" s="270" t="str">
        <f t="shared" si="41"/>
        <v>86 (0.5%)</v>
      </c>
      <c r="P203" s="270" t="str">
        <f t="shared" si="42"/>
        <v>37 (0.1%)</v>
      </c>
      <c r="Q203" s="270" t="str">
        <f t="shared" si="43"/>
        <v>23 (0.2%)</v>
      </c>
    </row>
    <row r="204" spans="2:42" hidden="1" outlineLevel="1" x14ac:dyDescent="0.3">
      <c r="B204" s="8" t="str">
        <v>Cardiac_Valve</v>
      </c>
      <c r="C204" s="266">
        <v>175</v>
      </c>
      <c r="D204" s="263">
        <v>28.624535315985131</v>
      </c>
      <c r="E204" s="263">
        <v>63.754646840148702</v>
      </c>
      <c r="F204" s="263">
        <v>50.743494423791823</v>
      </c>
      <c r="G204" s="263">
        <v>20.167286245353161</v>
      </c>
      <c r="H204" s="263">
        <v>11.71003717472119</v>
      </c>
      <c r="I204" s="160">
        <f t="shared" si="37"/>
        <v>1.1795306596762058E-3</v>
      </c>
      <c r="K204" s="8" t="s">
        <v>46</v>
      </c>
      <c r="L204" s="266" t="str">
        <f t="shared" si="38"/>
        <v>175 (0.1%)</v>
      </c>
      <c r="M204" s="270" t="str">
        <f t="shared" si="39"/>
        <v>29 (0.1%)</v>
      </c>
      <c r="N204" s="270" t="str">
        <f t="shared" si="40"/>
        <v>64 (0.2%)</v>
      </c>
      <c r="O204" s="270" t="str">
        <f t="shared" si="41"/>
        <v>51 (0.3%)</v>
      </c>
      <c r="P204" s="270" t="str">
        <f t="shared" si="42"/>
        <v>20 (0.1%)</v>
      </c>
      <c r="Q204" s="270" t="str">
        <f t="shared" si="43"/>
        <v>12 (0.1%)</v>
      </c>
    </row>
    <row r="205" spans="2:42" hidden="1" outlineLevel="1" x14ac:dyDescent="0.3">
      <c r="B205" s="8" t="str">
        <v>Benign_P2P3</v>
      </c>
      <c r="C205" s="266">
        <v>20400.1284089</v>
      </c>
      <c r="D205" s="263">
        <v>5361.4551654000006</v>
      </c>
      <c r="E205" s="263">
        <v>5857.8555921999996</v>
      </c>
      <c r="F205" s="263">
        <v>2097.5463597999997</v>
      </c>
      <c r="G205" s="263">
        <v>5671.3179248000006</v>
      </c>
      <c r="H205" s="263">
        <v>1411.9533666999998</v>
      </c>
      <c r="I205" s="160">
        <f t="shared" si="37"/>
        <v>0.13750043954073787</v>
      </c>
      <c r="K205" s="8" t="s">
        <v>110</v>
      </c>
      <c r="L205" s="266" t="str">
        <f t="shared" si="38"/>
        <v>20,400 (13.8%)</v>
      </c>
      <c r="M205" s="270" t="str">
        <f t="shared" si="39"/>
        <v>5,361 (11.7%)</v>
      </c>
      <c r="N205" s="270" t="str">
        <f t="shared" si="40"/>
        <v>5,858 (15.7%)</v>
      </c>
      <c r="O205" s="270" t="str">
        <f t="shared" si="41"/>
        <v>2,098 (11.0%)</v>
      </c>
      <c r="P205" s="270" t="str">
        <f t="shared" si="42"/>
        <v>5,671 (15.4%)</v>
      </c>
      <c r="Q205" s="270" t="str">
        <f t="shared" si="43"/>
        <v>1,412 (15.0%)</v>
      </c>
    </row>
    <row r="206" spans="2:42" hidden="1" outlineLevel="1" x14ac:dyDescent="0.3">
      <c r="B206" s="8" t="str">
        <v>Benign_P4</v>
      </c>
      <c r="C206" s="266">
        <v>107872.8603289</v>
      </c>
      <c r="D206" s="263">
        <v>34660.206838999999</v>
      </c>
      <c r="E206" s="263">
        <v>26559.586082000002</v>
      </c>
      <c r="F206" s="263">
        <v>13102.348932900002</v>
      </c>
      <c r="G206" s="263">
        <v>26702.216340999999</v>
      </c>
      <c r="H206" s="263">
        <v>6848.5021340000012</v>
      </c>
      <c r="I206" s="160">
        <f t="shared" si="37"/>
        <v>0.72708197774232364</v>
      </c>
      <c r="K206" s="8" t="s">
        <v>111</v>
      </c>
      <c r="L206" s="266" t="str">
        <f t="shared" si="38"/>
        <v>107,873 (72.7%)</v>
      </c>
      <c r="M206" s="270" t="str">
        <f t="shared" si="39"/>
        <v>34,660 (75.8%)</v>
      </c>
      <c r="N206" s="270" t="str">
        <f t="shared" si="40"/>
        <v>26,560 (71.3%)</v>
      </c>
      <c r="O206" s="270" t="str">
        <f t="shared" si="41"/>
        <v>13,102 (68.6%)</v>
      </c>
      <c r="P206" s="270" t="str">
        <f t="shared" si="42"/>
        <v>26,702 (72.4%)</v>
      </c>
      <c r="Q206" s="270" t="str">
        <f t="shared" si="43"/>
        <v>6,849 (72.9%)</v>
      </c>
    </row>
    <row r="207" spans="2:42" hidden="1" outlineLevel="1" x14ac:dyDescent="0.3">
      <c r="B207" s="8" t="str">
        <v>Pediatric_P2P3</v>
      </c>
      <c r="C207" s="266">
        <v>3151.0545397900005</v>
      </c>
      <c r="D207" s="263">
        <v>858.14935323000032</v>
      </c>
      <c r="E207" s="263">
        <v>560.96568631999992</v>
      </c>
      <c r="F207" s="263">
        <v>624.27425124999991</v>
      </c>
      <c r="G207" s="263">
        <v>868.66524899000001</v>
      </c>
      <c r="H207" s="263">
        <v>239</v>
      </c>
      <c r="I207" s="160">
        <f t="shared" si="37"/>
        <v>2.1238659657109731E-2</v>
      </c>
      <c r="K207" s="8" t="s">
        <v>112</v>
      </c>
      <c r="L207" s="266" t="str">
        <f t="shared" si="38"/>
        <v>3,151 (2.1%)</v>
      </c>
      <c r="M207" s="270" t="str">
        <f t="shared" si="39"/>
        <v>858 (1.9%)</v>
      </c>
      <c r="N207" s="270" t="str">
        <f t="shared" si="40"/>
        <v>561 (1.5%)</v>
      </c>
      <c r="O207" s="270" t="str">
        <f t="shared" si="41"/>
        <v>624 (3.3%)</v>
      </c>
      <c r="P207" s="270" t="str">
        <f t="shared" si="42"/>
        <v>869 (2.4%)</v>
      </c>
      <c r="Q207" s="270" t="str">
        <f t="shared" si="43"/>
        <v>239 (2.5%)</v>
      </c>
    </row>
    <row r="208" spans="2:42" hidden="1" outlineLevel="1" x14ac:dyDescent="0.3">
      <c r="B208" s="8" t="str">
        <v>Pediatric_P4</v>
      </c>
      <c r="C208" s="266">
        <v>9199.7733137200012</v>
      </c>
      <c r="D208" s="263">
        <v>3003.9493878000007</v>
      </c>
      <c r="E208" s="263">
        <v>2513.2728848000002</v>
      </c>
      <c r="F208" s="263">
        <v>1310.5920298000003</v>
      </c>
      <c r="G208" s="263">
        <v>1831.4962251999998</v>
      </c>
      <c r="H208" s="263">
        <v>540.46278611999992</v>
      </c>
      <c r="I208" s="160">
        <f t="shared" si="37"/>
        <v>6.2008083917735476E-2</v>
      </c>
      <c r="K208" s="8" t="s">
        <v>113</v>
      </c>
      <c r="L208" s="266" t="str">
        <f t="shared" si="38"/>
        <v>9,200 (6.2%)</v>
      </c>
      <c r="M208" s="270" t="str">
        <f t="shared" si="39"/>
        <v>3,004 (6.6%)</v>
      </c>
      <c r="N208" s="270" t="str">
        <f t="shared" si="40"/>
        <v>2,513 (6.7%)</v>
      </c>
      <c r="O208" s="270" t="str">
        <f t="shared" si="41"/>
        <v>1,311 (6.9%)</v>
      </c>
      <c r="P208" s="270" t="str">
        <f t="shared" si="42"/>
        <v>1,831 (5.0%)</v>
      </c>
      <c r="Q208" s="270" t="str">
        <f t="shared" si="43"/>
        <v>540 (5.8%)</v>
      </c>
    </row>
    <row r="209" spans="2:17" hidden="1" outlineLevel="1" x14ac:dyDescent="0.3">
      <c r="B209" s="12" t="s">
        <v>229</v>
      </c>
      <c r="C209" s="267">
        <f>SUM(C198:C208)</f>
        <v>148364.0959769875</v>
      </c>
      <c r="D209" s="264">
        <f t="shared" ref="D209:H209" si="44">SUM(D198:D208)</f>
        <v>45742.102618591991</v>
      </c>
      <c r="E209" s="264">
        <f t="shared" si="44"/>
        <v>37245.167770715663</v>
      </c>
      <c r="F209" s="264">
        <f t="shared" si="44"/>
        <v>19093.423153774162</v>
      </c>
      <c r="G209" s="264">
        <f t="shared" si="44"/>
        <v>36884.553279421292</v>
      </c>
      <c r="H209" s="264">
        <f t="shared" si="44"/>
        <v>9398.8491544843801</v>
      </c>
      <c r="K209" s="12" t="s">
        <v>229</v>
      </c>
      <c r="L209" s="267" t="str">
        <f t="shared" si="38"/>
        <v>148,364 (100.0%)</v>
      </c>
      <c r="M209" s="271" t="str">
        <f t="shared" si="39"/>
        <v>45,742 (100.0%)</v>
      </c>
      <c r="N209" s="271" t="str">
        <f t="shared" si="40"/>
        <v>37,245 (100.0%)</v>
      </c>
      <c r="O209" s="271" t="str">
        <f t="shared" si="41"/>
        <v>19,093 (100.0%)</v>
      </c>
      <c r="P209" s="271" t="str">
        <f t="shared" si="42"/>
        <v>36,885 (100.0%)</v>
      </c>
      <c r="Q209" s="271" t="str">
        <f t="shared" si="43"/>
        <v>9,399 (100.0%)</v>
      </c>
    </row>
    <row r="210" spans="2:17" hidden="1" outlineLevel="1" x14ac:dyDescent="0.3">
      <c r="D210" s="269">
        <f>D209/$C$209</f>
        <v>0.30830978558105437</v>
      </c>
      <c r="E210" s="269">
        <f t="shared" ref="E210:H210" si="45">E209/$C$209</f>
        <v>0.25103895605910403</v>
      </c>
      <c r="F210" s="269">
        <f t="shared" si="45"/>
        <v>0.12869301718884674</v>
      </c>
      <c r="G210" s="269">
        <f t="shared" si="45"/>
        <v>0.24860835120878835</v>
      </c>
      <c r="H210" s="269">
        <f t="shared" si="45"/>
        <v>6.3349889962206349E-2</v>
      </c>
    </row>
    <row r="211" spans="2:17" collapsed="1" x14ac:dyDescent="0.3">
      <c r="D211" s="269"/>
      <c r="E211" s="269"/>
      <c r="F211" s="269"/>
      <c r="G211" s="269"/>
      <c r="H211" s="269"/>
    </row>
  </sheetData>
  <sheetProtection algorithmName="SHA-512" hashValue="NYOAAhX1ms1AVXwQPDsOeTalc+oFc9LjlrDAl/h0lsGz+1QN3acd8HrVZ0gW74VRh85YO4bnXtwL8GDfVeh7Nw==" saltValue="QOpyKI+bhXMxaUpvguCptg==" spinCount="100000" sheet="1" objects="1" scenarios="1"/>
  <mergeCells count="3">
    <mergeCell ref="A2:A3"/>
    <mergeCell ref="D196:H196"/>
    <mergeCell ref="M196:Q196"/>
  </mergeCells>
  <hyperlinks>
    <hyperlink ref="L85" location="Methodology!B43" display="% uptake"/>
    <hyperlink ref="L130" location="Methodology!B43" display="% uptake"/>
    <hyperlink ref="L157" location="uptake" display="% uptake"/>
    <hyperlink ref="L148" location="uptake" display="% uptake"/>
    <hyperlink ref="L139" location="uptake" display="% uptake"/>
    <hyperlink ref="L121" location="uptake" display="% uptake"/>
    <hyperlink ref="L112" location="uptake" display="% uptake"/>
    <hyperlink ref="L103" location="uptake" display="% uptake"/>
    <hyperlink ref="L94" location="uptake" display="% uptake"/>
    <hyperlink ref="L76" location="uptake" display="% uptake"/>
    <hyperlink ref="L67" location="uptake" display="% uptake"/>
    <hyperlink ref="L63" location="uptake" display="% uptake"/>
  </hyperlink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'Backlog Volumes'!$A$3:$A$11</xm:f>
          </x14:formula1>
          <xm:sqref>D46</xm:sqref>
        </x14:dataValidation>
        <x14:dataValidation type="list" allowBlank="1" showInputMessage="1" showErrorMessage="1">
          <x14:formula1>
            <xm:f>'Backlog Volumes'!$C$83:$C$99</xm:f>
          </x14:formula1>
          <xm:sqref>D47</xm:sqref>
        </x14:dataValidation>
      </x14:dataValidation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3"/>
  </sheetPr>
  <dimension ref="A1:Z90"/>
  <sheetViews>
    <sheetView showGridLines="0" showRowColHeaders="0" zoomScaleNormal="100" workbookViewId="0">
      <pane ySplit="5" topLeftCell="A6" activePane="bottomLeft" state="frozen"/>
      <selection pane="bottomLeft" activeCell="B42" sqref="B42"/>
    </sheetView>
  </sheetViews>
  <sheetFormatPr defaultColWidth="8.88671875" defaultRowHeight="14.4" outlineLevelRow="1" x14ac:dyDescent="0.3"/>
  <cols>
    <col min="1" max="1" width="8.88671875" style="8" customWidth="1"/>
    <col min="2" max="2" width="47.5546875" style="8" customWidth="1"/>
    <col min="3" max="9" width="14.77734375" style="8" customWidth="1"/>
    <col min="10" max="41" width="8.88671875" style="8"/>
    <col min="42" max="42" width="8.88671875" style="8" customWidth="1"/>
    <col min="43" max="16384" width="8.88671875" style="8"/>
  </cols>
  <sheetData>
    <row r="1" spans="1:12" ht="14.4" customHeight="1" x14ac:dyDescent="0.3"/>
    <row r="2" spans="1:12" ht="14.4" customHeight="1" x14ac:dyDescent="0.35">
      <c r="A2" s="294" t="s">
        <v>340</v>
      </c>
      <c r="B2" s="9" t="str">
        <f>'READ ME'!$C$7</f>
        <v>Backlog Modelling for Surgery in Ontario for Ramp Up Planning (+ PPE Requirements)</v>
      </c>
    </row>
    <row r="3" spans="1:12" ht="14.4" customHeight="1" x14ac:dyDescent="0.3">
      <c r="A3" s="294"/>
      <c r="B3" s="8" t="str">
        <f>'READ ME'!$C$8&amp;", "&amp;'READ ME'!$C$9</f>
        <v>Ontario Health (Cancer Care Ontario), Version 4.0</v>
      </c>
    </row>
    <row r="4" spans="1:12" ht="14.4" customHeight="1" x14ac:dyDescent="0.35">
      <c r="B4" s="9"/>
    </row>
    <row r="5" spans="1:12" s="78" customFormat="1" ht="14.4" customHeight="1" thickBot="1" x14ac:dyDescent="0.4">
      <c r="B5" s="77"/>
    </row>
    <row r="6" spans="1:12" ht="14.4" customHeight="1" thickTop="1" x14ac:dyDescent="0.3"/>
    <row r="7" spans="1:12" ht="18" x14ac:dyDescent="0.35">
      <c r="B7" s="9" t="s">
        <v>19</v>
      </c>
      <c r="D7" s="2" t="s">
        <v>72</v>
      </c>
    </row>
    <row r="8" spans="1:12" x14ac:dyDescent="0.3">
      <c r="B8" s="8" t="s">
        <v>83</v>
      </c>
      <c r="D8" s="92" t="s">
        <v>71</v>
      </c>
    </row>
    <row r="9" spans="1:12" x14ac:dyDescent="0.3">
      <c r="B9" s="8" t="s">
        <v>354</v>
      </c>
    </row>
    <row r="10" spans="1:12" x14ac:dyDescent="0.3">
      <c r="C10" s="103" t="s">
        <v>47</v>
      </c>
    </row>
    <row r="11" spans="1:12" x14ac:dyDescent="0.3">
      <c r="C11" s="102" t="s">
        <v>41</v>
      </c>
      <c r="H11" s="8" t="str">
        <f>"Weeks after "&amp;TEXT('Data Inputs'!D46,"MMM D, YYYY")</f>
        <v>Weeks after Jun 14, 2020</v>
      </c>
    </row>
    <row r="12" spans="1:12" x14ac:dyDescent="0.3">
      <c r="B12" s="8" t="s">
        <v>85</v>
      </c>
      <c r="H12" s="12" t="s">
        <v>36</v>
      </c>
    </row>
    <row r="13" spans="1:12" ht="15.6" x14ac:dyDescent="0.3">
      <c r="B13" s="111" t="s">
        <v>47</v>
      </c>
      <c r="C13" s="297" t="s">
        <v>12</v>
      </c>
      <c r="D13" s="297"/>
      <c r="E13" s="297"/>
      <c r="H13" s="8" t="str">
        <f>"Estimated backlog size and "&amp;CHAR(10)&amp;"time to clear the backlog for "&amp;B13</f>
        <v>Estimated backlog size and 
time to clear the backlog for Custom</v>
      </c>
    </row>
    <row r="14" spans="1:12" ht="28.8" x14ac:dyDescent="0.3">
      <c r="C14" s="14" t="str">
        <f>'Data Inputs'!C16</f>
        <v>Scenario 1:
+1 day a week</v>
      </c>
      <c r="D14" s="15" t="str">
        <f>'Data Inputs'!D16</f>
        <v>Scenario 2:
+2 days a week</v>
      </c>
      <c r="E14" s="16" t="str">
        <f>'Data Inputs'!E16</f>
        <v>Scenario 3:
+3 days a week</v>
      </c>
    </row>
    <row r="15" spans="1:12" x14ac:dyDescent="0.3">
      <c r="B15" s="12" t="s">
        <v>21</v>
      </c>
      <c r="C15" s="17"/>
      <c r="D15" s="18"/>
      <c r="E15" s="19"/>
      <c r="H15" s="12" t="s">
        <v>24</v>
      </c>
    </row>
    <row r="16" spans="1:12" x14ac:dyDescent="0.3">
      <c r="B16" s="20" t="s">
        <v>13</v>
      </c>
      <c r="C16" s="21">
        <f ca="1">INDEX(INDIRECT($C$10),IF(ProcedureSelection="Custom",1,MATCH($C$11,Regions,0)),1)</f>
        <v>228</v>
      </c>
      <c r="D16" s="21">
        <f ca="1">INDEX(INDIRECT($C$10),IF(ProcedureSelection="Custom",1,MATCH($C$11,Regions,0)),1)</f>
        <v>228</v>
      </c>
      <c r="E16" s="21">
        <f ca="1">INDEX(INDIRECT($C$10),IF(ProcedureSelection="Custom",1,MATCH($C$11,Regions,0)),1)</f>
        <v>228</v>
      </c>
      <c r="H16" s="22" t="str">
        <f>C14</f>
        <v>Scenario 1:
+1 day a week</v>
      </c>
      <c r="J16" s="22" t="str">
        <f>D14</f>
        <v>Scenario 2:
+2 days a week</v>
      </c>
      <c r="L16" s="22" t="str">
        <f>E14</f>
        <v>Scenario 3:
+3 days a week</v>
      </c>
    </row>
    <row r="17" spans="2:13" x14ac:dyDescent="0.3">
      <c r="B17" s="20" t="s">
        <v>20</v>
      </c>
      <c r="C17" s="23">
        <f>INDEX('Data Inputs'!$C$17:$E$17,IF(ProcedureSelection="Custom",1,MATCH($C$11,Regions,0)),MATCH(C14,ScenariosCustom,0))</f>
        <v>1</v>
      </c>
      <c r="D17" s="23">
        <f>INDEX('Data Inputs'!$C$17:$E$17,IF(ProcedureSelection="Custom",1,MATCH($C$11,Regions,0)),MATCH(D14,ScenariosCustom,0))</f>
        <v>2</v>
      </c>
      <c r="E17" s="23">
        <f>INDEX('Data Inputs'!$C$17:$E$17,IF(ProcedureSelection="Custom",1,MATCH($C$11,Regions,0)),MATCH(E14,ScenariosCustom,0))</f>
        <v>3</v>
      </c>
      <c r="H17" s="8">
        <v>0</v>
      </c>
      <c r="I17" s="24">
        <f ca="1">C16</f>
        <v>228</v>
      </c>
      <c r="J17" s="8">
        <v>0</v>
      </c>
      <c r="K17" s="24">
        <f ca="1">D16</f>
        <v>228</v>
      </c>
      <c r="L17" s="8">
        <v>0</v>
      </c>
      <c r="M17" s="24">
        <f ca="1">E16</f>
        <v>228</v>
      </c>
    </row>
    <row r="18" spans="2:13" x14ac:dyDescent="0.3">
      <c r="B18" s="20" t="s">
        <v>363</v>
      </c>
      <c r="C18" s="21">
        <f ca="1">ROUNDDOWN(C17*INDEX(INDIRECT($C$10),IF(ProcedureSelection="Custom",1,MATCH($C$11,Regions,0)),9)/(INDEX(INDIRECT($C$10),IF(ProcedureSelection="Custom",1,MATCH($C$11,Regions,0)),3)+INDEX(INDIRECT($C$10),IF(ProcedureSelection="Custom",1,MATCH($C$11,Regions,0)),2)),0)+IF(MOD(INDEX(INDIRECT($C$10),IF(ProcedureSelection="Custom",1,MATCH($C$11,Regions,0)),9),INDEX(INDIRECT($C$10),IF(ProcedureSelection="Custom",1,MATCH($C$11,Regions,0)),3)+INDEX(INDIRECT($C$10),IF(ProcedureSelection="Custom",1,MATCH($C$11,Regions,0)),2))&lt;Buffer,0,1)</f>
        <v>2</v>
      </c>
      <c r="D18" s="21">
        <f ca="1">ROUNDDOWN(D17*INDEX(INDIRECT($C$10),IF(ProcedureSelection="Custom",1,MATCH($C$11,Regions,0)),9)/(INDEX(INDIRECT($C$10),IF(ProcedureSelection="Custom",1,MATCH($C$11,Regions,0)),3)+INDEX(INDIRECT($C$10),IF(ProcedureSelection="Custom",1,MATCH($C$11,Regions,0)),2)),0)+IF(MOD(INDEX(INDIRECT($C$10),IF(ProcedureSelection="Custom",1,MATCH($C$11,Regions,0)),9),INDEX(INDIRECT($C$10),IF(ProcedureSelection="Custom",1,MATCH($C$11,Regions,0)),3)+INDEX(INDIRECT($C$10),IF(ProcedureSelection="Custom",1,MATCH($C$11,Regions,0)),2))&lt;Buffer,0,1)</f>
        <v>4</v>
      </c>
      <c r="E18" s="21">
        <f ca="1">ROUNDDOWN(E17*INDEX(INDIRECT($C$10),IF(ProcedureSelection="Custom",1,MATCH($C$11,Regions,0)),9)/(INDEX(INDIRECT($C$10),IF(ProcedureSelection="Custom",1,MATCH($C$11,Regions,0)),3)+INDEX(INDIRECT($C$10),IF(ProcedureSelection="Custom",1,MATCH($C$11,Regions,0)),2)),0)+IF(MOD(INDEX(INDIRECT($C$10),IF(ProcedureSelection="Custom",1,MATCH($C$11,Regions,0)),9),INDEX(INDIRECT($C$10),IF(ProcedureSelection="Custom",1,MATCH($C$11,Regions,0)),3)+INDEX(INDIRECT($C$10),IF(ProcedureSelection="Custom",1,MATCH($C$11,Regions,0)),2))&lt;Buffer,0,1)</f>
        <v>6</v>
      </c>
      <c r="H18" s="25">
        <f ca="1">C20</f>
        <v>4.5599999999999996</v>
      </c>
      <c r="I18" s="8">
        <v>0</v>
      </c>
      <c r="J18" s="25">
        <f ca="1">D20</f>
        <v>2.2799999999999998</v>
      </c>
      <c r="K18" s="8">
        <v>0</v>
      </c>
      <c r="L18" s="25">
        <f ca="1">E20</f>
        <v>1.52</v>
      </c>
      <c r="M18" s="8">
        <v>0</v>
      </c>
    </row>
    <row r="19" spans="2:13" x14ac:dyDescent="0.3">
      <c r="B19" s="20" t="s">
        <v>43</v>
      </c>
      <c r="C19" s="21">
        <f ca="1">ROUNDDOWN(INDEX(INDIRECT($C$10),IF(ProcedureSelection="Custom",1,MATCH($C$11,Regions,0)),8)*INDEX(INDIRECT($C$10),IF(ProcedureSelection="Custom",1,MATCH($C$11,Regions,0)),10),0)</f>
        <v>25</v>
      </c>
      <c r="D19" s="21">
        <f ca="1">ROUNDDOWN(INDEX(INDIRECT($C$10),IF(ProcedureSelection="Custom",1,MATCH($C$11,Regions,0)),8)*INDEX(INDIRECT($C$10),IF(ProcedureSelection="Custom",1,MATCH($C$11,Regions,0)),10),0)</f>
        <v>25</v>
      </c>
      <c r="E19" s="21">
        <f ca="1">ROUNDDOWN(INDEX(INDIRECT($C$10),IF(ProcedureSelection="Custom",1,MATCH($C$11,Regions,0)),8)*INDEX(INDIRECT($C$10),IF(ProcedureSelection="Custom",1,MATCH($C$11,Regions,0)),10),0)</f>
        <v>25</v>
      </c>
      <c r="H19" s="24">
        <f ca="1">I17</f>
        <v>228</v>
      </c>
    </row>
    <row r="20" spans="2:13" x14ac:dyDescent="0.3">
      <c r="B20" s="79" t="s">
        <v>11</v>
      </c>
      <c r="C20" s="80">
        <f ca="1">IFERROR(C16/(C19*C18),NA())</f>
        <v>4.5599999999999996</v>
      </c>
      <c r="D20" s="80">
        <f ca="1">IFERROR(D16/(D19*D18),NA())</f>
        <v>2.2799999999999998</v>
      </c>
      <c r="E20" s="80">
        <f ca="1">IFERROR(E16/(E19*E18),NA())</f>
        <v>1.52</v>
      </c>
      <c r="H20" s="8" t="str">
        <f ca="1">TEXT(H18,"0.0")&amp;" weeks"</f>
        <v>4.6 weeks</v>
      </c>
      <c r="J20" s="8" t="str">
        <f ca="1">TEXT(J18,"0.0")&amp;" weeks"</f>
        <v>2.3 weeks</v>
      </c>
      <c r="L20" s="8" t="str">
        <f ca="1">TEXT(L18,"0.0")&amp;" weeks"</f>
        <v>1.5 weeks</v>
      </c>
    </row>
    <row r="21" spans="2:13" x14ac:dyDescent="0.3">
      <c r="B21" s="12" t="s">
        <v>369</v>
      </c>
      <c r="C21" s="28"/>
      <c r="D21" s="29"/>
      <c r="E21" s="30"/>
    </row>
    <row r="22" spans="2:13" x14ac:dyDescent="0.3">
      <c r="B22" s="20" t="s">
        <v>368</v>
      </c>
      <c r="C22" s="21">
        <f ca="1">C16/C20</f>
        <v>50.000000000000007</v>
      </c>
      <c r="D22" s="21">
        <f ca="1">D16/D20</f>
        <v>100.00000000000001</v>
      </c>
      <c r="E22" s="21">
        <f ca="1">E16/E20</f>
        <v>150</v>
      </c>
    </row>
    <row r="23" spans="2:13" x14ac:dyDescent="0.3">
      <c r="B23" s="20" t="s">
        <v>114</v>
      </c>
      <c r="C23" s="33">
        <f ca="1">INDEX(INDIRECT($C$10),IF(ProcedureSelection="Custom",1,MATCH($C$11,Regions,0)),9)*C17*C19</f>
        <v>200</v>
      </c>
      <c r="D23" s="33">
        <f ca="1">INDEX(INDIRECT($C$10),IF(ProcedureSelection="Custom",1,MATCH($C$11,Regions,0)),9)*D17*D19</f>
        <v>400</v>
      </c>
      <c r="E23" s="33">
        <f ca="1">INDEX(INDIRECT($C$10),IF(ProcedureSelection="Custom",1,MATCH($C$11,Regions,0)),9)*E17*E19</f>
        <v>600</v>
      </c>
    </row>
    <row r="24" spans="2:13" x14ac:dyDescent="0.3">
      <c r="B24" s="20" t="s">
        <v>115</v>
      </c>
      <c r="C24" s="33">
        <f ca="1">C22*INDEX(INDIRECT($C$10),IF(ProcedureSelection="Custom",1,MATCH($C$11,Regions,0)),4)/(7/INDEX(INDIRECT($C$10),IF(ProcedureSelection="Custom",1,MATCH($C$11,Regions,0)),6))*IF($C10="Transplant",1+$T$76,1)</f>
        <v>17.496523722963765</v>
      </c>
      <c r="D24" s="33">
        <f ca="1">D22*INDEX(INDIRECT($C$10),IF(ProcedureSelection="Custom",1,MATCH($C$11,Regions,0)),4)/(7/INDEX(INDIRECT($C$10),IF(ProcedureSelection="Custom",1,MATCH($C$11,Regions,0)),6))*IF($C10="Transplant",1+$T$76,1)</f>
        <v>34.99304744592753</v>
      </c>
      <c r="E24" s="33">
        <f ca="1">E22*INDEX(INDIRECT($C$10),IF(ProcedureSelection="Custom",1,MATCH($C$11,Regions,0)),4)/(7/INDEX(INDIRECT($C$10),IF(ProcedureSelection="Custom",1,MATCH($C$11,Regions,0)),6))*IF($C10="Transplant",1+$T$76,1)</f>
        <v>52.489571168891288</v>
      </c>
    </row>
    <row r="25" spans="2:13" x14ac:dyDescent="0.3">
      <c r="B25" s="20" t="s">
        <v>116</v>
      </c>
      <c r="C25" s="33">
        <f ca="1">IFERROR(C22*INDEX(INDIRECT($C$10),IF(ProcedureSelection="Custom",1,MATCH($C$11,Regions,0)),5)/(7/INDEX(INDIRECT($C$10),IF(ProcedureSelection="Custom",1,MATCH($C$11,Regions,0)),7)),"N/A")*IF($C10="Transplant",1+$T$76,1)</f>
        <v>2.6655937565714289</v>
      </c>
      <c r="D25" s="33">
        <f ca="1">IFERROR(D22*INDEX(INDIRECT($C$10),IF(ProcedureSelection="Custom",1,MATCH($C$11,Regions,0)),5)/(7/INDEX(INDIRECT($C$10),IF(ProcedureSelection="Custom",1,MATCH($C$11,Regions,0)),7)),"N/A")*IF($C10="Transplant",1+$T$76,1)</f>
        <v>5.3311875131428579</v>
      </c>
      <c r="E25" s="33">
        <f ca="1">IFERROR(E22*INDEX(INDIRECT($C$10),IF(ProcedureSelection="Custom",1,MATCH($C$11,Regions,0)),5)/(7/INDEX(INDIRECT($C$10),IF(ProcedureSelection="Custom",1,MATCH($C$11,Regions,0)),7)),"N/A")*IF($C10="Transplant",1+$T$76,1)</f>
        <v>7.9967812697142859</v>
      </c>
    </row>
    <row r="26" spans="2:13" s="35" customFormat="1" x14ac:dyDescent="0.3">
      <c r="B26" s="34"/>
    </row>
    <row r="27" spans="2:13" x14ac:dyDescent="0.3">
      <c r="B27" s="10" t="s">
        <v>119</v>
      </c>
      <c r="C27" s="35"/>
      <c r="D27" s="35"/>
      <c r="E27" s="36"/>
    </row>
    <row r="28" spans="2:13" x14ac:dyDescent="0.3">
      <c r="B28" s="37" t="s">
        <v>70</v>
      </c>
      <c r="C28" s="38"/>
      <c r="D28" s="38"/>
      <c r="E28" s="39"/>
    </row>
    <row r="30" spans="2:13" s="40" customFormat="1" ht="7.95" customHeight="1" x14ac:dyDescent="0.3"/>
    <row r="31" spans="2:13" s="35" customFormat="1" x14ac:dyDescent="0.3"/>
    <row r="35" spans="17:17" x14ac:dyDescent="0.3">
      <c r="Q35" s="12"/>
    </row>
    <row r="36" spans="17:17" x14ac:dyDescent="0.3">
      <c r="Q36" s="12"/>
    </row>
    <row r="39" spans="17:17" x14ac:dyDescent="0.3">
      <c r="Q39" s="61"/>
    </row>
    <row r="40" spans="17:17" x14ac:dyDescent="0.3">
      <c r="Q40" s="3"/>
    </row>
    <row r="44" spans="17:17" outlineLevel="1" x14ac:dyDescent="0.3"/>
    <row r="45" spans="17:17" outlineLevel="1" x14ac:dyDescent="0.3"/>
    <row r="46" spans="17:17" outlineLevel="1" x14ac:dyDescent="0.3"/>
    <row r="56" spans="24:26" x14ac:dyDescent="0.3">
      <c r="X56" s="38"/>
      <c r="Y56" s="38"/>
      <c r="Z56" s="38"/>
    </row>
    <row r="57" spans="24:26" x14ac:dyDescent="0.3">
      <c r="X57" s="38"/>
      <c r="Y57" s="38"/>
      <c r="Z57" s="38"/>
    </row>
    <row r="58" spans="24:26" x14ac:dyDescent="0.3">
      <c r="X58" s="38"/>
      <c r="Y58" s="38"/>
      <c r="Z58" s="38"/>
    </row>
    <row r="59" spans="24:26" x14ac:dyDescent="0.3">
      <c r="X59" s="38"/>
      <c r="Y59" s="38"/>
      <c r="Z59" s="38"/>
    </row>
    <row r="60" spans="24:26" x14ac:dyDescent="0.3">
      <c r="X60" s="38"/>
      <c r="Y60" s="38"/>
      <c r="Z60" s="38"/>
    </row>
    <row r="61" spans="24:26" x14ac:dyDescent="0.3">
      <c r="X61" s="38"/>
      <c r="Y61" s="38"/>
      <c r="Z61" s="38"/>
    </row>
    <row r="62" spans="24:26" x14ac:dyDescent="0.3">
      <c r="X62" s="38"/>
      <c r="Y62" s="38"/>
      <c r="Z62" s="38"/>
    </row>
    <row r="63" spans="24:26" x14ac:dyDescent="0.3">
      <c r="X63" s="38"/>
      <c r="Y63" s="38"/>
      <c r="Z63" s="38"/>
    </row>
    <row r="64" spans="24:26" x14ac:dyDescent="0.3">
      <c r="X64" s="38"/>
      <c r="Y64" s="38"/>
      <c r="Z64" s="38"/>
    </row>
    <row r="65" spans="24:26" x14ac:dyDescent="0.3">
      <c r="X65" s="38"/>
      <c r="Y65" s="38"/>
      <c r="Z65" s="38"/>
    </row>
    <row r="66" spans="24:26" x14ac:dyDescent="0.3">
      <c r="X66" s="38"/>
      <c r="Y66" s="38"/>
      <c r="Z66" s="38"/>
    </row>
    <row r="67" spans="24:26" x14ac:dyDescent="0.3">
      <c r="X67" s="38"/>
      <c r="Y67" s="38"/>
      <c r="Z67" s="38"/>
    </row>
    <row r="68" spans="24:26" x14ac:dyDescent="0.3">
      <c r="X68" s="38"/>
      <c r="Y68" s="38"/>
      <c r="Z68" s="38"/>
    </row>
    <row r="69" spans="24:26" x14ac:dyDescent="0.3">
      <c r="X69" s="38"/>
      <c r="Y69" s="38"/>
      <c r="Z69" s="38"/>
    </row>
    <row r="70" spans="24:26" x14ac:dyDescent="0.3">
      <c r="Z70" s="38"/>
    </row>
    <row r="71" spans="24:26" x14ac:dyDescent="0.3">
      <c r="Z71" s="38"/>
    </row>
    <row r="72" spans="24:26" x14ac:dyDescent="0.3">
      <c r="Z72" s="38"/>
    </row>
    <row r="73" spans="24:26" x14ac:dyDescent="0.3">
      <c r="Z73" s="38"/>
    </row>
    <row r="74" spans="24:26" x14ac:dyDescent="0.3">
      <c r="Z74" s="38"/>
    </row>
    <row r="75" spans="24:26" x14ac:dyDescent="0.3">
      <c r="Z75" s="38"/>
    </row>
    <row r="76" spans="24:26" x14ac:dyDescent="0.3">
      <c r="Z76" s="38"/>
    </row>
    <row r="77" spans="24:26" x14ac:dyDescent="0.3">
      <c r="Z77" s="38"/>
    </row>
    <row r="78" spans="24:26" x14ac:dyDescent="0.3">
      <c r="Z78" s="38"/>
    </row>
    <row r="79" spans="24:26" x14ac:dyDescent="0.3">
      <c r="X79" s="38"/>
      <c r="Y79" s="38"/>
      <c r="Z79" s="38"/>
    </row>
    <row r="90" spans="16:16" x14ac:dyDescent="0.3">
      <c r="P90" s="25"/>
    </row>
  </sheetData>
  <sheetProtection algorithmName="SHA-512" hashValue="XAsSgKkVvamhedFT1OK82aNnwonyxMkPbuknzmXgM41UPoQf8Wg95kr1itxBaWaDmnfBxb1BSUfvLm3KReE3sg==" saltValue="GIp6YK4R3rbD8j9qZxxfTg==" spinCount="100000" sheet="1" objects="1" scenarios="1"/>
  <mergeCells count="2">
    <mergeCell ref="C13:E13"/>
    <mergeCell ref="A2:A3"/>
  </mergeCells>
  <conditionalFormatting sqref="C11">
    <cfRule type="expression" dxfId="81" priority="1">
      <formula>$C$10="Custom"</formula>
    </cfRule>
  </conditionalFormatting>
  <dataValidations count="2">
    <dataValidation type="list" allowBlank="1" showInputMessage="1" showErrorMessage="1" sqref="C10">
      <formula1>procedures</formula1>
    </dataValidation>
    <dataValidation type="list" allowBlank="1" showInputMessage="1" showErrorMessage="1" sqref="C11">
      <formula1>IF(ProcedureSelection="Custom","",Regions)</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tabColor theme="3"/>
  </sheetPr>
  <dimension ref="A1:P36"/>
  <sheetViews>
    <sheetView showGridLines="0" showRowColHeaders="0" zoomScaleNormal="100" workbookViewId="0">
      <pane ySplit="5" topLeftCell="A6" activePane="bottomLeft" state="frozen"/>
      <selection pane="bottomLeft" activeCell="A6" sqref="A6"/>
    </sheetView>
  </sheetViews>
  <sheetFormatPr defaultColWidth="8.88671875" defaultRowHeight="14.4" outlineLevelRow="1" x14ac:dyDescent="0.3"/>
  <cols>
    <col min="1" max="1" width="8.88671875" style="8" customWidth="1"/>
    <col min="2" max="2" width="42.77734375" style="8" customWidth="1"/>
    <col min="3" max="9" width="14.77734375" style="8" customWidth="1"/>
    <col min="10" max="41" width="8.88671875" style="8"/>
    <col min="42" max="42" width="8.88671875" style="8" customWidth="1"/>
    <col min="43" max="16384" width="8.88671875" style="8"/>
  </cols>
  <sheetData>
    <row r="1" spans="1:16" ht="14.4" customHeight="1" x14ac:dyDescent="0.35">
      <c r="B1" s="9"/>
    </row>
    <row r="2" spans="1:16" ht="14.4" customHeight="1" x14ac:dyDescent="0.35">
      <c r="A2" s="294" t="s">
        <v>340</v>
      </c>
      <c r="B2" s="9" t="str">
        <f>'READ ME'!$C$7</f>
        <v>Backlog Modelling for Surgery in Ontario for Ramp Up Planning (+ PPE Requirements)</v>
      </c>
    </row>
    <row r="3" spans="1:16" ht="14.4" customHeight="1" x14ac:dyDescent="0.3">
      <c r="A3" s="294"/>
      <c r="B3" s="8" t="str">
        <f>'READ ME'!$C$8&amp;", "&amp;'READ ME'!$C$9</f>
        <v>Ontario Health (Cancer Care Ontario), Version 4.0</v>
      </c>
      <c r="F3"/>
    </row>
    <row r="4" spans="1:16" ht="14.4" customHeight="1" x14ac:dyDescent="0.35">
      <c r="B4" s="9"/>
      <c r="F4"/>
    </row>
    <row r="5" spans="1:16" s="78" customFormat="1" ht="14.4" customHeight="1" thickBot="1" x14ac:dyDescent="0.4">
      <c r="B5" s="77"/>
    </row>
    <row r="6" spans="1:16" ht="14.4" customHeight="1" thickTop="1" x14ac:dyDescent="0.35">
      <c r="B6" s="9"/>
      <c r="F6" s="76"/>
      <c r="G6" s="76"/>
      <c r="H6" s="76"/>
      <c r="I6" s="76"/>
      <c r="J6" s="76"/>
      <c r="K6" s="76"/>
      <c r="L6" s="76"/>
      <c r="M6" s="76"/>
      <c r="N6" s="76"/>
      <c r="O6" s="76"/>
      <c r="P6" s="76"/>
    </row>
    <row r="7" spans="1:16" ht="18" x14ac:dyDescent="0.35">
      <c r="B7" s="9" t="s">
        <v>19</v>
      </c>
      <c r="F7" s="76"/>
      <c r="G7" s="76"/>
      <c r="H7" s="76"/>
      <c r="I7" s="76"/>
      <c r="J7" s="76"/>
      <c r="K7" s="76"/>
      <c r="L7" s="76"/>
      <c r="M7" s="76"/>
      <c r="N7" s="76"/>
      <c r="O7" s="76"/>
      <c r="P7" s="76"/>
    </row>
    <row r="8" spans="1:16" x14ac:dyDescent="0.3">
      <c r="B8" s="8" t="s">
        <v>355</v>
      </c>
      <c r="F8" s="76"/>
      <c r="G8" s="76"/>
      <c r="H8" s="76"/>
      <c r="I8" s="76"/>
      <c r="J8" s="76"/>
      <c r="K8" s="76"/>
      <c r="L8" s="76"/>
      <c r="M8" s="76"/>
      <c r="N8" s="76"/>
      <c r="O8" s="76"/>
      <c r="P8" s="76"/>
    </row>
    <row r="9" spans="1:16" x14ac:dyDescent="0.3">
      <c r="B9" s="8" t="s">
        <v>79</v>
      </c>
      <c r="F9" s="192"/>
      <c r="G9" s="192"/>
      <c r="H9" s="192"/>
      <c r="I9" s="192"/>
      <c r="J9" s="192"/>
      <c r="K9" s="192"/>
      <c r="L9" s="192"/>
      <c r="M9" s="192"/>
      <c r="N9" s="192"/>
      <c r="O9" s="76"/>
      <c r="P9" s="76"/>
    </row>
    <row r="10" spans="1:16" x14ac:dyDescent="0.3">
      <c r="F10" s="192"/>
      <c r="G10" s="192"/>
      <c r="H10" s="192"/>
      <c r="I10" s="192"/>
      <c r="J10" s="192"/>
      <c r="K10" s="192"/>
      <c r="L10" s="192"/>
      <c r="M10" s="192"/>
      <c r="N10" s="192"/>
      <c r="O10" s="76"/>
      <c r="P10" s="76"/>
    </row>
    <row r="11" spans="1:16" x14ac:dyDescent="0.3">
      <c r="F11" s="192"/>
      <c r="G11" s="192"/>
      <c r="H11" s="76"/>
      <c r="I11" s="76"/>
      <c r="J11" s="76"/>
      <c r="K11" s="76"/>
      <c r="L11" s="76"/>
      <c r="M11" s="76"/>
      <c r="N11" s="76"/>
      <c r="O11" s="76"/>
      <c r="P11" s="76"/>
    </row>
    <row r="12" spans="1:16" x14ac:dyDescent="0.3">
      <c r="F12" s="192"/>
      <c r="G12" s="192"/>
      <c r="H12" s="76" t="str">
        <f>"Average Time to Clear: Weeks after "&amp;TEXT('Data Inputs'!D46,"MMM D, YYYY")</f>
        <v>Average Time to Clear: Weeks after Jun 14, 2020</v>
      </c>
      <c r="I12" s="76"/>
      <c r="J12" s="76"/>
      <c r="K12" s="76"/>
      <c r="L12" s="76"/>
      <c r="M12" s="76"/>
      <c r="N12" s="76"/>
      <c r="O12" s="76"/>
      <c r="P12" s="76"/>
    </row>
    <row r="13" spans="1:16" x14ac:dyDescent="0.3">
      <c r="F13" s="192"/>
      <c r="G13" s="192"/>
      <c r="H13" s="193" t="s">
        <v>36</v>
      </c>
      <c r="I13" s="76"/>
      <c r="J13" s="76"/>
      <c r="K13" s="76"/>
      <c r="L13" s="76"/>
      <c r="M13" s="76"/>
      <c r="N13" s="76"/>
      <c r="O13" s="76"/>
      <c r="P13" s="76"/>
    </row>
    <row r="14" spans="1:16" x14ac:dyDescent="0.3">
      <c r="C14" s="297" t="s">
        <v>12</v>
      </c>
      <c r="D14" s="297"/>
      <c r="E14" s="297"/>
      <c r="F14" s="192"/>
      <c r="G14" s="192"/>
      <c r="H14" s="76" t="str">
        <f>"Estimated backlog size (Mar 15 to "&amp;TEXT('Data Inputs'!D48-1,"MMM D, YYYY")&amp;", with ramp up starting "&amp;TEXT('Data Inputs'!D46,"MMM D, YYYY")&amp;") and "&amp;CHAR(10)&amp;"average regional time to clear the backlog for surgical procedures in Ontario"</f>
        <v>Estimated backlog size (Mar 15 to Jun 13, 2020, with ramp up starting Jun 14, 2020) and 
average regional time to clear the backlog for surgical procedures in Ontario</v>
      </c>
      <c r="I14" s="76"/>
      <c r="J14" s="76"/>
      <c r="K14" s="76"/>
      <c r="L14" s="76"/>
      <c r="M14" s="76"/>
      <c r="N14" s="76"/>
      <c r="O14" s="76"/>
      <c r="P14" s="76"/>
    </row>
    <row r="15" spans="1:16" ht="28.8" x14ac:dyDescent="0.3">
      <c r="C15" s="14" t="str">
        <f>'Data Inputs'!$C$29</f>
        <v>Scenario 1:
+1 day a week</v>
      </c>
      <c r="D15" s="14" t="str">
        <f>'Data Inputs'!$D$29</f>
        <v>Scenario 2:
+2 days a week</v>
      </c>
      <c r="E15" s="71" t="str">
        <f>'Data Inputs'!$E$29</f>
        <v>Scenario 3:
+3 days a week</v>
      </c>
      <c r="F15" s="192"/>
      <c r="G15" s="192"/>
      <c r="H15" s="193" t="s">
        <v>24</v>
      </c>
      <c r="I15" s="76"/>
      <c r="J15" s="76"/>
      <c r="K15" s="76"/>
      <c r="L15" s="76"/>
      <c r="M15" s="76"/>
      <c r="N15" s="76"/>
      <c r="O15" s="76"/>
      <c r="P15" s="76"/>
    </row>
    <row r="16" spans="1:16" x14ac:dyDescent="0.3">
      <c r="B16" s="72" t="s">
        <v>21</v>
      </c>
      <c r="C16" s="17"/>
      <c r="D16" s="18"/>
      <c r="E16" s="19"/>
      <c r="F16" s="192"/>
      <c r="G16" s="192"/>
      <c r="H16" s="194" t="str">
        <f>C15</f>
        <v>Scenario 1:
+1 day a week</v>
      </c>
      <c r="I16" s="76"/>
      <c r="J16" s="194" t="str">
        <f>D15</f>
        <v>Scenario 2:
+2 days a week</v>
      </c>
      <c r="K16" s="76"/>
      <c r="L16" s="194" t="str">
        <f>E15</f>
        <v>Scenario 3:
+3 days a week</v>
      </c>
      <c r="M16" s="76"/>
      <c r="N16" s="76"/>
      <c r="O16" s="76"/>
      <c r="P16" s="76"/>
    </row>
    <row r="17" spans="1:16" x14ac:dyDescent="0.3">
      <c r="B17" s="73" t="s">
        <v>278</v>
      </c>
      <c r="C17" s="21">
        <f ca="1">'Regional Graphics'!C50+'Regional Graphics'!C264+'Regional Graphics'!C475+'Regional Graphics'!C688+'Regional Graphics'!C901</f>
        <v>148364.09597698748</v>
      </c>
      <c r="D17" s="21">
        <f ca="1">'Regional Graphics'!D50+'Regional Graphics'!D264+'Regional Graphics'!D475+'Regional Graphics'!D688+'Regional Graphics'!D901</f>
        <v>148364.09597698748</v>
      </c>
      <c r="E17" s="21">
        <f ca="1">'Regional Graphics'!E50+'Regional Graphics'!E264+'Regional Graphics'!E475+'Regional Graphics'!E688+'Regional Graphics'!E901</f>
        <v>148364.09597698748</v>
      </c>
      <c r="F17" s="192"/>
      <c r="G17" s="192"/>
      <c r="H17" s="76">
        <v>0</v>
      </c>
      <c r="I17" s="195">
        <f ca="1">C17</f>
        <v>148364.09597698748</v>
      </c>
      <c r="J17" s="76">
        <v>0</v>
      </c>
      <c r="K17" s="195">
        <f ca="1">D17</f>
        <v>148364.09597698748</v>
      </c>
      <c r="L17" s="76">
        <v>0</v>
      </c>
      <c r="M17" s="195">
        <f ca="1">E17</f>
        <v>148364.09597698748</v>
      </c>
      <c r="N17" s="76"/>
      <c r="O17" s="76"/>
      <c r="P17" s="76"/>
    </row>
    <row r="18" spans="1:16" x14ac:dyDescent="0.3">
      <c r="A18" s="24"/>
      <c r="B18" s="73" t="s">
        <v>281</v>
      </c>
      <c r="C18" s="21">
        <f ca="1">('Regional Graphics'!C50*'Regional Graphics'!C$53+'Regional Graphics'!C264*'Regional Graphics'!C$267+'Regional Graphics'!C475*'Regional Graphics'!C$478+'Regional Graphics'!C688*'Regional Graphics'!C$691+'Regional Graphics'!C901*'Regional Graphics'!C$904)/SUM('Regional Graphics'!C$904,'Regional Graphics'!C$691,'Regional Graphics'!C$478,'Regional Graphics'!C$267,'Regional Graphics'!C$53)</f>
        <v>35490.65644445728</v>
      </c>
      <c r="D18" s="21">
        <f ca="1">C18</f>
        <v>35490.65644445728</v>
      </c>
      <c r="E18" s="21">
        <f ca="1">D18</f>
        <v>35490.65644445728</v>
      </c>
      <c r="F18" s="192"/>
      <c r="G18" s="192"/>
      <c r="H18" s="196">
        <f ca="1">C19</f>
        <v>84.392121119086042</v>
      </c>
      <c r="I18" s="76">
        <v>0</v>
      </c>
      <c r="J18" s="196">
        <f ca="1">D19</f>
        <v>39.662059327041383</v>
      </c>
      <c r="K18" s="76">
        <v>0</v>
      </c>
      <c r="L18" s="196">
        <f ca="1">E19</f>
        <v>25.912995823279331</v>
      </c>
      <c r="M18" s="76">
        <v>0</v>
      </c>
      <c r="N18" s="76"/>
      <c r="O18" s="76"/>
      <c r="P18" s="76"/>
    </row>
    <row r="19" spans="1:16" x14ac:dyDescent="0.3">
      <c r="A19" s="24"/>
      <c r="B19" s="81" t="s">
        <v>279</v>
      </c>
      <c r="C19" s="82">
        <f ca="1">('Regional Graphics'!C51*'Regional Graphics'!C$53+'Regional Graphics'!C265*'Regional Graphics'!C$267+'Regional Graphics'!C476*'Regional Graphics'!C$478+'Regional Graphics'!C689*'Regional Graphics'!C$691+'Regional Graphics'!C902*'Regional Graphics'!C$904)/SUM('Regional Graphics'!C$904,'Regional Graphics'!C$691,'Regional Graphics'!C$478,'Regional Graphics'!C$267,'Regional Graphics'!C$53)</f>
        <v>84.392121119086042</v>
      </c>
      <c r="D19" s="82">
        <f ca="1">('Regional Graphics'!D51*'Regional Graphics'!D$53+'Regional Graphics'!D265*'Regional Graphics'!D$267+'Regional Graphics'!D476*'Regional Graphics'!D$478+'Regional Graphics'!D689*'Regional Graphics'!D$691+'Regional Graphics'!D902*'Regional Graphics'!D$904)/SUM('Regional Graphics'!D$904,'Regional Graphics'!D$691,'Regional Graphics'!D$478,'Regional Graphics'!D$267,'Regional Graphics'!D$53)</f>
        <v>39.662059327041383</v>
      </c>
      <c r="E19" s="82">
        <f ca="1">('Regional Graphics'!E51*'Regional Graphics'!E$53+'Regional Graphics'!E265*'Regional Graphics'!E$267+'Regional Graphics'!E476*'Regional Graphics'!E$478+'Regional Graphics'!E689*'Regional Graphics'!E$691+'Regional Graphics'!E902*'Regional Graphics'!E$904)/SUM('Regional Graphics'!E$904,'Regional Graphics'!E$691,'Regional Graphics'!E$478,'Regional Graphics'!E$267,'Regional Graphics'!E$53)</f>
        <v>25.912995823279331</v>
      </c>
      <c r="F19" s="192"/>
      <c r="G19" s="192"/>
      <c r="H19" s="195">
        <f ca="1">I17</f>
        <v>148364.09597698748</v>
      </c>
      <c r="I19" s="76"/>
      <c r="J19" s="76"/>
      <c r="K19" s="76"/>
      <c r="L19" s="76"/>
      <c r="M19" s="76"/>
      <c r="N19" s="76"/>
      <c r="O19" s="76"/>
      <c r="P19" s="76"/>
    </row>
    <row r="20" spans="1:16" x14ac:dyDescent="0.3">
      <c r="A20" s="24"/>
      <c r="B20" s="81" t="s">
        <v>280</v>
      </c>
      <c r="C20" s="80">
        <f ca="1">C19/52</f>
        <v>1.6229254061362701</v>
      </c>
      <c r="D20" s="80">
        <f ca="1">D19/52</f>
        <v>0.7627319101354112</v>
      </c>
      <c r="E20" s="80">
        <f ca="1">E19/52</f>
        <v>0.49832684275537176</v>
      </c>
      <c r="F20" s="192"/>
      <c r="G20" s="192"/>
      <c r="H20" s="76" t="str">
        <f ca="1">TEXT(H18,"0.0")&amp;" weeks"</f>
        <v>84.4 weeks</v>
      </c>
      <c r="I20" s="76"/>
      <c r="J20" s="76" t="str">
        <f ca="1">TEXT(J18,"0.0")&amp;" weeks"</f>
        <v>39.7 weeks</v>
      </c>
      <c r="K20" s="76"/>
      <c r="L20" s="76" t="str">
        <f ca="1">TEXT(L18,"0.0")&amp;" weeks"</f>
        <v>25.9 weeks</v>
      </c>
      <c r="M20" s="76"/>
      <c r="N20" s="76"/>
      <c r="O20" s="76"/>
      <c r="P20" s="76"/>
    </row>
    <row r="21" spans="1:16" x14ac:dyDescent="0.3">
      <c r="A21" s="24"/>
      <c r="B21" s="212" t="s">
        <v>297</v>
      </c>
      <c r="C21" s="211">
        <f ca="1">MIN('Regional Graphics'!C51,'Regional Graphics'!C265,'Regional Graphics'!C476,'Regional Graphics'!C689,'Regional Graphics'!C902)</f>
        <v>57.830040716233476</v>
      </c>
      <c r="D21" s="211">
        <f ca="1">MIN('Regional Graphics'!D51,'Regional Graphics'!D265,'Regional Graphics'!D476,'Regional Graphics'!D689,'Regional Graphics'!D902)</f>
        <v>26.628001334400036</v>
      </c>
      <c r="E21" s="211">
        <f ca="1">MIN('Regional Graphics'!E51,'Regional Graphics'!E265,'Regional Graphics'!E476,'Regional Graphics'!E689,'Regional Graphics'!E902)</f>
        <v>17.34690310678489</v>
      </c>
      <c r="F21" s="192"/>
      <c r="G21" s="192"/>
      <c r="H21" s="76"/>
      <c r="I21" s="195"/>
      <c r="J21" s="76"/>
      <c r="K21" s="195"/>
      <c r="L21" s="76"/>
      <c r="M21" s="195"/>
      <c r="N21" s="76"/>
      <c r="O21" s="76"/>
      <c r="P21" s="76"/>
    </row>
    <row r="22" spans="1:16" x14ac:dyDescent="0.3">
      <c r="B22" s="212" t="s">
        <v>298</v>
      </c>
      <c r="C22" s="211">
        <f ca="1">MAX('Regional Graphics'!C51,'Regional Graphics'!C265,'Regional Graphics'!C476,'Regional Graphics'!C689,'Regional Graphics'!C902)</f>
        <v>119.43639868069461</v>
      </c>
      <c r="D22" s="211">
        <f ca="1">MAX('Regional Graphics'!D51,'Regional Graphics'!D265,'Regional Graphics'!D476,'Regional Graphics'!D689,'Regional Graphics'!D902)</f>
        <v>59.718199340347304</v>
      </c>
      <c r="E22" s="211">
        <f ca="1">MAX('Regional Graphics'!E51,'Regional Graphics'!E265,'Regional Graphics'!E476,'Regional Graphics'!E689,'Regional Graphics'!E902)</f>
        <v>38.649173300879582</v>
      </c>
      <c r="F22" s="192"/>
      <c r="G22" s="192"/>
      <c r="H22" s="196"/>
      <c r="I22" s="76"/>
      <c r="J22" s="196"/>
      <c r="K22" s="76"/>
      <c r="L22" s="196"/>
      <c r="M22" s="76"/>
      <c r="N22" s="76"/>
      <c r="O22" s="76"/>
      <c r="P22" s="76"/>
    </row>
    <row r="23" spans="1:16" x14ac:dyDescent="0.3">
      <c r="B23" s="72" t="s">
        <v>14</v>
      </c>
      <c r="C23" s="28"/>
      <c r="D23" s="29"/>
      <c r="E23" s="30"/>
      <c r="F23" s="192"/>
      <c r="G23" s="192"/>
      <c r="H23" s="76"/>
      <c r="I23" s="195"/>
      <c r="J23" s="76"/>
      <c r="K23" s="195"/>
      <c r="L23" s="76"/>
      <c r="M23" s="195"/>
      <c r="N23" s="76"/>
      <c r="O23" s="76"/>
      <c r="P23" s="76"/>
    </row>
    <row r="24" spans="1:16" s="35" customFormat="1" x14ac:dyDescent="0.3">
      <c r="B24" s="73" t="s">
        <v>322</v>
      </c>
      <c r="C24" s="21">
        <f ca="1">C18/C19</f>
        <v>420.54466665645577</v>
      </c>
      <c r="D24" s="21">
        <f ca="1">D18/D19</f>
        <v>894.82636672523802</v>
      </c>
      <c r="E24" s="21">
        <f ca="1">E18/E19</f>
        <v>1369.6083882579765</v>
      </c>
      <c r="F24" s="213"/>
      <c r="G24" s="213"/>
      <c r="H24" s="196"/>
      <c r="I24" s="76"/>
      <c r="J24" s="196"/>
      <c r="K24" s="76"/>
      <c r="L24" s="196"/>
      <c r="M24" s="76"/>
      <c r="N24" s="197"/>
      <c r="O24" s="197"/>
      <c r="P24" s="197"/>
    </row>
    <row r="25" spans="1:16" x14ac:dyDescent="0.3">
      <c r="B25" s="73" t="s">
        <v>321</v>
      </c>
      <c r="C25" s="21">
        <f ca="1">('Regional Graphics'!C54*'Regional Graphics'!C$53+'Regional Graphics'!C268*'Regional Graphics'!C$267+'Regional Graphics'!C479*'Regional Graphics'!C$478+'Regional Graphics'!C692*'Regional Graphics'!C$691+'Regional Graphics'!C905*'Regional Graphics'!C$904)/SUM('Regional Graphics'!C$904,'Regional Graphics'!C$691,'Regional Graphics'!C$478,'Regional Graphics'!C$267,'Regional Graphics'!C$53)</f>
        <v>677.19469337854014</v>
      </c>
      <c r="D25" s="21">
        <f ca="1">('Regional Graphics'!D54*'Regional Graphics'!D$53+'Regional Graphics'!D268*'Regional Graphics'!D$267+'Regional Graphics'!D479*'Regional Graphics'!D$478+'Regional Graphics'!D692*'Regional Graphics'!D$691+'Regional Graphics'!D905*'Regional Graphics'!D$904)/SUM('Regional Graphics'!D$904,'Regional Graphics'!D$691,'Regional Graphics'!D$478,'Regional Graphics'!D$267,'Regional Graphics'!D$53)</f>
        <v>1358.5390137174002</v>
      </c>
      <c r="E25" s="21">
        <f ca="1">('Regional Graphics'!E54*'Regional Graphics'!E$53+'Regional Graphics'!E268*'Regional Graphics'!E$267+'Regional Graphics'!E479*'Regional Graphics'!E$478+'Regional Graphics'!E692*'Regional Graphics'!E$691+'Regional Graphics'!E905*'Regional Graphics'!E$904)/SUM('Regional Graphics'!E$904,'Regional Graphics'!E$691,'Regional Graphics'!E$478,'Regional Graphics'!E$267,'Regional Graphics'!E$53)</f>
        <v>2040.3357738582101</v>
      </c>
      <c r="F25" s="192"/>
      <c r="G25" s="192"/>
      <c r="H25" s="192"/>
      <c r="I25" s="192"/>
      <c r="J25" s="192"/>
      <c r="K25" s="192"/>
      <c r="L25" s="192"/>
      <c r="M25" s="192"/>
      <c r="N25" s="192"/>
      <c r="O25" s="76"/>
      <c r="P25" s="76"/>
    </row>
    <row r="26" spans="1:16" x14ac:dyDescent="0.3">
      <c r="B26" s="73" t="s">
        <v>323</v>
      </c>
      <c r="C26" s="33">
        <f ca="1">('Regional Graphics'!C55*'Regional Graphics'!C$53+'Regional Graphics'!C269*'Regional Graphics'!C$267+'Regional Graphics'!C480*'Regional Graphics'!C$478+'Regional Graphics'!C693*'Regional Graphics'!C$691+'Regional Graphics'!C906*'Regional Graphics'!C$904)/SUM('Regional Graphics'!C$904,'Regional Graphics'!C$691,'Regional Graphics'!C$478,'Regional Graphics'!C$267,'Regional Graphics'!C$53)</f>
        <v>47.217732333207302</v>
      </c>
      <c r="D26" s="33">
        <f ca="1">('Regional Graphics'!D55*'Regional Graphics'!D$53+'Regional Graphics'!D269*'Regional Graphics'!D$267+'Regional Graphics'!D480*'Regional Graphics'!D$478+'Regional Graphics'!D693*'Regional Graphics'!D$691+'Regional Graphics'!D906*'Regional Graphics'!D$904)/SUM('Regional Graphics'!D$904,'Regional Graphics'!D$691,'Regional Graphics'!D$478,'Regional Graphics'!D$267,'Regional Graphics'!D$53)</f>
        <v>97.206116650026516</v>
      </c>
      <c r="E26" s="33">
        <f ca="1">('Regional Graphics'!E55*'Regional Graphics'!E$53+'Regional Graphics'!E269*'Regional Graphics'!E$267+'Regional Graphics'!E480*'Regional Graphics'!E$478+'Regional Graphics'!E693*'Regional Graphics'!E$691+'Regional Graphics'!E906*'Regional Graphics'!E$904)/SUM('Regional Graphics'!E$904,'Regional Graphics'!E$691,'Regional Graphics'!E$478,'Regional Graphics'!E$267,'Regional Graphics'!E$53)</f>
        <v>150.00498688475375</v>
      </c>
      <c r="F26" s="76"/>
      <c r="G26" s="76"/>
      <c r="H26" s="76"/>
      <c r="I26" s="76"/>
      <c r="J26" s="76"/>
      <c r="K26" s="76"/>
      <c r="L26" s="76"/>
      <c r="M26" s="76"/>
      <c r="N26" s="76"/>
      <c r="O26" s="76"/>
      <c r="P26" s="76"/>
    </row>
    <row r="27" spans="1:16" x14ac:dyDescent="0.3">
      <c r="B27" s="73" t="s">
        <v>324</v>
      </c>
      <c r="C27" s="33">
        <f ca="1">('Regional Graphics'!C56*'Regional Graphics'!C$53+'Regional Graphics'!C270*'Regional Graphics'!C$267+'Regional Graphics'!C481*'Regional Graphics'!C$478+'Regional Graphics'!C694*'Regional Graphics'!C$691+'Regional Graphics'!C907*'Regional Graphics'!C$904)/SUM('Regional Graphics'!C$904,'Regional Graphics'!C$691,'Regional Graphics'!C$478,'Regional Graphics'!C$267,'Regional Graphics'!C$53)</f>
        <v>2.3124038657112886</v>
      </c>
      <c r="D27" s="33">
        <f ca="1">('Regional Graphics'!D56*'Regional Graphics'!D$53+'Regional Graphics'!D270*'Regional Graphics'!D$267+'Regional Graphics'!D481*'Regional Graphics'!D$478+'Regional Graphics'!D694*'Regional Graphics'!D$691+'Regional Graphics'!D907*'Regional Graphics'!D$904)/SUM('Regional Graphics'!D$904,'Regional Graphics'!D$691,'Regional Graphics'!D$478,'Regional Graphics'!D$267,'Regional Graphics'!D$53)</f>
        <v>4.5496277088089858</v>
      </c>
      <c r="E27" s="33">
        <f ca="1">('Regional Graphics'!E56*'Regional Graphics'!E$53+'Regional Graphics'!E270*'Regional Graphics'!E$267+'Regional Graphics'!E481*'Regional Graphics'!E$478+'Regional Graphics'!E694*'Regional Graphics'!E$691+'Regional Graphics'!E907*'Regional Graphics'!E$904)/SUM('Regional Graphics'!E$904,'Regional Graphics'!E$691,'Regional Graphics'!E$478,'Regional Graphics'!E$267,'Regional Graphics'!E$53)</f>
        <v>6.8271601235559292</v>
      </c>
      <c r="F27" s="76"/>
      <c r="G27" s="76"/>
      <c r="H27" s="76"/>
      <c r="I27" s="76"/>
      <c r="J27" s="76"/>
      <c r="K27" s="76"/>
      <c r="L27" s="76"/>
      <c r="M27" s="76"/>
      <c r="N27" s="76"/>
      <c r="O27" s="76"/>
      <c r="P27" s="76"/>
    </row>
    <row r="28" spans="1:16" x14ac:dyDescent="0.3">
      <c r="C28" s="208"/>
      <c r="D28" s="208"/>
      <c r="E28" s="208"/>
      <c r="F28" s="76"/>
      <c r="G28" s="76"/>
      <c r="H28" s="76"/>
      <c r="I28" s="76"/>
      <c r="J28" s="76"/>
      <c r="K28" s="76"/>
      <c r="L28" s="76"/>
      <c r="M28" s="76"/>
      <c r="N28" s="76"/>
      <c r="O28" s="76"/>
      <c r="P28" s="76"/>
    </row>
    <row r="29" spans="1:16" x14ac:dyDescent="0.3">
      <c r="C29" s="64"/>
      <c r="D29" s="64"/>
      <c r="E29" s="64"/>
      <c r="F29" s="192"/>
      <c r="G29" s="76"/>
      <c r="H29" s="76"/>
      <c r="I29" s="76"/>
      <c r="J29" s="76"/>
      <c r="K29" s="76"/>
      <c r="L29" s="76"/>
      <c r="M29" s="76"/>
      <c r="N29" s="76"/>
      <c r="O29" s="76"/>
      <c r="P29" s="76"/>
    </row>
    <row r="30" spans="1:16" x14ac:dyDescent="0.3">
      <c r="C30" s="208"/>
      <c r="D30" s="208"/>
      <c r="E30" s="208"/>
      <c r="F30" s="76"/>
      <c r="G30" s="76"/>
      <c r="H30" s="76"/>
      <c r="I30" s="76"/>
      <c r="J30" s="76"/>
      <c r="K30" s="76"/>
      <c r="L30" s="76"/>
      <c r="M30" s="76"/>
      <c r="N30" s="76"/>
      <c r="O30" s="76"/>
      <c r="P30" s="76"/>
    </row>
    <row r="31" spans="1:16" s="40" customFormat="1" ht="9" customHeight="1" x14ac:dyDescent="0.3"/>
    <row r="34" hidden="1" outlineLevel="1" x14ac:dyDescent="0.3"/>
    <row r="35" hidden="1" outlineLevel="1" x14ac:dyDescent="0.3"/>
    <row r="36" collapsed="1" x14ac:dyDescent="0.3"/>
  </sheetData>
  <sheetProtection algorithmName="SHA-512" hashValue="syEmTWo5h+sQGcuZog3+oJayP+4/U/Wwq9awaL2gNPmQh2B18O7GtFGyp41vSr9z01tzIm3iB19liMEhgt/9Ug==" saltValue="G4kdNWLlkJjeimO91YIm8g==" spinCount="100000" sheet="1" objects="1" scenarios="1"/>
  <mergeCells count="2">
    <mergeCell ref="C14:E14"/>
    <mergeCell ref="A2:A3"/>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3"/>
  </sheetPr>
  <dimension ref="A1:P1319"/>
  <sheetViews>
    <sheetView showGridLines="0" showRowColHeaders="0" zoomScaleNormal="100" workbookViewId="0">
      <pane ySplit="5" topLeftCell="A6" activePane="bottomLeft" state="frozen"/>
      <selection activeCell="I23" sqref="I23"/>
      <selection pane="bottomLeft" activeCell="A6" sqref="A6"/>
    </sheetView>
  </sheetViews>
  <sheetFormatPr defaultColWidth="8.88671875" defaultRowHeight="14.4" outlineLevelRow="1" x14ac:dyDescent="0.3"/>
  <cols>
    <col min="1" max="1" width="8.88671875" style="8" customWidth="1"/>
    <col min="2" max="2" width="42.77734375" style="8" customWidth="1"/>
    <col min="3" max="9" width="14.77734375" style="8" customWidth="1"/>
    <col min="10" max="41" width="8.88671875" style="8"/>
    <col min="42" max="42" width="8.88671875" style="8" customWidth="1"/>
    <col min="43" max="16384" width="8.88671875" style="8"/>
  </cols>
  <sheetData>
    <row r="1" spans="1:16" ht="14.4" customHeight="1" x14ac:dyDescent="0.3"/>
    <row r="2" spans="1:16" ht="14.4" customHeight="1" x14ac:dyDescent="0.35">
      <c r="A2" s="294" t="s">
        <v>340</v>
      </c>
      <c r="B2" s="9" t="str">
        <f>'READ ME'!$C$7</f>
        <v>Backlog Modelling for Surgery in Ontario for Ramp Up Planning (+ PPE Requirements)</v>
      </c>
    </row>
    <row r="3" spans="1:16" ht="14.4" customHeight="1" x14ac:dyDescent="0.3">
      <c r="A3" s="294"/>
      <c r="B3" s="8" t="str">
        <f>'READ ME'!$C$8&amp;", "&amp;'READ ME'!$C$9</f>
        <v>Ontario Health (Cancer Care Ontario), Version 4.0</v>
      </c>
    </row>
    <row r="4" spans="1:16" ht="14.4" customHeight="1" x14ac:dyDescent="0.3"/>
    <row r="5" spans="1:16" s="78" customFormat="1" ht="14.4" customHeight="1" thickBot="1" x14ac:dyDescent="0.35"/>
    <row r="6" spans="1:16" ht="14.4" customHeight="1" thickTop="1" x14ac:dyDescent="0.35">
      <c r="B6" s="9"/>
      <c r="F6" s="76"/>
      <c r="G6" s="76"/>
      <c r="H6" s="76"/>
      <c r="I6" s="76"/>
      <c r="J6" s="76"/>
      <c r="K6" s="76"/>
      <c r="L6" s="76"/>
      <c r="M6" s="76"/>
      <c r="N6" s="76"/>
      <c r="O6" s="76"/>
      <c r="P6" s="76"/>
    </row>
    <row r="7" spans="1:16" ht="18" x14ac:dyDescent="0.35">
      <c r="B7" s="9" t="s">
        <v>19</v>
      </c>
      <c r="D7" s="2" t="s">
        <v>72</v>
      </c>
      <c r="F7" s="76"/>
      <c r="G7" s="76"/>
      <c r="H7" s="76"/>
      <c r="I7" s="76"/>
      <c r="J7" s="76"/>
      <c r="K7" s="76"/>
      <c r="L7" s="76"/>
      <c r="M7" s="76"/>
      <c r="N7" s="76"/>
      <c r="O7" s="76"/>
      <c r="P7" s="76"/>
    </row>
    <row r="8" spans="1:16" x14ac:dyDescent="0.3">
      <c r="B8" s="105"/>
      <c r="D8" s="92" t="s">
        <v>71</v>
      </c>
      <c r="F8" s="76"/>
      <c r="G8" s="76"/>
      <c r="H8" s="76"/>
      <c r="I8" s="76"/>
      <c r="J8" s="76"/>
      <c r="K8" s="76"/>
      <c r="L8" s="76"/>
      <c r="M8" s="76"/>
      <c r="N8" s="76"/>
      <c r="O8" s="76"/>
      <c r="P8" s="76"/>
    </row>
    <row r="9" spans="1:16" x14ac:dyDescent="0.3">
      <c r="F9" s="76"/>
      <c r="G9" s="76"/>
      <c r="H9" s="76"/>
      <c r="I9" s="76"/>
      <c r="J9" s="76"/>
      <c r="K9" s="76"/>
      <c r="L9" s="76"/>
      <c r="M9" s="76"/>
      <c r="N9" s="76"/>
      <c r="O9" s="76"/>
      <c r="P9" s="76"/>
    </row>
    <row r="10" spans="1:16" x14ac:dyDescent="0.3">
      <c r="B10" s="12" t="s">
        <v>44</v>
      </c>
      <c r="F10" s="76"/>
      <c r="G10" s="76"/>
      <c r="H10" s="76"/>
      <c r="I10" s="76"/>
      <c r="J10" s="76"/>
      <c r="K10" s="76"/>
      <c r="L10" s="76"/>
      <c r="M10" s="76"/>
      <c r="N10" s="76"/>
      <c r="O10" s="76"/>
      <c r="P10" s="76"/>
    </row>
    <row r="11" spans="1:16" ht="15.6" x14ac:dyDescent="0.3">
      <c r="B11" s="106" t="s">
        <v>6</v>
      </c>
      <c r="F11" s="76"/>
      <c r="G11" s="76"/>
      <c r="H11" s="76"/>
      <c r="I11" s="76"/>
      <c r="J11" s="76"/>
      <c r="K11" s="76"/>
      <c r="L11" s="76"/>
      <c r="M11" s="76"/>
      <c r="N11" s="76"/>
      <c r="O11" s="76"/>
      <c r="P11" s="76"/>
    </row>
    <row r="12" spans="1:16" x14ac:dyDescent="0.3">
      <c r="F12" s="76"/>
      <c r="G12" s="76"/>
      <c r="H12" s="76" t="str">
        <f>"Time to Clear: Weeks after "&amp;TEXT('Data Inputs'!D46,"MMM D, YYYY")</f>
        <v>Time to Clear: Weeks after Jun 14, 2020</v>
      </c>
      <c r="I12" s="76"/>
      <c r="J12" s="76"/>
      <c r="K12" s="76"/>
      <c r="L12" s="76"/>
      <c r="M12" s="76"/>
      <c r="N12" s="76"/>
      <c r="O12" s="76"/>
      <c r="P12" s="76"/>
    </row>
    <row r="13" spans="1:16" x14ac:dyDescent="0.3">
      <c r="F13" s="76"/>
      <c r="G13" s="76"/>
      <c r="H13" s="193" t="s">
        <v>36</v>
      </c>
      <c r="I13" s="76"/>
      <c r="J13" s="76"/>
      <c r="K13" s="76"/>
      <c r="L13" s="76"/>
      <c r="M13" s="76"/>
      <c r="N13" s="76"/>
      <c r="O13" s="76"/>
      <c r="P13" s="76"/>
    </row>
    <row r="14" spans="1:16" x14ac:dyDescent="0.3">
      <c r="C14" s="297" t="s">
        <v>12</v>
      </c>
      <c r="D14" s="297"/>
      <c r="E14" s="297"/>
      <c r="F14" s="76"/>
      <c r="G14" s="76"/>
      <c r="H14" s="76" t="str">
        <f>"Estimated backlog size (Mar 15 to "&amp;TEXT('Data Inputs'!D48-1,"MMM D, YYYY")&amp;", with ramp up starting "&amp;TEXT('Data Inputs'!D46,"MMM D, YYYY")&amp;") and "&amp;CHAR(10)&amp;"time to clear the backlog for surgical procedures in the "&amp;B11&amp;" region"</f>
        <v>Estimated backlog size (Mar 15 to Jun 13, 2020, with ramp up starting Jun 14, 2020) and 
time to clear the backlog for surgical procedures in the North region</v>
      </c>
      <c r="I14" s="76"/>
      <c r="J14" s="76"/>
      <c r="K14" s="76"/>
      <c r="L14" s="76"/>
      <c r="M14" s="76"/>
      <c r="N14" s="76"/>
      <c r="O14" s="76"/>
      <c r="P14" s="76"/>
    </row>
    <row r="15" spans="1:16" ht="28.8" x14ac:dyDescent="0.3">
      <c r="B15" s="20"/>
      <c r="C15" s="14" t="str">
        <f>'Data Inputs'!$C$29</f>
        <v>Scenario 1:
+1 day a week</v>
      </c>
      <c r="D15" s="14" t="str">
        <f>'Data Inputs'!$D$29</f>
        <v>Scenario 2:
+2 days a week</v>
      </c>
      <c r="E15" s="71" t="str">
        <f>'Data Inputs'!$E$29</f>
        <v>Scenario 3:
+3 days a week</v>
      </c>
      <c r="F15" s="76"/>
      <c r="G15" s="76"/>
      <c r="H15" s="193" t="s">
        <v>24</v>
      </c>
      <c r="I15" s="76"/>
      <c r="J15" s="76"/>
      <c r="K15" s="76"/>
      <c r="L15" s="76"/>
      <c r="M15" s="76"/>
      <c r="N15" s="76"/>
      <c r="O15" s="76"/>
      <c r="P15" s="76"/>
    </row>
    <row r="16" spans="1:16" x14ac:dyDescent="0.3">
      <c r="B16" s="72" t="s">
        <v>21</v>
      </c>
      <c r="C16" s="17"/>
      <c r="D16" s="18"/>
      <c r="E16" s="19"/>
      <c r="F16" s="76"/>
      <c r="G16" s="76"/>
      <c r="H16" s="194" t="str">
        <f>C15</f>
        <v>Scenario 1:
+1 day a week</v>
      </c>
      <c r="I16" s="76"/>
      <c r="J16" s="194" t="str">
        <f>D15</f>
        <v>Scenario 2:
+2 days a week</v>
      </c>
      <c r="K16" s="76"/>
      <c r="L16" s="194" t="str">
        <f>E15</f>
        <v>Scenario 3:
+3 days a week</v>
      </c>
      <c r="M16" s="76"/>
      <c r="N16" s="76"/>
      <c r="O16" s="76"/>
      <c r="P16" s="76"/>
    </row>
    <row r="17" spans="2:16" x14ac:dyDescent="0.3">
      <c r="B17" s="73" t="s">
        <v>13</v>
      </c>
      <c r="C17" s="21">
        <f t="shared" ref="C17:E18" ca="1" si="0">INDEX(INDIRECT($B$11),$F17,C$25)</f>
        <v>9398.8491544843801</v>
      </c>
      <c r="D17" s="21">
        <f t="shared" ca="1" si="0"/>
        <v>9398.8491544843801</v>
      </c>
      <c r="E17" s="21">
        <f t="shared" ca="1" si="0"/>
        <v>9398.8491544843801</v>
      </c>
      <c r="F17" s="76">
        <v>1</v>
      </c>
      <c r="G17" s="76"/>
      <c r="H17" s="76">
        <v>0</v>
      </c>
      <c r="I17" s="195">
        <f ca="1">C17</f>
        <v>9398.8491544843801</v>
      </c>
      <c r="J17" s="76">
        <v>0</v>
      </c>
      <c r="K17" s="195">
        <f ca="1">D17</f>
        <v>9398.8491544843801</v>
      </c>
      <c r="L17" s="76">
        <v>0</v>
      </c>
      <c r="M17" s="195">
        <f ca="1">E17</f>
        <v>9398.8491544843801</v>
      </c>
      <c r="N17" s="76"/>
      <c r="O17" s="76"/>
      <c r="P17" s="76"/>
    </row>
    <row r="18" spans="2:16" x14ac:dyDescent="0.3">
      <c r="B18" s="81" t="s">
        <v>11</v>
      </c>
      <c r="C18" s="82">
        <f t="shared" ca="1" si="0"/>
        <v>57.830040716233476</v>
      </c>
      <c r="D18" s="82">
        <f t="shared" ca="1" si="0"/>
        <v>26.628001334400036</v>
      </c>
      <c r="E18" s="82">
        <f t="shared" ca="1" si="0"/>
        <v>17.34690310678489</v>
      </c>
      <c r="F18" s="76">
        <v>2</v>
      </c>
      <c r="G18" s="76"/>
      <c r="H18" s="196">
        <f ca="1">C18</f>
        <v>57.830040716233476</v>
      </c>
      <c r="I18" s="76">
        <v>0</v>
      </c>
      <c r="J18" s="196">
        <f ca="1">D18</f>
        <v>26.628001334400036</v>
      </c>
      <c r="K18" s="76">
        <v>0</v>
      </c>
      <c r="L18" s="196">
        <f ca="1">E18</f>
        <v>17.34690310678489</v>
      </c>
      <c r="M18" s="76">
        <v>0</v>
      </c>
      <c r="N18" s="76"/>
      <c r="O18" s="76"/>
      <c r="P18" s="76"/>
    </row>
    <row r="19" spans="2:16" x14ac:dyDescent="0.3">
      <c r="B19" s="81" t="s">
        <v>276</v>
      </c>
      <c r="C19" s="80">
        <f ca="1">C18/52</f>
        <v>1.1121161676198745</v>
      </c>
      <c r="D19" s="80">
        <f ca="1">D18/52</f>
        <v>0.51207694873846221</v>
      </c>
      <c r="E19" s="80">
        <f ca="1">E18/52</f>
        <v>0.33359429051509404</v>
      </c>
      <c r="F19" s="76">
        <v>3</v>
      </c>
      <c r="G19" s="76"/>
      <c r="H19" s="195">
        <f ca="1">I17</f>
        <v>9398.8491544843801</v>
      </c>
      <c r="I19" s="76"/>
      <c r="J19" s="76"/>
      <c r="K19" s="76"/>
      <c r="L19" s="76"/>
      <c r="M19" s="76"/>
      <c r="N19" s="76"/>
      <c r="O19" s="76"/>
      <c r="P19" s="76"/>
    </row>
    <row r="20" spans="2:16" x14ac:dyDescent="0.3">
      <c r="B20" s="72" t="s">
        <v>14</v>
      </c>
      <c r="C20" s="28"/>
      <c r="D20" s="29"/>
      <c r="E20" s="30"/>
      <c r="F20" s="76">
        <v>4</v>
      </c>
      <c r="G20" s="76"/>
      <c r="H20" s="76" t="str">
        <f ca="1">TEXT(H18,"0.0")&amp;" weeks"</f>
        <v>57.8 weeks</v>
      </c>
      <c r="I20" s="76"/>
      <c r="J20" s="76" t="str">
        <f ca="1">TEXT(J18,"0.0")&amp;" weeks"</f>
        <v>26.6 weeks</v>
      </c>
      <c r="K20" s="76"/>
      <c r="L20" s="76" t="str">
        <f ca="1">TEXT(L18,"0.0")&amp;" weeks"</f>
        <v>17.3 weeks</v>
      </c>
      <c r="M20" s="76"/>
      <c r="N20" s="76"/>
      <c r="O20" s="76"/>
      <c r="P20" s="76"/>
    </row>
    <row r="21" spans="2:16" x14ac:dyDescent="0.3">
      <c r="B21" s="73" t="s">
        <v>45</v>
      </c>
      <c r="C21" s="33">
        <f ca="1">C17/C18</f>
        <v>162.52537674326811</v>
      </c>
      <c r="D21" s="33">
        <f ca="1">D17/D18</f>
        <v>352.96863014432279</v>
      </c>
      <c r="E21" s="33">
        <f ca="1">E17/E18</f>
        <v>541.81712416484368</v>
      </c>
      <c r="F21" s="76">
        <v>5</v>
      </c>
      <c r="G21" s="76"/>
      <c r="H21" s="76"/>
      <c r="I21" s="76"/>
      <c r="J21" s="76"/>
      <c r="K21" s="76"/>
      <c r="L21" s="76"/>
      <c r="M21" s="76"/>
      <c r="N21" s="76"/>
      <c r="O21" s="76"/>
      <c r="P21" s="76"/>
    </row>
    <row r="22" spans="2:16" x14ac:dyDescent="0.3">
      <c r="B22" s="73" t="s">
        <v>114</v>
      </c>
      <c r="C22" s="33">
        <f t="shared" ref="C22:E24" ca="1" si="1">INDEX(INDIRECT($B$11),$F21,C$25)</f>
        <v>251.91441860465116</v>
      </c>
      <c r="D22" s="33">
        <f t="shared" ca="1" si="1"/>
        <v>504.8619768477293</v>
      </c>
      <c r="E22" s="33">
        <f t="shared" ca="1" si="1"/>
        <v>760.37043633125552</v>
      </c>
      <c r="F22" s="76">
        <v>6</v>
      </c>
      <c r="G22" s="76"/>
      <c r="H22" s="76"/>
      <c r="I22" s="76"/>
      <c r="J22" s="76"/>
      <c r="K22" s="76"/>
      <c r="L22" s="76"/>
      <c r="M22" s="76"/>
      <c r="N22" s="76"/>
      <c r="O22" s="76"/>
      <c r="P22" s="76"/>
    </row>
    <row r="23" spans="2:16" x14ac:dyDescent="0.3">
      <c r="B23" s="73" t="s">
        <v>115</v>
      </c>
      <c r="C23" s="33">
        <f t="shared" ca="1" si="1"/>
        <v>15.097422522624059</v>
      </c>
      <c r="D23" s="33">
        <f t="shared" ca="1" si="1"/>
        <v>31.491126185195085</v>
      </c>
      <c r="E23" s="33">
        <f t="shared" ca="1" si="1"/>
        <v>46.505899126527424</v>
      </c>
      <c r="F23" s="76">
        <v>7</v>
      </c>
      <c r="G23" s="76"/>
      <c r="H23" s="76"/>
      <c r="I23" s="76"/>
      <c r="J23" s="76"/>
      <c r="K23" s="76"/>
      <c r="L23" s="76"/>
      <c r="M23" s="76"/>
      <c r="N23" s="76"/>
      <c r="O23" s="76"/>
      <c r="P23" s="76"/>
    </row>
    <row r="24" spans="2:16" s="35" customFormat="1" x14ac:dyDescent="0.3">
      <c r="B24" s="73" t="s">
        <v>116</v>
      </c>
      <c r="C24" s="33">
        <f t="shared" ca="1" si="1"/>
        <v>0.42249939961950006</v>
      </c>
      <c r="D24" s="33">
        <f t="shared" ca="1" si="1"/>
        <v>0.81984177159976712</v>
      </c>
      <c r="E24" s="33">
        <f t="shared" ca="1" si="1"/>
        <v>1.2104464194336066</v>
      </c>
      <c r="F24" s="197"/>
      <c r="G24" s="197"/>
      <c r="H24" s="197"/>
      <c r="I24" s="197"/>
      <c r="J24" s="197"/>
      <c r="K24" s="197"/>
      <c r="L24" s="197"/>
      <c r="M24" s="197"/>
      <c r="N24" s="197"/>
      <c r="O24" s="197"/>
      <c r="P24" s="197"/>
    </row>
    <row r="25" spans="2:16" x14ac:dyDescent="0.3">
      <c r="B25" s="34"/>
      <c r="C25" s="76">
        <v>1</v>
      </c>
      <c r="D25" s="76">
        <v>2</v>
      </c>
      <c r="E25" s="76">
        <v>3</v>
      </c>
      <c r="F25" s="76"/>
      <c r="G25" s="76"/>
      <c r="H25" s="76"/>
      <c r="I25" s="76"/>
      <c r="J25" s="76"/>
      <c r="K25" s="76"/>
      <c r="L25" s="76"/>
      <c r="M25" s="76"/>
      <c r="N25" s="76"/>
      <c r="O25" s="76"/>
      <c r="P25" s="76"/>
    </row>
    <row r="26" spans="2:16" x14ac:dyDescent="0.3">
      <c r="C26" s="38"/>
      <c r="D26" s="38"/>
      <c r="E26" s="39"/>
      <c r="F26" s="76"/>
      <c r="G26" s="76"/>
      <c r="H26" s="76"/>
      <c r="I26" s="76"/>
      <c r="J26" s="76"/>
      <c r="K26" s="76"/>
      <c r="L26" s="76"/>
      <c r="M26" s="76"/>
      <c r="N26" s="76"/>
      <c r="O26" s="76"/>
      <c r="P26" s="76"/>
    </row>
    <row r="27" spans="2:16" x14ac:dyDescent="0.3">
      <c r="F27" s="76"/>
      <c r="G27" s="76"/>
      <c r="H27" s="76"/>
      <c r="I27" s="76"/>
      <c r="J27" s="76"/>
      <c r="K27" s="76"/>
      <c r="L27" s="76"/>
      <c r="M27" s="76"/>
      <c r="N27" s="76"/>
      <c r="O27" s="76"/>
      <c r="P27" s="76"/>
    </row>
    <row r="28" spans="2:16" s="40" customFormat="1" ht="9.6" customHeight="1" x14ac:dyDescent="0.3"/>
    <row r="29" spans="2:16" s="35" customFormat="1" hidden="1" x14ac:dyDescent="0.3"/>
    <row r="30" spans="2:16" ht="15.6" hidden="1" x14ac:dyDescent="0.3">
      <c r="B30" s="75" t="s">
        <v>23</v>
      </c>
    </row>
    <row r="31" spans="2:16" hidden="1" outlineLevel="1" x14ac:dyDescent="0.3"/>
    <row r="32" spans="2:16" hidden="1" outlineLevel="1" x14ac:dyDescent="0.3">
      <c r="B32" s="12" t="s">
        <v>22</v>
      </c>
    </row>
    <row r="33" spans="2:5" hidden="1" outlineLevel="1" x14ac:dyDescent="0.3">
      <c r="B33" s="8" t="s">
        <v>26</v>
      </c>
      <c r="C33" s="42" t="s">
        <v>41</v>
      </c>
    </row>
    <row r="34" spans="2:5" hidden="1" outlineLevel="1" x14ac:dyDescent="0.3">
      <c r="B34" s="8" t="s">
        <v>27</v>
      </c>
      <c r="C34" s="42" t="s">
        <v>1</v>
      </c>
    </row>
    <row r="35" spans="2:5" hidden="1" outlineLevel="1" x14ac:dyDescent="0.3">
      <c r="B35" s="8" t="s">
        <v>33</v>
      </c>
      <c r="C35" s="42" t="s">
        <v>3</v>
      </c>
    </row>
    <row r="36" spans="2:5" hidden="1" outlineLevel="1" x14ac:dyDescent="0.3">
      <c r="B36" s="8" t="s">
        <v>34</v>
      </c>
      <c r="C36" s="42" t="s">
        <v>4</v>
      </c>
    </row>
    <row r="37" spans="2:5" hidden="1" outlineLevel="1" x14ac:dyDescent="0.3">
      <c r="B37" s="8" t="s">
        <v>2</v>
      </c>
      <c r="C37" s="42" t="s">
        <v>5</v>
      </c>
    </row>
    <row r="38" spans="2:5" hidden="1" outlineLevel="1" x14ac:dyDescent="0.3">
      <c r="B38" s="8" t="s">
        <v>28</v>
      </c>
      <c r="C38" s="8" t="s">
        <v>6</v>
      </c>
    </row>
    <row r="39" spans="2:5" hidden="1" outlineLevel="1" x14ac:dyDescent="0.3">
      <c r="B39" s="8" t="s">
        <v>46</v>
      </c>
    </row>
    <row r="40" spans="2:5" hidden="1" outlineLevel="1" x14ac:dyDescent="0.3">
      <c r="B40" s="8" t="s">
        <v>29</v>
      </c>
    </row>
    <row r="41" spans="2:5" hidden="1" outlineLevel="1" x14ac:dyDescent="0.3">
      <c r="B41" s="8" t="s">
        <v>35</v>
      </c>
    </row>
    <row r="42" spans="2:5" hidden="1" outlineLevel="1" x14ac:dyDescent="0.3"/>
    <row r="43" spans="2:5" s="40" customFormat="1" hidden="1" outlineLevel="1" x14ac:dyDescent="0.3"/>
    <row r="44" spans="2:5" hidden="1" outlineLevel="1" x14ac:dyDescent="0.3"/>
    <row r="45" spans="2:5" collapsed="1" x14ac:dyDescent="0.3">
      <c r="B45" s="12" t="s">
        <v>42</v>
      </c>
    </row>
    <row r="47" spans="2:5" x14ac:dyDescent="0.3">
      <c r="C47" s="297" t="s">
        <v>12</v>
      </c>
      <c r="D47" s="297"/>
      <c r="E47" s="297"/>
    </row>
    <row r="48" spans="2:5" ht="28.8" x14ac:dyDescent="0.3">
      <c r="B48" s="13" t="s">
        <v>1</v>
      </c>
      <c r="C48" s="14" t="str">
        <f>'Data Inputs'!$C$29</f>
        <v>Scenario 1:
+1 day a week</v>
      </c>
      <c r="D48" s="14" t="str">
        <f>'Data Inputs'!$D$29</f>
        <v>Scenario 2:
+2 days a week</v>
      </c>
      <c r="E48" s="71" t="str">
        <f>'Data Inputs'!$E$29</f>
        <v>Scenario 3:
+3 days a week</v>
      </c>
    </row>
    <row r="49" spans="2:9" x14ac:dyDescent="0.3">
      <c r="B49" s="12" t="s">
        <v>21</v>
      </c>
      <c r="C49" s="17"/>
      <c r="D49" s="18"/>
      <c r="E49" s="19"/>
    </row>
    <row r="50" spans="2:9" x14ac:dyDescent="0.3">
      <c r="B50" s="20" t="s">
        <v>13</v>
      </c>
      <c r="C50" s="21">
        <f ca="1">SUMIF($B66:$B255,$B50,C66:C255)</f>
        <v>45742.102618591991</v>
      </c>
      <c r="D50" s="21">
        <f t="shared" ref="D50:E50" ca="1" si="2">SUMIF($B66:$B255,$B50,D66:D255)</f>
        <v>45742.102618591991</v>
      </c>
      <c r="E50" s="21">
        <f t="shared" ca="1" si="2"/>
        <v>45742.102618591991</v>
      </c>
    </row>
    <row r="51" spans="2:9" x14ac:dyDescent="0.3">
      <c r="B51" s="26" t="s">
        <v>11</v>
      </c>
      <c r="C51" s="74">
        <f ca="1">SUMIF($B66:$B255,$B51,C66:C255)</f>
        <v>86.694844166114706</v>
      </c>
      <c r="D51" s="74">
        <f t="shared" ref="D51:E51" ca="1" si="3">SUMIF($B66:$B255,$B51,D66:D255)</f>
        <v>39.453744455779095</v>
      </c>
      <c r="E51" s="74">
        <f t="shared" ca="1" si="3"/>
        <v>25.652761418849988</v>
      </c>
    </row>
    <row r="52" spans="2:9" x14ac:dyDescent="0.3">
      <c r="B52" s="12" t="s">
        <v>14</v>
      </c>
      <c r="C52" s="28"/>
      <c r="D52" s="29"/>
      <c r="E52" s="30"/>
    </row>
    <row r="53" spans="2:9" x14ac:dyDescent="0.3">
      <c r="B53" s="31" t="s">
        <v>38</v>
      </c>
      <c r="C53" s="33">
        <f ca="1">C50/C51</f>
        <v>527.62194867028336</v>
      </c>
      <c r="D53" s="33">
        <f t="shared" ref="D53:E53" ca="1" si="4">D50/D51</f>
        <v>1159.3855855649156</v>
      </c>
      <c r="E53" s="33">
        <f t="shared" ca="1" si="4"/>
        <v>1783.1258737306966</v>
      </c>
      <c r="I53" s="24"/>
    </row>
    <row r="54" spans="2:9" x14ac:dyDescent="0.3">
      <c r="B54" s="20" t="s">
        <v>114</v>
      </c>
      <c r="C54" s="33">
        <f ca="1">(C73*C$72+C$90*C91+C$108*C109+C$126*C127+C$144*C145+C$162*C163+C$180*C181+C$198*C199+C$216*C217+C$234*C235+C$252*C253)/SUM(C$72+C$90+C$108+C$126+C$144+C$162+C$180+C$198+C$216+C$234+C$252)</f>
        <v>867.83396226415095</v>
      </c>
      <c r="D54" s="33">
        <f t="shared" ref="D54:E54" ca="1" si="5">(D73*D$72+D$90*D91+D$108*D109+D$126*D127+D$144*D145+D$162*D163+D$180*D181+D$198*D199+D$216*D217+D$234*D235+D$252*D253)/SUM(D$72+D$90+D$108+D$126+D$144+D$162+D$180+D$198+D$216+D$234+D$252)</f>
        <v>1741.0368608799049</v>
      </c>
      <c r="E54" s="33">
        <f t="shared" ca="1" si="5"/>
        <v>2621.948006932409</v>
      </c>
    </row>
    <row r="55" spans="2:9" x14ac:dyDescent="0.3">
      <c r="B55" s="20" t="s">
        <v>115</v>
      </c>
      <c r="C55" s="33">
        <f t="shared" ref="C55:E56" ca="1" si="6">(C74*C$72+C$90*C92+C$108*C110+C$126*C128+C$144*C146+C$162*C164+C$180*C182+C$198*C200+C$216*C218+C$234*C236+C$252*C254)/SUM(C$72+C$90+C$108+C$126+C$144+C$162+C$180+C$198+C$216+C$234+C$252)</f>
        <v>67.911629297039838</v>
      </c>
      <c r="D55" s="33">
        <f t="shared" ca="1" si="6"/>
        <v>138.62889815785158</v>
      </c>
      <c r="E55" s="33">
        <f t="shared" ca="1" si="6"/>
        <v>214.33184763461438</v>
      </c>
      <c r="F55" s="12"/>
    </row>
    <row r="56" spans="2:9" x14ac:dyDescent="0.3">
      <c r="B56" s="20" t="s">
        <v>116</v>
      </c>
      <c r="C56" s="33">
        <f t="shared" ca="1" si="6"/>
        <v>4.9603440245534198</v>
      </c>
      <c r="D56" s="33">
        <f t="shared" ca="1" si="6"/>
        <v>9.5924509190990435</v>
      </c>
      <c r="E56" s="33">
        <f t="shared" ca="1" si="6"/>
        <v>14.122335514553422</v>
      </c>
    </row>
    <row r="59" spans="2:9" outlineLevel="1" x14ac:dyDescent="0.3">
      <c r="B59" s="10" t="s">
        <v>25</v>
      </c>
    </row>
    <row r="60" spans="2:9" outlineLevel="1" x14ac:dyDescent="0.3">
      <c r="B60" s="11" t="s">
        <v>26</v>
      </c>
    </row>
    <row r="61" spans="2:9" outlineLevel="1" x14ac:dyDescent="0.3">
      <c r="B61" s="11" t="s">
        <v>1</v>
      </c>
    </row>
    <row r="62" spans="2:9" outlineLevel="1" x14ac:dyDescent="0.3"/>
    <row r="63" spans="2:9" outlineLevel="1" x14ac:dyDescent="0.3">
      <c r="C63" s="297" t="s">
        <v>12</v>
      </c>
      <c r="D63" s="297"/>
      <c r="E63" s="297"/>
    </row>
    <row r="64" spans="2:9" ht="28.8" outlineLevel="1" x14ac:dyDescent="0.3">
      <c r="B64" s="13" t="str">
        <f>B60&amp;" - "&amp;B61</f>
        <v>Cancer_P2P3 - West</v>
      </c>
      <c r="C64" s="14" t="str">
        <f>'Data Inputs'!$C$29</f>
        <v>Scenario 1:
+1 day a week</v>
      </c>
      <c r="D64" s="14" t="str">
        <f>'Data Inputs'!$D$29</f>
        <v>Scenario 2:
+2 days a week</v>
      </c>
      <c r="E64" s="71" t="str">
        <f>'Data Inputs'!$E$29</f>
        <v>Scenario 3:
+3 days a week</v>
      </c>
    </row>
    <row r="65" spans="2:5" outlineLevel="1" x14ac:dyDescent="0.3">
      <c r="B65" s="12" t="s">
        <v>21</v>
      </c>
      <c r="C65" s="17"/>
      <c r="D65" s="18"/>
      <c r="E65" s="19"/>
    </row>
    <row r="66" spans="2:5" outlineLevel="1" x14ac:dyDescent="0.3">
      <c r="B66" s="20" t="s">
        <v>13</v>
      </c>
      <c r="C66" s="21">
        <f ca="1">INDEX(INDIRECT($B60),MATCH($B61,Regions,0),1)</f>
        <v>205.5128456397679</v>
      </c>
      <c r="D66" s="21">
        <f ca="1">INDEX(INDIRECT($B60),MATCH($B61,Regions,0),1)</f>
        <v>205.5128456397679</v>
      </c>
      <c r="E66" s="21">
        <f ca="1">INDEX(INDIRECT($B60),MATCH($B61,Regions,0),1)</f>
        <v>205.5128456397679</v>
      </c>
    </row>
    <row r="67" spans="2:5" outlineLevel="1" x14ac:dyDescent="0.3">
      <c r="B67" s="20" t="s">
        <v>20</v>
      </c>
      <c r="C67" s="23">
        <f>INDEX(ScenarioInputs,MATCH($B61,Regions,0),MATCH(C64,Scenarios,0))</f>
        <v>1</v>
      </c>
      <c r="D67" s="23">
        <f>INDEX(ScenarioInputs,MATCH($B61,Regions,0),MATCH(D64,Scenarios,0))</f>
        <v>2</v>
      </c>
      <c r="E67" s="23">
        <f>INDEX(ScenarioInputs,MATCH($B61,Regions,0),MATCH(E64,Scenarios,0))</f>
        <v>3</v>
      </c>
    </row>
    <row r="68" spans="2:5" outlineLevel="1" x14ac:dyDescent="0.3">
      <c r="B68" s="20" t="s">
        <v>37</v>
      </c>
      <c r="C68" s="21">
        <f ca="1">ROUNDDOWN(C67*INDEX(INDIRECT($B60),MATCH($B61,Regions,0),9)/(INDEX(INDIRECT($B60),MATCH($B61,Regions,0),3)+INDEX(INDIRECT($B60),MATCH($B61,Regions,0),2)),0)+IF(MOD(INDEX(INDIRECT($B60),MATCH($B61,Regions,0),9),INDEX(INDIRECT($B60),MATCH($B61,Regions,0),3)+INDEX(INDIRECT($B60),MATCH($B61,Regions,0),2))&lt;Buffer,0,1)</f>
        <v>3</v>
      </c>
      <c r="D68" s="21">
        <f ca="1">ROUNDDOWN(D67*INDEX(INDIRECT($B60),MATCH($B61,Regions,0),9)/(INDEX(INDIRECT($B60),MATCH($B61,Regions,0),3)+INDEX(INDIRECT($B60),MATCH($B61,Regions,0),2)),0)+IF(MOD(INDEX(INDIRECT($B60),MATCH($B61,Regions,0),9),INDEX(INDIRECT($B60),MATCH($B61,Regions,0),3)+INDEX(INDIRECT($B60),MATCH($B61,Regions,0),2))&lt;Buffer,0,1)</f>
        <v>6</v>
      </c>
      <c r="E68" s="21">
        <f ca="1">ROUNDDOWN(E67*INDEX(INDIRECT($B60),MATCH($B61,Regions,0),9)/(INDEX(INDIRECT($B60),MATCH($B61,Regions,0),3)+INDEX(INDIRECT($B60),MATCH($B61,Regions,0),2)),0)+IF(MOD(INDEX(INDIRECT($B60),MATCH($B61,Regions,0),9),INDEX(INDIRECT($B60),MATCH($B61,Regions,0),3)+INDEX(INDIRECT($B60),MATCH($B61,Regions,0),2))&lt;Buffer,0,1)</f>
        <v>9</v>
      </c>
    </row>
    <row r="69" spans="2:5" outlineLevel="1" x14ac:dyDescent="0.3">
      <c r="B69" s="20" t="s">
        <v>43</v>
      </c>
      <c r="C69" s="21">
        <f ca="1">ROUNDDOWN(INDEX(INDIRECT($B60),MATCH($B61,Regions,0),8)*INDEX(INDIRECT($B60),MATCH($B61,Regions,0),10),0)</f>
        <v>125</v>
      </c>
      <c r="D69" s="21">
        <f ca="1">ROUNDDOWN(INDEX(INDIRECT($B60),MATCH($B61,Regions,0),8)*INDEX(INDIRECT($B60),MATCH($B61,Regions,0),10),0)</f>
        <v>125</v>
      </c>
      <c r="E69" s="21">
        <f ca="1">ROUNDDOWN(INDEX(INDIRECT($B60),MATCH($B61,Regions,0),8)*INDEX(INDIRECT($B60),MATCH($B61,Regions,0),10),0)</f>
        <v>125</v>
      </c>
    </row>
    <row r="70" spans="2:5" outlineLevel="1" x14ac:dyDescent="0.3">
      <c r="B70" s="26" t="s">
        <v>11</v>
      </c>
      <c r="C70" s="27">
        <f ca="1">IFERROR(C66/(C69*C68),NA())</f>
        <v>0.54803425503938108</v>
      </c>
      <c r="D70" s="27">
        <f t="shared" ref="D70" ca="1" si="7">IFERROR(D66/(D69*D68),NA())</f>
        <v>0.27401712751969054</v>
      </c>
      <c r="E70" s="27">
        <f t="shared" ref="E70" ca="1" si="8">IFERROR(E66/(E69*E68),NA())</f>
        <v>0.18267808501312702</v>
      </c>
    </row>
    <row r="71" spans="2:5" outlineLevel="1" x14ac:dyDescent="0.3">
      <c r="B71" s="12" t="s">
        <v>14</v>
      </c>
      <c r="C71" s="28"/>
      <c r="D71" s="29"/>
      <c r="E71" s="30"/>
    </row>
    <row r="72" spans="2:5" outlineLevel="1" x14ac:dyDescent="0.3">
      <c r="B72" s="31" t="s">
        <v>38</v>
      </c>
      <c r="C72" s="32">
        <f ca="1">IFERROR(C66/C70,0)</f>
        <v>375</v>
      </c>
      <c r="D72" s="32">
        <f t="shared" ref="D72:E72" ca="1" si="9">IFERROR(D66/D70,0)</f>
        <v>750</v>
      </c>
      <c r="E72" s="32">
        <f t="shared" ca="1" si="9"/>
        <v>1125</v>
      </c>
    </row>
    <row r="73" spans="2:5" outlineLevel="1" x14ac:dyDescent="0.3">
      <c r="B73" s="20" t="s">
        <v>30</v>
      </c>
      <c r="C73" s="33">
        <f ca="1">IF(C72=0,0,INDEX(INDIRECT($B60),MATCH($B61,Regions,0),9)*C67*C69)</f>
        <v>1000</v>
      </c>
      <c r="D73" s="33">
        <f ca="1">IF(D72=0,0,INDEX(INDIRECT($B60),MATCH($B61,Regions,0),9)*D67*D69)</f>
        <v>2000</v>
      </c>
      <c r="E73" s="33">
        <f ca="1">IF(E72=0,0,INDEX(INDIRECT($B60),MATCH($B61,Regions,0),9)*E67*E69)</f>
        <v>3000</v>
      </c>
    </row>
    <row r="74" spans="2:5" outlineLevel="1" x14ac:dyDescent="0.3">
      <c r="B74" s="20" t="s">
        <v>31</v>
      </c>
      <c r="C74" s="33">
        <f ca="1">IFERROR(C72*INDEX(INDIRECT($B60),MATCH($B61,Regions,0),4)/(7/INDEX(INDIRECT($B60),MATCH($B61,Regions,0),6)),0)</f>
        <v>153.71753341473914</v>
      </c>
      <c r="D74" s="33">
        <f ca="1">IFERROR(D72*INDEX(INDIRECT($B60),MATCH($B61,Regions,0),4)/(7/INDEX(INDIRECT($B60),MATCH($B61,Regions,0),6)),0)</f>
        <v>307.43506682947827</v>
      </c>
      <c r="E74" s="33">
        <f ca="1">IFERROR(E72*INDEX(INDIRECT($B60),MATCH($B61,Regions,0),4)/(7/INDEX(INDIRECT($B60),MATCH($B61,Regions,0),6)),0)</f>
        <v>461.15260024421735</v>
      </c>
    </row>
    <row r="75" spans="2:5" outlineLevel="1" x14ac:dyDescent="0.3">
      <c r="B75" s="20" t="s">
        <v>32</v>
      </c>
      <c r="C75" s="33">
        <f ca="1">IFERROR(C72*INDEX(INDIRECT($B60),MATCH($B61,Regions,0),5)/(7/INDEX(INDIRECT($B60),MATCH($B61,Regions,0),7)),0)</f>
        <v>5.099016838369387</v>
      </c>
      <c r="D75" s="33">
        <f ca="1">IFERROR(D72*INDEX(INDIRECT($B60),MATCH($B61,Regions,0),5)/(7/INDEX(INDIRECT($B60),MATCH($B61,Regions,0),7)),0)</f>
        <v>10.198033676738774</v>
      </c>
      <c r="E75" s="33">
        <f ca="1">IFERROR(E72*INDEX(INDIRECT($B60),MATCH($B61,Regions,0),5)/(7/INDEX(INDIRECT($B60),MATCH($B61,Regions,0),7)),0)</f>
        <v>15.297050515108161</v>
      </c>
    </row>
    <row r="76" spans="2:5" outlineLevel="1" x14ac:dyDescent="0.3"/>
    <row r="77" spans="2:5" outlineLevel="1" x14ac:dyDescent="0.3">
      <c r="B77" s="10" t="s">
        <v>25</v>
      </c>
    </row>
    <row r="78" spans="2:5" outlineLevel="1" x14ac:dyDescent="0.3">
      <c r="B78" s="11" t="s">
        <v>27</v>
      </c>
    </row>
    <row r="79" spans="2:5" outlineLevel="1" x14ac:dyDescent="0.3">
      <c r="B79" s="11" t="s">
        <v>1</v>
      </c>
    </row>
    <row r="80" spans="2:5" outlineLevel="1" x14ac:dyDescent="0.3"/>
    <row r="81" spans="2:5" outlineLevel="1" x14ac:dyDescent="0.3">
      <c r="C81" s="297" t="s">
        <v>12</v>
      </c>
      <c r="D81" s="297"/>
      <c r="E81" s="297"/>
    </row>
    <row r="82" spans="2:5" ht="28.8" outlineLevel="1" x14ac:dyDescent="0.3">
      <c r="B82" s="13" t="str">
        <f>B78&amp;" - "&amp;B79</f>
        <v>Cancer_P4 - West</v>
      </c>
      <c r="C82" s="14" t="str">
        <f>'Data Inputs'!$C$29</f>
        <v>Scenario 1:
+1 day a week</v>
      </c>
      <c r="D82" s="14" t="str">
        <f>'Data Inputs'!$D$29</f>
        <v>Scenario 2:
+2 days a week</v>
      </c>
      <c r="E82" s="71" t="str">
        <f>'Data Inputs'!$E$29</f>
        <v>Scenario 3:
+3 days a week</v>
      </c>
    </row>
    <row r="83" spans="2:5" outlineLevel="1" x14ac:dyDescent="0.3">
      <c r="B83" s="12" t="s">
        <v>21</v>
      </c>
      <c r="C83" s="17"/>
      <c r="D83" s="18"/>
      <c r="E83" s="19"/>
    </row>
    <row r="84" spans="2:5" outlineLevel="1" x14ac:dyDescent="0.3">
      <c r="B84" s="20" t="s">
        <v>13</v>
      </c>
      <c r="C84" s="21">
        <f ca="1">INDEX(INDIRECT($B78),MATCH($B79,Regions,0),1)</f>
        <v>927.04207585184304</v>
      </c>
      <c r="D84" s="21">
        <f ca="1">INDEX(INDIRECT($B78),MATCH($B79,Regions,0),1)</f>
        <v>927.04207585184304</v>
      </c>
      <c r="E84" s="21">
        <f ca="1">INDEX(INDIRECT($B78),MATCH($B79,Regions,0),1)</f>
        <v>927.04207585184304</v>
      </c>
    </row>
    <row r="85" spans="2:5" outlineLevel="1" x14ac:dyDescent="0.3">
      <c r="B85" s="20" t="s">
        <v>20</v>
      </c>
      <c r="C85" s="23">
        <f>INDEX(ScenarioInputs,MATCH($B79,Regions,0),MATCH(C82,Scenarios,0))</f>
        <v>1</v>
      </c>
      <c r="D85" s="23">
        <f>INDEX(ScenarioInputs,MATCH($B79,Regions,0),MATCH(D82,Scenarios,0))</f>
        <v>2</v>
      </c>
      <c r="E85" s="23">
        <f>INDEX(ScenarioInputs,MATCH($B79,Regions,0),MATCH(E82,Scenarios,0))</f>
        <v>3</v>
      </c>
    </row>
    <row r="86" spans="2:5" outlineLevel="1" x14ac:dyDescent="0.3">
      <c r="B86" s="20" t="s">
        <v>37</v>
      </c>
      <c r="C86" s="21">
        <f ca="1">ROUNDDOWN(C85*INDEX(INDIRECT($B78),MATCH($B79,Regions,0),9)/(INDEX(INDIRECT($B78),MATCH($B79,Regions,0),3)+INDEX(INDIRECT($B78),MATCH($B79,Regions,0),2)),0)+IF(MOD(INDEX(INDIRECT($B78),MATCH($B79,Regions,0),9),INDEX(INDIRECT($B78),MATCH($B79,Regions,0),3)+INDEX(INDIRECT($B78),MATCH($B79,Regions,0),2))&lt;Buffer,0,1)</f>
        <v>3</v>
      </c>
      <c r="D86" s="21">
        <f ca="1">ROUNDDOWN(D85*INDEX(INDIRECT($B78),MATCH($B79,Regions,0),9)/(INDEX(INDIRECT($B78),MATCH($B79,Regions,0),3)+INDEX(INDIRECT($B78),MATCH($B79,Regions,0),2)),0)+IF(MOD(INDEX(INDIRECT($B78),MATCH($B79,Regions,0),9),INDEX(INDIRECT($B78),MATCH($B79,Regions,0),3)+INDEX(INDIRECT($B78),MATCH($B79,Regions,0),2))&lt;Buffer,0,1)</f>
        <v>6</v>
      </c>
      <c r="E86" s="21">
        <f ca="1">ROUNDDOWN(E85*INDEX(INDIRECT($B78),MATCH($B79,Regions,0),9)/(INDEX(INDIRECT($B78),MATCH($B79,Regions,0),3)+INDEX(INDIRECT($B78),MATCH($B79,Regions,0),2)),0)+IF(MOD(INDEX(INDIRECT($B78),MATCH($B79,Regions,0),9),INDEX(INDIRECT($B78),MATCH($B79,Regions,0),3)+INDEX(INDIRECT($B78),MATCH($B79,Regions,0),2))&lt;Buffer,0,1)</f>
        <v>10</v>
      </c>
    </row>
    <row r="87" spans="2:5" outlineLevel="1" x14ac:dyDescent="0.3">
      <c r="B87" s="20" t="s">
        <v>43</v>
      </c>
      <c r="C87" s="21">
        <f ca="1">ROUNDDOWN(INDEX(INDIRECT($B78),MATCH($B79,Regions,0),8)*INDEX(INDIRECT($B78),MATCH($B79,Regions,0),10),0)</f>
        <v>125</v>
      </c>
      <c r="D87" s="21">
        <f ca="1">ROUNDDOWN(INDEX(INDIRECT($B78),MATCH($B79,Regions,0),8)*INDEX(INDIRECT($B78),MATCH($B79,Regions,0),10),0)</f>
        <v>125</v>
      </c>
      <c r="E87" s="21">
        <f ca="1">ROUNDDOWN(INDEX(INDIRECT($B78),MATCH($B79,Regions,0),8)*INDEX(INDIRECT($B78),MATCH($B79,Regions,0),10),0)</f>
        <v>125</v>
      </c>
    </row>
    <row r="88" spans="2:5" outlineLevel="1" x14ac:dyDescent="0.3">
      <c r="B88" s="26" t="s">
        <v>11</v>
      </c>
      <c r="C88" s="27">
        <f ca="1">IFERROR(C84/(C87*C86),NA())</f>
        <v>2.4721122022715813</v>
      </c>
      <c r="D88" s="27">
        <f t="shared" ref="D88" ca="1" si="10">IFERROR(D84/(D87*D86),NA())</f>
        <v>1.2360561011357907</v>
      </c>
      <c r="E88" s="27">
        <f t="shared" ref="E88" ca="1" si="11">IFERROR(E84/(E87*E86),NA())</f>
        <v>0.7416336606814744</v>
      </c>
    </row>
    <row r="89" spans="2:5" outlineLevel="1" x14ac:dyDescent="0.3">
      <c r="B89" s="12" t="s">
        <v>14</v>
      </c>
      <c r="C89" s="28"/>
      <c r="D89" s="29"/>
      <c r="E89" s="30"/>
    </row>
    <row r="90" spans="2:5" outlineLevel="1" x14ac:dyDescent="0.3">
      <c r="B90" s="31" t="s">
        <v>38</v>
      </c>
      <c r="C90" s="32">
        <f ca="1">IFERROR(C84/C88,0)</f>
        <v>375</v>
      </c>
      <c r="D90" s="32">
        <f t="shared" ref="D90:E90" ca="1" si="12">IFERROR(D84/D88,0)</f>
        <v>750</v>
      </c>
      <c r="E90" s="32">
        <f t="shared" ca="1" si="12"/>
        <v>1250</v>
      </c>
    </row>
    <row r="91" spans="2:5" outlineLevel="1" x14ac:dyDescent="0.3">
      <c r="B91" s="20" t="s">
        <v>30</v>
      </c>
      <c r="C91" s="33">
        <f ca="1">IF(C90=0,0,INDEX(INDIRECT($B78),MATCH($B79,Regions,0),9)*C85*C87)</f>
        <v>1000</v>
      </c>
      <c r="D91" s="33">
        <f ca="1">IF(D90=0,0,INDEX(INDIRECT($B78),MATCH($B79,Regions,0),9)*D85*D87)</f>
        <v>2000</v>
      </c>
      <c r="E91" s="33">
        <f ca="1">IF(E90=0,0,INDEX(INDIRECT($B78),MATCH($B79,Regions,0),9)*E85*E87)</f>
        <v>3000</v>
      </c>
    </row>
    <row r="92" spans="2:5" outlineLevel="1" x14ac:dyDescent="0.3">
      <c r="B92" s="20" t="s">
        <v>31</v>
      </c>
      <c r="C92" s="33">
        <f ca="1">IFERROR(C90*INDEX(INDIRECT($B78),MATCH($B79,Regions,0),4)/(7/INDEX(INDIRECT($B78),MATCH($B79,Regions,0),6)),0)</f>
        <v>93.522321488246902</v>
      </c>
      <c r="D92" s="33">
        <f ca="1">IFERROR(D90*INDEX(INDIRECT($B78),MATCH($B79,Regions,0),4)/(7/INDEX(INDIRECT($B78),MATCH($B79,Regions,0),6)),0)</f>
        <v>187.0446429764938</v>
      </c>
      <c r="E92" s="33">
        <f ca="1">IFERROR(E90*INDEX(INDIRECT($B78),MATCH($B79,Regions,0),4)/(7/INDEX(INDIRECT($B78),MATCH($B79,Regions,0),6)),0)</f>
        <v>311.7410716274897</v>
      </c>
    </row>
    <row r="93" spans="2:5" outlineLevel="1" x14ac:dyDescent="0.3">
      <c r="B93" s="20" t="s">
        <v>32</v>
      </c>
      <c r="C93" s="33">
        <f ca="1">IFERROR(C90*INDEX(INDIRECT($B78),MATCH($B79,Regions,0),5)/(7/INDEX(INDIRECT($B78),MATCH($B79,Regions,0),7)),0)</f>
        <v>0.69119283961060707</v>
      </c>
      <c r="D93" s="33">
        <f ca="1">IFERROR(D90*INDEX(INDIRECT($B78),MATCH($B79,Regions,0),5)/(7/INDEX(INDIRECT($B78),MATCH($B79,Regions,0),7)),0)</f>
        <v>1.3823856792212141</v>
      </c>
      <c r="E93" s="33">
        <f ca="1">IFERROR(E90*INDEX(INDIRECT($B78),MATCH($B79,Regions,0),5)/(7/INDEX(INDIRECT($B78),MATCH($B79,Regions,0),7)),0)</f>
        <v>2.3039761320353569</v>
      </c>
    </row>
    <row r="94" spans="2:5" outlineLevel="1" x14ac:dyDescent="0.3"/>
    <row r="95" spans="2:5" outlineLevel="1" x14ac:dyDescent="0.3">
      <c r="B95" s="10" t="s">
        <v>25</v>
      </c>
    </row>
    <row r="96" spans="2:5" outlineLevel="1" x14ac:dyDescent="0.3">
      <c r="B96" s="11" t="s">
        <v>33</v>
      </c>
    </row>
    <row r="97" spans="2:5" outlineLevel="1" x14ac:dyDescent="0.3">
      <c r="B97" s="11" t="s">
        <v>1</v>
      </c>
    </row>
    <row r="98" spans="2:5" outlineLevel="1" x14ac:dyDescent="0.3"/>
    <row r="99" spans="2:5" outlineLevel="1" x14ac:dyDescent="0.3">
      <c r="C99" s="297" t="s">
        <v>12</v>
      </c>
      <c r="D99" s="297"/>
      <c r="E99" s="297"/>
    </row>
    <row r="100" spans="2:5" ht="28.8" outlineLevel="1" x14ac:dyDescent="0.3">
      <c r="B100" s="13" t="str">
        <f>B96&amp;" - "&amp;B97</f>
        <v>Vascular_P2P3 - West</v>
      </c>
      <c r="C100" s="14" t="str">
        <f>'Data Inputs'!$C$29</f>
        <v>Scenario 1:
+1 day a week</v>
      </c>
      <c r="D100" s="14" t="str">
        <f>'Data Inputs'!$D$29</f>
        <v>Scenario 2:
+2 days a week</v>
      </c>
      <c r="E100" s="71" t="str">
        <f>'Data Inputs'!$E$29</f>
        <v>Scenario 3:
+3 days a week</v>
      </c>
    </row>
    <row r="101" spans="2:5" outlineLevel="1" x14ac:dyDescent="0.3">
      <c r="B101" s="12" t="s">
        <v>21</v>
      </c>
      <c r="C101" s="17"/>
      <c r="D101" s="18"/>
      <c r="E101" s="19"/>
    </row>
    <row r="102" spans="2:5" outlineLevel="1" x14ac:dyDescent="0.3">
      <c r="B102" s="20" t="s">
        <v>13</v>
      </c>
      <c r="C102" s="21">
        <f ca="1">INDEX(INDIRECT($B96),MATCH($B97,Regions,0),1)</f>
        <v>202.45172365667719</v>
      </c>
      <c r="D102" s="21">
        <f ca="1">INDEX(INDIRECT($B96),MATCH($B97,Regions,0),1)</f>
        <v>202.45172365667719</v>
      </c>
      <c r="E102" s="21">
        <f ca="1">INDEX(INDIRECT($B96),MATCH($B97,Regions,0),1)</f>
        <v>202.45172365667719</v>
      </c>
    </row>
    <row r="103" spans="2:5" outlineLevel="1" x14ac:dyDescent="0.3">
      <c r="B103" s="20" t="s">
        <v>20</v>
      </c>
      <c r="C103" s="23">
        <f>INDEX(ScenarioInputs,MATCH($B97,Regions,0),MATCH(C100,Scenarios,0))</f>
        <v>1</v>
      </c>
      <c r="D103" s="23">
        <f>INDEX(ScenarioInputs,MATCH($B97,Regions,0),MATCH(D100,Scenarios,0))</f>
        <v>2</v>
      </c>
      <c r="E103" s="23">
        <f>INDEX(ScenarioInputs,MATCH($B97,Regions,0),MATCH(E100,Scenarios,0))</f>
        <v>3</v>
      </c>
    </row>
    <row r="104" spans="2:5" outlineLevel="1" x14ac:dyDescent="0.3">
      <c r="B104" s="20" t="s">
        <v>37</v>
      </c>
      <c r="C104" s="21">
        <f ca="1">ROUNDDOWN(C103*INDEX(INDIRECT($B96),MATCH($B97,Regions,0),9)/(INDEX(INDIRECT($B96),MATCH($B97,Regions,0),3)+INDEX(INDIRECT($B96),MATCH($B97,Regions,0),2)),0)+IF(MOD(INDEX(INDIRECT($B96),MATCH($B97,Regions,0),9),INDEX(INDIRECT($B96),MATCH($B97,Regions,0),3)+INDEX(INDIRECT($B96),MATCH($B97,Regions,0),2))&lt;Buffer,0,1)</f>
        <v>3</v>
      </c>
      <c r="D104" s="21">
        <f ca="1">ROUNDDOWN(D103*INDEX(INDIRECT($B96),MATCH($B97,Regions,0),9)/(INDEX(INDIRECT($B96),MATCH($B97,Regions,0),3)+INDEX(INDIRECT($B96),MATCH($B97,Regions,0),2)),0)+IF(MOD(INDEX(INDIRECT($B96),MATCH($B97,Regions,0),9),INDEX(INDIRECT($B96),MATCH($B97,Regions,0),3)+INDEX(INDIRECT($B96),MATCH($B97,Regions,0),2))&lt;Buffer,0,1)</f>
        <v>6</v>
      </c>
      <c r="E104" s="21">
        <f ca="1">ROUNDDOWN(E103*INDEX(INDIRECT($B96),MATCH($B97,Regions,0),9)/(INDEX(INDIRECT($B96),MATCH($B97,Regions,0),3)+INDEX(INDIRECT($B96),MATCH($B97,Regions,0),2)),0)+IF(MOD(INDEX(INDIRECT($B96),MATCH($B97,Regions,0),9),INDEX(INDIRECT($B96),MATCH($B97,Regions,0),3)+INDEX(INDIRECT($B96),MATCH($B97,Regions,0),2))&lt;Buffer,0,1)</f>
        <v>9</v>
      </c>
    </row>
    <row r="105" spans="2:5" outlineLevel="1" x14ac:dyDescent="0.3">
      <c r="B105" s="20" t="s">
        <v>43</v>
      </c>
      <c r="C105" s="21">
        <f ca="1">ROUNDDOWN(INDEX(INDIRECT($B96),MATCH($B97,Regions,0),8)*INDEX(INDIRECT($B96),MATCH($B97,Regions,0),10),0)</f>
        <v>50</v>
      </c>
      <c r="D105" s="21">
        <f ca="1">ROUNDDOWN(INDEX(INDIRECT($B96),MATCH($B97,Regions,0),8)*INDEX(INDIRECT($B96),MATCH($B97,Regions,0),10),0)</f>
        <v>50</v>
      </c>
      <c r="E105" s="21">
        <f ca="1">ROUNDDOWN(INDEX(INDIRECT($B96),MATCH($B97,Regions,0),8)*INDEX(INDIRECT($B96),MATCH($B97,Regions,0),10),0)</f>
        <v>50</v>
      </c>
    </row>
    <row r="106" spans="2:5" outlineLevel="1" x14ac:dyDescent="0.3">
      <c r="B106" s="26" t="s">
        <v>11</v>
      </c>
      <c r="C106" s="27">
        <f ca="1">IFERROR(C102/(C105*C104),NA())</f>
        <v>1.3496781577111812</v>
      </c>
      <c r="D106" s="27">
        <f t="shared" ref="D106" ca="1" si="13">IFERROR(D102/(D105*D104),NA())</f>
        <v>0.67483907885559058</v>
      </c>
      <c r="E106" s="27">
        <f t="shared" ref="E106" ca="1" si="14">IFERROR(E102/(E105*E104),NA())</f>
        <v>0.44989271923706042</v>
      </c>
    </row>
    <row r="107" spans="2:5" outlineLevel="1" x14ac:dyDescent="0.3">
      <c r="B107" s="12" t="s">
        <v>14</v>
      </c>
      <c r="C107" s="28"/>
      <c r="D107" s="29"/>
      <c r="E107" s="30"/>
    </row>
    <row r="108" spans="2:5" outlineLevel="1" x14ac:dyDescent="0.3">
      <c r="B108" s="31" t="s">
        <v>38</v>
      </c>
      <c r="C108" s="32">
        <f ca="1">IFERROR(C102/C106,0)</f>
        <v>150</v>
      </c>
      <c r="D108" s="32">
        <f t="shared" ref="D108:E108" ca="1" si="15">IFERROR(D102/D106,0)</f>
        <v>300</v>
      </c>
      <c r="E108" s="32">
        <f t="shared" ca="1" si="15"/>
        <v>450</v>
      </c>
    </row>
    <row r="109" spans="2:5" outlineLevel="1" x14ac:dyDescent="0.3">
      <c r="B109" s="20" t="s">
        <v>30</v>
      </c>
      <c r="C109" s="33">
        <f ca="1">IF(C108=0,0,INDEX(INDIRECT($B96),MATCH($B97,Regions,0),9)*C103*C105)</f>
        <v>400</v>
      </c>
      <c r="D109" s="33">
        <f ca="1">IF(D108=0,0,INDEX(INDIRECT($B96),MATCH($B97,Regions,0),9)*D103*D105)</f>
        <v>800</v>
      </c>
      <c r="E109" s="33">
        <f ca="1">IF(E108=0,0,INDEX(INDIRECT($B96),MATCH($B97,Regions,0),9)*E103*E105)</f>
        <v>1200</v>
      </c>
    </row>
    <row r="110" spans="2:5" outlineLevel="1" x14ac:dyDescent="0.3">
      <c r="B110" s="20" t="s">
        <v>31</v>
      </c>
      <c r="C110" s="33">
        <f ca="1">IFERROR(C108*INDEX(INDIRECT($B96),MATCH($B97,Regions,0),4)/(7/INDEX(INDIRECT($B96),MATCH($B97,Regions,0),6)),0)</f>
        <v>74.472871928621075</v>
      </c>
      <c r="D110" s="33">
        <f ca="1">IFERROR(D108*INDEX(INDIRECT($B96),MATCH($B97,Regions,0),4)/(7/INDEX(INDIRECT($B96),MATCH($B97,Regions,0),6)),0)</f>
        <v>148.94574385724215</v>
      </c>
      <c r="E110" s="33">
        <f ca="1">IFERROR(E108*INDEX(INDIRECT($B96),MATCH($B97,Regions,0),4)/(7/INDEX(INDIRECT($B96),MATCH($B97,Regions,0),6)),0)</f>
        <v>223.41861578586324</v>
      </c>
    </row>
    <row r="111" spans="2:5" outlineLevel="1" x14ac:dyDescent="0.3">
      <c r="B111" s="20" t="s">
        <v>32</v>
      </c>
      <c r="C111" s="33">
        <f ca="1">IFERROR(C108*INDEX(INDIRECT($B96),MATCH($B97,Regions,0),5)/(7/INDEX(INDIRECT($B96),MATCH($B97,Regions,0),7)),0)</f>
        <v>8.748398830766936</v>
      </c>
      <c r="D111" s="33">
        <f ca="1">IFERROR(D108*INDEX(INDIRECT($B96),MATCH($B97,Regions,0),5)/(7/INDEX(INDIRECT($B96),MATCH($B97,Regions,0),7)),0)</f>
        <v>17.496797661533872</v>
      </c>
      <c r="E111" s="33">
        <f ca="1">IFERROR(E108*INDEX(INDIRECT($B96),MATCH($B97,Regions,0),5)/(7/INDEX(INDIRECT($B96),MATCH($B97,Regions,0),7)),0)</f>
        <v>26.24519649230081</v>
      </c>
    </row>
    <row r="112" spans="2:5" outlineLevel="1" x14ac:dyDescent="0.3"/>
    <row r="113" spans="2:5" outlineLevel="1" x14ac:dyDescent="0.3">
      <c r="B113" s="10" t="s">
        <v>25</v>
      </c>
    </row>
    <row r="114" spans="2:5" outlineLevel="1" x14ac:dyDescent="0.3">
      <c r="B114" s="11" t="s">
        <v>34</v>
      </c>
    </row>
    <row r="115" spans="2:5" outlineLevel="1" x14ac:dyDescent="0.3">
      <c r="B115" s="11" t="s">
        <v>1</v>
      </c>
    </row>
    <row r="116" spans="2:5" outlineLevel="1" x14ac:dyDescent="0.3"/>
    <row r="117" spans="2:5" outlineLevel="1" x14ac:dyDescent="0.3">
      <c r="C117" s="297" t="s">
        <v>12</v>
      </c>
      <c r="D117" s="297"/>
      <c r="E117" s="297"/>
    </row>
    <row r="118" spans="2:5" ht="28.8" outlineLevel="1" x14ac:dyDescent="0.3">
      <c r="B118" s="13" t="str">
        <f>B114&amp;" - "&amp;B115</f>
        <v>Vascular_P4 - West</v>
      </c>
      <c r="C118" s="14" t="str">
        <f>'Data Inputs'!$C$29</f>
        <v>Scenario 1:
+1 day a week</v>
      </c>
      <c r="D118" s="14" t="str">
        <f>'Data Inputs'!$D$29</f>
        <v>Scenario 2:
+2 days a week</v>
      </c>
      <c r="E118" s="71" t="str">
        <f>'Data Inputs'!$E$29</f>
        <v>Scenario 3:
+3 days a week</v>
      </c>
    </row>
    <row r="119" spans="2:5" outlineLevel="1" x14ac:dyDescent="0.3">
      <c r="B119" s="12" t="s">
        <v>21</v>
      </c>
      <c r="C119" s="17"/>
      <c r="D119" s="18"/>
      <c r="E119" s="19"/>
    </row>
    <row r="120" spans="2:5" outlineLevel="1" x14ac:dyDescent="0.3">
      <c r="B120" s="20" t="s">
        <v>13</v>
      </c>
      <c r="C120" s="21">
        <f ca="1">INDEX(INDIRECT($B114),MATCH($B115,Regions,0),1)</f>
        <v>369.43194724081548</v>
      </c>
      <c r="D120" s="21">
        <f ca="1">INDEX(INDIRECT($B114),MATCH($B115,Regions,0),1)</f>
        <v>369.43194724081548</v>
      </c>
      <c r="E120" s="21">
        <f ca="1">INDEX(INDIRECT($B114),MATCH($B115,Regions,0),1)</f>
        <v>369.43194724081548</v>
      </c>
    </row>
    <row r="121" spans="2:5" outlineLevel="1" x14ac:dyDescent="0.3">
      <c r="B121" s="20" t="s">
        <v>20</v>
      </c>
      <c r="C121" s="23">
        <f>INDEX(ScenarioInputs,MATCH($B115,Regions,0),MATCH(C118,Scenarios,0))</f>
        <v>1</v>
      </c>
      <c r="D121" s="23">
        <f>INDEX(ScenarioInputs,MATCH($B115,Regions,0),MATCH(D118,Scenarios,0))</f>
        <v>2</v>
      </c>
      <c r="E121" s="23">
        <f>INDEX(ScenarioInputs,MATCH($B115,Regions,0),MATCH(E118,Scenarios,0))</f>
        <v>3</v>
      </c>
    </row>
    <row r="122" spans="2:5" outlineLevel="1" x14ac:dyDescent="0.3">
      <c r="B122" s="20" t="s">
        <v>37</v>
      </c>
      <c r="C122" s="21">
        <f ca="1">ROUNDDOWN(C121*INDEX(INDIRECT($B114),MATCH($B115,Regions,0),9)/(INDEX(INDIRECT($B114),MATCH($B115,Regions,0),3)+INDEX(INDIRECT($B114),MATCH($B115,Regions,0),2)),0)+IF(MOD(INDEX(INDIRECT($B114),MATCH($B115,Regions,0),9),INDEX(INDIRECT($B114),MATCH($B115,Regions,0),3)+INDEX(INDIRECT($B114),MATCH($B115,Regions,0),2))&lt;Buffer,0,1)</f>
        <v>3</v>
      </c>
      <c r="D122" s="21">
        <f ca="1">ROUNDDOWN(D121*INDEX(INDIRECT($B114),MATCH($B115,Regions,0),9)/(INDEX(INDIRECT($B114),MATCH($B115,Regions,0),3)+INDEX(INDIRECT($B114),MATCH($B115,Regions,0),2)),0)+IF(MOD(INDEX(INDIRECT($B114),MATCH($B115,Regions,0),9),INDEX(INDIRECT($B114),MATCH($B115,Regions,0),3)+INDEX(INDIRECT($B114),MATCH($B115,Regions,0),2))&lt;Buffer,0,1)</f>
        <v>6</v>
      </c>
      <c r="E122" s="21">
        <f ca="1">ROUNDDOWN(E121*INDEX(INDIRECT($B114),MATCH($B115,Regions,0),9)/(INDEX(INDIRECT($B114),MATCH($B115,Regions,0),3)+INDEX(INDIRECT($B114),MATCH($B115,Regions,0),2)),0)+IF(MOD(INDEX(INDIRECT($B114),MATCH($B115,Regions,0),9),INDEX(INDIRECT($B114),MATCH($B115,Regions,0),3)+INDEX(INDIRECT($B114),MATCH($B115,Regions,0),2))&lt;Buffer,0,1)</f>
        <v>9</v>
      </c>
    </row>
    <row r="123" spans="2:5" outlineLevel="1" x14ac:dyDescent="0.3">
      <c r="B123" s="20" t="s">
        <v>43</v>
      </c>
      <c r="C123" s="21">
        <f ca="1">ROUNDDOWN(INDEX(INDIRECT($B114),MATCH($B115,Regions,0),8)*INDEX(INDIRECT($B114),MATCH($B115,Regions,0),10),0)</f>
        <v>50</v>
      </c>
      <c r="D123" s="21">
        <f ca="1">ROUNDDOWN(INDEX(INDIRECT($B114),MATCH($B115,Regions,0),8)*INDEX(INDIRECT($B114),MATCH($B115,Regions,0),10),0)</f>
        <v>50</v>
      </c>
      <c r="E123" s="21">
        <f ca="1">ROUNDDOWN(INDEX(INDIRECT($B114),MATCH($B115,Regions,0),8)*INDEX(INDIRECT($B114),MATCH($B115,Regions,0),10),0)</f>
        <v>50</v>
      </c>
    </row>
    <row r="124" spans="2:5" outlineLevel="1" x14ac:dyDescent="0.3">
      <c r="B124" s="26" t="s">
        <v>11</v>
      </c>
      <c r="C124" s="27">
        <f ca="1">IFERROR(C120/(C123*C122),NA())</f>
        <v>2.4628796482721032</v>
      </c>
      <c r="D124" s="27">
        <f t="shared" ref="D124" ca="1" si="16">IFERROR(D120/(D123*D122),NA())</f>
        <v>1.2314398241360516</v>
      </c>
      <c r="E124" s="27">
        <f t="shared" ref="E124" ca="1" si="17">IFERROR(E120/(E123*E122),NA())</f>
        <v>0.82095988275736775</v>
      </c>
    </row>
    <row r="125" spans="2:5" outlineLevel="1" x14ac:dyDescent="0.3">
      <c r="B125" s="12" t="s">
        <v>14</v>
      </c>
      <c r="C125" s="28"/>
      <c r="D125" s="29"/>
      <c r="E125" s="30"/>
    </row>
    <row r="126" spans="2:5" outlineLevel="1" x14ac:dyDescent="0.3">
      <c r="B126" s="31" t="s">
        <v>38</v>
      </c>
      <c r="C126" s="32">
        <f ca="1">IFERROR(C120/C124,0)</f>
        <v>150</v>
      </c>
      <c r="D126" s="32">
        <f t="shared" ref="D126:E126" ca="1" si="18">IFERROR(D120/D124,0)</f>
        <v>300</v>
      </c>
      <c r="E126" s="32">
        <f t="shared" ca="1" si="18"/>
        <v>450</v>
      </c>
    </row>
    <row r="127" spans="2:5" outlineLevel="1" x14ac:dyDescent="0.3">
      <c r="B127" s="20" t="s">
        <v>30</v>
      </c>
      <c r="C127" s="33">
        <f ca="1">IF(C126=0,0,INDEX(INDIRECT($B114),MATCH($B115,Regions,0),9)*C121*C123)</f>
        <v>400</v>
      </c>
      <c r="D127" s="33">
        <f ca="1">IF(D126=0,0,INDEX(INDIRECT($B114),MATCH($B115,Regions,0),9)*D121*D123)</f>
        <v>800</v>
      </c>
      <c r="E127" s="33">
        <f ca="1">IF(E126=0,0,INDEX(INDIRECT($B114),MATCH($B115,Regions,0),9)*E121*E123)</f>
        <v>1200</v>
      </c>
    </row>
    <row r="128" spans="2:5" outlineLevel="1" x14ac:dyDescent="0.3">
      <c r="B128" s="20" t="s">
        <v>31</v>
      </c>
      <c r="C128" s="33">
        <f ca="1">IFERROR(C126*INDEX(INDIRECT($B114),MATCH($B115,Regions,0),4)/(7/INDEX(INDIRECT($B114),MATCH($B115,Regions,0),6)),0)</f>
        <v>42.020574549976935</v>
      </c>
      <c r="D128" s="33">
        <f ca="1">IFERROR(D126*INDEX(INDIRECT($B114),MATCH($B115,Regions,0),4)/(7/INDEX(INDIRECT($B114),MATCH($B115,Regions,0),6)),0)</f>
        <v>84.04114909995387</v>
      </c>
      <c r="E128" s="33">
        <f ca="1">IFERROR(E126*INDEX(INDIRECT($B114),MATCH($B115,Regions,0),4)/(7/INDEX(INDIRECT($B114),MATCH($B115,Regions,0),6)),0)</f>
        <v>126.0617236499308</v>
      </c>
    </row>
    <row r="129" spans="2:5" outlineLevel="1" x14ac:dyDescent="0.3">
      <c r="B129" s="20" t="s">
        <v>32</v>
      </c>
      <c r="C129" s="33">
        <f ca="1">IFERROR(C126*INDEX(INDIRECT($B114),MATCH($B115,Regions,0),5)/(7/INDEX(INDIRECT($B114),MATCH($B115,Regions,0),7)),0)</f>
        <v>4.8131262232073846</v>
      </c>
      <c r="D129" s="33">
        <f ca="1">IFERROR(D126*INDEX(INDIRECT($B114),MATCH($B115,Regions,0),5)/(7/INDEX(INDIRECT($B114),MATCH($B115,Regions,0),7)),0)</f>
        <v>9.6262524464147692</v>
      </c>
      <c r="E129" s="33">
        <f ca="1">IFERROR(E126*INDEX(INDIRECT($B114),MATCH($B115,Regions,0),5)/(7/INDEX(INDIRECT($B114),MATCH($B115,Regions,0),7)),0)</f>
        <v>14.439378669622155</v>
      </c>
    </row>
    <row r="130" spans="2:5" outlineLevel="1" x14ac:dyDescent="0.3"/>
    <row r="131" spans="2:5" outlineLevel="1" x14ac:dyDescent="0.3">
      <c r="B131" s="10" t="s">
        <v>25</v>
      </c>
    </row>
    <row r="132" spans="2:5" outlineLevel="1" x14ac:dyDescent="0.3">
      <c r="B132" s="11" t="s">
        <v>2</v>
      </c>
    </row>
    <row r="133" spans="2:5" outlineLevel="1" x14ac:dyDescent="0.3">
      <c r="B133" s="11" t="s">
        <v>1</v>
      </c>
    </row>
    <row r="134" spans="2:5" outlineLevel="1" x14ac:dyDescent="0.3"/>
    <row r="135" spans="2:5" outlineLevel="1" x14ac:dyDescent="0.3">
      <c r="C135" s="297" t="s">
        <v>12</v>
      </c>
      <c r="D135" s="297"/>
      <c r="E135" s="297"/>
    </row>
    <row r="136" spans="2:5" ht="28.8" outlineLevel="1" x14ac:dyDescent="0.3">
      <c r="B136" s="13" t="str">
        <f>B132&amp;" - "&amp;B133</f>
        <v>Transplant - West</v>
      </c>
      <c r="C136" s="14" t="str">
        <f>'Data Inputs'!$C$29</f>
        <v>Scenario 1:
+1 day a week</v>
      </c>
      <c r="D136" s="14" t="str">
        <f>'Data Inputs'!$D$29</f>
        <v>Scenario 2:
+2 days a week</v>
      </c>
      <c r="E136" s="71" t="str">
        <f>'Data Inputs'!$E$29</f>
        <v>Scenario 3:
+3 days a week</v>
      </c>
    </row>
    <row r="137" spans="2:5" outlineLevel="1" x14ac:dyDescent="0.3">
      <c r="B137" s="12" t="s">
        <v>21</v>
      </c>
      <c r="C137" s="17"/>
      <c r="D137" s="18"/>
      <c r="E137" s="19"/>
    </row>
    <row r="138" spans="2:5" outlineLevel="1" x14ac:dyDescent="0.3">
      <c r="B138" s="20" t="s">
        <v>13</v>
      </c>
      <c r="C138" s="21">
        <f ca="1">INDEX(INDIRECT($B132),MATCH($B133,Regions,0),1)</f>
        <v>47.841245456903877</v>
      </c>
      <c r="D138" s="21">
        <f ca="1">INDEX(INDIRECT($B132),MATCH($B133,Regions,0),1)</f>
        <v>47.841245456903877</v>
      </c>
      <c r="E138" s="21">
        <f ca="1">INDEX(INDIRECT($B132),MATCH($B133,Regions,0),1)</f>
        <v>47.841245456903877</v>
      </c>
    </row>
    <row r="139" spans="2:5" outlineLevel="1" x14ac:dyDescent="0.3">
      <c r="B139" s="20" t="s">
        <v>20</v>
      </c>
      <c r="C139" s="23">
        <f>INDEX(ScenarioInputs,MATCH($B133,Regions,0),MATCH(C136,Scenarios,0))</f>
        <v>1</v>
      </c>
      <c r="D139" s="23">
        <f>INDEX(ScenarioInputs,MATCH($B133,Regions,0),MATCH(D136,Scenarios,0))</f>
        <v>2</v>
      </c>
      <c r="E139" s="23">
        <f>INDEX(ScenarioInputs,MATCH($B133,Regions,0),MATCH(E136,Scenarios,0))</f>
        <v>3</v>
      </c>
    </row>
    <row r="140" spans="2:5" outlineLevel="1" x14ac:dyDescent="0.3">
      <c r="B140" s="20" t="s">
        <v>37</v>
      </c>
      <c r="C140" s="21">
        <f ca="1">ROUNDDOWN(C139*INDEX(INDIRECT($B132),MATCH($B133,Regions,0),9)/(INDEX(INDIRECT($B132),MATCH($B133,Regions,0),3)+INDEX(INDIRECT($B132),MATCH($B133,Regions,0),2)),0)</f>
        <v>1</v>
      </c>
      <c r="D140" s="21">
        <f ca="1">ROUNDDOWN(D139*INDEX(INDIRECT($B132),MATCH($B133,Regions,0),9)/(INDEX(INDIRECT($B132),MATCH($B133,Regions,0),3)+INDEX(INDIRECT($B132),MATCH($B133,Regions,0),2)),0)</f>
        <v>3</v>
      </c>
      <c r="E140" s="21">
        <f ca="1">ROUNDDOWN(E139*INDEX(INDIRECT($B132),MATCH($B133,Regions,0),9)/(INDEX(INDIRECT($B132),MATCH($B133,Regions,0),3)+INDEX(INDIRECT($B132),MATCH($B133,Regions,0),2)),0)</f>
        <v>4</v>
      </c>
    </row>
    <row r="141" spans="2:5" outlineLevel="1" x14ac:dyDescent="0.3">
      <c r="B141" s="20" t="s">
        <v>43</v>
      </c>
      <c r="C141" s="21">
        <f ca="1">ROUNDDOWN(INDEX(INDIRECT($B132),MATCH($B133,Regions,0),8)*INDEX(INDIRECT($B132),MATCH($B133,Regions,0),10),0)</f>
        <v>15</v>
      </c>
      <c r="D141" s="21">
        <f ca="1">ROUNDDOWN(INDEX(INDIRECT($B132),MATCH($B133,Regions,0),8)*INDEX(INDIRECT($B132),MATCH($B133,Regions,0),10),0)</f>
        <v>15</v>
      </c>
      <c r="E141" s="21">
        <f ca="1">ROUNDDOWN(INDEX(INDIRECT($B132),MATCH($B133,Regions,0),8)*INDEX(INDIRECT($B132),MATCH($B133,Regions,0),10),0)</f>
        <v>15</v>
      </c>
    </row>
    <row r="142" spans="2:5" outlineLevel="1" x14ac:dyDescent="0.3">
      <c r="B142" s="26" t="s">
        <v>11</v>
      </c>
      <c r="C142" s="27">
        <f ca="1">IFERROR(C138/(C141*C140),"")</f>
        <v>3.1894163637935917</v>
      </c>
      <c r="D142" s="27">
        <f t="shared" ref="D142" ca="1" si="19">IFERROR(D138/(D141*D140),"")</f>
        <v>1.0631387879311973</v>
      </c>
      <c r="E142" s="27">
        <f t="shared" ref="E142" ca="1" si="20">IFERROR(E138/(E141*E140),"")</f>
        <v>0.79735409094839793</v>
      </c>
    </row>
    <row r="143" spans="2:5" outlineLevel="1" x14ac:dyDescent="0.3">
      <c r="B143" s="12" t="s">
        <v>14</v>
      </c>
      <c r="C143" s="28"/>
      <c r="D143" s="29"/>
      <c r="E143" s="30"/>
    </row>
    <row r="144" spans="2:5" outlineLevel="1" x14ac:dyDescent="0.3">
      <c r="B144" s="31" t="s">
        <v>38</v>
      </c>
      <c r="C144" s="32">
        <f ca="1">IFERROR(C138/C142,0)</f>
        <v>15</v>
      </c>
      <c r="D144" s="32">
        <f t="shared" ref="D144:E144" ca="1" si="21">IFERROR(D138/D142,0)</f>
        <v>45</v>
      </c>
      <c r="E144" s="32">
        <f t="shared" ca="1" si="21"/>
        <v>60</v>
      </c>
    </row>
    <row r="145" spans="2:5" outlineLevel="1" x14ac:dyDescent="0.3">
      <c r="B145" s="20" t="s">
        <v>30</v>
      </c>
      <c r="C145" s="33">
        <f ca="1">IF(C144=0,0,INDEX(INDIRECT($B132),MATCH($B133,Regions,0),9)*C139*C141)</f>
        <v>120</v>
      </c>
      <c r="D145" s="33">
        <f ca="1">IF(D144=0,0,INDEX(INDIRECT($B132),MATCH($B133,Regions,0),9)*D139*D141)</f>
        <v>240</v>
      </c>
      <c r="E145" s="33">
        <f ca="1">IF(E144=0,0,INDEX(INDIRECT($B132),MATCH($B133,Regions,0),9)*E139*E141)</f>
        <v>360</v>
      </c>
    </row>
    <row r="146" spans="2:5" outlineLevel="1" x14ac:dyDescent="0.3">
      <c r="B146" s="20" t="s">
        <v>31</v>
      </c>
      <c r="C146" s="33">
        <f ca="1">IFERROR(C144*INDEX(INDIRECT($B132),MATCH($B133,Regions,0),4)/(7/INDEX(INDIRECT($B132),MATCH($B133,Regions,0),6)),0)</f>
        <v>15.05296610142857</v>
      </c>
      <c r="D146" s="33">
        <f ca="1">IFERROR(D144*INDEX(INDIRECT($B132),MATCH($B133,Regions,0),4)/(7/INDEX(INDIRECT($B132),MATCH($B133,Regions,0),6)),0)</f>
        <v>45.158898304285714</v>
      </c>
      <c r="E146" s="33">
        <f ca="1">IFERROR(E144*INDEX(INDIRECT($B132),MATCH($B133,Regions,0),4)/(7/INDEX(INDIRECT($B132),MATCH($B133,Regions,0),6)),0)</f>
        <v>60.21186440571428</v>
      </c>
    </row>
    <row r="147" spans="2:5" outlineLevel="1" x14ac:dyDescent="0.3">
      <c r="B147" s="20" t="s">
        <v>32</v>
      </c>
      <c r="C147" s="33">
        <f ca="1">IFERROR(C144*INDEX(INDIRECT($B132),MATCH($B133,Regions,0),5)/(7/INDEX(INDIRECT($B132),MATCH($B133,Regions,0),7)),0)</f>
        <v>1.9183283209576218</v>
      </c>
      <c r="D147" s="33">
        <f ca="1">IFERROR(D144*INDEX(INDIRECT($B132),MATCH($B133,Regions,0),5)/(7/INDEX(INDIRECT($B132),MATCH($B133,Regions,0),7)),0)</f>
        <v>5.7549849628728662</v>
      </c>
      <c r="E147" s="33">
        <f ca="1">IFERROR(E144*INDEX(INDIRECT($B132),MATCH($B133,Regions,0),5)/(7/INDEX(INDIRECT($B132),MATCH($B133,Regions,0),7)),0)</f>
        <v>7.6733132838304874</v>
      </c>
    </row>
    <row r="148" spans="2:5" outlineLevel="1" x14ac:dyDescent="0.3"/>
    <row r="149" spans="2:5" outlineLevel="1" x14ac:dyDescent="0.3">
      <c r="B149" s="10" t="s">
        <v>25</v>
      </c>
    </row>
    <row r="150" spans="2:5" outlineLevel="1" x14ac:dyDescent="0.3">
      <c r="B150" s="11" t="s">
        <v>28</v>
      </c>
    </row>
    <row r="151" spans="2:5" outlineLevel="1" x14ac:dyDescent="0.3">
      <c r="B151" s="11" t="s">
        <v>1</v>
      </c>
    </row>
    <row r="152" spans="2:5" outlineLevel="1" x14ac:dyDescent="0.3"/>
    <row r="153" spans="2:5" outlineLevel="1" x14ac:dyDescent="0.3">
      <c r="C153" s="297" t="s">
        <v>12</v>
      </c>
      <c r="D153" s="297"/>
      <c r="E153" s="297"/>
    </row>
    <row r="154" spans="2:5" ht="28.8" outlineLevel="1" x14ac:dyDescent="0.3">
      <c r="B154" s="13" t="str">
        <f>B150&amp;" - "&amp;B151</f>
        <v>Cardiac_CABG - West</v>
      </c>
      <c r="C154" s="14" t="str">
        <f>'Data Inputs'!$C$29</f>
        <v>Scenario 1:
+1 day a week</v>
      </c>
      <c r="D154" s="14" t="str">
        <f>'Data Inputs'!$D$29</f>
        <v>Scenario 2:
+2 days a week</v>
      </c>
      <c r="E154" s="71" t="str">
        <f>'Data Inputs'!$E$29</f>
        <v>Scenario 3:
+3 days a week</v>
      </c>
    </row>
    <row r="155" spans="2:5" outlineLevel="1" x14ac:dyDescent="0.3">
      <c r="B155" s="12" t="s">
        <v>21</v>
      </c>
      <c r="C155" s="17"/>
      <c r="D155" s="18"/>
      <c r="E155" s="19"/>
    </row>
    <row r="156" spans="2:5" outlineLevel="1" x14ac:dyDescent="0.3">
      <c r="B156" s="20" t="s">
        <v>13</v>
      </c>
      <c r="C156" s="21">
        <f ca="1">INDEX(INDIRECT($B150),MATCH($B151,Regions,0),1)</f>
        <v>77.4375</v>
      </c>
      <c r="D156" s="21">
        <f ca="1">INDEX(INDIRECT($B150),MATCH($B151,Regions,0),1)</f>
        <v>77.4375</v>
      </c>
      <c r="E156" s="21">
        <f ca="1">INDEX(INDIRECT($B150),MATCH($B151,Regions,0),1)</f>
        <v>77.4375</v>
      </c>
    </row>
    <row r="157" spans="2:5" outlineLevel="1" x14ac:dyDescent="0.3">
      <c r="B157" s="20" t="s">
        <v>20</v>
      </c>
      <c r="C157" s="23">
        <f>INDEX(ScenarioInputs,MATCH($B151,Regions,0),MATCH(C154,Scenarios,0))</f>
        <v>1</v>
      </c>
      <c r="D157" s="23">
        <f>INDEX(ScenarioInputs,MATCH($B151,Regions,0),MATCH(D154,Scenarios,0))</f>
        <v>2</v>
      </c>
      <c r="E157" s="23">
        <f>INDEX(ScenarioInputs,MATCH($B151,Regions,0),MATCH(E154,Scenarios,0))</f>
        <v>3</v>
      </c>
    </row>
    <row r="158" spans="2:5" outlineLevel="1" x14ac:dyDescent="0.3">
      <c r="B158" s="20" t="s">
        <v>37</v>
      </c>
      <c r="C158" s="21">
        <f ca="1">ROUNDDOWN(C157*INDEX(INDIRECT($B150),MATCH($B151,Regions,0),9)/(INDEX(INDIRECT($B150),MATCH($B151,Regions,0),3)+INDEX(INDIRECT($B150),MATCH($B151,Regions,0),2)),0)+IF(MOD(INDEX(INDIRECT($B150),MATCH($B151,Regions,0),9),INDEX(INDIRECT($B150),MATCH($B151,Regions,0),3)+INDEX(INDIRECT($B150),MATCH($B151,Regions,0),2))&lt;Buffer,0,1)</f>
        <v>2</v>
      </c>
      <c r="D158" s="21">
        <f ca="1">ROUNDDOWN(D157*INDEX(INDIRECT($B150),MATCH($B151,Regions,0),9)/(INDEX(INDIRECT($B150),MATCH($B151,Regions,0),3)+INDEX(INDIRECT($B150),MATCH($B151,Regions,0),2)),0)+IF(MOD(INDEX(INDIRECT($B150),MATCH($B151,Regions,0),9),INDEX(INDIRECT($B150),MATCH($B151,Regions,0),3)+INDEX(INDIRECT($B150),MATCH($B151,Regions,0),2))&lt;Buffer,0,1)</f>
        <v>4</v>
      </c>
      <c r="E158" s="21">
        <f ca="1">ROUNDDOWN(E157*INDEX(INDIRECT($B150),MATCH($B151,Regions,0),9)/(INDEX(INDIRECT($B150),MATCH($B151,Regions,0),3)+INDEX(INDIRECT($B150),MATCH($B151,Regions,0),2)),0)+IF(MOD(INDEX(INDIRECT($B150),MATCH($B151,Regions,0),9),INDEX(INDIRECT($B150),MATCH($B151,Regions,0),3)+INDEX(INDIRECT($B150),MATCH($B151,Regions,0),2))&lt;Buffer,0,1)</f>
        <v>6</v>
      </c>
    </row>
    <row r="159" spans="2:5" outlineLevel="1" x14ac:dyDescent="0.3">
      <c r="B159" s="20" t="s">
        <v>43</v>
      </c>
      <c r="C159" s="21">
        <f ca="1">ROUNDDOWN(INDEX(INDIRECT($B150),MATCH($B151,Regions,0),8)*INDEX(INDIRECT($B150),MATCH($B151,Regions,0),10),0)</f>
        <v>18</v>
      </c>
      <c r="D159" s="21">
        <f ca="1">ROUNDDOWN(INDEX(INDIRECT($B150),MATCH($B151,Regions,0),8)*INDEX(INDIRECT($B150),MATCH($B151,Regions,0),10),0)</f>
        <v>18</v>
      </c>
      <c r="E159" s="21">
        <f ca="1">ROUNDDOWN(INDEX(INDIRECT($B150),MATCH($B151,Regions,0),8)*INDEX(INDIRECT($B150),MATCH($B151,Regions,0),10),0)</f>
        <v>18</v>
      </c>
    </row>
    <row r="160" spans="2:5" outlineLevel="1" x14ac:dyDescent="0.3">
      <c r="B160" s="26" t="s">
        <v>11</v>
      </c>
      <c r="C160" s="27">
        <f ca="1">IFERROR(C156/(C159*C158),NA())</f>
        <v>2.1510416666666665</v>
      </c>
      <c r="D160" s="27">
        <f t="shared" ref="D160" ca="1" si="22">IFERROR(D156/(D159*D158),NA())</f>
        <v>1.0755208333333333</v>
      </c>
      <c r="E160" s="27">
        <f t="shared" ref="E160" ca="1" si="23">IFERROR(E156/(E159*E158),NA())</f>
        <v>0.71701388888888884</v>
      </c>
    </row>
    <row r="161" spans="2:5" outlineLevel="1" x14ac:dyDescent="0.3">
      <c r="B161" s="12" t="s">
        <v>14</v>
      </c>
      <c r="C161" s="28"/>
      <c r="D161" s="29"/>
      <c r="E161" s="30"/>
    </row>
    <row r="162" spans="2:5" outlineLevel="1" x14ac:dyDescent="0.3">
      <c r="B162" s="31" t="s">
        <v>38</v>
      </c>
      <c r="C162" s="32">
        <f ca="1">IFERROR(C156/C160,0)</f>
        <v>36</v>
      </c>
      <c r="D162" s="32">
        <f t="shared" ref="D162:E162" ca="1" si="24">IFERROR(D156/D160,0)</f>
        <v>72</v>
      </c>
      <c r="E162" s="32">
        <f t="shared" ca="1" si="24"/>
        <v>108.00000000000001</v>
      </c>
    </row>
    <row r="163" spans="2:5" outlineLevel="1" x14ac:dyDescent="0.3">
      <c r="B163" s="20" t="s">
        <v>30</v>
      </c>
      <c r="C163" s="33">
        <f ca="1">IF(C162=0,0,INDEX(INDIRECT($B150),MATCH($B151,Regions,0),9)*C157*C159)</f>
        <v>144</v>
      </c>
      <c r="D163" s="33">
        <f ca="1">IF(D162=0,0,INDEX(INDIRECT($B150),MATCH($B151,Regions,0),9)*D157*D159)</f>
        <v>288</v>
      </c>
      <c r="E163" s="33">
        <f ca="1">IF(E162=0,0,INDEX(INDIRECT($B150),MATCH($B151,Regions,0),9)*E157*E159)</f>
        <v>432</v>
      </c>
    </row>
    <row r="164" spans="2:5" outlineLevel="1" x14ac:dyDescent="0.3">
      <c r="B164" s="20" t="s">
        <v>31</v>
      </c>
      <c r="C164" s="33">
        <f ca="1">IFERROR(C162*INDEX(INDIRECT($B150),MATCH($B151,Regions,0),4)/(7/INDEX(INDIRECT($B150),MATCH($B151,Regions,0),6)),0)</f>
        <v>36</v>
      </c>
      <c r="D164" s="33">
        <f ca="1">IFERROR(D162*INDEX(INDIRECT($B150),MATCH($B151,Regions,0),4)/(7/INDEX(INDIRECT($B150),MATCH($B151,Regions,0),6)),0)</f>
        <v>72</v>
      </c>
      <c r="E164" s="33">
        <f ca="1">IFERROR(E162*INDEX(INDIRECT($B150),MATCH($B151,Regions,0),4)/(7/INDEX(INDIRECT($B150),MATCH($B151,Regions,0),6)),0)</f>
        <v>108.00000000000001</v>
      </c>
    </row>
    <row r="165" spans="2:5" outlineLevel="1" x14ac:dyDescent="0.3">
      <c r="B165" s="20" t="s">
        <v>32</v>
      </c>
      <c r="C165" s="33">
        <f ca="1">IFERROR(C162*INDEX(INDIRECT($B150),MATCH($B151,Regions,0),5)/(7/INDEX(INDIRECT($B150),MATCH($B151,Regions,0),7)),0)</f>
        <v>15.428571428571427</v>
      </c>
      <c r="D165" s="33">
        <f ca="1">IFERROR(D162*INDEX(INDIRECT($B150),MATCH($B151,Regions,0),5)/(7/INDEX(INDIRECT($B150),MATCH($B151,Regions,0),7)),0)</f>
        <v>30.857142857142854</v>
      </c>
      <c r="E165" s="33">
        <f ca="1">IFERROR(E162*INDEX(INDIRECT($B150),MATCH($B151,Regions,0),5)/(7/INDEX(INDIRECT($B150),MATCH($B151,Regions,0),7)),0)</f>
        <v>46.285714285714292</v>
      </c>
    </row>
    <row r="166" spans="2:5" outlineLevel="1" x14ac:dyDescent="0.3"/>
    <row r="167" spans="2:5" outlineLevel="1" x14ac:dyDescent="0.3">
      <c r="B167" s="10" t="s">
        <v>25</v>
      </c>
    </row>
    <row r="168" spans="2:5" outlineLevel="1" x14ac:dyDescent="0.3">
      <c r="B168" s="11" t="s">
        <v>46</v>
      </c>
    </row>
    <row r="169" spans="2:5" outlineLevel="1" x14ac:dyDescent="0.3">
      <c r="B169" s="11" t="s">
        <v>1</v>
      </c>
    </row>
    <row r="170" spans="2:5" outlineLevel="1" x14ac:dyDescent="0.3"/>
    <row r="171" spans="2:5" outlineLevel="1" x14ac:dyDescent="0.3">
      <c r="C171" s="297" t="s">
        <v>12</v>
      </c>
      <c r="D171" s="297"/>
      <c r="E171" s="297"/>
    </row>
    <row r="172" spans="2:5" ht="28.8" outlineLevel="1" x14ac:dyDescent="0.3">
      <c r="B172" s="13" t="str">
        <f>B168&amp;" - "&amp;B169</f>
        <v>Cardiac_Valve - West</v>
      </c>
      <c r="C172" s="14" t="str">
        <f>'Data Inputs'!$C$29</f>
        <v>Scenario 1:
+1 day a week</v>
      </c>
      <c r="D172" s="14" t="str">
        <f>'Data Inputs'!$D$29</f>
        <v>Scenario 2:
+2 days a week</v>
      </c>
      <c r="E172" s="71" t="str">
        <f>'Data Inputs'!$E$29</f>
        <v>Scenario 3:
+3 days a week</v>
      </c>
    </row>
    <row r="173" spans="2:5" outlineLevel="1" x14ac:dyDescent="0.3">
      <c r="B173" s="12" t="s">
        <v>21</v>
      </c>
      <c r="C173" s="17"/>
      <c r="D173" s="18"/>
      <c r="E173" s="19"/>
    </row>
    <row r="174" spans="2:5" outlineLevel="1" x14ac:dyDescent="0.3">
      <c r="B174" s="20" t="s">
        <v>13</v>
      </c>
      <c r="C174" s="21">
        <f ca="1">INDEX(INDIRECT($B168),MATCH($B169,Regions,0),1)</f>
        <v>28.624535315985131</v>
      </c>
      <c r="D174" s="21">
        <f ca="1">INDEX(INDIRECT($B168),MATCH($B169,Regions,0),1)</f>
        <v>28.624535315985131</v>
      </c>
      <c r="E174" s="21">
        <f ca="1">INDEX(INDIRECT($B168),MATCH($B169,Regions,0),1)</f>
        <v>28.624535315985131</v>
      </c>
    </row>
    <row r="175" spans="2:5" outlineLevel="1" x14ac:dyDescent="0.3">
      <c r="B175" s="20" t="s">
        <v>20</v>
      </c>
      <c r="C175" s="23">
        <f>INDEX(ScenarioInputs,MATCH($B169,Regions,0),MATCH(C172,Scenarios,0))</f>
        <v>1</v>
      </c>
      <c r="D175" s="23">
        <f>INDEX(ScenarioInputs,MATCH($B169,Regions,0),MATCH(D172,Scenarios,0))</f>
        <v>2</v>
      </c>
      <c r="E175" s="23">
        <f>INDEX(ScenarioInputs,MATCH($B169,Regions,0),MATCH(E172,Scenarios,0))</f>
        <v>3</v>
      </c>
    </row>
    <row r="176" spans="2:5" outlineLevel="1" x14ac:dyDescent="0.3">
      <c r="B176" s="20" t="s">
        <v>37</v>
      </c>
      <c r="C176" s="21">
        <f ca="1">ROUNDDOWN(C175*INDEX(INDIRECT($B168),MATCH($B169,Regions,0),9)/(INDEX(INDIRECT($B168),MATCH($B169,Regions,0),3)+INDEX(INDIRECT($B168),MATCH($B169,Regions,0),2)),0)+IF(MOD(INDEX(INDIRECT($B168),MATCH($B169,Regions,0),9),INDEX(INDIRECT($B168),MATCH($B169,Regions,0),3)+INDEX(INDIRECT($B168),MATCH($B169,Regions,0),2))&lt;Buffer,0,1)</f>
        <v>2</v>
      </c>
      <c r="D176" s="21">
        <f ca="1">ROUNDDOWN(D175*INDEX(INDIRECT($B168),MATCH($B169,Regions,0),9)/(INDEX(INDIRECT($B168),MATCH($B169,Regions,0),3)+INDEX(INDIRECT($B168),MATCH($B169,Regions,0),2)),0)+IF(MOD(INDEX(INDIRECT($B168),MATCH($B169,Regions,0),9),INDEX(INDIRECT($B168),MATCH($B169,Regions,0),3)+INDEX(INDIRECT($B168),MATCH($B169,Regions,0),2))&lt;Buffer,0,1)</f>
        <v>4</v>
      </c>
      <c r="E176" s="21">
        <f ca="1">ROUNDDOWN(E175*INDEX(INDIRECT($B168),MATCH($B169,Regions,0),9)/(INDEX(INDIRECT($B168),MATCH($B169,Regions,0),3)+INDEX(INDIRECT($B168),MATCH($B169,Regions,0),2)),0)+IF(MOD(INDEX(INDIRECT($B168),MATCH($B169,Regions,0),9),INDEX(INDIRECT($B168),MATCH($B169,Regions,0),3)+INDEX(INDIRECT($B168),MATCH($B169,Regions,0),2))&lt;Buffer,0,1)</f>
        <v>6</v>
      </c>
    </row>
    <row r="177" spans="2:5" outlineLevel="1" x14ac:dyDescent="0.3">
      <c r="B177" s="20" t="s">
        <v>43</v>
      </c>
      <c r="C177" s="21">
        <f ca="1">ROUNDDOWN(INDEX(INDIRECT($B168),MATCH($B169,Regions,0),8)*INDEX(INDIRECT($B168),MATCH($B169,Regions,0),10),0)</f>
        <v>18</v>
      </c>
      <c r="D177" s="21">
        <f ca="1">ROUNDDOWN(INDEX(INDIRECT($B168),MATCH($B169,Regions,0),8)*INDEX(INDIRECT($B168),MATCH($B169,Regions,0),10),0)</f>
        <v>18</v>
      </c>
      <c r="E177" s="21">
        <f ca="1">ROUNDDOWN(INDEX(INDIRECT($B168),MATCH($B169,Regions,0),8)*INDEX(INDIRECT($B168),MATCH($B169,Regions,0),10),0)</f>
        <v>18</v>
      </c>
    </row>
    <row r="178" spans="2:5" outlineLevel="1" x14ac:dyDescent="0.3">
      <c r="B178" s="26" t="s">
        <v>11</v>
      </c>
      <c r="C178" s="27">
        <f ca="1">IFERROR(C174/(C177*C176),NA())</f>
        <v>0.79512598099958698</v>
      </c>
      <c r="D178" s="27">
        <f t="shared" ref="D178" ca="1" si="25">IFERROR(D174/(D177*D176),NA())</f>
        <v>0.39756299049979349</v>
      </c>
      <c r="E178" s="27">
        <f t="shared" ref="E178" ca="1" si="26">IFERROR(E174/(E177*E176),NA())</f>
        <v>0.26504199366652897</v>
      </c>
    </row>
    <row r="179" spans="2:5" outlineLevel="1" x14ac:dyDescent="0.3">
      <c r="B179" s="12" t="s">
        <v>14</v>
      </c>
      <c r="C179" s="28"/>
      <c r="D179" s="29"/>
      <c r="E179" s="30"/>
    </row>
    <row r="180" spans="2:5" outlineLevel="1" x14ac:dyDescent="0.3">
      <c r="B180" s="31" t="s">
        <v>38</v>
      </c>
      <c r="C180" s="32">
        <f ca="1">IFERROR(C174/C178,0)</f>
        <v>36</v>
      </c>
      <c r="D180" s="32">
        <f t="shared" ref="D180:E180" ca="1" si="27">IFERROR(D174/D178,0)</f>
        <v>72</v>
      </c>
      <c r="E180" s="32">
        <f t="shared" ca="1" si="27"/>
        <v>108.00000000000001</v>
      </c>
    </row>
    <row r="181" spans="2:5" outlineLevel="1" x14ac:dyDescent="0.3">
      <c r="B181" s="20" t="s">
        <v>30</v>
      </c>
      <c r="C181" s="33">
        <f ca="1">IF(C180=0,0,INDEX(INDIRECT($B168),MATCH($B169,Regions,0),9)*C175*C177)</f>
        <v>144</v>
      </c>
      <c r="D181" s="33">
        <f ca="1">IF(D180=0,0,INDEX(INDIRECT($B168),MATCH($B169,Regions,0),9)*D175*D177)</f>
        <v>288</v>
      </c>
      <c r="E181" s="33">
        <f ca="1">IF(E180=0,0,INDEX(INDIRECT($B168),MATCH($B169,Regions,0),9)*E175*E177)</f>
        <v>432</v>
      </c>
    </row>
    <row r="182" spans="2:5" outlineLevel="1" x14ac:dyDescent="0.3">
      <c r="B182" s="20" t="s">
        <v>31</v>
      </c>
      <c r="C182" s="33">
        <f ca="1">IFERROR(C180*INDEX(INDIRECT($B168),MATCH($B169,Regions,0),4)/(7/INDEX(INDIRECT($B168),MATCH($B169,Regions,0),6)),0)</f>
        <v>41.142857142857146</v>
      </c>
      <c r="D182" s="33">
        <f ca="1">IFERROR(D180*INDEX(INDIRECT($B168),MATCH($B169,Regions,0),4)/(7/INDEX(INDIRECT($B168),MATCH($B169,Regions,0),6)),0)</f>
        <v>82.285714285714292</v>
      </c>
      <c r="E182" s="33">
        <f ca="1">IFERROR(E180*INDEX(INDIRECT($B168),MATCH($B169,Regions,0),4)/(7/INDEX(INDIRECT($B168),MATCH($B169,Regions,0),6)),0)</f>
        <v>123.42857142857144</v>
      </c>
    </row>
    <row r="183" spans="2:5" outlineLevel="1" x14ac:dyDescent="0.3">
      <c r="B183" s="20" t="s">
        <v>32</v>
      </c>
      <c r="C183" s="33">
        <f ca="1">IFERROR(C180*INDEX(INDIRECT($B168),MATCH($B169,Regions,0),5)/(7/INDEX(INDIRECT($B168),MATCH($B169,Regions,0),7)),0)</f>
        <v>20.571428571428573</v>
      </c>
      <c r="D183" s="33">
        <f ca="1">IFERROR(D180*INDEX(INDIRECT($B168),MATCH($B169,Regions,0),5)/(7/INDEX(INDIRECT($B168),MATCH($B169,Regions,0),7)),0)</f>
        <v>41.142857142857146</v>
      </c>
      <c r="E183" s="33">
        <f ca="1">IFERROR(E180*INDEX(INDIRECT($B168),MATCH($B169,Regions,0),5)/(7/INDEX(INDIRECT($B168),MATCH($B169,Regions,0),7)),0)</f>
        <v>61.714285714285722</v>
      </c>
    </row>
    <row r="184" spans="2:5" outlineLevel="1" x14ac:dyDescent="0.3">
      <c r="B184" s="20"/>
      <c r="C184" s="44"/>
      <c r="D184" s="44"/>
      <c r="E184" s="44"/>
    </row>
    <row r="185" spans="2:5" outlineLevel="1" x14ac:dyDescent="0.3">
      <c r="B185" s="10" t="s">
        <v>25</v>
      </c>
    </row>
    <row r="186" spans="2:5" outlineLevel="1" x14ac:dyDescent="0.3">
      <c r="B186" s="11" t="s">
        <v>110</v>
      </c>
    </row>
    <row r="187" spans="2:5" outlineLevel="1" x14ac:dyDescent="0.3">
      <c r="B187" s="11" t="s">
        <v>1</v>
      </c>
    </row>
    <row r="188" spans="2:5" outlineLevel="1" x14ac:dyDescent="0.3"/>
    <row r="189" spans="2:5" outlineLevel="1" x14ac:dyDescent="0.3">
      <c r="C189" s="297" t="s">
        <v>12</v>
      </c>
      <c r="D189" s="297"/>
      <c r="E189" s="297"/>
    </row>
    <row r="190" spans="2:5" ht="28.8" outlineLevel="1" x14ac:dyDescent="0.3">
      <c r="B190" s="13" t="str">
        <f>B186&amp;" - "&amp;B187</f>
        <v>Benign_P2P3 - West</v>
      </c>
      <c r="C190" s="14" t="str">
        <f>'Data Inputs'!$C$29</f>
        <v>Scenario 1:
+1 day a week</v>
      </c>
      <c r="D190" s="14" t="str">
        <f>'Data Inputs'!$D$29</f>
        <v>Scenario 2:
+2 days a week</v>
      </c>
      <c r="E190" s="71" t="str">
        <f>'Data Inputs'!$E$29</f>
        <v>Scenario 3:
+3 days a week</v>
      </c>
    </row>
    <row r="191" spans="2:5" outlineLevel="1" x14ac:dyDescent="0.3">
      <c r="B191" s="12" t="s">
        <v>21</v>
      </c>
      <c r="C191" s="17"/>
      <c r="D191" s="18"/>
      <c r="E191" s="19"/>
    </row>
    <row r="192" spans="2:5" outlineLevel="1" x14ac:dyDescent="0.3">
      <c r="B192" s="20" t="s">
        <v>13</v>
      </c>
      <c r="C192" s="21">
        <f ca="1">INDEX(INDIRECT($B186),MATCH($B187,Regions,0),1)</f>
        <v>5361.4551654000006</v>
      </c>
      <c r="D192" s="21">
        <f ca="1">INDEX(INDIRECT($B186),MATCH($B187,Regions,0),1)</f>
        <v>5361.4551654000006</v>
      </c>
      <c r="E192" s="21">
        <f ca="1">INDEX(INDIRECT($B186),MATCH($B187,Regions,0),1)</f>
        <v>5361.4551654000006</v>
      </c>
    </row>
    <row r="193" spans="2:5" outlineLevel="1" x14ac:dyDescent="0.3">
      <c r="B193" s="20" t="s">
        <v>20</v>
      </c>
      <c r="C193" s="23">
        <f>INDEX(ScenarioInputs,MATCH($B187,Regions,0),MATCH(C190,Scenarios,0))</f>
        <v>1</v>
      </c>
      <c r="D193" s="23">
        <f>INDEX(ScenarioInputs,MATCH($B187,Regions,0),MATCH(D190,Scenarios,0))</f>
        <v>2</v>
      </c>
      <c r="E193" s="23">
        <f>INDEX(ScenarioInputs,MATCH($B187,Regions,0),MATCH(E190,Scenarios,0))</f>
        <v>3</v>
      </c>
    </row>
    <row r="194" spans="2:5" outlineLevel="1" x14ac:dyDescent="0.3">
      <c r="B194" s="20" t="s">
        <v>37</v>
      </c>
      <c r="C194" s="21">
        <f ca="1">ROUNDDOWN(C193*INDEX(INDIRECT($B186),MATCH($B187,Regions,0),9)/(INDEX(INDIRECT($B186),MATCH($B187,Regions,0),3)+INDEX(INDIRECT($B186),MATCH($B187,Regions,0),2)),0)+IF(MOD(INDEX(INDIRECT($B186),MATCH($B187,Regions,0),9),INDEX(INDIRECT($B186),MATCH($B187,Regions,0),3)+INDEX(INDIRECT($B186),MATCH($B187,Regions,0),2))&lt;Buffer,0,1)</f>
        <v>4</v>
      </c>
      <c r="D194" s="21">
        <f ca="1">ROUNDDOWN(D193*INDEX(INDIRECT($B186),MATCH($B187,Regions,0),9)/(INDEX(INDIRECT($B186),MATCH($B187,Regions,0),3)+INDEX(INDIRECT($B186),MATCH($B187,Regions,0),2)),0)+IF(MOD(INDEX(INDIRECT($B186),MATCH($B187,Regions,0),9),INDEX(INDIRECT($B186),MATCH($B187,Regions,0),3)+INDEX(INDIRECT($B186),MATCH($B187,Regions,0),2))&lt;Buffer,0,1)</f>
        <v>9</v>
      </c>
      <c r="E194" s="21">
        <f ca="1">ROUNDDOWN(E193*INDEX(INDIRECT($B186),MATCH($B187,Regions,0),9)/(INDEX(INDIRECT($B186),MATCH($B187,Regions,0),3)+INDEX(INDIRECT($B186),MATCH($B187,Regions,0),2)),0)+IF(MOD(INDEX(INDIRECT($B186),MATCH($B187,Regions,0),9),INDEX(INDIRECT($B186),MATCH($B187,Regions,0),3)+INDEX(INDIRECT($B186),MATCH($B187,Regions,0),2))&lt;Buffer,0,1)</f>
        <v>14</v>
      </c>
    </row>
    <row r="195" spans="2:5" outlineLevel="1" x14ac:dyDescent="0.3">
      <c r="B195" s="20" t="s">
        <v>43</v>
      </c>
      <c r="C195" s="21">
        <f ca="1">ROUNDDOWN(INDEX(INDIRECT($B186),MATCH($B187,Regions,0),8)*INDEX(INDIRECT($B186),MATCH($B187,Regions,0),10),0)</f>
        <v>126</v>
      </c>
      <c r="D195" s="21">
        <f ca="1">ROUNDDOWN(INDEX(INDIRECT($B186),MATCH($B187,Regions,0),8)*INDEX(INDIRECT($B186),MATCH($B187,Regions,0),10),0)</f>
        <v>126</v>
      </c>
      <c r="E195" s="21">
        <f ca="1">ROUNDDOWN(INDEX(INDIRECT($B186),MATCH($B187,Regions,0),8)*INDEX(INDIRECT($B186),MATCH($B187,Regions,0),10),0)</f>
        <v>126</v>
      </c>
    </row>
    <row r="196" spans="2:5" outlineLevel="1" x14ac:dyDescent="0.3">
      <c r="B196" s="26" t="s">
        <v>11</v>
      </c>
      <c r="C196" s="27">
        <f ca="1">IFERROR(C192/(C195*C194),NA())</f>
        <v>10.637807867857145</v>
      </c>
      <c r="D196" s="27">
        <f t="shared" ref="D196:E196" ca="1" si="28">IFERROR(D192/(D195*D194),NA())</f>
        <v>4.7279146079365084</v>
      </c>
      <c r="E196" s="27">
        <f t="shared" ca="1" si="28"/>
        <v>3.0393736765306127</v>
      </c>
    </row>
    <row r="197" spans="2:5" outlineLevel="1" x14ac:dyDescent="0.3">
      <c r="B197" s="12" t="s">
        <v>14</v>
      </c>
      <c r="C197" s="28"/>
      <c r="D197" s="29"/>
      <c r="E197" s="30"/>
    </row>
    <row r="198" spans="2:5" outlineLevel="1" x14ac:dyDescent="0.3">
      <c r="B198" s="31" t="s">
        <v>38</v>
      </c>
      <c r="C198" s="32">
        <f ca="1">IFERROR(C192/C196,0)</f>
        <v>503.99999999999994</v>
      </c>
      <c r="D198" s="32">
        <f t="shared" ref="D198:E198" ca="1" si="29">IFERROR(D192/D196,0)</f>
        <v>1134</v>
      </c>
      <c r="E198" s="32">
        <f t="shared" ca="1" si="29"/>
        <v>1764</v>
      </c>
    </row>
    <row r="199" spans="2:5" outlineLevel="1" x14ac:dyDescent="0.3">
      <c r="B199" s="20" t="s">
        <v>30</v>
      </c>
      <c r="C199" s="33">
        <f ca="1">IF(C198=0,0,INDEX(INDIRECT($B186),MATCH($B187,Regions,0),9)*C193*C195)</f>
        <v>1008</v>
      </c>
      <c r="D199" s="33">
        <f ca="1">IF(D198=0,0,INDEX(INDIRECT($B186),MATCH($B187,Regions,0),9)*D193*D195)</f>
        <v>2016</v>
      </c>
      <c r="E199" s="33">
        <f ca="1">IF(E198=0,0,INDEX(INDIRECT($B186),MATCH($B187,Regions,0),9)*E193*E195)</f>
        <v>3024</v>
      </c>
    </row>
    <row r="200" spans="2:5" outlineLevel="1" x14ac:dyDescent="0.3">
      <c r="B200" s="20" t="s">
        <v>31</v>
      </c>
      <c r="C200" s="33">
        <f ca="1">IFERROR(C198*INDEX(INDIRECT($B186),MATCH($B187,Regions,0),4)/(7/INDEX(INDIRECT($B186),MATCH($B187,Regions,0),6)),0)</f>
        <v>64.07170577767117</v>
      </c>
      <c r="D200" s="33">
        <f ca="1">IFERROR(D198*INDEX(INDIRECT($B186),MATCH($B187,Regions,0),4)/(7/INDEX(INDIRECT($B186),MATCH($B187,Regions,0),6)),0)</f>
        <v>144.16133799976015</v>
      </c>
      <c r="E200" s="33">
        <f ca="1">IFERROR(E198*INDEX(INDIRECT($B186),MATCH($B187,Regions,0),4)/(7/INDEX(INDIRECT($B186),MATCH($B187,Regions,0),6)),0)</f>
        <v>224.25097022184912</v>
      </c>
    </row>
    <row r="201" spans="2:5" outlineLevel="1" x14ac:dyDescent="0.3">
      <c r="B201" s="20" t="s">
        <v>32</v>
      </c>
      <c r="C201" s="33">
        <f ca="1">IFERROR(C198*INDEX(INDIRECT($B186),MATCH($B187,Regions,0),5)/(7/INDEX(INDIRECT($B186),MATCH($B187,Regions,0),7)),0)</f>
        <v>0.56636893812693601</v>
      </c>
      <c r="D201" s="33">
        <f ca="1">IFERROR(D198*INDEX(INDIRECT($B186),MATCH($B187,Regions,0),5)/(7/INDEX(INDIRECT($B186),MATCH($B187,Regions,0),7)),0)</f>
        <v>1.274330110785606</v>
      </c>
      <c r="E201" s="33">
        <f ca="1">IFERROR(E198*INDEX(INDIRECT($B186),MATCH($B187,Regions,0),5)/(7/INDEX(INDIRECT($B186),MATCH($B187,Regions,0),7)),0)</f>
        <v>1.9822912834442759</v>
      </c>
    </row>
    <row r="202" spans="2:5" outlineLevel="1" x14ac:dyDescent="0.3">
      <c r="B202" s="20"/>
      <c r="C202" s="44"/>
      <c r="D202" s="44"/>
      <c r="E202" s="44"/>
    </row>
    <row r="203" spans="2:5" outlineLevel="1" x14ac:dyDescent="0.3">
      <c r="B203" s="10" t="s">
        <v>25</v>
      </c>
    </row>
    <row r="204" spans="2:5" outlineLevel="1" x14ac:dyDescent="0.3">
      <c r="B204" s="11" t="s">
        <v>111</v>
      </c>
    </row>
    <row r="205" spans="2:5" outlineLevel="1" x14ac:dyDescent="0.3">
      <c r="B205" s="11" t="s">
        <v>1</v>
      </c>
    </row>
    <row r="206" spans="2:5" outlineLevel="1" x14ac:dyDescent="0.3"/>
    <row r="207" spans="2:5" outlineLevel="1" x14ac:dyDescent="0.3">
      <c r="C207" s="297" t="s">
        <v>12</v>
      </c>
      <c r="D207" s="297"/>
      <c r="E207" s="297"/>
    </row>
    <row r="208" spans="2:5" ht="28.8" outlineLevel="1" x14ac:dyDescent="0.3">
      <c r="B208" s="13" t="str">
        <f>B204&amp;" - "&amp;B205</f>
        <v>Benign_P4 - West</v>
      </c>
      <c r="C208" s="14" t="str">
        <f>'Data Inputs'!$C$29</f>
        <v>Scenario 1:
+1 day a week</v>
      </c>
      <c r="D208" s="14" t="str">
        <f>'Data Inputs'!$D$29</f>
        <v>Scenario 2:
+2 days a week</v>
      </c>
      <c r="E208" s="71" t="str">
        <f>'Data Inputs'!$E$29</f>
        <v>Scenario 3:
+3 days a week</v>
      </c>
    </row>
    <row r="209" spans="2:5" outlineLevel="1" x14ac:dyDescent="0.3">
      <c r="B209" s="12" t="s">
        <v>21</v>
      </c>
      <c r="C209" s="17"/>
      <c r="D209" s="18"/>
      <c r="E209" s="19"/>
    </row>
    <row r="210" spans="2:5" outlineLevel="1" x14ac:dyDescent="0.3">
      <c r="B210" s="20" t="s">
        <v>13</v>
      </c>
      <c r="C210" s="21">
        <f ca="1">INDEX(INDIRECT($B204),MATCH($B205,Regions,0),1)</f>
        <v>34660.206838999999</v>
      </c>
      <c r="D210" s="21">
        <f ca="1">INDEX(INDIRECT($B204),MATCH($B205,Regions,0),1)</f>
        <v>34660.206838999999</v>
      </c>
      <c r="E210" s="21">
        <f ca="1">INDEX(INDIRECT($B204),MATCH($B205,Regions,0),1)</f>
        <v>34660.206838999999</v>
      </c>
    </row>
    <row r="211" spans="2:5" outlineLevel="1" x14ac:dyDescent="0.3">
      <c r="B211" s="20" t="s">
        <v>20</v>
      </c>
      <c r="C211" s="23">
        <f>INDEX(ScenarioInputs,MATCH($B205,Regions,0),MATCH(C208,Scenarios,0))</f>
        <v>1</v>
      </c>
      <c r="D211" s="23">
        <f>INDEX(ScenarioInputs,MATCH($B205,Regions,0),MATCH(D208,Scenarios,0))</f>
        <v>2</v>
      </c>
      <c r="E211" s="23">
        <f>INDEX(ScenarioInputs,MATCH($B205,Regions,0),MATCH(E208,Scenarios,0))</f>
        <v>3</v>
      </c>
    </row>
    <row r="212" spans="2:5" outlineLevel="1" x14ac:dyDescent="0.3">
      <c r="B212" s="20" t="s">
        <v>37</v>
      </c>
      <c r="C212" s="21">
        <f ca="1">ROUNDDOWN(C211*INDEX(INDIRECT($B204),MATCH($B205,Regions,0),9)/(INDEX(INDIRECT($B204),MATCH($B205,Regions,0),3)+INDEX(INDIRECT($B204),MATCH($B205,Regions,0),2)),0)+IF(MOD(INDEX(INDIRECT($B204),MATCH($B205,Regions,0),9),INDEX(INDIRECT($B204),MATCH($B205,Regions,0),3)+INDEX(INDIRECT($B204),MATCH($B205,Regions,0),2))&lt;Buffer,0,1)</f>
        <v>5</v>
      </c>
      <c r="D212" s="21">
        <f ca="1">ROUNDDOWN(D211*INDEX(INDIRECT($B204),MATCH($B205,Regions,0),9)/(INDEX(INDIRECT($B204),MATCH($B205,Regions,0),3)+INDEX(INDIRECT($B204),MATCH($B205,Regions,0),2)),0)+IF(MOD(INDEX(INDIRECT($B204),MATCH($B205,Regions,0),9),INDEX(INDIRECT($B204),MATCH($B205,Regions,0),3)+INDEX(INDIRECT($B204),MATCH($B205,Regions,0),2))&lt;Buffer,0,1)</f>
        <v>11</v>
      </c>
      <c r="E212" s="21">
        <f ca="1">ROUNDDOWN(E211*INDEX(INDIRECT($B204),MATCH($B205,Regions,0),9)/(INDEX(INDIRECT($B204),MATCH($B205,Regions,0),3)+INDEX(INDIRECT($B204),MATCH($B205,Regions,0),2)),0)+IF(MOD(INDEX(INDIRECT($B204),MATCH($B205,Regions,0),9),INDEX(INDIRECT($B204),MATCH($B205,Regions,0),3)+INDEX(INDIRECT($B204),MATCH($B205,Regions,0),2))&lt;Buffer,0,1)</f>
        <v>17</v>
      </c>
    </row>
    <row r="213" spans="2:5" outlineLevel="1" x14ac:dyDescent="0.3">
      <c r="B213" s="20" t="s">
        <v>43</v>
      </c>
      <c r="C213" s="21">
        <f ca="1">ROUNDDOWN(INDEX(INDIRECT($B204),MATCH($B205,Regions,0),8)*INDEX(INDIRECT($B204),MATCH($B205,Regions,0),10),0)</f>
        <v>126</v>
      </c>
      <c r="D213" s="21">
        <f ca="1">ROUNDDOWN(INDEX(INDIRECT($B204),MATCH($B205,Regions,0),8)*INDEX(INDIRECT($B204),MATCH($B205,Regions,0),10),0)</f>
        <v>126</v>
      </c>
      <c r="E213" s="21">
        <f ca="1">ROUNDDOWN(INDEX(INDIRECT($B204),MATCH($B205,Regions,0),8)*INDEX(INDIRECT($B204),MATCH($B205,Regions,0),10),0)</f>
        <v>126</v>
      </c>
    </row>
    <row r="214" spans="2:5" outlineLevel="1" x14ac:dyDescent="0.3">
      <c r="B214" s="26" t="s">
        <v>11</v>
      </c>
      <c r="C214" s="27">
        <f ca="1">IFERROR(C210/(C213*C212),NA())</f>
        <v>55.016201331746032</v>
      </c>
      <c r="D214" s="27">
        <f t="shared" ref="D214:E214" ca="1" si="30">IFERROR(D210/(D213*D212),NA())</f>
        <v>25.007364241702742</v>
      </c>
      <c r="E214" s="27">
        <f t="shared" ca="1" si="30"/>
        <v>16.181235685807657</v>
      </c>
    </row>
    <row r="215" spans="2:5" outlineLevel="1" x14ac:dyDescent="0.3">
      <c r="B215" s="12" t="s">
        <v>14</v>
      </c>
      <c r="C215" s="28"/>
      <c r="D215" s="29"/>
      <c r="E215" s="30"/>
    </row>
    <row r="216" spans="2:5" outlineLevel="1" x14ac:dyDescent="0.3">
      <c r="B216" s="31" t="s">
        <v>38</v>
      </c>
      <c r="C216" s="32">
        <f ca="1">IFERROR(C210/C214,0)</f>
        <v>630</v>
      </c>
      <c r="D216" s="32">
        <f t="shared" ref="D216:E216" ca="1" si="31">IFERROR(D210/D214,0)</f>
        <v>1386</v>
      </c>
      <c r="E216" s="32">
        <f t="shared" ca="1" si="31"/>
        <v>2142</v>
      </c>
    </row>
    <row r="217" spans="2:5" outlineLevel="1" x14ac:dyDescent="0.3">
      <c r="B217" s="20" t="s">
        <v>30</v>
      </c>
      <c r="C217" s="33">
        <f ca="1">IF(C216=0,0,INDEX(INDIRECT($B204),MATCH($B205,Regions,0),9)*C211*C213)</f>
        <v>1008</v>
      </c>
      <c r="D217" s="33">
        <f ca="1">IF(D216=0,0,INDEX(INDIRECT($B204),MATCH($B205,Regions,0),9)*D211*D213)</f>
        <v>2016</v>
      </c>
      <c r="E217" s="33">
        <f ca="1">IF(E216=0,0,INDEX(INDIRECT($B204),MATCH($B205,Regions,0),9)*E211*E213)</f>
        <v>3024</v>
      </c>
    </row>
    <row r="218" spans="2:5" outlineLevel="1" x14ac:dyDescent="0.3">
      <c r="B218" s="20" t="s">
        <v>31</v>
      </c>
      <c r="C218" s="33">
        <f ca="1">IFERROR(C216*INDEX(INDIRECT($B204),MATCH($B205,Regions,0),4)/(7/INDEX(INDIRECT($B204),MATCH($B205,Regions,0),6)),0)</f>
        <v>44.376087094338452</v>
      </c>
      <c r="D218" s="33">
        <f ca="1">IFERROR(D216*INDEX(INDIRECT($B204),MATCH($B205,Regions,0),4)/(7/INDEX(INDIRECT($B204),MATCH($B205,Regions,0),6)),0)</f>
        <v>97.627391607544595</v>
      </c>
      <c r="E218" s="33">
        <f ca="1">IFERROR(E216*INDEX(INDIRECT($B204),MATCH($B205,Regions,0),4)/(7/INDEX(INDIRECT($B204),MATCH($B205,Regions,0),6)),0)</f>
        <v>150.87869612075073</v>
      </c>
    </row>
    <row r="219" spans="2:5" outlineLevel="1" x14ac:dyDescent="0.3">
      <c r="B219" s="20" t="s">
        <v>32</v>
      </c>
      <c r="C219" s="33">
        <f ca="1">IFERROR(C216*INDEX(INDIRECT($B204),MATCH($B205,Regions,0),5)/(7/INDEX(INDIRECT($B204),MATCH($B205,Regions,0),7)),0)</f>
        <v>6.3986228688559493E-2</v>
      </c>
      <c r="D219" s="33">
        <f ca="1">IFERROR(D216*INDEX(INDIRECT($B204),MATCH($B205,Regions,0),5)/(7/INDEX(INDIRECT($B204),MATCH($B205,Regions,0),7)),0)</f>
        <v>0.14076970311483089</v>
      </c>
      <c r="E219" s="33">
        <f ca="1">IFERROR(E216*INDEX(INDIRECT($B204),MATCH($B205,Regions,0),5)/(7/INDEX(INDIRECT($B204),MATCH($B205,Regions,0),7)),0)</f>
        <v>0.21755317754110229</v>
      </c>
    </row>
    <row r="220" spans="2:5" outlineLevel="1" x14ac:dyDescent="0.3">
      <c r="B220" s="20"/>
      <c r="C220" s="44"/>
      <c r="D220" s="44"/>
      <c r="E220" s="44"/>
    </row>
    <row r="221" spans="2:5" outlineLevel="1" x14ac:dyDescent="0.3">
      <c r="B221" s="10" t="s">
        <v>25</v>
      </c>
    </row>
    <row r="222" spans="2:5" outlineLevel="1" x14ac:dyDescent="0.3">
      <c r="B222" s="11" t="s">
        <v>112</v>
      </c>
    </row>
    <row r="223" spans="2:5" outlineLevel="1" x14ac:dyDescent="0.3">
      <c r="B223" s="11" t="s">
        <v>1</v>
      </c>
    </row>
    <row r="224" spans="2:5" outlineLevel="1" x14ac:dyDescent="0.3"/>
    <row r="225" spans="2:5" outlineLevel="1" x14ac:dyDescent="0.3">
      <c r="C225" s="297" t="s">
        <v>12</v>
      </c>
      <c r="D225" s="297"/>
      <c r="E225" s="297"/>
    </row>
    <row r="226" spans="2:5" ht="28.8" outlineLevel="1" x14ac:dyDescent="0.3">
      <c r="B226" s="13" t="str">
        <f>B222&amp;" - "&amp;B223</f>
        <v>Pediatric_P2P3 - West</v>
      </c>
      <c r="C226" s="14" t="str">
        <f>'Data Inputs'!$C$29</f>
        <v>Scenario 1:
+1 day a week</v>
      </c>
      <c r="D226" s="14" t="str">
        <f>'Data Inputs'!$D$29</f>
        <v>Scenario 2:
+2 days a week</v>
      </c>
      <c r="E226" s="71" t="str">
        <f>'Data Inputs'!$E$29</f>
        <v>Scenario 3:
+3 days a week</v>
      </c>
    </row>
    <row r="227" spans="2:5" outlineLevel="1" x14ac:dyDescent="0.3">
      <c r="B227" s="12" t="s">
        <v>21</v>
      </c>
      <c r="C227" s="17"/>
      <c r="D227" s="18"/>
      <c r="E227" s="19"/>
    </row>
    <row r="228" spans="2:5" outlineLevel="1" x14ac:dyDescent="0.3">
      <c r="B228" s="20" t="s">
        <v>13</v>
      </c>
      <c r="C228" s="21">
        <f ca="1">INDEX(INDIRECT($B222),MATCH($B223,Regions,0),1)</f>
        <v>858.14935323000032</v>
      </c>
      <c r="D228" s="21">
        <f ca="1">INDEX(INDIRECT($B222),MATCH($B223,Regions,0),1)</f>
        <v>858.14935323000032</v>
      </c>
      <c r="E228" s="21">
        <f ca="1">INDEX(INDIRECT($B222),MATCH($B223,Regions,0),1)</f>
        <v>858.14935323000032</v>
      </c>
    </row>
    <row r="229" spans="2:5" outlineLevel="1" x14ac:dyDescent="0.3">
      <c r="B229" s="20" t="s">
        <v>20</v>
      </c>
      <c r="C229" s="23">
        <f>INDEX(ScenarioInputs,MATCH($B223,Regions,0),MATCH(C226,Scenarios,0))</f>
        <v>1</v>
      </c>
      <c r="D229" s="23">
        <f>INDEX(ScenarioInputs,MATCH($B223,Regions,0),MATCH(D226,Scenarios,0))</f>
        <v>2</v>
      </c>
      <c r="E229" s="23">
        <f>INDEX(ScenarioInputs,MATCH($B223,Regions,0),MATCH(E226,Scenarios,0))</f>
        <v>3</v>
      </c>
    </row>
    <row r="230" spans="2:5" outlineLevel="1" x14ac:dyDescent="0.3">
      <c r="B230" s="20" t="s">
        <v>37</v>
      </c>
      <c r="C230" s="21">
        <f ca="1">ROUNDDOWN(C229*INDEX(INDIRECT($B222),MATCH($B223,Regions,0),9)/(INDEX(INDIRECT($B222),MATCH($B223,Regions,0),3)+INDEX(INDIRECT($B222),MATCH($B223,Regions,0),2)),0)+IF(MOD(INDEX(INDIRECT($B222),MATCH($B223,Regions,0),9),INDEX(INDIRECT($B222),MATCH($B223,Regions,0),3)+INDEX(INDIRECT($B222),MATCH($B223,Regions,0),2))&lt;Buffer,0,1)</f>
        <v>4</v>
      </c>
      <c r="D230" s="21">
        <f ca="1">ROUNDDOWN(D229*INDEX(INDIRECT($B222),MATCH($B223,Regions,0),9)/(INDEX(INDIRECT($B222),MATCH($B223,Regions,0),3)+INDEX(INDIRECT($B222),MATCH($B223,Regions,0),2)),0)+IF(MOD(INDEX(INDIRECT($B222),MATCH($B223,Regions,0),9),INDEX(INDIRECT($B222),MATCH($B223,Regions,0),3)+INDEX(INDIRECT($B222),MATCH($B223,Regions,0),2))&lt;Buffer,0,1)</f>
        <v>8</v>
      </c>
      <c r="E230" s="21">
        <f ca="1">ROUNDDOWN(E229*INDEX(INDIRECT($B222),MATCH($B223,Regions,0),9)/(INDEX(INDIRECT($B222),MATCH($B223,Regions,0),3)+INDEX(INDIRECT($B222),MATCH($B223,Regions,0),2)),0)+IF(MOD(INDEX(INDIRECT($B222),MATCH($B223,Regions,0),9),INDEX(INDIRECT($B222),MATCH($B223,Regions,0),3)+INDEX(INDIRECT($B222),MATCH($B223,Regions,0),2))&lt;Buffer,0,1)</f>
        <v>12</v>
      </c>
    </row>
    <row r="231" spans="2:5" outlineLevel="1" x14ac:dyDescent="0.3">
      <c r="B231" s="20" t="s">
        <v>43</v>
      </c>
      <c r="C231" s="21">
        <f ca="1">ROUNDDOWN(INDEX(INDIRECT($B222),MATCH($B223,Regions,0),8)*INDEX(INDIRECT($B222),MATCH($B223,Regions,0),10),0)</f>
        <v>101</v>
      </c>
      <c r="D231" s="21">
        <f ca="1">ROUNDDOWN(INDEX(INDIRECT($B222),MATCH($B223,Regions,0),8)*INDEX(INDIRECT($B222),MATCH($B223,Regions,0),10),0)</f>
        <v>101</v>
      </c>
      <c r="E231" s="21">
        <f ca="1">ROUNDDOWN(INDEX(INDIRECT($B222),MATCH($B223,Regions,0),8)*INDEX(INDIRECT($B222),MATCH($B223,Regions,0),10),0)</f>
        <v>101</v>
      </c>
    </row>
    <row r="232" spans="2:5" outlineLevel="1" x14ac:dyDescent="0.3">
      <c r="B232" s="26" t="s">
        <v>11</v>
      </c>
      <c r="C232" s="27">
        <f ca="1">IFERROR(C228/(C231*C230),NA())</f>
        <v>2.1241320624504958</v>
      </c>
      <c r="D232" s="27">
        <f t="shared" ref="D232:E232" ca="1" si="32">IFERROR(D228/(D231*D230),NA())</f>
        <v>1.0620660312252479</v>
      </c>
      <c r="E232" s="27">
        <f t="shared" ca="1" si="32"/>
        <v>0.70804402081683193</v>
      </c>
    </row>
    <row r="233" spans="2:5" outlineLevel="1" x14ac:dyDescent="0.3">
      <c r="B233" s="12" t="s">
        <v>14</v>
      </c>
      <c r="C233" s="28"/>
      <c r="D233" s="29"/>
      <c r="E233" s="30"/>
    </row>
    <row r="234" spans="2:5" outlineLevel="1" x14ac:dyDescent="0.3">
      <c r="B234" s="31" t="s">
        <v>38</v>
      </c>
      <c r="C234" s="32">
        <f ca="1">IFERROR(C228/C232,0)</f>
        <v>404</v>
      </c>
      <c r="D234" s="32">
        <f t="shared" ref="D234:E234" ca="1" si="33">IFERROR(D228/D232,0)</f>
        <v>808</v>
      </c>
      <c r="E234" s="32">
        <f t="shared" ca="1" si="33"/>
        <v>1212</v>
      </c>
    </row>
    <row r="235" spans="2:5" outlineLevel="1" x14ac:dyDescent="0.3">
      <c r="B235" s="20" t="s">
        <v>30</v>
      </c>
      <c r="C235" s="33">
        <f ca="1">IF(C234=0,0,INDEX(INDIRECT($B222),MATCH($B223,Regions,0),9)*C229*C231)</f>
        <v>808</v>
      </c>
      <c r="D235" s="33">
        <f ca="1">IF(D234=0,0,INDEX(INDIRECT($B222),MATCH($B223,Regions,0),9)*D229*D231)</f>
        <v>1616</v>
      </c>
      <c r="E235" s="33">
        <f ca="1">IF(E234=0,0,INDEX(INDIRECT($B222),MATCH($B223,Regions,0),9)*E229*E231)</f>
        <v>2424</v>
      </c>
    </row>
    <row r="236" spans="2:5" outlineLevel="1" x14ac:dyDescent="0.3">
      <c r="B236" s="20" t="s">
        <v>31</v>
      </c>
      <c r="C236" s="33">
        <f ca="1">IFERROR(C234*INDEX(INDIRECT($B222),MATCH($B223,Regions,0),4)/(7/INDEX(INDIRECT($B222),MATCH($B223,Regions,0),6)),0)</f>
        <v>75.963636405196041</v>
      </c>
      <c r="D236" s="33">
        <f ca="1">IFERROR(D234*INDEX(INDIRECT($B222),MATCH($B223,Regions,0),4)/(7/INDEX(INDIRECT($B222),MATCH($B223,Regions,0),6)),0)</f>
        <v>151.92727281039208</v>
      </c>
      <c r="E236" s="33">
        <f ca="1">IFERROR(E234*INDEX(INDIRECT($B222),MATCH($B223,Regions,0),4)/(7/INDEX(INDIRECT($B222),MATCH($B223,Regions,0),6)),0)</f>
        <v>227.89090921558815</v>
      </c>
    </row>
    <row r="237" spans="2:5" outlineLevel="1" x14ac:dyDescent="0.3">
      <c r="B237" s="20" t="s">
        <v>32</v>
      </c>
      <c r="C237" s="33">
        <f ca="1">IFERROR(C234*INDEX(INDIRECT($B222),MATCH($B223,Regions,0),5)/(7/INDEX(INDIRECT($B222),MATCH($B223,Regions,0),7)),0)</f>
        <v>21.716010318225734</v>
      </c>
      <c r="D237" s="33">
        <f ca="1">IFERROR(D234*INDEX(INDIRECT($B222),MATCH($B223,Regions,0),5)/(7/INDEX(INDIRECT($B222),MATCH($B223,Regions,0),7)),0)</f>
        <v>43.432020636451469</v>
      </c>
      <c r="E237" s="33">
        <f ca="1">IFERROR(E234*INDEX(INDIRECT($B222),MATCH($B223,Regions,0),5)/(7/INDEX(INDIRECT($B222),MATCH($B223,Regions,0),7)),0)</f>
        <v>65.148030954677211</v>
      </c>
    </row>
    <row r="238" spans="2:5" outlineLevel="1" x14ac:dyDescent="0.3">
      <c r="B238" s="20"/>
      <c r="C238" s="44"/>
      <c r="D238" s="44"/>
      <c r="E238" s="44"/>
    </row>
    <row r="239" spans="2:5" outlineLevel="1" x14ac:dyDescent="0.3">
      <c r="B239" s="10" t="s">
        <v>25</v>
      </c>
    </row>
    <row r="240" spans="2:5" outlineLevel="1" x14ac:dyDescent="0.3">
      <c r="B240" s="11" t="s">
        <v>113</v>
      </c>
    </row>
    <row r="241" spans="2:5" outlineLevel="1" x14ac:dyDescent="0.3">
      <c r="B241" s="11" t="s">
        <v>1</v>
      </c>
    </row>
    <row r="242" spans="2:5" outlineLevel="1" x14ac:dyDescent="0.3"/>
    <row r="243" spans="2:5" outlineLevel="1" x14ac:dyDescent="0.3">
      <c r="C243" s="297" t="s">
        <v>12</v>
      </c>
      <c r="D243" s="297"/>
      <c r="E243" s="297"/>
    </row>
    <row r="244" spans="2:5" ht="28.8" outlineLevel="1" x14ac:dyDescent="0.3">
      <c r="B244" s="13" t="str">
        <f>B240&amp;" - "&amp;B241</f>
        <v>Pediatric_P4 - West</v>
      </c>
      <c r="C244" s="14" t="str">
        <f>'Data Inputs'!$C$29</f>
        <v>Scenario 1:
+1 day a week</v>
      </c>
      <c r="D244" s="14" t="str">
        <f>'Data Inputs'!$D$29</f>
        <v>Scenario 2:
+2 days a week</v>
      </c>
      <c r="E244" s="71" t="str">
        <f>'Data Inputs'!$E$29</f>
        <v>Scenario 3:
+3 days a week</v>
      </c>
    </row>
    <row r="245" spans="2:5" outlineLevel="1" x14ac:dyDescent="0.3">
      <c r="B245" s="12" t="s">
        <v>21</v>
      </c>
      <c r="C245" s="17"/>
      <c r="D245" s="18"/>
      <c r="E245" s="19"/>
    </row>
    <row r="246" spans="2:5" outlineLevel="1" x14ac:dyDescent="0.3">
      <c r="B246" s="20" t="s">
        <v>13</v>
      </c>
      <c r="C246" s="21">
        <f ca="1">INDEX(INDIRECT($B240),MATCH($B241,Regions,0),1)</f>
        <v>3003.9493878000007</v>
      </c>
      <c r="D246" s="21">
        <f ca="1">INDEX(INDIRECT($B240),MATCH($B241,Regions,0),1)</f>
        <v>3003.9493878000007</v>
      </c>
      <c r="E246" s="21">
        <f ca="1">INDEX(INDIRECT($B240),MATCH($B241,Regions,0),1)</f>
        <v>3003.9493878000007</v>
      </c>
    </row>
    <row r="247" spans="2:5" outlineLevel="1" x14ac:dyDescent="0.3">
      <c r="B247" s="20" t="s">
        <v>20</v>
      </c>
      <c r="C247" s="23">
        <f>INDEX(ScenarioInputs,MATCH($B241,Regions,0),MATCH(C244,Scenarios,0))</f>
        <v>1</v>
      </c>
      <c r="D247" s="23">
        <f>INDEX(ScenarioInputs,MATCH($B241,Regions,0),MATCH(D244,Scenarios,0))</f>
        <v>2</v>
      </c>
      <c r="E247" s="23">
        <f>INDEX(ScenarioInputs,MATCH($B241,Regions,0),MATCH(E244,Scenarios,0))</f>
        <v>3</v>
      </c>
    </row>
    <row r="248" spans="2:5" outlineLevel="1" x14ac:dyDescent="0.3">
      <c r="B248" s="20" t="s">
        <v>37</v>
      </c>
      <c r="C248" s="21">
        <f ca="1">ROUNDDOWN(C247*INDEX(INDIRECT($B240),MATCH($B241,Regions,0),9)/(INDEX(INDIRECT($B240),MATCH($B241,Regions,0),3)+INDEX(INDIRECT($B240),MATCH($B241,Regions,0),2)),0)+IF(MOD(INDEX(INDIRECT($B240),MATCH($B241,Regions,0),9),INDEX(INDIRECT($B240),MATCH($B241,Regions,0),3)+INDEX(INDIRECT($B240),MATCH($B241,Regions,0),2))&lt;Buffer,0,1)</f>
        <v>5</v>
      </c>
      <c r="D248" s="21">
        <f ca="1">ROUNDDOWN(D247*INDEX(INDIRECT($B240),MATCH($B241,Regions,0),9)/(INDEX(INDIRECT($B240),MATCH($B241,Regions,0),3)+INDEX(INDIRECT($B240),MATCH($B241,Regions,0),2)),0)+IF(MOD(INDEX(INDIRECT($B240),MATCH($B241,Regions,0),9),INDEX(INDIRECT($B240),MATCH($B241,Regions,0),3)+INDEX(INDIRECT($B240),MATCH($B241,Regions,0),2))&lt;Buffer,0,1)</f>
        <v>11</v>
      </c>
      <c r="E248" s="21">
        <f ca="1">ROUNDDOWN(E247*INDEX(INDIRECT($B240),MATCH($B241,Regions,0),9)/(INDEX(INDIRECT($B240),MATCH($B241,Regions,0),3)+INDEX(INDIRECT($B240),MATCH($B241,Regions,0),2)),0)+IF(MOD(INDEX(INDIRECT($B240),MATCH($B241,Regions,0),9),INDEX(INDIRECT($B240),MATCH($B241,Regions,0),3)+INDEX(INDIRECT($B240),MATCH($B241,Regions,0),2))&lt;Buffer,0,1)</f>
        <v>17</v>
      </c>
    </row>
    <row r="249" spans="2:5" outlineLevel="1" x14ac:dyDescent="0.3">
      <c r="B249" s="20" t="s">
        <v>43</v>
      </c>
      <c r="C249" s="21">
        <f ca="1">ROUNDDOWN(INDEX(INDIRECT($B240),MATCH($B241,Regions,0),8)*INDEX(INDIRECT($B240),MATCH($B241,Regions,0),10),0)</f>
        <v>101</v>
      </c>
      <c r="D249" s="21">
        <f ca="1">ROUNDDOWN(INDEX(INDIRECT($B240),MATCH($B241,Regions,0),8)*INDEX(INDIRECT($B240),MATCH($B241,Regions,0),10),0)</f>
        <v>101</v>
      </c>
      <c r="E249" s="21">
        <f ca="1">ROUNDDOWN(INDEX(INDIRECT($B240),MATCH($B241,Regions,0),8)*INDEX(INDIRECT($B240),MATCH($B241,Regions,0),10),0)</f>
        <v>101</v>
      </c>
    </row>
    <row r="250" spans="2:5" outlineLevel="1" x14ac:dyDescent="0.3">
      <c r="B250" s="26" t="s">
        <v>11</v>
      </c>
      <c r="C250" s="27">
        <f ca="1">IFERROR(C246/(C249*C248),NA())</f>
        <v>5.9484146293069324</v>
      </c>
      <c r="D250" s="27">
        <f t="shared" ref="D250:E250" ca="1" si="34">IFERROR(D246/(D249*D248),NA())</f>
        <v>2.7038248315031508</v>
      </c>
      <c r="E250" s="27">
        <f t="shared" ca="1" si="34"/>
        <v>1.7495337145020389</v>
      </c>
    </row>
    <row r="251" spans="2:5" outlineLevel="1" x14ac:dyDescent="0.3">
      <c r="B251" s="12" t="s">
        <v>14</v>
      </c>
      <c r="C251" s="28"/>
      <c r="D251" s="29"/>
      <c r="E251" s="30"/>
    </row>
    <row r="252" spans="2:5" outlineLevel="1" x14ac:dyDescent="0.3">
      <c r="B252" s="31" t="s">
        <v>38</v>
      </c>
      <c r="C252" s="32">
        <f ca="1">IFERROR(C246/C250,0)</f>
        <v>505</v>
      </c>
      <c r="D252" s="32">
        <f t="shared" ref="D252:E252" ca="1" si="35">IFERROR(D246/D250,0)</f>
        <v>1111</v>
      </c>
      <c r="E252" s="32">
        <f t="shared" ca="1" si="35"/>
        <v>1717</v>
      </c>
    </row>
    <row r="253" spans="2:5" outlineLevel="1" x14ac:dyDescent="0.3">
      <c r="B253" s="20" t="s">
        <v>30</v>
      </c>
      <c r="C253" s="33">
        <f ca="1">IF(C252=0,0,INDEX(INDIRECT($B240),MATCH($B241,Regions,0),9)*C247*C249)</f>
        <v>808</v>
      </c>
      <c r="D253" s="33">
        <f ca="1">IF(D252=0,0,INDEX(INDIRECT($B240),MATCH($B241,Regions,0),9)*D247*D249)</f>
        <v>1616</v>
      </c>
      <c r="E253" s="33">
        <f ca="1">IF(E252=0,0,INDEX(INDIRECT($B240),MATCH($B241,Regions,0),9)*E247*E249)</f>
        <v>2424</v>
      </c>
    </row>
    <row r="254" spans="2:5" outlineLevel="1" x14ac:dyDescent="0.3">
      <c r="B254" s="20" t="s">
        <v>31</v>
      </c>
      <c r="C254" s="33">
        <f ca="1">IFERROR(C252*INDEX(INDIRECT($B240),MATCH($B241,Regions,0),4)/(7/INDEX(INDIRECT($B240),MATCH($B241,Regions,0),6)),0)</f>
        <v>23.423163497889547</v>
      </c>
      <c r="D254" s="33">
        <f ca="1">IFERROR(D252*INDEX(INDIRECT($B240),MATCH($B241,Regions,0),4)/(7/INDEX(INDIRECT($B240),MATCH($B241,Regions,0),6)),0)</f>
        <v>51.530959695357005</v>
      </c>
      <c r="E254" s="33">
        <f ca="1">IFERROR(E252*INDEX(INDIRECT($B240),MATCH($B241,Regions,0),4)/(7/INDEX(INDIRECT($B240),MATCH($B241,Regions,0),6)),0)</f>
        <v>79.638755892824449</v>
      </c>
    </row>
    <row r="255" spans="2:5" outlineLevel="1" x14ac:dyDescent="0.3">
      <c r="B255" s="20" t="s">
        <v>32</v>
      </c>
      <c r="C255" s="33">
        <f ca="1">IFERROR(C252*INDEX(INDIRECT($B240),MATCH($B241,Regions,0),5)/(7/INDEX(INDIRECT($B240),MATCH($B241,Regions,0),7)),0)</f>
        <v>2.2664004920275271</v>
      </c>
      <c r="D255" s="33">
        <f ca="1">IFERROR(D252*INDEX(INDIRECT($B240),MATCH($B241,Regions,0),5)/(7/INDEX(INDIRECT($B240),MATCH($B241,Regions,0),7)),0)</f>
        <v>4.9860810824605597</v>
      </c>
      <c r="E255" s="33">
        <f ca="1">IFERROR(E252*INDEX(INDIRECT($B240),MATCH($B241,Regions,0),5)/(7/INDEX(INDIRECT($B240),MATCH($B241,Regions,0),7)),0)</f>
        <v>7.7057616728935932</v>
      </c>
    </row>
    <row r="256" spans="2:5" outlineLevel="1" x14ac:dyDescent="0.3">
      <c r="B256" s="20"/>
      <c r="C256" s="44"/>
      <c r="D256" s="44"/>
      <c r="E256" s="44"/>
    </row>
    <row r="257" spans="2:5" outlineLevel="1" x14ac:dyDescent="0.3">
      <c r="B257" s="20"/>
      <c r="C257" s="44"/>
      <c r="D257" s="44"/>
      <c r="E257" s="44"/>
    </row>
    <row r="258" spans="2:5" outlineLevel="1" x14ac:dyDescent="0.3">
      <c r="B258" s="20"/>
      <c r="C258" s="44"/>
      <c r="D258" s="44"/>
      <c r="E258" s="44"/>
    </row>
    <row r="259" spans="2:5" outlineLevel="1" x14ac:dyDescent="0.3"/>
    <row r="261" spans="2:5" x14ac:dyDescent="0.3">
      <c r="C261" s="297" t="s">
        <v>12</v>
      </c>
      <c r="D261" s="297"/>
      <c r="E261" s="297"/>
    </row>
    <row r="262" spans="2:5" ht="28.8" x14ac:dyDescent="0.3">
      <c r="B262" s="13" t="s">
        <v>3</v>
      </c>
      <c r="C262" s="14" t="str">
        <f>'Data Inputs'!$C$29</f>
        <v>Scenario 1:
+1 day a week</v>
      </c>
      <c r="D262" s="14" t="str">
        <f>'Data Inputs'!$D$29</f>
        <v>Scenario 2:
+2 days a week</v>
      </c>
      <c r="E262" s="71" t="str">
        <f>'Data Inputs'!$E$29</f>
        <v>Scenario 3:
+3 days a week</v>
      </c>
    </row>
    <row r="263" spans="2:5" x14ac:dyDescent="0.3">
      <c r="B263" s="12" t="s">
        <v>21</v>
      </c>
      <c r="C263" s="17"/>
      <c r="D263" s="18"/>
      <c r="E263" s="19"/>
    </row>
    <row r="264" spans="2:5" x14ac:dyDescent="0.3">
      <c r="B264" s="20" t="s">
        <v>13</v>
      </c>
      <c r="C264" s="21">
        <f ca="1">SUMIF($B280:$B471,$B264,C280:C471)</f>
        <v>37245.167770715663</v>
      </c>
      <c r="D264" s="21">
        <f t="shared" ref="D264:E264" ca="1" si="36">SUMIF($B280:$B471,$B264,D280:D471)</f>
        <v>37245.167770715663</v>
      </c>
      <c r="E264" s="21">
        <f t="shared" ca="1" si="36"/>
        <v>37245.167770715663</v>
      </c>
    </row>
    <row r="265" spans="2:5" x14ac:dyDescent="0.3">
      <c r="B265" s="26" t="s">
        <v>11</v>
      </c>
      <c r="C265" s="33">
        <f ca="1">SUMIF($B280:$B471,$B265,C280:C471)</f>
        <v>71.705919923692903</v>
      </c>
      <c r="D265" s="33">
        <f t="shared" ref="D265:E265" ca="1" si="37">SUMIF($B280:$B471,$B265,D280:D471)</f>
        <v>35.677440900746504</v>
      </c>
      <c r="E265" s="33">
        <f t="shared" ca="1" si="37"/>
        <v>23.738075600604667</v>
      </c>
    </row>
    <row r="266" spans="2:5" x14ac:dyDescent="0.3">
      <c r="B266" s="12" t="s">
        <v>14</v>
      </c>
      <c r="C266" s="28"/>
      <c r="D266" s="29"/>
      <c r="E266" s="30"/>
    </row>
    <row r="267" spans="2:5" x14ac:dyDescent="0.3">
      <c r="B267" s="31" t="s">
        <v>38</v>
      </c>
      <c r="C267" s="33">
        <f ca="1">C264/C265</f>
        <v>519.41552120593042</v>
      </c>
      <c r="D267" s="33">
        <f t="shared" ref="D267:E267" ca="1" si="38">D264/D265</f>
        <v>1043.9416850084772</v>
      </c>
      <c r="E267" s="33">
        <f t="shared" ca="1" si="38"/>
        <v>1569.0053565153755</v>
      </c>
    </row>
    <row r="268" spans="2:5" x14ac:dyDescent="0.3">
      <c r="B268" s="20" t="s">
        <v>114</v>
      </c>
      <c r="C268" s="33">
        <f ca="1">(C287*C$286+C$304*C305+C$322*C323+C$340*C341+C$358*C359+C$376*C377+C$394*C395+C$412*C413+C$430*C431+C$448*C449+C$466*C467)/SUM(C$286+C$304+C$322+C$340+C$358+C$376+C$394+C$412+C$430+C$448+C$466)</f>
        <v>730.77483833039389</v>
      </c>
      <c r="D268" s="33">
        <f t="shared" ref="D268" ca="1" si="39">(D287*D$286+D$304*D305+D$322*D323+D$340*D341+D$358*D359+D$376*D377+D$394*D395+D$412*D413+D$430*D431+D$448*D449+D$466*D467)/SUM(D$286+D$304+D$322+D$340+D$358+D$376+D$394+D$412+D$430+D$448+D$466)</f>
        <v>1462.3545441368315</v>
      </c>
      <c r="E268" s="33">
        <f ca="1">(E287*E$286+E$304*E305+E$322*E323+E$340*E341+E$358*E359+E$376*E377+E$394*E395+E$412*E413+E$430*E431+E$448*E449+E$466*E467)/SUM(E$286+E$304+E$322+E$340+E$358+E$376+E$394+E$412+E$430+E$448+E$466)</f>
        <v>2191.2421695951107</v>
      </c>
    </row>
    <row r="269" spans="2:5" x14ac:dyDescent="0.3">
      <c r="B269" s="20" t="s">
        <v>115</v>
      </c>
      <c r="C269" s="33">
        <f t="shared" ref="C269:E269" ca="1" si="40">(C288*C$286+C$304*C306+C$322*C324+C$340*C342+C$358*C360+C$376*C378+C$394*C396+C$412*C414+C$430*C432+C$448*C450+C$466*C468)/SUM(C$286+C$304+C$322+C$340+C$358+C$376+C$394+C$412+C$430+C$448+C$466)</f>
        <v>47.114793178691187</v>
      </c>
      <c r="D269" s="33">
        <f t="shared" ca="1" si="40"/>
        <v>96.641548529359341</v>
      </c>
      <c r="E269" s="33">
        <f t="shared" ca="1" si="40"/>
        <v>150.25515557023246</v>
      </c>
    </row>
    <row r="270" spans="2:5" x14ac:dyDescent="0.3">
      <c r="B270" s="20" t="s">
        <v>116</v>
      </c>
      <c r="C270" s="33">
        <f t="shared" ref="C270:E270" ca="1" si="41">(C289*C$286+C$304*C307+C$322*C325+C$340*C343+C$358*C361+C$376*C379+C$394*C397+C$412*C415+C$430*C433+C$448*C451+C$466*C469)/SUM(C$286+C$304+C$322+C$340+C$358+C$376+C$394+C$412+C$430+C$448+C$466)</f>
        <v>1.1586160734553181</v>
      </c>
      <c r="D270" s="33">
        <f t="shared" ca="1" si="41"/>
        <v>2.2969842970278567</v>
      </c>
      <c r="E270" s="33">
        <f t="shared" ca="1" si="41"/>
        <v>3.6862001801054669</v>
      </c>
    </row>
    <row r="273" spans="2:5" hidden="1" outlineLevel="1" x14ac:dyDescent="0.3">
      <c r="B273" s="10" t="s">
        <v>25</v>
      </c>
    </row>
    <row r="274" spans="2:5" hidden="1" outlineLevel="1" x14ac:dyDescent="0.3">
      <c r="B274" s="11" t="s">
        <v>26</v>
      </c>
    </row>
    <row r="275" spans="2:5" hidden="1" outlineLevel="1" x14ac:dyDescent="0.3">
      <c r="B275" s="11" t="s">
        <v>3</v>
      </c>
    </row>
    <row r="276" spans="2:5" hidden="1" outlineLevel="1" x14ac:dyDescent="0.3"/>
    <row r="277" spans="2:5" hidden="1" outlineLevel="1" x14ac:dyDescent="0.3">
      <c r="C277" s="297" t="s">
        <v>12</v>
      </c>
      <c r="D277" s="297"/>
      <c r="E277" s="297"/>
    </row>
    <row r="278" spans="2:5" ht="28.8" hidden="1" outlineLevel="1" x14ac:dyDescent="0.3">
      <c r="B278" s="13" t="str">
        <f>B274&amp;" - "&amp;B275</f>
        <v>Cancer_P2P3 - Central</v>
      </c>
      <c r="C278" s="14" t="str">
        <f>'Data Inputs'!$C$29</f>
        <v>Scenario 1:
+1 day a week</v>
      </c>
      <c r="D278" s="14" t="str">
        <f>'Data Inputs'!$D$29</f>
        <v>Scenario 2:
+2 days a week</v>
      </c>
      <c r="E278" s="71" t="str">
        <f>'Data Inputs'!$E$29</f>
        <v>Scenario 3:
+3 days a week</v>
      </c>
    </row>
    <row r="279" spans="2:5" hidden="1" outlineLevel="1" x14ac:dyDescent="0.3">
      <c r="B279" s="12" t="s">
        <v>21</v>
      </c>
      <c r="C279" s="17"/>
      <c r="D279" s="18"/>
      <c r="E279" s="19"/>
    </row>
    <row r="280" spans="2:5" hidden="1" outlineLevel="1" x14ac:dyDescent="0.3">
      <c r="B280" s="20" t="s">
        <v>13</v>
      </c>
      <c r="C280" s="21">
        <f ca="1">INDEX(INDIRECT($B274),MATCH($B275,Regions,0),1)</f>
        <v>308.25049129735191</v>
      </c>
      <c r="D280" s="21">
        <f ca="1">INDEX(INDIRECT($B274),MATCH($B275,Regions,0),1)</f>
        <v>308.25049129735191</v>
      </c>
      <c r="E280" s="21">
        <f ca="1">INDEX(INDIRECT($B274),MATCH($B275,Regions,0),1)</f>
        <v>308.25049129735191</v>
      </c>
    </row>
    <row r="281" spans="2:5" hidden="1" outlineLevel="1" x14ac:dyDescent="0.3">
      <c r="B281" s="20" t="s">
        <v>20</v>
      </c>
      <c r="C281" s="23">
        <f>INDEX(ScenarioInputs,MATCH($B275,Regions,0),MATCH(C278,Scenarios,0))</f>
        <v>1</v>
      </c>
      <c r="D281" s="23">
        <f>INDEX(ScenarioInputs,MATCH($B275,Regions,0),MATCH(D278,Scenarios,0))</f>
        <v>2</v>
      </c>
      <c r="E281" s="23">
        <f>INDEX(ScenarioInputs,MATCH($B275,Regions,0),MATCH(E278,Scenarios,0))</f>
        <v>3</v>
      </c>
    </row>
    <row r="282" spans="2:5" hidden="1" outlineLevel="1" x14ac:dyDescent="0.3">
      <c r="B282" s="20" t="s">
        <v>37</v>
      </c>
      <c r="C282" s="21">
        <f ca="1">ROUNDDOWN(C281*INDEX(INDIRECT($B274),MATCH($B275,Regions,0),9)/(INDEX(INDIRECT($B274),MATCH($B275,Regions,0),3)+INDEX(INDIRECT($B274),MATCH($B275,Regions,0),2)),0)+IF(MOD(INDEX(INDIRECT($B274),MATCH($B275,Regions,0),9),INDEX(INDIRECT($B274),MATCH($B275,Regions,0),3)+INDEX(INDIRECT($B274),MATCH($B275,Regions,0),2))&lt;Buffer,0,1)</f>
        <v>3</v>
      </c>
      <c r="D282" s="21">
        <f ca="1">ROUNDDOWN(D281*INDEX(INDIRECT($B274),MATCH($B275,Regions,0),9)/(INDEX(INDIRECT($B274),MATCH($B275,Regions,0),3)+INDEX(INDIRECT($B274),MATCH($B275,Regions,0),2)),0)+IF(MOD(INDEX(INDIRECT($B274),MATCH($B275,Regions,0),9),INDEX(INDIRECT($B274),MATCH($B275,Regions,0),3)+INDEX(INDIRECT($B274),MATCH($B275,Regions,0),2))&lt;Buffer,0,1)</f>
        <v>6</v>
      </c>
      <c r="E282" s="21">
        <f ca="1">ROUNDDOWN(E281*INDEX(INDIRECT($B274),MATCH($B275,Regions,0),9)/(INDEX(INDIRECT($B274),MATCH($B275,Regions,0),3)+INDEX(INDIRECT($B274),MATCH($B275,Regions,0),2)),0)+IF(MOD(INDEX(INDIRECT($B274),MATCH($B275,Regions,0),9),INDEX(INDIRECT($B274),MATCH($B275,Regions,0),3)+INDEX(INDIRECT($B274),MATCH($B275,Regions,0),2))&lt;Buffer,0,1)</f>
        <v>10</v>
      </c>
    </row>
    <row r="283" spans="2:5" hidden="1" outlineLevel="1" x14ac:dyDescent="0.3">
      <c r="B283" s="20" t="s">
        <v>43</v>
      </c>
      <c r="C283" s="21">
        <f ca="1">ROUNDDOWN(INDEX(INDIRECT($B274),MATCH($B275,Regions,0),8)*INDEX(INDIRECT($B274),MATCH($B275,Regions,0),10),0)</f>
        <v>95</v>
      </c>
      <c r="D283" s="21">
        <f ca="1">ROUNDDOWN(INDEX(INDIRECT($B274),MATCH($B275,Regions,0),8)*INDEX(INDIRECT($B274),MATCH($B275,Regions,0),10),0)</f>
        <v>95</v>
      </c>
      <c r="E283" s="21">
        <f ca="1">ROUNDDOWN(INDEX(INDIRECT($B274),MATCH($B275,Regions,0),8)*INDEX(INDIRECT($B274),MATCH($B275,Regions,0),10),0)</f>
        <v>95</v>
      </c>
    </row>
    <row r="284" spans="2:5" hidden="1" outlineLevel="1" x14ac:dyDescent="0.3">
      <c r="B284" s="26" t="s">
        <v>11</v>
      </c>
      <c r="C284" s="27">
        <f ca="1">IFERROR(C280/(C283*C282),NA())</f>
        <v>1.0815806712187785</v>
      </c>
      <c r="D284" s="27">
        <f t="shared" ref="D284" ca="1" si="42">IFERROR(D280/(D283*D282),NA())</f>
        <v>0.54079033560938927</v>
      </c>
      <c r="E284" s="27">
        <f t="shared" ref="E284" ca="1" si="43">IFERROR(E280/(E283*E282),NA())</f>
        <v>0.3244742013656336</v>
      </c>
    </row>
    <row r="285" spans="2:5" hidden="1" outlineLevel="1" x14ac:dyDescent="0.3">
      <c r="B285" s="12" t="s">
        <v>14</v>
      </c>
      <c r="C285" s="28"/>
      <c r="D285" s="29"/>
      <c r="E285" s="30"/>
    </row>
    <row r="286" spans="2:5" hidden="1" outlineLevel="1" x14ac:dyDescent="0.3">
      <c r="B286" s="31" t="s">
        <v>38</v>
      </c>
      <c r="C286" s="32">
        <f ca="1">IFERROR(C280/C284,0)</f>
        <v>285</v>
      </c>
      <c r="D286" s="32">
        <f t="shared" ref="D286:E286" ca="1" si="44">IFERROR(D280/D284,0)</f>
        <v>570</v>
      </c>
      <c r="E286" s="32">
        <f t="shared" ca="1" si="44"/>
        <v>950</v>
      </c>
    </row>
    <row r="287" spans="2:5" hidden="1" outlineLevel="1" x14ac:dyDescent="0.3">
      <c r="B287" s="20" t="s">
        <v>30</v>
      </c>
      <c r="C287" s="33">
        <f ca="1">IF(C286=0,0,INDEX(INDIRECT($B274),MATCH($B275,Regions,0),9)*C281*C283)</f>
        <v>760</v>
      </c>
      <c r="D287" s="33">
        <f ca="1">IF(D286=0,0,INDEX(INDIRECT($B274),MATCH($B275,Regions,0),9)*D281*D283)</f>
        <v>1520</v>
      </c>
      <c r="E287" s="33">
        <f ca="1">IF(E286=0,0,INDEX(INDIRECT($B274),MATCH($B275,Regions,0),9)*E281*E283)</f>
        <v>2280</v>
      </c>
    </row>
    <row r="288" spans="2:5" hidden="1" outlineLevel="1" x14ac:dyDescent="0.3">
      <c r="B288" s="20" t="s">
        <v>31</v>
      </c>
      <c r="C288" s="33">
        <f ca="1">IFERROR(C286*INDEX(INDIRECT($B274),MATCH($B275,Regions,0),4)/(7/INDEX(INDIRECT($B274),MATCH($B275,Regions,0),6)),0)</f>
        <v>72.246973132887987</v>
      </c>
      <c r="D288" s="33">
        <f ca="1">IFERROR(D286*INDEX(INDIRECT($B274),MATCH($B275,Regions,0),4)/(7/INDEX(INDIRECT($B274),MATCH($B275,Regions,0),6)),0)</f>
        <v>144.49394626577597</v>
      </c>
      <c r="E288" s="33">
        <f ca="1">IFERROR(E286*INDEX(INDIRECT($B274),MATCH($B275,Regions,0),4)/(7/INDEX(INDIRECT($B274),MATCH($B275,Regions,0),6)),0)</f>
        <v>240.82324377629328</v>
      </c>
    </row>
    <row r="289" spans="2:5" hidden="1" outlineLevel="1" x14ac:dyDescent="0.3">
      <c r="B289" s="20" t="s">
        <v>32</v>
      </c>
      <c r="C289" s="33">
        <f ca="1">IFERROR(C286*INDEX(INDIRECT($B274),MATCH($B275,Regions,0),5)/(7/INDEX(INDIRECT($B274),MATCH($B275,Regions,0),7)),0)</f>
        <v>0.92988372959165888</v>
      </c>
      <c r="D289" s="33">
        <f ca="1">IFERROR(D286*INDEX(INDIRECT($B274),MATCH($B275,Regions,0),5)/(7/INDEX(INDIRECT($B274),MATCH($B275,Regions,0),7)),0)</f>
        <v>1.8597674591833178</v>
      </c>
      <c r="E289" s="33">
        <f ca="1">IFERROR(E286*INDEX(INDIRECT($B274),MATCH($B275,Regions,0),5)/(7/INDEX(INDIRECT($B274),MATCH($B275,Regions,0),7)),0)</f>
        <v>3.0996124319721963</v>
      </c>
    </row>
    <row r="290" spans="2:5" hidden="1" outlineLevel="1" x14ac:dyDescent="0.3"/>
    <row r="291" spans="2:5" hidden="1" outlineLevel="1" x14ac:dyDescent="0.3">
      <c r="B291" s="10" t="s">
        <v>25</v>
      </c>
    </row>
    <row r="292" spans="2:5" hidden="1" outlineLevel="1" x14ac:dyDescent="0.3">
      <c r="B292" s="11" t="s">
        <v>27</v>
      </c>
    </row>
    <row r="293" spans="2:5" hidden="1" outlineLevel="1" x14ac:dyDescent="0.3">
      <c r="B293" s="11" t="s">
        <v>3</v>
      </c>
    </row>
    <row r="294" spans="2:5" hidden="1" outlineLevel="1" x14ac:dyDescent="0.3"/>
    <row r="295" spans="2:5" hidden="1" outlineLevel="1" x14ac:dyDescent="0.3">
      <c r="C295" s="297" t="s">
        <v>12</v>
      </c>
      <c r="D295" s="297"/>
      <c r="E295" s="297"/>
    </row>
    <row r="296" spans="2:5" ht="28.8" hidden="1" outlineLevel="1" x14ac:dyDescent="0.3">
      <c r="B296" s="13" t="str">
        <f>B292&amp;" - "&amp;B293</f>
        <v>Cancer_P4 - Central</v>
      </c>
      <c r="C296" s="14" t="str">
        <f>'Data Inputs'!$C$29</f>
        <v>Scenario 1:
+1 day a week</v>
      </c>
      <c r="D296" s="14" t="str">
        <f>'Data Inputs'!$D$29</f>
        <v>Scenario 2:
+2 days a week</v>
      </c>
      <c r="E296" s="71" t="str">
        <f>'Data Inputs'!$E$29</f>
        <v>Scenario 3:
+3 days a week</v>
      </c>
    </row>
    <row r="297" spans="2:5" hidden="1" outlineLevel="1" x14ac:dyDescent="0.3">
      <c r="B297" s="12" t="s">
        <v>21</v>
      </c>
      <c r="C297" s="17"/>
      <c r="D297" s="18"/>
      <c r="E297" s="19"/>
    </row>
    <row r="298" spans="2:5" hidden="1" outlineLevel="1" x14ac:dyDescent="0.3">
      <c r="B298" s="20" t="s">
        <v>13</v>
      </c>
      <c r="C298" s="21">
        <f ca="1">INDEX(INDIRECT($B292),MATCH($B293,Regions,0),1)</f>
        <v>700.32105378878441</v>
      </c>
      <c r="D298" s="21">
        <f ca="1">INDEX(INDIRECT($B292),MATCH($B293,Regions,0),1)</f>
        <v>700.32105378878441</v>
      </c>
      <c r="E298" s="21">
        <f ca="1">INDEX(INDIRECT($B292),MATCH($B293,Regions,0),1)</f>
        <v>700.32105378878441</v>
      </c>
    </row>
    <row r="299" spans="2:5" hidden="1" outlineLevel="1" x14ac:dyDescent="0.3">
      <c r="B299" s="20" t="s">
        <v>20</v>
      </c>
      <c r="C299" s="23">
        <f>INDEX(ScenarioInputs,MATCH($B293,Regions,0),MATCH(C296,Scenarios,0))</f>
        <v>1</v>
      </c>
      <c r="D299" s="23">
        <f>INDEX(ScenarioInputs,MATCH($B293,Regions,0),MATCH(D296,Scenarios,0))</f>
        <v>2</v>
      </c>
      <c r="E299" s="23">
        <f>INDEX(ScenarioInputs,MATCH($B293,Regions,0),MATCH(E296,Scenarios,0))</f>
        <v>3</v>
      </c>
    </row>
    <row r="300" spans="2:5" hidden="1" outlineLevel="1" x14ac:dyDescent="0.3">
      <c r="B300" s="20" t="s">
        <v>37</v>
      </c>
      <c r="C300" s="21">
        <f ca="1">ROUNDDOWN(C299*INDEX(INDIRECT($B292),MATCH($B293,Regions,0),9)/(INDEX(INDIRECT($B292),MATCH($B293,Regions,0),3)+INDEX(INDIRECT($B292),MATCH($B293,Regions,0),2)),0)+IF(MOD(INDEX(INDIRECT($B292),MATCH($B293,Regions,0),9),INDEX(INDIRECT($B292),MATCH($B293,Regions,0),3)+INDEX(INDIRECT($B292),MATCH($B293,Regions,0),2))&lt;Buffer,0,1)</f>
        <v>3</v>
      </c>
      <c r="D300" s="21">
        <f ca="1">ROUNDDOWN(D299*INDEX(INDIRECT($B292),MATCH($B293,Regions,0),9)/(INDEX(INDIRECT($B292),MATCH($B293,Regions,0),3)+INDEX(INDIRECT($B292),MATCH($B293,Regions,0),2)),0)+IF(MOD(INDEX(INDIRECT($B292),MATCH($B293,Regions,0),9),INDEX(INDIRECT($B292),MATCH($B293,Regions,0),3)+INDEX(INDIRECT($B292),MATCH($B293,Regions,0),2))&lt;Buffer,0,1)</f>
        <v>7</v>
      </c>
      <c r="E300" s="21">
        <f ca="1">ROUNDDOWN(E299*INDEX(INDIRECT($B292),MATCH($B293,Regions,0),9)/(INDEX(INDIRECT($B292),MATCH($B293,Regions,0),3)+INDEX(INDIRECT($B292),MATCH($B293,Regions,0),2)),0)+IF(MOD(INDEX(INDIRECT($B292),MATCH($B293,Regions,0),9),INDEX(INDIRECT($B292),MATCH($B293,Regions,0),3)+INDEX(INDIRECT($B292),MATCH($B293,Regions,0),2))&lt;Buffer,0,1)</f>
        <v>10</v>
      </c>
    </row>
    <row r="301" spans="2:5" hidden="1" outlineLevel="1" x14ac:dyDescent="0.3">
      <c r="B301" s="20" t="s">
        <v>43</v>
      </c>
      <c r="C301" s="21">
        <f ca="1">ROUNDDOWN(INDEX(INDIRECT($B292),MATCH($B293,Regions,0),8)*INDEX(INDIRECT($B292),MATCH($B293,Regions,0),10),0)</f>
        <v>95</v>
      </c>
      <c r="D301" s="21">
        <f ca="1">ROUNDDOWN(INDEX(INDIRECT($B292),MATCH($B293,Regions,0),8)*INDEX(INDIRECT($B292),MATCH($B293,Regions,0),10),0)</f>
        <v>95</v>
      </c>
      <c r="E301" s="21">
        <f ca="1">ROUNDDOWN(INDEX(INDIRECT($B292),MATCH($B293,Regions,0),8)*INDEX(INDIRECT($B292),MATCH($B293,Regions,0),10),0)</f>
        <v>95</v>
      </c>
    </row>
    <row r="302" spans="2:5" hidden="1" outlineLevel="1" x14ac:dyDescent="0.3">
      <c r="B302" s="26" t="s">
        <v>11</v>
      </c>
      <c r="C302" s="27">
        <f ca="1">IFERROR(C298/(C301*C300),NA())</f>
        <v>2.4572668553992436</v>
      </c>
      <c r="D302" s="27">
        <f t="shared" ref="D302" ca="1" si="45">IFERROR(D298/(D301*D300),NA())</f>
        <v>1.0531143665996758</v>
      </c>
      <c r="E302" s="27">
        <f t="shared" ref="E302" ca="1" si="46">IFERROR(E298/(E301*E300),NA())</f>
        <v>0.73718005661977304</v>
      </c>
    </row>
    <row r="303" spans="2:5" hidden="1" outlineLevel="1" x14ac:dyDescent="0.3">
      <c r="B303" s="12" t="s">
        <v>14</v>
      </c>
      <c r="C303" s="28"/>
      <c r="D303" s="29"/>
      <c r="E303" s="30"/>
    </row>
    <row r="304" spans="2:5" hidden="1" outlineLevel="1" x14ac:dyDescent="0.3">
      <c r="B304" s="31" t="s">
        <v>38</v>
      </c>
      <c r="C304" s="32">
        <f ca="1">IFERROR(C298/C302,0)</f>
        <v>285</v>
      </c>
      <c r="D304" s="32">
        <f t="shared" ref="D304:E304" ca="1" si="47">IFERROR(D298/D302,0)</f>
        <v>665</v>
      </c>
      <c r="E304" s="32">
        <f t="shared" ca="1" si="47"/>
        <v>950</v>
      </c>
    </row>
    <row r="305" spans="2:5" hidden="1" outlineLevel="1" x14ac:dyDescent="0.3">
      <c r="B305" s="20" t="s">
        <v>30</v>
      </c>
      <c r="C305" s="33">
        <f ca="1">IF(C304=0,0,INDEX(INDIRECT($B292),MATCH($B293,Regions,0),9)*C299*C301)</f>
        <v>760</v>
      </c>
      <c r="D305" s="33">
        <f ca="1">IF(D304=0,0,INDEX(INDIRECT($B292),MATCH($B293,Regions,0),9)*D299*D301)</f>
        <v>1520</v>
      </c>
      <c r="E305" s="33">
        <f ca="1">IF(E304=0,0,INDEX(INDIRECT($B292),MATCH($B293,Regions,0),9)*E299*E301)</f>
        <v>2280</v>
      </c>
    </row>
    <row r="306" spans="2:5" hidden="1" outlineLevel="1" x14ac:dyDescent="0.3">
      <c r="B306" s="20" t="s">
        <v>31</v>
      </c>
      <c r="C306" s="33">
        <f ca="1">IFERROR(C304*INDEX(INDIRECT($B292),MATCH($B293,Regions,0),4)/(7/INDEX(INDIRECT($B292),MATCH($B293,Regions,0),6)),0)</f>
        <v>62.166650352438189</v>
      </c>
      <c r="D306" s="33">
        <f ca="1">IFERROR(D304*INDEX(INDIRECT($B292),MATCH($B293,Regions,0),4)/(7/INDEX(INDIRECT($B292),MATCH($B293,Regions,0),6)),0)</f>
        <v>145.05551748902244</v>
      </c>
      <c r="E306" s="33">
        <f ca="1">IFERROR(E304*INDEX(INDIRECT($B292),MATCH($B293,Regions,0),4)/(7/INDEX(INDIRECT($B292),MATCH($B293,Regions,0),6)),0)</f>
        <v>207.22216784146062</v>
      </c>
    </row>
    <row r="307" spans="2:5" hidden="1" outlineLevel="1" x14ac:dyDescent="0.3">
      <c r="B307" s="20" t="s">
        <v>32</v>
      </c>
      <c r="C307" s="33">
        <f ca="1">IFERROR(C304*INDEX(INDIRECT($B292),MATCH($B293,Regions,0),5)/(7/INDEX(INDIRECT($B292),MATCH($B293,Regions,0),7)),0)</f>
        <v>0.195418148053152</v>
      </c>
      <c r="D307" s="33">
        <f ca="1">IFERROR(D304*INDEX(INDIRECT($B292),MATCH($B293,Regions,0),5)/(7/INDEX(INDIRECT($B292),MATCH($B293,Regions,0),7)),0)</f>
        <v>0.45597567879068801</v>
      </c>
      <c r="E307" s="33">
        <f ca="1">IFERROR(E304*INDEX(INDIRECT($B292),MATCH($B293,Regions,0),5)/(7/INDEX(INDIRECT($B292),MATCH($B293,Regions,0),7)),0)</f>
        <v>0.65139382684383995</v>
      </c>
    </row>
    <row r="308" spans="2:5" hidden="1" outlineLevel="1" x14ac:dyDescent="0.3"/>
    <row r="309" spans="2:5" hidden="1" outlineLevel="1" x14ac:dyDescent="0.3">
      <c r="B309" s="10" t="s">
        <v>25</v>
      </c>
    </row>
    <row r="310" spans="2:5" hidden="1" outlineLevel="1" x14ac:dyDescent="0.3">
      <c r="B310" s="11" t="s">
        <v>33</v>
      </c>
    </row>
    <row r="311" spans="2:5" hidden="1" outlineLevel="1" x14ac:dyDescent="0.3">
      <c r="B311" s="11" t="s">
        <v>3</v>
      </c>
    </row>
    <row r="312" spans="2:5" hidden="1" outlineLevel="1" x14ac:dyDescent="0.3"/>
    <row r="313" spans="2:5" hidden="1" outlineLevel="1" x14ac:dyDescent="0.3">
      <c r="C313" s="297" t="s">
        <v>12</v>
      </c>
      <c r="D313" s="297"/>
      <c r="E313" s="297"/>
    </row>
    <row r="314" spans="2:5" ht="28.8" hidden="1" outlineLevel="1" x14ac:dyDescent="0.3">
      <c r="B314" s="13" t="str">
        <f>B310&amp;" - "&amp;B311</f>
        <v>Vascular_P2P3 - Central</v>
      </c>
      <c r="C314" s="14" t="str">
        <f>'Data Inputs'!$C$29</f>
        <v>Scenario 1:
+1 day a week</v>
      </c>
      <c r="D314" s="14" t="str">
        <f>'Data Inputs'!$D$29</f>
        <v>Scenario 2:
+2 days a week</v>
      </c>
      <c r="E314" s="71" t="str">
        <f>'Data Inputs'!$E$29</f>
        <v>Scenario 3:
+3 days a week</v>
      </c>
    </row>
    <row r="315" spans="2:5" hidden="1" outlineLevel="1" x14ac:dyDescent="0.3">
      <c r="B315" s="12" t="s">
        <v>21</v>
      </c>
      <c r="C315" s="17"/>
      <c r="D315" s="18"/>
      <c r="E315" s="19"/>
    </row>
    <row r="316" spans="2:5" hidden="1" outlineLevel="1" x14ac:dyDescent="0.3">
      <c r="B316" s="20" t="s">
        <v>13</v>
      </c>
      <c r="C316" s="21">
        <f ca="1">INDEX(INDIRECT($B310),MATCH($B311,Regions,0),1)</f>
        <v>295.66658498771449</v>
      </c>
      <c r="D316" s="21">
        <f ca="1">INDEX(INDIRECT($B310),MATCH($B311,Regions,0),1)</f>
        <v>295.66658498771449</v>
      </c>
      <c r="E316" s="21">
        <f ca="1">INDEX(INDIRECT($B310),MATCH($B311,Regions,0),1)</f>
        <v>295.66658498771449</v>
      </c>
    </row>
    <row r="317" spans="2:5" hidden="1" outlineLevel="1" x14ac:dyDescent="0.3">
      <c r="B317" s="20" t="s">
        <v>20</v>
      </c>
      <c r="C317" s="23">
        <f>INDEX(ScenarioInputs,MATCH($B311,Regions,0),MATCH(C314,Scenarios,0))</f>
        <v>1</v>
      </c>
      <c r="D317" s="23">
        <f>INDEX(ScenarioInputs,MATCH($B311,Regions,0),MATCH(D314,Scenarios,0))</f>
        <v>2</v>
      </c>
      <c r="E317" s="23">
        <f>INDEX(ScenarioInputs,MATCH($B311,Regions,0),MATCH(E314,Scenarios,0))</f>
        <v>3</v>
      </c>
    </row>
    <row r="318" spans="2:5" hidden="1" outlineLevel="1" x14ac:dyDescent="0.3">
      <c r="B318" s="20" t="s">
        <v>37</v>
      </c>
      <c r="C318" s="21">
        <f ca="1">ROUNDDOWN(C317*INDEX(INDIRECT($B310),MATCH($B311,Regions,0),9)/(INDEX(INDIRECT($B310),MATCH($B311,Regions,0),3)+INDEX(INDIRECT($B310),MATCH($B311,Regions,0),2)),0)+IF(MOD(INDEX(INDIRECT($B310),MATCH($B311,Regions,0),9),INDEX(INDIRECT($B310),MATCH($B311,Regions,0),3)+INDEX(INDIRECT($B310),MATCH($B311,Regions,0),2))&lt;Buffer,0,1)</f>
        <v>3</v>
      </c>
      <c r="D318" s="21">
        <f ca="1">ROUNDDOWN(D317*INDEX(INDIRECT($B310),MATCH($B311,Regions,0),9)/(INDEX(INDIRECT($B310),MATCH($B311,Regions,0),3)+INDEX(INDIRECT($B310),MATCH($B311,Regions,0),2)),0)+IF(MOD(INDEX(INDIRECT($B310),MATCH($B311,Regions,0),9),INDEX(INDIRECT($B310),MATCH($B311,Regions,0),3)+INDEX(INDIRECT($B310),MATCH($B311,Regions,0),2))&lt;Buffer,0,1)</f>
        <v>6</v>
      </c>
      <c r="E318" s="21">
        <f ca="1">ROUNDDOWN(E317*INDEX(INDIRECT($B310),MATCH($B311,Regions,0),9)/(INDEX(INDIRECT($B310),MATCH($B311,Regions,0),3)+INDEX(INDIRECT($B310),MATCH($B311,Regions,0),2)),0)+IF(MOD(INDEX(INDIRECT($B310),MATCH($B311,Regions,0),9),INDEX(INDIRECT($B310),MATCH($B311,Regions,0),3)+INDEX(INDIRECT($B310),MATCH($B311,Regions,0),2))&lt;Buffer,0,1)</f>
        <v>9</v>
      </c>
    </row>
    <row r="319" spans="2:5" hidden="1" outlineLevel="1" x14ac:dyDescent="0.3">
      <c r="B319" s="20" t="s">
        <v>43</v>
      </c>
      <c r="C319" s="21">
        <f ca="1">ROUNDDOWN(INDEX(INDIRECT($B310),MATCH($B311,Regions,0),8)*INDEX(INDIRECT($B310),MATCH($B311,Regions,0),10),0)</f>
        <v>76</v>
      </c>
      <c r="D319" s="21">
        <f ca="1">ROUNDDOWN(INDEX(INDIRECT($B310),MATCH($B311,Regions,0),8)*INDEX(INDIRECT($B310),MATCH($B311,Regions,0),10),0)</f>
        <v>76</v>
      </c>
      <c r="E319" s="21">
        <f ca="1">ROUNDDOWN(INDEX(INDIRECT($B310),MATCH($B311,Regions,0),8)*INDEX(INDIRECT($B310),MATCH($B311,Regions,0),10),0)</f>
        <v>76</v>
      </c>
    </row>
    <row r="320" spans="2:5" hidden="1" outlineLevel="1" x14ac:dyDescent="0.3">
      <c r="B320" s="26" t="s">
        <v>11</v>
      </c>
      <c r="C320" s="27">
        <f ca="1">IFERROR(C316/(C319*C318),NA())</f>
        <v>1.2967832674899757</v>
      </c>
      <c r="D320" s="27">
        <f t="shared" ref="D320" ca="1" si="48">IFERROR(D316/(D319*D318),NA())</f>
        <v>0.64839163374498787</v>
      </c>
      <c r="E320" s="27">
        <f t="shared" ref="E320" ca="1" si="49">IFERROR(E316/(E319*E318),NA())</f>
        <v>0.43226108916332528</v>
      </c>
    </row>
    <row r="321" spans="2:5" hidden="1" outlineLevel="1" x14ac:dyDescent="0.3">
      <c r="B321" s="12" t="s">
        <v>14</v>
      </c>
      <c r="C321" s="28"/>
      <c r="D321" s="29"/>
      <c r="E321" s="30"/>
    </row>
    <row r="322" spans="2:5" hidden="1" outlineLevel="1" x14ac:dyDescent="0.3">
      <c r="B322" s="31" t="s">
        <v>38</v>
      </c>
      <c r="C322" s="32">
        <f ca="1">IFERROR(C316/C320,0)</f>
        <v>228</v>
      </c>
      <c r="D322" s="32">
        <f t="shared" ref="D322:E322" ca="1" si="50">IFERROR(D316/D320,0)</f>
        <v>456</v>
      </c>
      <c r="E322" s="32">
        <f t="shared" ca="1" si="50"/>
        <v>684</v>
      </c>
    </row>
    <row r="323" spans="2:5" hidden="1" outlineLevel="1" x14ac:dyDescent="0.3">
      <c r="B323" s="20" t="s">
        <v>30</v>
      </c>
      <c r="C323" s="33">
        <f ca="1">IF(C322=0,0,INDEX(INDIRECT($B310),MATCH($B311,Regions,0),9)*C317*C319)</f>
        <v>608</v>
      </c>
      <c r="D323" s="33">
        <f ca="1">IF(D322=0,0,INDEX(INDIRECT($B310),MATCH($B311,Regions,0),9)*D317*D319)</f>
        <v>1216</v>
      </c>
      <c r="E323" s="33">
        <f ca="1">IF(E322=0,0,INDEX(INDIRECT($B310),MATCH($B311,Regions,0),9)*E317*E319)</f>
        <v>1824</v>
      </c>
    </row>
    <row r="324" spans="2:5" hidden="1" outlineLevel="1" x14ac:dyDescent="0.3">
      <c r="B324" s="20" t="s">
        <v>31</v>
      </c>
      <c r="C324" s="33">
        <f ca="1">IFERROR(C322*INDEX(INDIRECT($B310),MATCH($B311,Regions,0),4)/(7/INDEX(INDIRECT($B310),MATCH($B311,Regions,0),6)),0)</f>
        <v>133.39118086657305</v>
      </c>
      <c r="D324" s="33">
        <f ca="1">IFERROR(D322*INDEX(INDIRECT($B310),MATCH($B311,Regions,0),4)/(7/INDEX(INDIRECT($B310),MATCH($B311,Regions,0),6)),0)</f>
        <v>266.7823617331461</v>
      </c>
      <c r="E324" s="33">
        <f ca="1">IFERROR(E322*INDEX(INDIRECT($B310),MATCH($B311,Regions,0),4)/(7/INDEX(INDIRECT($B310),MATCH($B311,Regions,0),6)),0)</f>
        <v>400.1735425997191</v>
      </c>
    </row>
    <row r="325" spans="2:5" hidden="1" outlineLevel="1" x14ac:dyDescent="0.3">
      <c r="B325" s="20" t="s">
        <v>32</v>
      </c>
      <c r="C325" s="33">
        <f ca="1">IFERROR(C322*INDEX(INDIRECT($B310),MATCH($B311,Regions,0),5)/(7/INDEX(INDIRECT($B310),MATCH($B311,Regions,0),7)),0)</f>
        <v>5.0536237978103085</v>
      </c>
      <c r="D325" s="33">
        <f ca="1">IFERROR(D322*INDEX(INDIRECT($B310),MATCH($B311,Regions,0),5)/(7/INDEX(INDIRECT($B310),MATCH($B311,Regions,0),7)),0)</f>
        <v>10.107247595620617</v>
      </c>
      <c r="E325" s="33">
        <f ca="1">IFERROR(E322*INDEX(INDIRECT($B310),MATCH($B311,Regions,0),5)/(7/INDEX(INDIRECT($B310),MATCH($B311,Regions,0),7)),0)</f>
        <v>15.160871393430925</v>
      </c>
    </row>
    <row r="326" spans="2:5" hidden="1" outlineLevel="1" x14ac:dyDescent="0.3"/>
    <row r="327" spans="2:5" hidden="1" outlineLevel="1" x14ac:dyDescent="0.3">
      <c r="B327" s="10" t="s">
        <v>25</v>
      </c>
    </row>
    <row r="328" spans="2:5" hidden="1" outlineLevel="1" x14ac:dyDescent="0.3">
      <c r="B328" s="11" t="s">
        <v>34</v>
      </c>
    </row>
    <row r="329" spans="2:5" hidden="1" outlineLevel="1" x14ac:dyDescent="0.3">
      <c r="B329" s="11" t="s">
        <v>3</v>
      </c>
    </row>
    <row r="330" spans="2:5" hidden="1" outlineLevel="1" x14ac:dyDescent="0.3"/>
    <row r="331" spans="2:5" hidden="1" outlineLevel="1" x14ac:dyDescent="0.3">
      <c r="C331" s="297" t="s">
        <v>12</v>
      </c>
      <c r="D331" s="297"/>
      <c r="E331" s="297"/>
    </row>
    <row r="332" spans="2:5" ht="28.8" hidden="1" outlineLevel="1" x14ac:dyDescent="0.3">
      <c r="B332" s="13" t="str">
        <f>B328&amp;" - "&amp;B329</f>
        <v>Vascular_P4 - Central</v>
      </c>
      <c r="C332" s="14" t="str">
        <f>'Data Inputs'!$C$29</f>
        <v>Scenario 1:
+1 day a week</v>
      </c>
      <c r="D332" s="14" t="str">
        <f>'Data Inputs'!$D$29</f>
        <v>Scenario 2:
+2 days a week</v>
      </c>
      <c r="E332" s="71" t="str">
        <f>'Data Inputs'!$E$29</f>
        <v>Scenario 3:
+3 days a week</v>
      </c>
    </row>
    <row r="333" spans="2:5" hidden="1" outlineLevel="1" x14ac:dyDescent="0.3">
      <c r="B333" s="12" t="s">
        <v>21</v>
      </c>
      <c r="C333" s="17"/>
      <c r="D333" s="18"/>
      <c r="E333" s="19"/>
    </row>
    <row r="334" spans="2:5" hidden="1" outlineLevel="1" x14ac:dyDescent="0.3">
      <c r="B334" s="20" t="s">
        <v>13</v>
      </c>
      <c r="C334" s="21">
        <f ca="1">INDEX(INDIRECT($B328),MATCH($B329,Regions,0),1)</f>
        <v>314.20308181500002</v>
      </c>
      <c r="D334" s="21">
        <f ca="1">INDEX(INDIRECT($B328),MATCH($B329,Regions,0),1)</f>
        <v>314.20308181500002</v>
      </c>
      <c r="E334" s="21">
        <f ca="1">INDEX(INDIRECT($B328),MATCH($B329,Regions,0),1)</f>
        <v>314.20308181500002</v>
      </c>
    </row>
    <row r="335" spans="2:5" hidden="1" outlineLevel="1" x14ac:dyDescent="0.3">
      <c r="B335" s="20" t="s">
        <v>20</v>
      </c>
      <c r="C335" s="23">
        <f>INDEX(ScenarioInputs,MATCH($B329,Regions,0),MATCH(C332,Scenarios,0))</f>
        <v>1</v>
      </c>
      <c r="D335" s="23">
        <f>INDEX(ScenarioInputs,MATCH($B329,Regions,0),MATCH(D332,Scenarios,0))</f>
        <v>2</v>
      </c>
      <c r="E335" s="23">
        <f>INDEX(ScenarioInputs,MATCH($B329,Regions,0),MATCH(E332,Scenarios,0))</f>
        <v>3</v>
      </c>
    </row>
    <row r="336" spans="2:5" hidden="1" outlineLevel="1" x14ac:dyDescent="0.3">
      <c r="B336" s="20" t="s">
        <v>37</v>
      </c>
      <c r="C336" s="21">
        <f ca="1">ROUNDDOWN(C335*INDEX(INDIRECT($B328),MATCH($B329,Regions,0),9)/(INDEX(INDIRECT($B328),MATCH($B329,Regions,0),3)+INDEX(INDIRECT($B328),MATCH($B329,Regions,0),2)),0)+IF(MOD(INDEX(INDIRECT($B328),MATCH($B329,Regions,0),9),INDEX(INDIRECT($B328),MATCH($B329,Regions,0),3)+INDEX(INDIRECT($B328),MATCH($B329,Regions,0),2))&lt;Buffer,0,1)</f>
        <v>3</v>
      </c>
      <c r="D336" s="21">
        <f ca="1">ROUNDDOWN(D335*INDEX(INDIRECT($B328),MATCH($B329,Regions,0),9)/(INDEX(INDIRECT($B328),MATCH($B329,Regions,0),3)+INDEX(INDIRECT($B328),MATCH($B329,Regions,0),2)),0)+IF(MOD(INDEX(INDIRECT($B328),MATCH($B329,Regions,0),9),INDEX(INDIRECT($B328),MATCH($B329,Regions,0),3)+INDEX(INDIRECT($B328),MATCH($B329,Regions,0),2))&lt;Buffer,0,1)</f>
        <v>6</v>
      </c>
      <c r="E336" s="21">
        <f ca="1">ROUNDDOWN(E335*INDEX(INDIRECT($B328),MATCH($B329,Regions,0),9)/(INDEX(INDIRECT($B328),MATCH($B329,Regions,0),3)+INDEX(INDIRECT($B328),MATCH($B329,Regions,0),2)),0)+IF(MOD(INDEX(INDIRECT($B328),MATCH($B329,Regions,0),9),INDEX(INDIRECT($B328),MATCH($B329,Regions,0),3)+INDEX(INDIRECT($B328),MATCH($B329,Regions,0),2))&lt;Buffer,0,1)</f>
        <v>10</v>
      </c>
    </row>
    <row r="337" spans="2:5" hidden="1" outlineLevel="1" x14ac:dyDescent="0.3">
      <c r="B337" s="20" t="s">
        <v>43</v>
      </c>
      <c r="C337" s="21">
        <f ca="1">ROUNDDOWN(INDEX(INDIRECT($B328),MATCH($B329,Regions,0),8)*INDEX(INDIRECT($B328),MATCH($B329,Regions,0),10),0)</f>
        <v>76</v>
      </c>
      <c r="D337" s="21">
        <f ca="1">ROUNDDOWN(INDEX(INDIRECT($B328),MATCH($B329,Regions,0),8)*INDEX(INDIRECT($B328),MATCH($B329,Regions,0),10),0)</f>
        <v>76</v>
      </c>
      <c r="E337" s="21">
        <f ca="1">ROUNDDOWN(INDEX(INDIRECT($B328),MATCH($B329,Regions,0),8)*INDEX(INDIRECT($B328),MATCH($B329,Regions,0),10),0)</f>
        <v>76</v>
      </c>
    </row>
    <row r="338" spans="2:5" hidden="1" outlineLevel="1" x14ac:dyDescent="0.3">
      <c r="B338" s="26" t="s">
        <v>11</v>
      </c>
      <c r="C338" s="27">
        <f ca="1">IFERROR(C334/(C337*C336),NA())</f>
        <v>1.3780836921710526</v>
      </c>
      <c r="D338" s="27">
        <f t="shared" ref="D338" ca="1" si="51">IFERROR(D334/(D337*D336),NA())</f>
        <v>0.68904184608552632</v>
      </c>
      <c r="E338" s="27">
        <f t="shared" ref="E338" ca="1" si="52">IFERROR(E334/(E337*E336),NA())</f>
        <v>0.41342510765131579</v>
      </c>
    </row>
    <row r="339" spans="2:5" hidden="1" outlineLevel="1" x14ac:dyDescent="0.3">
      <c r="B339" s="12" t="s">
        <v>14</v>
      </c>
      <c r="C339" s="28"/>
      <c r="D339" s="29"/>
      <c r="E339" s="30"/>
    </row>
    <row r="340" spans="2:5" hidden="1" outlineLevel="1" x14ac:dyDescent="0.3">
      <c r="B340" s="31" t="s">
        <v>38</v>
      </c>
      <c r="C340" s="32">
        <f ca="1">IFERROR(C334/C338,0)</f>
        <v>228</v>
      </c>
      <c r="D340" s="32">
        <f t="shared" ref="D340:E340" ca="1" si="53">IFERROR(D334/D338,0)</f>
        <v>456</v>
      </c>
      <c r="E340" s="32">
        <f t="shared" ca="1" si="53"/>
        <v>760</v>
      </c>
    </row>
    <row r="341" spans="2:5" hidden="1" outlineLevel="1" x14ac:dyDescent="0.3">
      <c r="B341" s="20" t="s">
        <v>30</v>
      </c>
      <c r="C341" s="33">
        <f ca="1">IF(C340=0,0,INDEX(INDIRECT($B328),MATCH($B329,Regions,0),9)*C335*C337)</f>
        <v>608</v>
      </c>
      <c r="D341" s="33">
        <f ca="1">IF(D340=0,0,INDEX(INDIRECT($B328),MATCH($B329,Regions,0),9)*D335*D337)</f>
        <v>1216</v>
      </c>
      <c r="E341" s="33">
        <f ca="1">IF(E340=0,0,INDEX(INDIRECT($B328),MATCH($B329,Regions,0),9)*E335*E337)</f>
        <v>1824</v>
      </c>
    </row>
    <row r="342" spans="2:5" hidden="1" outlineLevel="1" x14ac:dyDescent="0.3">
      <c r="B342" s="20" t="s">
        <v>31</v>
      </c>
      <c r="C342" s="33">
        <f ca="1">IFERROR(C340*INDEX(INDIRECT($B328),MATCH($B329,Regions,0),4)/(7/INDEX(INDIRECT($B328),MATCH($B329,Regions,0),6)),0)</f>
        <v>103.95925510243062</v>
      </c>
      <c r="D342" s="33">
        <f ca="1">IFERROR(D340*INDEX(INDIRECT($B328),MATCH($B329,Regions,0),4)/(7/INDEX(INDIRECT($B328),MATCH($B329,Regions,0),6)),0)</f>
        <v>207.91851020486124</v>
      </c>
      <c r="E342" s="33">
        <f ca="1">IFERROR(E340*INDEX(INDIRECT($B328),MATCH($B329,Regions,0),4)/(7/INDEX(INDIRECT($B328),MATCH($B329,Regions,0),6)),0)</f>
        <v>346.53085034143533</v>
      </c>
    </row>
    <row r="343" spans="2:5" hidden="1" outlineLevel="1" x14ac:dyDescent="0.3">
      <c r="B343" s="20" t="s">
        <v>32</v>
      </c>
      <c r="C343" s="33">
        <f ca="1">IFERROR(C340*INDEX(INDIRECT($B328),MATCH($B329,Regions,0),5)/(7/INDEX(INDIRECT($B328),MATCH($B329,Regions,0),7)),0)</f>
        <v>5.0907023254014288</v>
      </c>
      <c r="D343" s="33">
        <f ca="1">IFERROR(D340*INDEX(INDIRECT($B328),MATCH($B329,Regions,0),5)/(7/INDEX(INDIRECT($B328),MATCH($B329,Regions,0),7)),0)</f>
        <v>10.181404650802858</v>
      </c>
      <c r="E343" s="33">
        <f ca="1">IFERROR(E340*INDEX(INDIRECT($B328),MATCH($B329,Regions,0),5)/(7/INDEX(INDIRECT($B328),MATCH($B329,Regions,0),7)),0)</f>
        <v>16.969007751338093</v>
      </c>
    </row>
    <row r="344" spans="2:5" hidden="1" outlineLevel="1" x14ac:dyDescent="0.3"/>
    <row r="345" spans="2:5" hidden="1" outlineLevel="1" x14ac:dyDescent="0.3">
      <c r="B345" s="10" t="s">
        <v>25</v>
      </c>
    </row>
    <row r="346" spans="2:5" hidden="1" outlineLevel="1" x14ac:dyDescent="0.3">
      <c r="B346" s="11" t="s">
        <v>2</v>
      </c>
    </row>
    <row r="347" spans="2:5" hidden="1" outlineLevel="1" x14ac:dyDescent="0.3">
      <c r="B347" s="11" t="s">
        <v>3</v>
      </c>
    </row>
    <row r="348" spans="2:5" hidden="1" outlineLevel="1" x14ac:dyDescent="0.3"/>
    <row r="349" spans="2:5" hidden="1" outlineLevel="1" x14ac:dyDescent="0.3">
      <c r="C349" s="297" t="s">
        <v>12</v>
      </c>
      <c r="D349" s="297"/>
      <c r="E349" s="297"/>
    </row>
    <row r="350" spans="2:5" ht="28.8" hidden="1" outlineLevel="1" x14ac:dyDescent="0.3">
      <c r="B350" s="13" t="str">
        <f>B346&amp;" - "&amp;B347</f>
        <v>Transplant - Central</v>
      </c>
      <c r="C350" s="14" t="str">
        <f>'Data Inputs'!$C$29</f>
        <v>Scenario 1:
+1 day a week</v>
      </c>
      <c r="D350" s="14" t="str">
        <f>'Data Inputs'!$D$29</f>
        <v>Scenario 2:
+2 days a week</v>
      </c>
      <c r="E350" s="71" t="str">
        <f>'Data Inputs'!$E$29</f>
        <v>Scenario 3:
+3 days a week</v>
      </c>
    </row>
    <row r="351" spans="2:5" hidden="1" outlineLevel="1" x14ac:dyDescent="0.3">
      <c r="B351" s="12" t="s">
        <v>21</v>
      </c>
      <c r="C351" s="17"/>
      <c r="D351" s="18"/>
      <c r="E351" s="19"/>
    </row>
    <row r="352" spans="2:5" hidden="1" outlineLevel="1" x14ac:dyDescent="0.3">
      <c r="B352" s="20" t="s">
        <v>13</v>
      </c>
      <c r="C352" s="21">
        <f ca="1">INDEX(INDIRECT($B346),MATCH($B347,Regions,0),1)</f>
        <v>0</v>
      </c>
      <c r="D352" s="21">
        <f ca="1">INDEX(INDIRECT($B346),MATCH($B347,Regions,0),1)</f>
        <v>0</v>
      </c>
      <c r="E352" s="21">
        <f ca="1">INDEX(INDIRECT($B346),MATCH($B347,Regions,0),1)</f>
        <v>0</v>
      </c>
    </row>
    <row r="353" spans="2:5" hidden="1" outlineLevel="1" x14ac:dyDescent="0.3">
      <c r="B353" s="20" t="s">
        <v>20</v>
      </c>
      <c r="C353" s="23">
        <f>INDEX(ScenarioInputs,MATCH($B347,Regions,0),MATCH(C350,Scenarios,0))</f>
        <v>1</v>
      </c>
      <c r="D353" s="23">
        <f>INDEX(ScenarioInputs,MATCH($B347,Regions,0),MATCH(D350,Scenarios,0))</f>
        <v>2</v>
      </c>
      <c r="E353" s="23">
        <f>INDEX(ScenarioInputs,MATCH($B347,Regions,0),MATCH(E350,Scenarios,0))</f>
        <v>3</v>
      </c>
    </row>
    <row r="354" spans="2:5" hidden="1" outlineLevel="1" x14ac:dyDescent="0.3">
      <c r="B354" s="20" t="s">
        <v>37</v>
      </c>
      <c r="C354" s="21">
        <f ca="1">ROUNDDOWN(C353*INDEX(INDIRECT($B346),MATCH($B347,Regions,0),9)/(INDEX(INDIRECT($B346),MATCH($B347,Regions,0),3)+INDEX(INDIRECT($B346),MATCH($B347,Regions,0),2)),0)</f>
        <v>21</v>
      </c>
      <c r="D354" s="21">
        <f ca="1">ROUNDDOWN(D353*INDEX(INDIRECT($B346),MATCH($B347,Regions,0),9)/(INDEX(INDIRECT($B346),MATCH($B347,Regions,0),3)+INDEX(INDIRECT($B346),MATCH($B347,Regions,0),2)),0)</f>
        <v>43</v>
      </c>
      <c r="E354" s="21">
        <f ca="1">ROUNDDOWN(E353*INDEX(INDIRECT($B346),MATCH($B347,Regions,0),9)/(INDEX(INDIRECT($B346),MATCH($B347,Regions,0),3)+INDEX(INDIRECT($B346),MATCH($B347,Regions,0),2)),0)</f>
        <v>64</v>
      </c>
    </row>
    <row r="355" spans="2:5" hidden="1" outlineLevel="1" x14ac:dyDescent="0.3">
      <c r="B355" s="20" t="s">
        <v>43</v>
      </c>
      <c r="C355" s="21">
        <f ca="1">ROUNDDOWN(INDEX(INDIRECT($B346),MATCH($B347,Regions,0),8)*INDEX(INDIRECT($B346),MATCH($B347,Regions,0),10),0)</f>
        <v>0</v>
      </c>
      <c r="D355" s="21">
        <f ca="1">ROUNDDOWN(INDEX(INDIRECT($B346),MATCH($B347,Regions,0),8)*INDEX(INDIRECT($B346),MATCH($B347,Regions,0),10),0)</f>
        <v>0</v>
      </c>
      <c r="E355" s="21">
        <f ca="1">ROUNDDOWN(INDEX(INDIRECT($B346),MATCH($B347,Regions,0),8)*INDEX(INDIRECT($B346),MATCH($B347,Regions,0),10),0)</f>
        <v>0</v>
      </c>
    </row>
    <row r="356" spans="2:5" hidden="1" outlineLevel="1" x14ac:dyDescent="0.3">
      <c r="B356" s="26" t="s">
        <v>11</v>
      </c>
      <c r="C356" s="27" t="str">
        <f ca="1">IFERROR(C352/(C355*C354),"")</f>
        <v/>
      </c>
      <c r="D356" s="27" t="str">
        <f t="shared" ref="D356:E356" ca="1" si="54">IFERROR(D352/(D355*D354),"")</f>
        <v/>
      </c>
      <c r="E356" s="27" t="str">
        <f t="shared" ca="1" si="54"/>
        <v/>
      </c>
    </row>
    <row r="357" spans="2:5" hidden="1" outlineLevel="1" x14ac:dyDescent="0.3">
      <c r="B357" s="12" t="s">
        <v>14</v>
      </c>
      <c r="C357" s="28"/>
      <c r="D357" s="29"/>
      <c r="E357" s="30"/>
    </row>
    <row r="358" spans="2:5" hidden="1" outlineLevel="1" x14ac:dyDescent="0.3">
      <c r="B358" s="31" t="s">
        <v>38</v>
      </c>
      <c r="C358" s="32">
        <f ca="1">IFERROR(C352/C356,0)</f>
        <v>0</v>
      </c>
      <c r="D358" s="32">
        <f t="shared" ref="D358:E358" ca="1" si="55">IFERROR(D352/D356,0)</f>
        <v>0</v>
      </c>
      <c r="E358" s="32">
        <f t="shared" ca="1" si="55"/>
        <v>0</v>
      </c>
    </row>
    <row r="359" spans="2:5" hidden="1" outlineLevel="1" x14ac:dyDescent="0.3">
      <c r="B359" s="20" t="s">
        <v>30</v>
      </c>
      <c r="C359" s="33">
        <f ca="1">IF(C358=0,0,INDEX(INDIRECT($B346),MATCH($B347,Regions,0),9)*C353*C355)</f>
        <v>0</v>
      </c>
      <c r="D359" s="33">
        <f ca="1">IF(D358=0,0,INDEX(INDIRECT($B346),MATCH($B347,Regions,0),9)*D353*D355)</f>
        <v>0</v>
      </c>
      <c r="E359" s="33">
        <f ca="1">IF(E358=0,0,INDEX(INDIRECT($B346),MATCH($B347,Regions,0),9)*E353*E355)</f>
        <v>0</v>
      </c>
    </row>
    <row r="360" spans="2:5" hidden="1" outlineLevel="1" x14ac:dyDescent="0.3">
      <c r="B360" s="20" t="s">
        <v>31</v>
      </c>
      <c r="C360" s="33">
        <f ca="1">IFERROR(C358*INDEX(INDIRECT($B346),MATCH($B347,Regions,0),4)/(7/INDEX(INDIRECT($B346),MATCH($B347,Regions,0),6)),0)</f>
        <v>0</v>
      </c>
      <c r="D360" s="33">
        <f ca="1">IFERROR(D358*INDEX(INDIRECT($B346),MATCH($B347,Regions,0),4)/(7/INDEX(INDIRECT($B346),MATCH($B347,Regions,0),6)),0)</f>
        <v>0</v>
      </c>
      <c r="E360" s="33">
        <f ca="1">IFERROR(E358*INDEX(INDIRECT($B346),MATCH($B347,Regions,0),4)/(7/INDEX(INDIRECT($B346),MATCH($B347,Regions,0),6)),0)</f>
        <v>0</v>
      </c>
    </row>
    <row r="361" spans="2:5" hidden="1" outlineLevel="1" x14ac:dyDescent="0.3">
      <c r="B361" s="20" t="s">
        <v>32</v>
      </c>
      <c r="C361" s="33">
        <f ca="1">IFERROR(C358*INDEX(INDIRECT($B346),MATCH($B347,Regions,0),5)/(7/INDEX(INDIRECT($B346),MATCH($B347,Regions,0),7)),0)</f>
        <v>0</v>
      </c>
      <c r="D361" s="33">
        <f ca="1">IFERROR(D358*INDEX(INDIRECT($B346),MATCH($B347,Regions,0),5)/(7/INDEX(INDIRECT($B346),MATCH($B347,Regions,0),7)),0)</f>
        <v>0</v>
      </c>
      <c r="E361" s="33">
        <f ca="1">IFERROR(E358*INDEX(INDIRECT($B346),MATCH($B347,Regions,0),5)/(7/INDEX(INDIRECT($B346),MATCH($B347,Regions,0),7)),0)</f>
        <v>0</v>
      </c>
    </row>
    <row r="362" spans="2:5" hidden="1" outlineLevel="1" x14ac:dyDescent="0.3"/>
    <row r="363" spans="2:5" hidden="1" outlineLevel="1" x14ac:dyDescent="0.3">
      <c r="B363" s="10" t="s">
        <v>25</v>
      </c>
    </row>
    <row r="364" spans="2:5" hidden="1" outlineLevel="1" x14ac:dyDescent="0.3">
      <c r="B364" s="11" t="s">
        <v>28</v>
      </c>
    </row>
    <row r="365" spans="2:5" hidden="1" outlineLevel="1" x14ac:dyDescent="0.3">
      <c r="B365" s="11" t="s">
        <v>3</v>
      </c>
    </row>
    <row r="366" spans="2:5" hidden="1" outlineLevel="1" x14ac:dyDescent="0.3"/>
    <row r="367" spans="2:5" hidden="1" outlineLevel="1" x14ac:dyDescent="0.3">
      <c r="C367" s="297" t="s">
        <v>12</v>
      </c>
      <c r="D367" s="297"/>
      <c r="E367" s="297"/>
    </row>
    <row r="368" spans="2:5" ht="28.8" hidden="1" outlineLevel="1" x14ac:dyDescent="0.3">
      <c r="B368" s="13" t="str">
        <f>B364&amp;" - "&amp;B365</f>
        <v>Cardiac_CABG - Central</v>
      </c>
      <c r="C368" s="14" t="str">
        <f>'Data Inputs'!$C$29</f>
        <v>Scenario 1:
+1 day a week</v>
      </c>
      <c r="D368" s="14" t="str">
        <f>'Data Inputs'!$D$29</f>
        <v>Scenario 2:
+2 days a week</v>
      </c>
      <c r="E368" s="71" t="str">
        <f>'Data Inputs'!$E$29</f>
        <v>Scenario 3:
+3 days a week</v>
      </c>
    </row>
    <row r="369" spans="2:5" hidden="1" outlineLevel="1" x14ac:dyDescent="0.3">
      <c r="B369" s="12" t="s">
        <v>21</v>
      </c>
      <c r="C369" s="17"/>
      <c r="D369" s="18"/>
      <c r="E369" s="19"/>
    </row>
    <row r="370" spans="2:5" hidden="1" outlineLevel="1" x14ac:dyDescent="0.3">
      <c r="B370" s="20" t="s">
        <v>13</v>
      </c>
      <c r="C370" s="21">
        <f ca="1">INDEX(INDIRECT($B364),MATCH($B365,Regions,0),1)</f>
        <v>71.291666666666671</v>
      </c>
      <c r="D370" s="21">
        <f ca="1">INDEX(INDIRECT($B364),MATCH($B365,Regions,0),1)</f>
        <v>71.291666666666671</v>
      </c>
      <c r="E370" s="21">
        <f ca="1">INDEX(INDIRECT($B364),MATCH($B365,Regions,0),1)</f>
        <v>71.291666666666671</v>
      </c>
    </row>
    <row r="371" spans="2:5" hidden="1" outlineLevel="1" x14ac:dyDescent="0.3">
      <c r="B371" s="20" t="s">
        <v>20</v>
      </c>
      <c r="C371" s="23">
        <f>INDEX(ScenarioInputs,MATCH($B365,Regions,0),MATCH(C368,Scenarios,0))</f>
        <v>1</v>
      </c>
      <c r="D371" s="23">
        <f>INDEX(ScenarioInputs,MATCH($B365,Regions,0),MATCH(D368,Scenarios,0))</f>
        <v>2</v>
      </c>
      <c r="E371" s="23">
        <f>INDEX(ScenarioInputs,MATCH($B365,Regions,0),MATCH(E368,Scenarios,0))</f>
        <v>3</v>
      </c>
    </row>
    <row r="372" spans="2:5" hidden="1" outlineLevel="1" x14ac:dyDescent="0.3">
      <c r="B372" s="20" t="s">
        <v>37</v>
      </c>
      <c r="C372" s="21">
        <f ca="1">ROUNDDOWN(C371*INDEX(INDIRECT($B364),MATCH($B365,Regions,0),9)/(INDEX(INDIRECT($B364),MATCH($B365,Regions,0),3)+INDEX(INDIRECT($B364),MATCH($B365,Regions,0),2)),0)+IF(MOD(INDEX(INDIRECT($B364),MATCH($B365,Regions,0),9),INDEX(INDIRECT($B364),MATCH($B365,Regions,0),3)+INDEX(INDIRECT($B364),MATCH($B365,Regions,0),2))&lt;Buffer,0,1)</f>
        <v>2</v>
      </c>
      <c r="D372" s="21">
        <f ca="1">ROUNDDOWN(D371*INDEX(INDIRECT($B364),MATCH($B365,Regions,0),9)/(INDEX(INDIRECT($B364),MATCH($B365,Regions,0),3)+INDEX(INDIRECT($B364),MATCH($B365,Regions,0),2)),0)+IF(MOD(INDEX(INDIRECT($B364),MATCH($B365,Regions,0),9),INDEX(INDIRECT($B364),MATCH($B365,Regions,0),3)+INDEX(INDIRECT($B364),MATCH($B365,Regions,0),2))&lt;Buffer,0,1)</f>
        <v>4</v>
      </c>
      <c r="E372" s="21">
        <f ca="1">ROUNDDOWN(E371*INDEX(INDIRECT($B364),MATCH($B365,Regions,0),9)/(INDEX(INDIRECT($B364),MATCH($B365,Regions,0),3)+INDEX(INDIRECT($B364),MATCH($B365,Regions,0),2)),0)+IF(MOD(INDEX(INDIRECT($B364),MATCH($B365,Regions,0),9),INDEX(INDIRECT($B364),MATCH($B365,Regions,0),3)+INDEX(INDIRECT($B364),MATCH($B365,Regions,0),2))&lt;Buffer,0,1)</f>
        <v>6</v>
      </c>
    </row>
    <row r="373" spans="2:5" hidden="1" outlineLevel="1" x14ac:dyDescent="0.3">
      <c r="B373" s="20" t="s">
        <v>43</v>
      </c>
      <c r="C373" s="21">
        <f ca="1">ROUNDDOWN(INDEX(INDIRECT($B364),MATCH($B365,Regions,0),8)*INDEX(INDIRECT($B364),MATCH($B365,Regions,0),10),0)</f>
        <v>19</v>
      </c>
      <c r="D373" s="21">
        <f ca="1">ROUNDDOWN(INDEX(INDIRECT($B364),MATCH($B365,Regions,0),8)*INDEX(INDIRECT($B364),MATCH($B365,Regions,0),10),0)</f>
        <v>19</v>
      </c>
      <c r="E373" s="21">
        <f ca="1">ROUNDDOWN(INDEX(INDIRECT($B364),MATCH($B365,Regions,0),8)*INDEX(INDIRECT($B364),MATCH($B365,Regions,0),10),0)</f>
        <v>19</v>
      </c>
    </row>
    <row r="374" spans="2:5" hidden="1" outlineLevel="1" x14ac:dyDescent="0.3">
      <c r="B374" s="26" t="s">
        <v>11</v>
      </c>
      <c r="C374" s="27">
        <f ca="1">IFERROR(C370/(C373*C372),NA())</f>
        <v>1.8760964912280702</v>
      </c>
      <c r="D374" s="27">
        <f t="shared" ref="D374" ca="1" si="56">IFERROR(D370/(D373*D372),NA())</f>
        <v>0.9380482456140351</v>
      </c>
      <c r="E374" s="27">
        <f t="shared" ref="E374" ca="1" si="57">IFERROR(E370/(E373*E372),NA())</f>
        <v>0.6253654970760234</v>
      </c>
    </row>
    <row r="375" spans="2:5" hidden="1" outlineLevel="1" x14ac:dyDescent="0.3">
      <c r="B375" s="12" t="s">
        <v>14</v>
      </c>
      <c r="C375" s="28"/>
      <c r="D375" s="29"/>
      <c r="E375" s="30"/>
    </row>
    <row r="376" spans="2:5" hidden="1" outlineLevel="1" x14ac:dyDescent="0.3">
      <c r="B376" s="31" t="s">
        <v>38</v>
      </c>
      <c r="C376" s="32">
        <f ca="1">IFERROR(C370/C374,0)</f>
        <v>38</v>
      </c>
      <c r="D376" s="32">
        <f t="shared" ref="D376:E376" ca="1" si="58">IFERROR(D370/D374,0)</f>
        <v>76</v>
      </c>
      <c r="E376" s="32">
        <f t="shared" ca="1" si="58"/>
        <v>114</v>
      </c>
    </row>
    <row r="377" spans="2:5" hidden="1" outlineLevel="1" x14ac:dyDescent="0.3">
      <c r="B377" s="20" t="s">
        <v>30</v>
      </c>
      <c r="C377" s="33">
        <f ca="1">IF(C376=0,0,INDEX(INDIRECT($B364),MATCH($B365,Regions,0),9)*C371*C373)</f>
        <v>152</v>
      </c>
      <c r="D377" s="33">
        <f ca="1">IF(D376=0,0,INDEX(INDIRECT($B364),MATCH($B365,Regions,0),9)*D371*D373)</f>
        <v>304</v>
      </c>
      <c r="E377" s="33">
        <f ca="1">IF(E376=0,0,INDEX(INDIRECT($B364),MATCH($B365,Regions,0),9)*E371*E373)</f>
        <v>456</v>
      </c>
    </row>
    <row r="378" spans="2:5" hidden="1" outlineLevel="1" x14ac:dyDescent="0.3">
      <c r="B378" s="20" t="s">
        <v>31</v>
      </c>
      <c r="C378" s="33">
        <f ca="1">IFERROR(C376*INDEX(INDIRECT($B364),MATCH($B365,Regions,0),4)/(7/INDEX(INDIRECT($B364),MATCH($B365,Regions,0),6)),0)</f>
        <v>32.571428571428569</v>
      </c>
      <c r="D378" s="33">
        <f ca="1">IFERROR(D376*INDEX(INDIRECT($B364),MATCH($B365,Regions,0),4)/(7/INDEX(INDIRECT($B364),MATCH($B365,Regions,0),6)),0)</f>
        <v>65.142857142857139</v>
      </c>
      <c r="E378" s="33">
        <f ca="1">IFERROR(E376*INDEX(INDIRECT($B364),MATCH($B365,Regions,0),4)/(7/INDEX(INDIRECT($B364),MATCH($B365,Regions,0),6)),0)</f>
        <v>97.714285714285708</v>
      </c>
    </row>
    <row r="379" spans="2:5" hidden="1" outlineLevel="1" x14ac:dyDescent="0.3">
      <c r="B379" s="20" t="s">
        <v>32</v>
      </c>
      <c r="C379" s="33">
        <f ca="1">IFERROR(C376*INDEX(INDIRECT($B364),MATCH($B365,Regions,0),5)/(7/INDEX(INDIRECT($B364),MATCH($B365,Regions,0),7)),0)</f>
        <v>10.857142857142858</v>
      </c>
      <c r="D379" s="33">
        <f ca="1">IFERROR(D376*INDEX(INDIRECT($B364),MATCH($B365,Regions,0),5)/(7/INDEX(INDIRECT($B364),MATCH($B365,Regions,0),7)),0)</f>
        <v>21.714285714285715</v>
      </c>
      <c r="E379" s="33">
        <f ca="1">IFERROR(E376*INDEX(INDIRECT($B364),MATCH($B365,Regions,0),5)/(7/INDEX(INDIRECT($B364),MATCH($B365,Regions,0),7)),0)</f>
        <v>32.571428571428569</v>
      </c>
    </row>
    <row r="380" spans="2:5" hidden="1" outlineLevel="1" x14ac:dyDescent="0.3"/>
    <row r="381" spans="2:5" hidden="1" outlineLevel="1" x14ac:dyDescent="0.3">
      <c r="B381" s="10" t="s">
        <v>25</v>
      </c>
    </row>
    <row r="382" spans="2:5" hidden="1" outlineLevel="1" x14ac:dyDescent="0.3">
      <c r="B382" s="11" t="s">
        <v>46</v>
      </c>
    </row>
    <row r="383" spans="2:5" hidden="1" outlineLevel="1" x14ac:dyDescent="0.3">
      <c r="B383" s="11" t="s">
        <v>3</v>
      </c>
    </row>
    <row r="384" spans="2:5" hidden="1" outlineLevel="1" x14ac:dyDescent="0.3"/>
    <row r="385" spans="2:5" hidden="1" outlineLevel="1" x14ac:dyDescent="0.3">
      <c r="C385" s="297" t="s">
        <v>12</v>
      </c>
      <c r="D385" s="297"/>
      <c r="E385" s="297"/>
    </row>
    <row r="386" spans="2:5" ht="28.8" hidden="1" outlineLevel="1" x14ac:dyDescent="0.3">
      <c r="B386" s="13" t="str">
        <f>B382&amp;" - "&amp;B383</f>
        <v>Cardiac_Valve - Central</v>
      </c>
      <c r="C386" s="14" t="str">
        <f>'Data Inputs'!$C$29</f>
        <v>Scenario 1:
+1 day a week</v>
      </c>
      <c r="D386" s="14" t="str">
        <f>'Data Inputs'!$D$29</f>
        <v>Scenario 2:
+2 days a week</v>
      </c>
      <c r="E386" s="71" t="str">
        <f>'Data Inputs'!$E$29</f>
        <v>Scenario 3:
+3 days a week</v>
      </c>
    </row>
    <row r="387" spans="2:5" hidden="1" outlineLevel="1" x14ac:dyDescent="0.3">
      <c r="B387" s="12" t="s">
        <v>21</v>
      </c>
      <c r="C387" s="17"/>
      <c r="D387" s="18"/>
      <c r="E387" s="19"/>
    </row>
    <row r="388" spans="2:5" hidden="1" outlineLevel="1" x14ac:dyDescent="0.3">
      <c r="B388" s="20" t="s">
        <v>13</v>
      </c>
      <c r="C388" s="21">
        <f ca="1">INDEX(INDIRECT($B382),MATCH($B383,Regions,0),1)</f>
        <v>63.754646840148702</v>
      </c>
      <c r="D388" s="21">
        <f ca="1">INDEX(INDIRECT($B382),MATCH($B383,Regions,0),1)</f>
        <v>63.754646840148702</v>
      </c>
      <c r="E388" s="21">
        <f ca="1">INDEX(INDIRECT($B382),MATCH($B383,Regions,0),1)</f>
        <v>63.754646840148702</v>
      </c>
    </row>
    <row r="389" spans="2:5" hidden="1" outlineLevel="1" x14ac:dyDescent="0.3">
      <c r="B389" s="20" t="s">
        <v>20</v>
      </c>
      <c r="C389" s="23">
        <f>INDEX(ScenarioInputs,MATCH($B383,Regions,0),MATCH(C386,Scenarios,0))</f>
        <v>1</v>
      </c>
      <c r="D389" s="23">
        <f>INDEX(ScenarioInputs,MATCH($B383,Regions,0),MATCH(D386,Scenarios,0))</f>
        <v>2</v>
      </c>
      <c r="E389" s="23">
        <f>INDEX(ScenarioInputs,MATCH($B383,Regions,0),MATCH(E386,Scenarios,0))</f>
        <v>3</v>
      </c>
    </row>
    <row r="390" spans="2:5" hidden="1" outlineLevel="1" x14ac:dyDescent="0.3">
      <c r="B390" s="20" t="s">
        <v>37</v>
      </c>
      <c r="C390" s="21">
        <f ca="1">ROUNDDOWN(C389*INDEX(INDIRECT($B382),MATCH($B383,Regions,0),9)/(INDEX(INDIRECT($B382),MATCH($B383,Regions,0),3)+INDEX(INDIRECT($B382),MATCH($B383,Regions,0),2)),0)+IF(MOD(INDEX(INDIRECT($B382),MATCH($B383,Regions,0),9),INDEX(INDIRECT($B382),MATCH($B383,Regions,0),3)+INDEX(INDIRECT($B382),MATCH($B383,Regions,0),2))&lt;Buffer,0,1)</f>
        <v>2</v>
      </c>
      <c r="D390" s="21">
        <f ca="1">ROUNDDOWN(D389*INDEX(INDIRECT($B382),MATCH($B383,Regions,0),9)/(INDEX(INDIRECT($B382),MATCH($B383,Regions,0),3)+INDEX(INDIRECT($B382),MATCH($B383,Regions,0),2)),0)+IF(MOD(INDEX(INDIRECT($B382),MATCH($B383,Regions,0),9),INDEX(INDIRECT($B382),MATCH($B383,Regions,0),3)+INDEX(INDIRECT($B382),MATCH($B383,Regions,0),2))&lt;Buffer,0,1)</f>
        <v>4</v>
      </c>
      <c r="E390" s="21">
        <f ca="1">ROUNDDOWN(E389*INDEX(INDIRECT($B382),MATCH($B383,Regions,0),9)/(INDEX(INDIRECT($B382),MATCH($B383,Regions,0),3)+INDEX(INDIRECT($B382),MATCH($B383,Regions,0),2)),0)+IF(MOD(INDEX(INDIRECT($B382),MATCH($B383,Regions,0),9),INDEX(INDIRECT($B382),MATCH($B383,Regions,0),3)+INDEX(INDIRECT($B382),MATCH($B383,Regions,0),2))&lt;Buffer,0,1)</f>
        <v>6</v>
      </c>
    </row>
    <row r="391" spans="2:5" hidden="1" outlineLevel="1" x14ac:dyDescent="0.3">
      <c r="B391" s="20" t="s">
        <v>43</v>
      </c>
      <c r="C391" s="21">
        <f ca="1">ROUNDDOWN(INDEX(INDIRECT($B382),MATCH($B383,Regions,0),8)*INDEX(INDIRECT($B382),MATCH($B383,Regions,0),10),0)</f>
        <v>19</v>
      </c>
      <c r="D391" s="21">
        <f ca="1">ROUNDDOWN(INDEX(INDIRECT($B382),MATCH($B383,Regions,0),8)*INDEX(INDIRECT($B382),MATCH($B383,Regions,0),10),0)</f>
        <v>19</v>
      </c>
      <c r="E391" s="21">
        <f ca="1">ROUNDDOWN(INDEX(INDIRECT($B382),MATCH($B383,Regions,0),8)*INDEX(INDIRECT($B382),MATCH($B383,Regions,0),10),0)</f>
        <v>19</v>
      </c>
    </row>
    <row r="392" spans="2:5" hidden="1" outlineLevel="1" x14ac:dyDescent="0.3">
      <c r="B392" s="26" t="s">
        <v>11</v>
      </c>
      <c r="C392" s="27">
        <f ca="1">IFERROR(C388/(C391*C390),NA())</f>
        <v>1.6777538642144396</v>
      </c>
      <c r="D392" s="27">
        <f t="shared" ref="D392" ca="1" si="59">IFERROR(D388/(D391*D390),NA())</f>
        <v>0.83887693210721981</v>
      </c>
      <c r="E392" s="27">
        <f t="shared" ref="E392" ca="1" si="60">IFERROR(E388/(E391*E390),NA())</f>
        <v>0.55925128807147984</v>
      </c>
    </row>
    <row r="393" spans="2:5" hidden="1" outlineLevel="1" x14ac:dyDescent="0.3">
      <c r="B393" s="12" t="s">
        <v>14</v>
      </c>
      <c r="C393" s="28"/>
      <c r="D393" s="29"/>
      <c r="E393" s="30"/>
    </row>
    <row r="394" spans="2:5" hidden="1" outlineLevel="1" x14ac:dyDescent="0.3">
      <c r="B394" s="31" t="s">
        <v>38</v>
      </c>
      <c r="C394" s="32">
        <f ca="1">IFERROR(C388/C392,0)</f>
        <v>38</v>
      </c>
      <c r="D394" s="32">
        <f t="shared" ref="D394:E394" ca="1" si="61">IFERROR(D388/D392,0)</f>
        <v>76</v>
      </c>
      <c r="E394" s="32">
        <f t="shared" ca="1" si="61"/>
        <v>114</v>
      </c>
    </row>
    <row r="395" spans="2:5" hidden="1" outlineLevel="1" x14ac:dyDescent="0.3">
      <c r="B395" s="20" t="s">
        <v>30</v>
      </c>
      <c r="C395" s="33">
        <f ca="1">IF(C394=0,0,INDEX(INDIRECT($B382),MATCH($B383,Regions,0),9)*C389*C391)</f>
        <v>152</v>
      </c>
      <c r="D395" s="33">
        <f ca="1">IF(D394=0,0,INDEX(INDIRECT($B382),MATCH($B383,Regions,0),9)*D389*D391)</f>
        <v>304</v>
      </c>
      <c r="E395" s="33">
        <f ca="1">IF(E394=0,0,INDEX(INDIRECT($B382),MATCH($B383,Regions,0),9)*E389*E391)</f>
        <v>456</v>
      </c>
    </row>
    <row r="396" spans="2:5" hidden="1" outlineLevel="1" x14ac:dyDescent="0.3">
      <c r="B396" s="20" t="s">
        <v>31</v>
      </c>
      <c r="C396" s="33">
        <f ca="1">IFERROR(C394*INDEX(INDIRECT($B382),MATCH($B383,Regions,0),4)/(7/INDEX(INDIRECT($B382),MATCH($B383,Regions,0),6)),0)</f>
        <v>38</v>
      </c>
      <c r="D396" s="33">
        <f ca="1">IFERROR(D394*INDEX(INDIRECT($B382),MATCH($B383,Regions,0),4)/(7/INDEX(INDIRECT($B382),MATCH($B383,Regions,0),6)),0)</f>
        <v>76</v>
      </c>
      <c r="E396" s="33">
        <f ca="1">IFERROR(E394*INDEX(INDIRECT($B382),MATCH($B383,Regions,0),4)/(7/INDEX(INDIRECT($B382),MATCH($B383,Regions,0),6)),0)</f>
        <v>114</v>
      </c>
    </row>
    <row r="397" spans="2:5" hidden="1" outlineLevel="1" x14ac:dyDescent="0.3">
      <c r="B397" s="20" t="s">
        <v>32</v>
      </c>
      <c r="C397" s="33">
        <f ca="1">IFERROR(C394*INDEX(INDIRECT($B382),MATCH($B383,Regions,0),5)/(7/INDEX(INDIRECT($B382),MATCH($B383,Regions,0),7)),0)</f>
        <v>21.714285714285715</v>
      </c>
      <c r="D397" s="33">
        <f ca="1">IFERROR(D394*INDEX(INDIRECT($B382),MATCH($B383,Regions,0),5)/(7/INDEX(INDIRECT($B382),MATCH($B383,Regions,0),7)),0)</f>
        <v>43.428571428571431</v>
      </c>
      <c r="E397" s="33">
        <f ca="1">IFERROR(E394*INDEX(INDIRECT($B382),MATCH($B383,Regions,0),5)/(7/INDEX(INDIRECT($B382),MATCH($B383,Regions,0),7)),0)</f>
        <v>65.142857142857139</v>
      </c>
    </row>
    <row r="398" spans="2:5" hidden="1" outlineLevel="1" x14ac:dyDescent="0.3">
      <c r="B398" s="20"/>
      <c r="C398" s="44"/>
      <c r="D398" s="44"/>
      <c r="E398" s="44"/>
    </row>
    <row r="399" spans="2:5" hidden="1" outlineLevel="1" x14ac:dyDescent="0.3">
      <c r="B399" s="10" t="s">
        <v>25</v>
      </c>
    </row>
    <row r="400" spans="2:5" hidden="1" outlineLevel="1" x14ac:dyDescent="0.3">
      <c r="B400" s="11" t="s">
        <v>110</v>
      </c>
    </row>
    <row r="401" spans="2:5" hidden="1" outlineLevel="1" x14ac:dyDescent="0.3">
      <c r="B401" s="11" t="s">
        <v>3</v>
      </c>
    </row>
    <row r="402" spans="2:5" hidden="1" outlineLevel="1" x14ac:dyDescent="0.3"/>
    <row r="403" spans="2:5" hidden="1" outlineLevel="1" x14ac:dyDescent="0.3">
      <c r="C403" s="297" t="s">
        <v>12</v>
      </c>
      <c r="D403" s="297"/>
      <c r="E403" s="297"/>
    </row>
    <row r="404" spans="2:5" ht="28.8" hidden="1" outlineLevel="1" x14ac:dyDescent="0.3">
      <c r="B404" s="13" t="str">
        <f>B400&amp;" - "&amp;B401</f>
        <v>Benign_P2P3 - Central</v>
      </c>
      <c r="C404" s="14" t="str">
        <f>'Data Inputs'!$C$29</f>
        <v>Scenario 1:
+1 day a week</v>
      </c>
      <c r="D404" s="14" t="str">
        <f>'Data Inputs'!$D$29</f>
        <v>Scenario 2:
+2 days a week</v>
      </c>
      <c r="E404" s="71" t="str">
        <f>'Data Inputs'!$E$29</f>
        <v>Scenario 3:
+3 days a week</v>
      </c>
    </row>
    <row r="405" spans="2:5" hidden="1" outlineLevel="1" x14ac:dyDescent="0.3">
      <c r="B405" s="12" t="s">
        <v>21</v>
      </c>
      <c r="C405" s="17"/>
      <c r="D405" s="18"/>
      <c r="E405" s="19"/>
    </row>
    <row r="406" spans="2:5" hidden="1" outlineLevel="1" x14ac:dyDescent="0.3">
      <c r="B406" s="20" t="s">
        <v>13</v>
      </c>
      <c r="C406" s="21">
        <f ca="1">INDEX(INDIRECT($B400),MATCH($B401,Regions,0),1)</f>
        <v>5857.8555921999996</v>
      </c>
      <c r="D406" s="21">
        <f ca="1">INDEX(INDIRECT($B400),MATCH($B401,Regions,0),1)</f>
        <v>5857.8555921999996</v>
      </c>
      <c r="E406" s="21">
        <f ca="1">INDEX(INDIRECT($B400),MATCH($B401,Regions,0),1)</f>
        <v>5857.8555921999996</v>
      </c>
    </row>
    <row r="407" spans="2:5" hidden="1" outlineLevel="1" x14ac:dyDescent="0.3">
      <c r="B407" s="20" t="s">
        <v>20</v>
      </c>
      <c r="C407" s="23">
        <f>INDEX(ScenarioInputs,MATCH($B401,Regions,0),MATCH(C404,Scenarios,0))</f>
        <v>1</v>
      </c>
      <c r="D407" s="23">
        <f>INDEX(ScenarioInputs,MATCH($B401,Regions,0),MATCH(D404,Scenarios,0))</f>
        <v>2</v>
      </c>
      <c r="E407" s="23">
        <f>INDEX(ScenarioInputs,MATCH($B401,Regions,0),MATCH(E404,Scenarios,0))</f>
        <v>3</v>
      </c>
    </row>
    <row r="408" spans="2:5" hidden="1" outlineLevel="1" x14ac:dyDescent="0.3">
      <c r="B408" s="20" t="s">
        <v>37</v>
      </c>
      <c r="C408" s="21">
        <f ca="1">ROUNDDOWN(C407*INDEX(INDIRECT($B400),MATCH($B401,Regions,0),9)/(INDEX(INDIRECT($B400),MATCH($B401,Regions,0),3)+INDEX(INDIRECT($B400),MATCH($B401,Regions,0),2)),0)+IF(MOD(INDEX(INDIRECT($B400),MATCH($B401,Regions,0),9),INDEX(INDIRECT($B400),MATCH($B401,Regions,0),3)+INDEX(INDIRECT($B400),MATCH($B401,Regions,0),2))&lt;Buffer,0,1)</f>
        <v>5</v>
      </c>
      <c r="D408" s="21">
        <f ca="1">ROUNDDOWN(D407*INDEX(INDIRECT($B400),MATCH($B401,Regions,0),9)/(INDEX(INDIRECT($B400),MATCH($B401,Regions,0),3)+INDEX(INDIRECT($B400),MATCH($B401,Regions,0),2)),0)+IF(MOD(INDEX(INDIRECT($B400),MATCH($B401,Regions,0),9),INDEX(INDIRECT($B400),MATCH($B401,Regions,0),3)+INDEX(INDIRECT($B400),MATCH($B401,Regions,0),2))&lt;Buffer,0,1)</f>
        <v>10</v>
      </c>
      <c r="E408" s="21">
        <f ca="1">ROUNDDOWN(E407*INDEX(INDIRECT($B400),MATCH($B401,Regions,0),9)/(INDEX(INDIRECT($B400),MATCH($B401,Regions,0),3)+INDEX(INDIRECT($B400),MATCH($B401,Regions,0),2)),0)+IF(MOD(INDEX(INDIRECT($B400),MATCH($B401,Regions,0),9),INDEX(INDIRECT($B400),MATCH($B401,Regions,0),3)+INDEX(INDIRECT($B400),MATCH($B401,Regions,0),2))&lt;Buffer,0,1)</f>
        <v>15</v>
      </c>
    </row>
    <row r="409" spans="2:5" hidden="1" outlineLevel="1" x14ac:dyDescent="0.3">
      <c r="B409" s="20" t="s">
        <v>43</v>
      </c>
      <c r="C409" s="21">
        <f ca="1">ROUNDDOWN(INDEX(INDIRECT($B400),MATCH($B401,Regions,0),8)*INDEX(INDIRECT($B400),MATCH($B401,Regions,0),10),0)</f>
        <v>98</v>
      </c>
      <c r="D409" s="21">
        <f ca="1">ROUNDDOWN(INDEX(INDIRECT($B400),MATCH($B401,Regions,0),8)*INDEX(INDIRECT($B400),MATCH($B401,Regions,0),10),0)</f>
        <v>98</v>
      </c>
      <c r="E409" s="21">
        <f ca="1">ROUNDDOWN(INDEX(INDIRECT($B400),MATCH($B401,Regions,0),8)*INDEX(INDIRECT($B400),MATCH($B401,Regions,0),10),0)</f>
        <v>98</v>
      </c>
    </row>
    <row r="410" spans="2:5" hidden="1" outlineLevel="1" x14ac:dyDescent="0.3">
      <c r="B410" s="26" t="s">
        <v>11</v>
      </c>
      <c r="C410" s="27">
        <f ca="1">IFERROR(C406/(C409*C408),NA())</f>
        <v>11.954807331020408</v>
      </c>
      <c r="D410" s="27">
        <f t="shared" ref="D410:E410" ca="1" si="62">IFERROR(D406/(D409*D408),NA())</f>
        <v>5.9774036655102041</v>
      </c>
      <c r="E410" s="27">
        <f t="shared" ca="1" si="62"/>
        <v>3.9849357770068026</v>
      </c>
    </row>
    <row r="411" spans="2:5" hidden="1" outlineLevel="1" x14ac:dyDescent="0.3">
      <c r="B411" s="12" t="s">
        <v>14</v>
      </c>
      <c r="C411" s="28"/>
      <c r="D411" s="29"/>
      <c r="E411" s="30"/>
    </row>
    <row r="412" spans="2:5" hidden="1" outlineLevel="1" x14ac:dyDescent="0.3">
      <c r="B412" s="31" t="s">
        <v>38</v>
      </c>
      <c r="C412" s="32">
        <f ca="1">IFERROR(C406/C410,0)</f>
        <v>489.99999999999994</v>
      </c>
      <c r="D412" s="32">
        <f t="shared" ref="D412:E412" ca="1" si="63">IFERROR(D406/D410,0)</f>
        <v>979.99999999999989</v>
      </c>
      <c r="E412" s="32">
        <f t="shared" ca="1" si="63"/>
        <v>1470</v>
      </c>
    </row>
    <row r="413" spans="2:5" hidden="1" outlineLevel="1" x14ac:dyDescent="0.3">
      <c r="B413" s="20" t="s">
        <v>30</v>
      </c>
      <c r="C413" s="33">
        <f ca="1">IF(C412=0,0,INDEX(INDIRECT($B400),MATCH($B401,Regions,0),9)*C407*C409)</f>
        <v>784</v>
      </c>
      <c r="D413" s="33">
        <f ca="1">IF(D412=0,0,INDEX(INDIRECT($B400),MATCH($B401,Regions,0),9)*D407*D409)</f>
        <v>1568</v>
      </c>
      <c r="E413" s="33">
        <f ca="1">IF(E412=0,0,INDEX(INDIRECT($B400),MATCH($B401,Regions,0),9)*E407*E409)</f>
        <v>2352</v>
      </c>
    </row>
    <row r="414" spans="2:5" hidden="1" outlineLevel="1" x14ac:dyDescent="0.3">
      <c r="B414" s="20" t="s">
        <v>31</v>
      </c>
      <c r="C414" s="33">
        <f ca="1">IFERROR(C412*INDEX(INDIRECT($B400),MATCH($B401,Regions,0),4)/(7/INDEX(INDIRECT($B400),MATCH($B401,Regions,0),6)),0)</f>
        <v>74.150286923383135</v>
      </c>
      <c r="D414" s="33">
        <f ca="1">IFERROR(D412*INDEX(INDIRECT($B400),MATCH($B401,Regions,0),4)/(7/INDEX(INDIRECT($B400),MATCH($B401,Regions,0),6)),0)</f>
        <v>148.30057384676627</v>
      </c>
      <c r="E414" s="33">
        <f ca="1">IFERROR(E412*INDEX(INDIRECT($B400),MATCH($B401,Regions,0),4)/(7/INDEX(INDIRECT($B400),MATCH($B401,Regions,0),6)),0)</f>
        <v>222.45086077014946</v>
      </c>
    </row>
    <row r="415" spans="2:5" hidden="1" outlineLevel="1" x14ac:dyDescent="0.3">
      <c r="B415" s="20" t="s">
        <v>32</v>
      </c>
      <c r="C415" s="33">
        <f ca="1">IFERROR(C412*INDEX(INDIRECT($B400),MATCH($B401,Regions,0),5)/(7/INDEX(INDIRECT($B400),MATCH($B401,Regions,0),7)),0)</f>
        <v>0.12415381201064449</v>
      </c>
      <c r="D415" s="33">
        <f ca="1">IFERROR(D412*INDEX(INDIRECT($B400),MATCH($B401,Regions,0),5)/(7/INDEX(INDIRECT($B400),MATCH($B401,Regions,0),7)),0)</f>
        <v>0.24830762402128898</v>
      </c>
      <c r="E415" s="33">
        <f ca="1">IFERROR(E412*INDEX(INDIRECT($B400),MATCH($B401,Regions,0),5)/(7/INDEX(INDIRECT($B400),MATCH($B401,Regions,0),7)),0)</f>
        <v>0.37246143603193349</v>
      </c>
    </row>
    <row r="416" spans="2:5" hidden="1" outlineLevel="1" x14ac:dyDescent="0.3">
      <c r="B416" s="20"/>
      <c r="C416" s="44"/>
      <c r="D416" s="44"/>
      <c r="E416" s="44"/>
    </row>
    <row r="417" spans="2:5" hidden="1" outlineLevel="1" x14ac:dyDescent="0.3">
      <c r="B417" s="10" t="s">
        <v>25</v>
      </c>
    </row>
    <row r="418" spans="2:5" hidden="1" outlineLevel="1" x14ac:dyDescent="0.3">
      <c r="B418" s="11" t="s">
        <v>111</v>
      </c>
    </row>
    <row r="419" spans="2:5" hidden="1" outlineLevel="1" x14ac:dyDescent="0.3">
      <c r="B419" s="11" t="s">
        <v>3</v>
      </c>
    </row>
    <row r="420" spans="2:5" hidden="1" outlineLevel="1" x14ac:dyDescent="0.3"/>
    <row r="421" spans="2:5" hidden="1" outlineLevel="1" x14ac:dyDescent="0.3">
      <c r="C421" s="297" t="s">
        <v>12</v>
      </c>
      <c r="D421" s="297"/>
      <c r="E421" s="297"/>
    </row>
    <row r="422" spans="2:5" ht="28.8" hidden="1" outlineLevel="1" x14ac:dyDescent="0.3">
      <c r="B422" s="13" t="str">
        <f>B418&amp;" - "&amp;B419</f>
        <v>Benign_P4 - Central</v>
      </c>
      <c r="C422" s="14" t="str">
        <f>'Data Inputs'!$C$29</f>
        <v>Scenario 1:
+1 day a week</v>
      </c>
      <c r="D422" s="14" t="str">
        <f>'Data Inputs'!$D$29</f>
        <v>Scenario 2:
+2 days a week</v>
      </c>
      <c r="E422" s="71" t="str">
        <f>'Data Inputs'!$E$29</f>
        <v>Scenario 3:
+3 days a week</v>
      </c>
    </row>
    <row r="423" spans="2:5" hidden="1" outlineLevel="1" x14ac:dyDescent="0.3">
      <c r="B423" s="12" t="s">
        <v>21</v>
      </c>
      <c r="C423" s="17"/>
      <c r="D423" s="18"/>
      <c r="E423" s="19"/>
    </row>
    <row r="424" spans="2:5" hidden="1" outlineLevel="1" x14ac:dyDescent="0.3">
      <c r="B424" s="20" t="s">
        <v>13</v>
      </c>
      <c r="C424" s="21">
        <f ca="1">INDEX(INDIRECT($B418),MATCH($B419,Regions,0),1)</f>
        <v>26559.586082000002</v>
      </c>
      <c r="D424" s="21">
        <f ca="1">INDEX(INDIRECT($B418),MATCH($B419,Regions,0),1)</f>
        <v>26559.586082000002</v>
      </c>
      <c r="E424" s="21">
        <f ca="1">INDEX(INDIRECT($B418),MATCH($B419,Regions,0),1)</f>
        <v>26559.586082000002</v>
      </c>
    </row>
    <row r="425" spans="2:5" hidden="1" outlineLevel="1" x14ac:dyDescent="0.3">
      <c r="B425" s="20" t="s">
        <v>20</v>
      </c>
      <c r="C425" s="23">
        <f>INDEX(ScenarioInputs,MATCH($B419,Regions,0),MATCH(C422,Scenarios,0))</f>
        <v>1</v>
      </c>
      <c r="D425" s="23">
        <f>INDEX(ScenarioInputs,MATCH($B419,Regions,0),MATCH(D422,Scenarios,0))</f>
        <v>2</v>
      </c>
      <c r="E425" s="23">
        <f>INDEX(ScenarioInputs,MATCH($B419,Regions,0),MATCH(E422,Scenarios,0))</f>
        <v>3</v>
      </c>
    </row>
    <row r="426" spans="2:5" hidden="1" outlineLevel="1" x14ac:dyDescent="0.3">
      <c r="B426" s="20" t="s">
        <v>37</v>
      </c>
      <c r="C426" s="21">
        <f ca="1">ROUNDDOWN(C425*INDEX(INDIRECT($B418),MATCH($B419,Regions,0),9)/(INDEX(INDIRECT($B418),MATCH($B419,Regions,0),3)+INDEX(INDIRECT($B418),MATCH($B419,Regions,0),2)),0)+IF(MOD(INDEX(INDIRECT($B418),MATCH($B419,Regions,0),9),INDEX(INDIRECT($B418),MATCH($B419,Regions,0),3)+INDEX(INDIRECT($B418),MATCH($B419,Regions,0),2))&lt;Buffer,0,1)</f>
        <v>6</v>
      </c>
      <c r="D426" s="21">
        <f ca="1">ROUNDDOWN(D425*INDEX(INDIRECT($B418),MATCH($B419,Regions,0),9)/(INDEX(INDIRECT($B418),MATCH($B419,Regions,0),3)+INDEX(INDIRECT($B418),MATCH($B419,Regions,0),2)),0)+IF(MOD(INDEX(INDIRECT($B418),MATCH($B419,Regions,0),9),INDEX(INDIRECT($B418),MATCH($B419,Regions,0),3)+INDEX(INDIRECT($B418),MATCH($B419,Regions,0),2))&lt;Buffer,0,1)</f>
        <v>12</v>
      </c>
      <c r="E426" s="21">
        <f ca="1">ROUNDDOWN(E425*INDEX(INDIRECT($B418),MATCH($B419,Regions,0),9)/(INDEX(INDIRECT($B418),MATCH($B419,Regions,0),3)+INDEX(INDIRECT($B418),MATCH($B419,Regions,0),2)),0)+IF(MOD(INDEX(INDIRECT($B418),MATCH($B419,Regions,0),9),INDEX(INDIRECT($B418),MATCH($B419,Regions,0),3)+INDEX(INDIRECT($B418),MATCH($B419,Regions,0),2))&lt;Buffer,0,1)</f>
        <v>18</v>
      </c>
    </row>
    <row r="427" spans="2:5" hidden="1" outlineLevel="1" x14ac:dyDescent="0.3">
      <c r="B427" s="20" t="s">
        <v>43</v>
      </c>
      <c r="C427" s="21">
        <f ca="1">ROUNDDOWN(INDEX(INDIRECT($B418),MATCH($B419,Regions,0),8)*INDEX(INDIRECT($B418),MATCH($B419,Regions,0),10),0)</f>
        <v>98</v>
      </c>
      <c r="D427" s="21">
        <f ca="1">ROUNDDOWN(INDEX(INDIRECT($B418),MATCH($B419,Regions,0),8)*INDEX(INDIRECT($B418),MATCH($B419,Regions,0),10),0)</f>
        <v>98</v>
      </c>
      <c r="E427" s="21">
        <f ca="1">ROUNDDOWN(INDEX(INDIRECT($B418),MATCH($B419,Regions,0),8)*INDEX(INDIRECT($B418),MATCH($B419,Regions,0),10),0)</f>
        <v>98</v>
      </c>
    </row>
    <row r="428" spans="2:5" hidden="1" outlineLevel="1" x14ac:dyDescent="0.3">
      <c r="B428" s="26" t="s">
        <v>11</v>
      </c>
      <c r="C428" s="27">
        <f ca="1">IFERROR(C424/(C427*C426),NA())</f>
        <v>45.169364085034019</v>
      </c>
      <c r="D428" s="27">
        <f t="shared" ref="D428:E428" ca="1" si="64">IFERROR(D424/(D427*D426),NA())</f>
        <v>22.584682042517009</v>
      </c>
      <c r="E428" s="27">
        <f t="shared" ca="1" si="64"/>
        <v>15.05645469501134</v>
      </c>
    </row>
    <row r="429" spans="2:5" hidden="1" outlineLevel="1" x14ac:dyDescent="0.3">
      <c r="B429" s="12" t="s">
        <v>14</v>
      </c>
      <c r="C429" s="28"/>
      <c r="D429" s="29"/>
      <c r="E429" s="30"/>
    </row>
    <row r="430" spans="2:5" hidden="1" outlineLevel="1" x14ac:dyDescent="0.3">
      <c r="B430" s="31" t="s">
        <v>38</v>
      </c>
      <c r="C430" s="32">
        <f ca="1">IFERROR(C424/C428,0)</f>
        <v>588</v>
      </c>
      <c r="D430" s="32">
        <f t="shared" ref="D430:E430" ca="1" si="65">IFERROR(D424/D428,0)</f>
        <v>1176</v>
      </c>
      <c r="E430" s="32">
        <f t="shared" ca="1" si="65"/>
        <v>1764</v>
      </c>
    </row>
    <row r="431" spans="2:5" hidden="1" outlineLevel="1" x14ac:dyDescent="0.3">
      <c r="B431" s="20" t="s">
        <v>30</v>
      </c>
      <c r="C431" s="33">
        <f ca="1">IF(C430=0,0,INDEX(INDIRECT($B418),MATCH($B419,Regions,0),9)*C425*C427)</f>
        <v>784</v>
      </c>
      <c r="D431" s="33">
        <f ca="1">IF(D430=0,0,INDEX(INDIRECT($B418),MATCH($B419,Regions,0),9)*D425*D427)</f>
        <v>1568</v>
      </c>
      <c r="E431" s="33">
        <f ca="1">IF(E430=0,0,INDEX(INDIRECT($B418),MATCH($B419,Regions,0),9)*E425*E427)</f>
        <v>2352</v>
      </c>
    </row>
    <row r="432" spans="2:5" hidden="1" outlineLevel="1" x14ac:dyDescent="0.3">
      <c r="B432" s="20" t="s">
        <v>31</v>
      </c>
      <c r="C432" s="33">
        <f ca="1">IFERROR(C430*INDEX(INDIRECT($B418),MATCH($B419,Regions,0),4)/(7/INDEX(INDIRECT($B418),MATCH($B419,Regions,0),6)),0)</f>
        <v>33.231193268689545</v>
      </c>
      <c r="D432" s="33">
        <f ca="1">IFERROR(D430*INDEX(INDIRECT($B418),MATCH($B419,Regions,0),4)/(7/INDEX(INDIRECT($B418),MATCH($B419,Regions,0),6)),0)</f>
        <v>66.462386537379089</v>
      </c>
      <c r="E432" s="33">
        <f ca="1">IFERROR(E430*INDEX(INDIRECT($B418),MATCH($B419,Regions,0),4)/(7/INDEX(INDIRECT($B418),MATCH($B419,Regions,0),6)),0)</f>
        <v>99.693579806068627</v>
      </c>
    </row>
    <row r="433" spans="2:5" hidden="1" outlineLevel="1" x14ac:dyDescent="0.3">
      <c r="B433" s="20" t="s">
        <v>32</v>
      </c>
      <c r="C433" s="33">
        <f ca="1">IFERROR(C430*INDEX(INDIRECT($B418),MATCH($B419,Regions,0),5)/(7/INDEX(INDIRECT($B418),MATCH($B419,Regions,0),7)),0)</f>
        <v>1.5817247872985159E-2</v>
      </c>
      <c r="D433" s="33">
        <f ca="1">IFERROR(D430*INDEX(INDIRECT($B418),MATCH($B419,Regions,0),5)/(7/INDEX(INDIRECT($B418),MATCH($B419,Regions,0),7)),0)</f>
        <v>3.1634495745970319E-2</v>
      </c>
      <c r="E433" s="33">
        <f ca="1">IFERROR(E430*INDEX(INDIRECT($B418),MATCH($B419,Regions,0),5)/(7/INDEX(INDIRECT($B418),MATCH($B419,Regions,0),7)),0)</f>
        <v>4.7451743618955482E-2</v>
      </c>
    </row>
    <row r="434" spans="2:5" hidden="1" outlineLevel="1" x14ac:dyDescent="0.3">
      <c r="B434" s="20"/>
      <c r="C434" s="44"/>
      <c r="D434" s="44"/>
      <c r="E434" s="44"/>
    </row>
    <row r="435" spans="2:5" hidden="1" outlineLevel="1" x14ac:dyDescent="0.3">
      <c r="B435" s="10" t="s">
        <v>25</v>
      </c>
    </row>
    <row r="436" spans="2:5" hidden="1" outlineLevel="1" x14ac:dyDescent="0.3">
      <c r="B436" s="11" t="s">
        <v>112</v>
      </c>
    </row>
    <row r="437" spans="2:5" hidden="1" outlineLevel="1" x14ac:dyDescent="0.3">
      <c r="B437" s="11" t="s">
        <v>3</v>
      </c>
    </row>
    <row r="438" spans="2:5" hidden="1" outlineLevel="1" x14ac:dyDescent="0.3"/>
    <row r="439" spans="2:5" hidden="1" outlineLevel="1" x14ac:dyDescent="0.3">
      <c r="C439" s="297" t="s">
        <v>12</v>
      </c>
      <c r="D439" s="297"/>
      <c r="E439" s="297"/>
    </row>
    <row r="440" spans="2:5" ht="28.8" hidden="1" outlineLevel="1" x14ac:dyDescent="0.3">
      <c r="B440" s="13" t="str">
        <f>B436&amp;" - "&amp;B437</f>
        <v>Pediatric_P2P3 - Central</v>
      </c>
      <c r="C440" s="14" t="str">
        <f>'Data Inputs'!$C$29</f>
        <v>Scenario 1:
+1 day a week</v>
      </c>
      <c r="D440" s="14" t="str">
        <f>'Data Inputs'!$D$29</f>
        <v>Scenario 2:
+2 days a week</v>
      </c>
      <c r="E440" s="71" t="str">
        <f>'Data Inputs'!$E$29</f>
        <v>Scenario 3:
+3 days a week</v>
      </c>
    </row>
    <row r="441" spans="2:5" hidden="1" outlineLevel="1" x14ac:dyDescent="0.3">
      <c r="B441" s="12" t="s">
        <v>21</v>
      </c>
      <c r="C441" s="17"/>
      <c r="D441" s="18"/>
      <c r="E441" s="19"/>
    </row>
    <row r="442" spans="2:5" hidden="1" outlineLevel="1" x14ac:dyDescent="0.3">
      <c r="B442" s="20" t="s">
        <v>13</v>
      </c>
      <c r="C442" s="21">
        <f ca="1">INDEX(INDIRECT($B436),MATCH($B437,Regions,0),1)</f>
        <v>560.96568631999992</v>
      </c>
      <c r="D442" s="21">
        <f ca="1">INDEX(INDIRECT($B436),MATCH($B437,Regions,0),1)</f>
        <v>560.96568631999992</v>
      </c>
      <c r="E442" s="21">
        <f ca="1">INDEX(INDIRECT($B436),MATCH($B437,Regions,0),1)</f>
        <v>560.96568631999992</v>
      </c>
    </row>
    <row r="443" spans="2:5" hidden="1" outlineLevel="1" x14ac:dyDescent="0.3">
      <c r="B443" s="20" t="s">
        <v>20</v>
      </c>
      <c r="C443" s="23">
        <f>INDEX(ScenarioInputs,MATCH($B437,Regions,0),MATCH(C440,Scenarios,0))</f>
        <v>1</v>
      </c>
      <c r="D443" s="23">
        <f>INDEX(ScenarioInputs,MATCH($B437,Regions,0),MATCH(D440,Scenarios,0))</f>
        <v>2</v>
      </c>
      <c r="E443" s="23">
        <f>INDEX(ScenarioInputs,MATCH($B437,Regions,0),MATCH(E440,Scenarios,0))</f>
        <v>3</v>
      </c>
    </row>
    <row r="444" spans="2:5" hidden="1" outlineLevel="1" x14ac:dyDescent="0.3">
      <c r="B444" s="20" t="s">
        <v>37</v>
      </c>
      <c r="C444" s="21">
        <f ca="1">ROUNDDOWN(C443*INDEX(INDIRECT($B436),MATCH($B437,Regions,0),9)/(INDEX(INDIRECT($B436),MATCH($B437,Regions,0),3)+INDEX(INDIRECT($B436),MATCH($B437,Regions,0),2)),0)+IF(MOD(INDEX(INDIRECT($B436),MATCH($B437,Regions,0),9),INDEX(INDIRECT($B436),MATCH($B437,Regions,0),3)+INDEX(INDIRECT($B436),MATCH($B437,Regions,0),2))&lt;Buffer,0,1)</f>
        <v>6</v>
      </c>
      <c r="D444" s="21">
        <f ca="1">ROUNDDOWN(D443*INDEX(INDIRECT($B436),MATCH($B437,Regions,0),9)/(INDEX(INDIRECT($B436),MATCH($B437,Regions,0),3)+INDEX(INDIRECT($B436),MATCH($B437,Regions,0),2)),0)+IF(MOD(INDEX(INDIRECT($B436),MATCH($B437,Regions,0),9),INDEX(INDIRECT($B436),MATCH($B437,Regions,0),3)+INDEX(INDIRECT($B436),MATCH($B437,Regions,0),2))&lt;Buffer,0,1)</f>
        <v>12</v>
      </c>
      <c r="E444" s="21">
        <f ca="1">ROUNDDOWN(E443*INDEX(INDIRECT($B436),MATCH($B437,Regions,0),9)/(INDEX(INDIRECT($B436),MATCH($B437,Regions,0),3)+INDEX(INDIRECT($B436),MATCH($B437,Regions,0),2)),0)+IF(MOD(INDEX(INDIRECT($B436),MATCH($B437,Regions,0),9),INDEX(INDIRECT($B436),MATCH($B437,Regions,0),3)+INDEX(INDIRECT($B436),MATCH($B437,Regions,0),2))&lt;Buffer,0,1)</f>
        <v>18</v>
      </c>
    </row>
    <row r="445" spans="2:5" hidden="1" outlineLevel="1" x14ac:dyDescent="0.3">
      <c r="B445" s="20" t="s">
        <v>43</v>
      </c>
      <c r="C445" s="21">
        <f ca="1">ROUNDDOWN(INDEX(INDIRECT($B436),MATCH($B437,Regions,0),8)*INDEX(INDIRECT($B436),MATCH($B437,Regions,0),10),0)</f>
        <v>94</v>
      </c>
      <c r="D445" s="21">
        <f ca="1">ROUNDDOWN(INDEX(INDIRECT($B436),MATCH($B437,Regions,0),8)*INDEX(INDIRECT($B436),MATCH($B437,Regions,0),10),0)</f>
        <v>94</v>
      </c>
      <c r="E445" s="21">
        <f ca="1">ROUNDDOWN(INDEX(INDIRECT($B436),MATCH($B437,Regions,0),8)*INDEX(INDIRECT($B436),MATCH($B437,Regions,0),10),0)</f>
        <v>94</v>
      </c>
    </row>
    <row r="446" spans="2:5" hidden="1" outlineLevel="1" x14ac:dyDescent="0.3">
      <c r="B446" s="26" t="s">
        <v>11</v>
      </c>
      <c r="C446" s="27">
        <f ca="1">IFERROR(C442/(C445*C444),NA())</f>
        <v>0.99462001120567356</v>
      </c>
      <c r="D446" s="27">
        <f t="shared" ref="D446:E446" ca="1" si="66">IFERROR(D442/(D445*D444),NA())</f>
        <v>0.49731000560283678</v>
      </c>
      <c r="E446" s="27">
        <f t="shared" ca="1" si="66"/>
        <v>0.33154000373522452</v>
      </c>
    </row>
    <row r="447" spans="2:5" hidden="1" outlineLevel="1" x14ac:dyDescent="0.3">
      <c r="B447" s="12" t="s">
        <v>14</v>
      </c>
      <c r="C447" s="28"/>
      <c r="D447" s="29"/>
      <c r="E447" s="30"/>
    </row>
    <row r="448" spans="2:5" hidden="1" outlineLevel="1" x14ac:dyDescent="0.3">
      <c r="B448" s="31" t="s">
        <v>38</v>
      </c>
      <c r="C448" s="32">
        <f ca="1">IFERROR(C442/C446,0)</f>
        <v>564</v>
      </c>
      <c r="D448" s="32">
        <f t="shared" ref="D448:E448" ca="1" si="67">IFERROR(D442/D446,0)</f>
        <v>1128</v>
      </c>
      <c r="E448" s="32">
        <f t="shared" ca="1" si="67"/>
        <v>1692</v>
      </c>
    </row>
    <row r="449" spans="2:5" hidden="1" outlineLevel="1" x14ac:dyDescent="0.3">
      <c r="B449" s="20" t="s">
        <v>30</v>
      </c>
      <c r="C449" s="33">
        <f ca="1">IF(C448=0,0,INDEX(INDIRECT($B436),MATCH($B437,Regions,0),9)*C443*C445)</f>
        <v>752</v>
      </c>
      <c r="D449" s="33">
        <f ca="1">IF(D448=0,0,INDEX(INDIRECT($B436),MATCH($B437,Regions,0),9)*D443*D445)</f>
        <v>1504</v>
      </c>
      <c r="E449" s="33">
        <f ca="1">IF(E448=0,0,INDEX(INDIRECT($B436),MATCH($B437,Regions,0),9)*E443*E445)</f>
        <v>2256</v>
      </c>
    </row>
    <row r="450" spans="2:5" hidden="1" outlineLevel="1" x14ac:dyDescent="0.3">
      <c r="B450" s="20" t="s">
        <v>31</v>
      </c>
      <c r="C450" s="33">
        <f ca="1">IFERROR(C448*INDEX(INDIRECT($B436),MATCH($B437,Regions,0),4)/(7/INDEX(INDIRECT($B436),MATCH($B437,Regions,0),6)),0)</f>
        <v>5.7048621235540748</v>
      </c>
      <c r="D450" s="33">
        <f ca="1">IFERROR(D448*INDEX(INDIRECT($B436),MATCH($B437,Regions,0),4)/(7/INDEX(INDIRECT($B436),MATCH($B437,Regions,0),6)),0)</f>
        <v>11.40972424710815</v>
      </c>
      <c r="E450" s="33">
        <f ca="1">IFERROR(E448*INDEX(INDIRECT($B436),MATCH($B437,Regions,0),4)/(7/INDEX(INDIRECT($B436),MATCH($B437,Regions,0),6)),0)</f>
        <v>17.114586370662227</v>
      </c>
    </row>
    <row r="451" spans="2:5" hidden="1" outlineLevel="1" x14ac:dyDescent="0.3">
      <c r="B451" s="20" t="s">
        <v>32</v>
      </c>
      <c r="C451" s="33">
        <f ca="1">IFERROR(C448*INDEX(INDIRECT($B436),MATCH($B437,Regions,0),5)/(7/INDEX(INDIRECT($B436),MATCH($B437,Regions,0),7)),0)</f>
        <v>0</v>
      </c>
      <c r="D451" s="33">
        <f ca="1">IFERROR(D448*INDEX(INDIRECT($B436),MATCH($B437,Regions,0),5)/(7/INDEX(INDIRECT($B436),MATCH($B437,Regions,0),7)),0)</f>
        <v>0</v>
      </c>
      <c r="E451" s="33">
        <f ca="1">IFERROR(E448*INDEX(INDIRECT($B436),MATCH($B437,Regions,0),5)/(7/INDEX(INDIRECT($B436),MATCH($B437,Regions,0),7)),0)</f>
        <v>0</v>
      </c>
    </row>
    <row r="452" spans="2:5" hidden="1" outlineLevel="1" x14ac:dyDescent="0.3">
      <c r="B452" s="20"/>
      <c r="C452" s="44"/>
      <c r="D452" s="44"/>
      <c r="E452" s="44"/>
    </row>
    <row r="453" spans="2:5" hidden="1" outlineLevel="1" x14ac:dyDescent="0.3">
      <c r="B453" s="10" t="s">
        <v>25</v>
      </c>
    </row>
    <row r="454" spans="2:5" hidden="1" outlineLevel="1" x14ac:dyDescent="0.3">
      <c r="B454" s="11" t="s">
        <v>113</v>
      </c>
    </row>
    <row r="455" spans="2:5" hidden="1" outlineLevel="1" x14ac:dyDescent="0.3">
      <c r="B455" s="11" t="s">
        <v>3</v>
      </c>
    </row>
    <row r="456" spans="2:5" hidden="1" outlineLevel="1" x14ac:dyDescent="0.3"/>
    <row r="457" spans="2:5" hidden="1" outlineLevel="1" x14ac:dyDescent="0.3">
      <c r="C457" s="297" t="s">
        <v>12</v>
      </c>
      <c r="D457" s="297"/>
      <c r="E457" s="297"/>
    </row>
    <row r="458" spans="2:5" ht="28.8" hidden="1" outlineLevel="1" x14ac:dyDescent="0.3">
      <c r="B458" s="13" t="str">
        <f>B454&amp;" - "&amp;B455</f>
        <v>Pediatric_P4 - Central</v>
      </c>
      <c r="C458" s="14" t="str">
        <f>'Data Inputs'!$C$29</f>
        <v>Scenario 1:
+1 day a week</v>
      </c>
      <c r="D458" s="14" t="str">
        <f>'Data Inputs'!$D$29</f>
        <v>Scenario 2:
+2 days a week</v>
      </c>
      <c r="E458" s="71" t="str">
        <f>'Data Inputs'!$E$29</f>
        <v>Scenario 3:
+3 days a week</v>
      </c>
    </row>
    <row r="459" spans="2:5" hidden="1" outlineLevel="1" x14ac:dyDescent="0.3">
      <c r="B459" s="12" t="s">
        <v>21</v>
      </c>
      <c r="C459" s="17"/>
      <c r="D459" s="18"/>
      <c r="E459" s="19"/>
    </row>
    <row r="460" spans="2:5" hidden="1" outlineLevel="1" x14ac:dyDescent="0.3">
      <c r="B460" s="20" t="s">
        <v>13</v>
      </c>
      <c r="C460" s="21">
        <f ca="1">INDEX(INDIRECT($B454),MATCH($B455,Regions,0),1)</f>
        <v>2513.2728848000002</v>
      </c>
      <c r="D460" s="21">
        <f ca="1">INDEX(INDIRECT($B454),MATCH($B455,Regions,0),1)</f>
        <v>2513.2728848000002</v>
      </c>
      <c r="E460" s="21">
        <f ca="1">INDEX(INDIRECT($B454),MATCH($B455,Regions,0),1)</f>
        <v>2513.2728848000002</v>
      </c>
    </row>
    <row r="461" spans="2:5" hidden="1" outlineLevel="1" x14ac:dyDescent="0.3">
      <c r="B461" s="20" t="s">
        <v>20</v>
      </c>
      <c r="C461" s="23">
        <f>INDEX(ScenarioInputs,MATCH($B455,Regions,0),MATCH(C458,Scenarios,0))</f>
        <v>1</v>
      </c>
      <c r="D461" s="23">
        <f>INDEX(ScenarioInputs,MATCH($B455,Regions,0),MATCH(D458,Scenarios,0))</f>
        <v>2</v>
      </c>
      <c r="E461" s="23">
        <f>INDEX(ScenarioInputs,MATCH($B455,Regions,0),MATCH(E458,Scenarios,0))</f>
        <v>3</v>
      </c>
    </row>
    <row r="462" spans="2:5" hidden="1" outlineLevel="1" x14ac:dyDescent="0.3">
      <c r="B462" s="20" t="s">
        <v>37</v>
      </c>
      <c r="C462" s="21">
        <f ca="1">ROUNDDOWN(C461*INDEX(INDIRECT($B454),MATCH($B455,Regions,0),9)/(INDEX(INDIRECT($B454),MATCH($B455,Regions,0),3)+INDEX(INDIRECT($B454),MATCH($B455,Regions,0),2)),0)+IF(MOD(INDEX(INDIRECT($B454),MATCH($B455,Regions,0),9),INDEX(INDIRECT($B454),MATCH($B455,Regions,0),3)+INDEX(INDIRECT($B454),MATCH($B455,Regions,0),2))&lt;Buffer,0,1)</f>
        <v>7</v>
      </c>
      <c r="D462" s="21">
        <f ca="1">ROUNDDOWN(D461*INDEX(INDIRECT($B454),MATCH($B455,Regions,0),9)/(INDEX(INDIRECT($B454),MATCH($B455,Regions,0),3)+INDEX(INDIRECT($B454),MATCH($B455,Regions,0),2)),0)+IF(MOD(INDEX(INDIRECT($B454),MATCH($B455,Regions,0),9),INDEX(INDIRECT($B454),MATCH($B455,Regions,0),3)+INDEX(INDIRECT($B454),MATCH($B455,Regions,0),2))&lt;Buffer,0,1)</f>
        <v>14</v>
      </c>
      <c r="E462" s="21">
        <f ca="1">ROUNDDOWN(E461*INDEX(INDIRECT($B454),MATCH($B455,Regions,0),9)/(INDEX(INDIRECT($B454),MATCH($B455,Regions,0),3)+INDEX(INDIRECT($B454),MATCH($B455,Regions,0),2)),0)+IF(MOD(INDEX(INDIRECT($B454),MATCH($B455,Regions,0),9),INDEX(INDIRECT($B454),MATCH($B455,Regions,0),3)+INDEX(INDIRECT($B454),MATCH($B455,Regions,0),2))&lt;Buffer,0,1)</f>
        <v>21</v>
      </c>
    </row>
    <row r="463" spans="2:5" hidden="1" outlineLevel="1" x14ac:dyDescent="0.3">
      <c r="B463" s="20" t="s">
        <v>43</v>
      </c>
      <c r="C463" s="21">
        <f ca="1">ROUNDDOWN(INDEX(INDIRECT($B454),MATCH($B455,Regions,0),8)*INDEX(INDIRECT($B454),MATCH($B455,Regions,0),10),0)</f>
        <v>94</v>
      </c>
      <c r="D463" s="21">
        <f ca="1">ROUNDDOWN(INDEX(INDIRECT($B454),MATCH($B455,Regions,0),8)*INDEX(INDIRECT($B454),MATCH($B455,Regions,0),10),0)</f>
        <v>94</v>
      </c>
      <c r="E463" s="21">
        <f ca="1">ROUNDDOWN(INDEX(INDIRECT($B454),MATCH($B455,Regions,0),8)*INDEX(INDIRECT($B454),MATCH($B455,Regions,0),10),0)</f>
        <v>94</v>
      </c>
    </row>
    <row r="464" spans="2:5" hidden="1" outlineLevel="1" x14ac:dyDescent="0.3">
      <c r="B464" s="26" t="s">
        <v>11</v>
      </c>
      <c r="C464" s="27">
        <f ca="1">IFERROR(C460/(C463*C462),NA())</f>
        <v>3.8195636547112466</v>
      </c>
      <c r="D464" s="27">
        <f t="shared" ref="D464:E464" ca="1" si="68">IFERROR(D460/(D463*D462),NA())</f>
        <v>1.9097818273556233</v>
      </c>
      <c r="E464" s="27">
        <f t="shared" ca="1" si="68"/>
        <v>1.2731878849037488</v>
      </c>
    </row>
    <row r="465" spans="2:5" hidden="1" outlineLevel="1" x14ac:dyDescent="0.3">
      <c r="B465" s="12" t="s">
        <v>14</v>
      </c>
      <c r="C465" s="28"/>
      <c r="D465" s="29"/>
      <c r="E465" s="30"/>
    </row>
    <row r="466" spans="2:5" hidden="1" outlineLevel="1" x14ac:dyDescent="0.3">
      <c r="B466" s="31" t="s">
        <v>38</v>
      </c>
      <c r="C466" s="32">
        <f ca="1">IFERROR(C460/C464,0)</f>
        <v>658</v>
      </c>
      <c r="D466" s="32">
        <f t="shared" ref="D466:E466" ca="1" si="69">IFERROR(D460/D464,0)</f>
        <v>1316</v>
      </c>
      <c r="E466" s="32">
        <f t="shared" ca="1" si="69"/>
        <v>1974</v>
      </c>
    </row>
    <row r="467" spans="2:5" hidden="1" outlineLevel="1" x14ac:dyDescent="0.3">
      <c r="B467" s="20" t="s">
        <v>30</v>
      </c>
      <c r="C467" s="33">
        <f ca="1">IF(C466=0,0,INDEX(INDIRECT($B454),MATCH($B455,Regions,0),9)*C461*C463)</f>
        <v>752</v>
      </c>
      <c r="D467" s="33">
        <f ca="1">IF(D466=0,0,INDEX(INDIRECT($B454),MATCH($B455,Regions,0),9)*D461*D463)</f>
        <v>1504</v>
      </c>
      <c r="E467" s="33">
        <f ca="1">IF(E466=0,0,INDEX(INDIRECT($B454),MATCH($B455,Regions,0),9)*E461*E463)</f>
        <v>2256</v>
      </c>
    </row>
    <row r="468" spans="2:5" hidden="1" outlineLevel="1" x14ac:dyDescent="0.3">
      <c r="B468" s="20" t="s">
        <v>31</v>
      </c>
      <c r="C468" s="33">
        <f ca="1">IFERROR(C466*INDEX(INDIRECT($B454),MATCH($B455,Regions,0),4)/(7/INDEX(INDIRECT($B454),MATCH($B455,Regions,0),6)),0)</f>
        <v>9.2521360817790868</v>
      </c>
      <c r="D468" s="33">
        <f ca="1">IFERROR(D466*INDEX(INDIRECT($B454),MATCH($B455,Regions,0),4)/(7/INDEX(INDIRECT($B454),MATCH($B455,Regions,0),6)),0)</f>
        <v>18.504272163558174</v>
      </c>
      <c r="E468" s="33">
        <f ca="1">IFERROR(E466*INDEX(INDIRECT($B454),MATCH($B455,Regions,0),4)/(7/INDEX(INDIRECT($B454),MATCH($B455,Regions,0),6)),0)</f>
        <v>27.756408245337262</v>
      </c>
    </row>
    <row r="469" spans="2:5" hidden="1" outlineLevel="1" x14ac:dyDescent="0.3">
      <c r="B469" s="20" t="s">
        <v>32</v>
      </c>
      <c r="C469" s="33">
        <f ca="1">IFERROR(C466*INDEX(INDIRECT($B454),MATCH($B455,Regions,0),5)/(7/INDEX(INDIRECT($B454),MATCH($B455,Regions,0),7)),0)</f>
        <v>2.1929380718560001E-4</v>
      </c>
      <c r="D469" s="33">
        <f ca="1">IFERROR(D466*INDEX(INDIRECT($B454),MATCH($B455,Regions,0),5)/(7/INDEX(INDIRECT($B454),MATCH($B455,Regions,0),7)),0)</f>
        <v>4.3858761437120001E-4</v>
      </c>
      <c r="E469" s="33">
        <f ca="1">IFERROR(E466*INDEX(INDIRECT($B454),MATCH($B455,Regions,0),5)/(7/INDEX(INDIRECT($B454),MATCH($B455,Regions,0),7)),0)</f>
        <v>6.5788142155680013E-4</v>
      </c>
    </row>
    <row r="470" spans="2:5" hidden="1" outlineLevel="1" x14ac:dyDescent="0.3"/>
    <row r="471" spans="2:5" collapsed="1" x14ac:dyDescent="0.3"/>
    <row r="472" spans="2:5" x14ac:dyDescent="0.3">
      <c r="C472" s="297" t="s">
        <v>12</v>
      </c>
      <c r="D472" s="297"/>
      <c r="E472" s="297"/>
    </row>
    <row r="473" spans="2:5" ht="28.8" x14ac:dyDescent="0.3">
      <c r="B473" s="13" t="s">
        <v>4</v>
      </c>
      <c r="C473" s="14" t="str">
        <f>'Data Inputs'!$C$29</f>
        <v>Scenario 1:
+1 day a week</v>
      </c>
      <c r="D473" s="14" t="str">
        <f>'Data Inputs'!$D$29</f>
        <v>Scenario 2:
+2 days a week</v>
      </c>
      <c r="E473" s="71" t="str">
        <f>'Data Inputs'!$E$29</f>
        <v>Scenario 3:
+3 days a week</v>
      </c>
    </row>
    <row r="474" spans="2:5" x14ac:dyDescent="0.3">
      <c r="B474" s="12" t="s">
        <v>21</v>
      </c>
      <c r="C474" s="17"/>
      <c r="D474" s="18"/>
      <c r="E474" s="19"/>
    </row>
    <row r="475" spans="2:5" x14ac:dyDescent="0.3">
      <c r="B475" s="20" t="s">
        <v>13</v>
      </c>
      <c r="C475" s="21">
        <f ca="1">SUMIF($B491:$B684,$B475,C491:C684)</f>
        <v>19093.423153774162</v>
      </c>
      <c r="D475" s="21">
        <f t="shared" ref="D475:E475" ca="1" si="70">SUMIF($B491:$B684,$B475,D491:D684)</f>
        <v>19093.423153774162</v>
      </c>
      <c r="E475" s="21">
        <f t="shared" ca="1" si="70"/>
        <v>19093.423153774162</v>
      </c>
    </row>
    <row r="476" spans="2:5" x14ac:dyDescent="0.3">
      <c r="B476" s="26" t="s">
        <v>11</v>
      </c>
      <c r="C476" s="33">
        <f ca="1">SUMIF($B491:$B684,$B476,C491:C684)</f>
        <v>119.43639868069461</v>
      </c>
      <c r="D476" s="33">
        <f t="shared" ref="D476:E476" ca="1" si="71">SUMIF($B491:$B684,$B476,D491:D684)</f>
        <v>59.718199340347304</v>
      </c>
      <c r="E476" s="33">
        <f t="shared" ca="1" si="71"/>
        <v>38.649173300879582</v>
      </c>
    </row>
    <row r="477" spans="2:5" x14ac:dyDescent="0.3">
      <c r="B477" s="12" t="s">
        <v>14</v>
      </c>
      <c r="C477" s="28"/>
      <c r="D477" s="29"/>
      <c r="E477" s="30"/>
    </row>
    <row r="478" spans="2:5" x14ac:dyDescent="0.3">
      <c r="B478" s="31" t="s">
        <v>38</v>
      </c>
      <c r="C478" s="33">
        <f ca="1">C475/C476</f>
        <v>159.862683107343</v>
      </c>
      <c r="D478" s="33">
        <f t="shared" ref="D478:E478" ca="1" si="72">D475/D476</f>
        <v>319.72536621468601</v>
      </c>
      <c r="E478" s="33">
        <f t="shared" ca="1" si="72"/>
        <v>494.01892778233452</v>
      </c>
    </row>
    <row r="479" spans="2:5" x14ac:dyDescent="0.3">
      <c r="B479" s="20" t="s">
        <v>114</v>
      </c>
      <c r="C479" s="33">
        <f ca="1">(C498*C$497+C$515*C516+C$533*C534+C$551*C552+C$569*C570+C$587*C588+C$605*C606+C$623*C624+C$641*C642+C$659*C660+C$677*C678)/SUM(C$497+C$515+C$533+C$551+C$569+C$587+C$605+C$623+C$641+C$659+C$677)</f>
        <v>421.40337711069418</v>
      </c>
      <c r="D479" s="33">
        <f t="shared" ref="D479:E479" ca="1" si="73">(D498*D$497+D$515*D516+D$533*D534+D$551*D552+D$569*D570+D$587*D588+D$605*D606+D$623*D624+D$641*D642+D$659*D660+D$677*D678)/SUM(D$497+D$515+D$533+D$551+D$569+D$587+D$605+D$623+D$641+D$659+D$677)</f>
        <v>842.80675422138836</v>
      </c>
      <c r="E479" s="33">
        <f t="shared" ca="1" si="73"/>
        <v>1261.7215037593985</v>
      </c>
    </row>
    <row r="480" spans="2:5" x14ac:dyDescent="0.3">
      <c r="B480" s="20" t="s">
        <v>115</v>
      </c>
      <c r="C480" s="33">
        <f t="shared" ref="C480:E481" ca="1" si="74">(C499*C$497+C$515*C517+C$533*C535+C$551*C553+C$569*C571+C$587*C589+C$605*C607+C$623*C625+C$641*C643+C$659*C661+C$677*C679)/SUM(C$497+C$515+C$533+C$551+C$569+C$587+C$605+C$623+C$641+C$659+C$677)</f>
        <v>39.617853316069613</v>
      </c>
      <c r="D480" s="33">
        <f t="shared" ca="1" si="74"/>
        <v>79.235706632139227</v>
      </c>
      <c r="E480" s="33">
        <f t="shared" ca="1" si="74"/>
        <v>122.65469886713562</v>
      </c>
    </row>
    <row r="481" spans="2:5" x14ac:dyDescent="0.3">
      <c r="B481" s="20" t="s">
        <v>116</v>
      </c>
      <c r="C481" s="33">
        <f t="shared" ca="1" si="74"/>
        <v>3.3214512970263721</v>
      </c>
      <c r="D481" s="33">
        <f t="shared" ca="1" si="74"/>
        <v>6.6429025940527442</v>
      </c>
      <c r="E481" s="33">
        <f t="shared" ca="1" si="74"/>
        <v>10.032132689391851</v>
      </c>
    </row>
    <row r="484" spans="2:5" hidden="1" outlineLevel="1" x14ac:dyDescent="0.3">
      <c r="B484" s="10" t="s">
        <v>25</v>
      </c>
    </row>
    <row r="485" spans="2:5" hidden="1" outlineLevel="1" x14ac:dyDescent="0.3">
      <c r="B485" s="11" t="s">
        <v>26</v>
      </c>
    </row>
    <row r="486" spans="2:5" hidden="1" outlineLevel="1" x14ac:dyDescent="0.3">
      <c r="B486" s="11" t="s">
        <v>4</v>
      </c>
    </row>
    <row r="487" spans="2:5" hidden="1" outlineLevel="1" x14ac:dyDescent="0.3"/>
    <row r="488" spans="2:5" hidden="1" outlineLevel="1" x14ac:dyDescent="0.3">
      <c r="C488" s="297" t="s">
        <v>12</v>
      </c>
      <c r="D488" s="297"/>
      <c r="E488" s="297"/>
    </row>
    <row r="489" spans="2:5" ht="28.8" hidden="1" outlineLevel="1" x14ac:dyDescent="0.3">
      <c r="B489" s="13" t="str">
        <f>B485&amp;" - "&amp;B486</f>
        <v>Cancer_P2P3 - Toronto</v>
      </c>
      <c r="C489" s="14" t="str">
        <f>'Data Inputs'!$C$29</f>
        <v>Scenario 1:
+1 day a week</v>
      </c>
      <c r="D489" s="14" t="str">
        <f>'Data Inputs'!$D$29</f>
        <v>Scenario 2:
+2 days a week</v>
      </c>
      <c r="E489" s="71" t="str">
        <f>'Data Inputs'!$E$29</f>
        <v>Scenario 3:
+3 days a week</v>
      </c>
    </row>
    <row r="490" spans="2:5" hidden="1" outlineLevel="1" x14ac:dyDescent="0.3">
      <c r="B490" s="12" t="s">
        <v>21</v>
      </c>
      <c r="C490" s="17"/>
      <c r="D490" s="18"/>
      <c r="E490" s="19"/>
    </row>
    <row r="491" spans="2:5" hidden="1" outlineLevel="1" x14ac:dyDescent="0.3">
      <c r="B491" s="20" t="s">
        <v>13</v>
      </c>
      <c r="C491" s="21">
        <f ca="1">INDEX(INDIRECT($B485),MATCH($B486,Regions,0),1)</f>
        <v>487.77804934331203</v>
      </c>
      <c r="D491" s="21">
        <f ca="1">INDEX(INDIRECT($B485),MATCH($B486,Regions,0),1)</f>
        <v>487.77804934331203</v>
      </c>
      <c r="E491" s="21">
        <f ca="1">INDEX(INDIRECT($B485),MATCH($B486,Regions,0),1)</f>
        <v>487.77804934331203</v>
      </c>
    </row>
    <row r="492" spans="2:5" hidden="1" outlineLevel="1" x14ac:dyDescent="0.3">
      <c r="B492" s="20" t="s">
        <v>20</v>
      </c>
      <c r="C492" s="23">
        <f>INDEX(ScenarioInputs,MATCH($B486,Regions,0),MATCH(C489,Scenarios,0))</f>
        <v>1</v>
      </c>
      <c r="D492" s="23">
        <f>INDEX(ScenarioInputs,MATCH($B486,Regions,0),MATCH(D489,Scenarios,0))</f>
        <v>2</v>
      </c>
      <c r="E492" s="23">
        <f>INDEX(ScenarioInputs,MATCH($B486,Regions,0),MATCH(E489,Scenarios,0))</f>
        <v>3</v>
      </c>
    </row>
    <row r="493" spans="2:5" hidden="1" outlineLevel="1" x14ac:dyDescent="0.3">
      <c r="B493" s="20" t="s">
        <v>37</v>
      </c>
      <c r="C493" s="21">
        <f ca="1">ROUNDDOWN(C492*INDEX(INDIRECT($B485),MATCH($B486,Regions,0),9)/(INDEX(INDIRECT($B485),MATCH($B486,Regions,0),3)+INDEX(INDIRECT($B485),MATCH($B486,Regions,0),2)),0)+IF(MOD(INDEX(INDIRECT($B485),MATCH($B486,Regions,0),9),INDEX(INDIRECT($B485),MATCH($B486,Regions,0),3)+INDEX(INDIRECT($B485),MATCH($B486,Regions,0),2))&lt;Buffer,0,1)</f>
        <v>2</v>
      </c>
      <c r="D493" s="21">
        <f ca="1">ROUNDDOWN(D492*INDEX(INDIRECT($B485),MATCH($B486,Regions,0),9)/(INDEX(INDIRECT($B485),MATCH($B486,Regions,0),3)+INDEX(INDIRECT($B485),MATCH($B486,Regions,0),2)),0)+IF(MOD(INDEX(INDIRECT($B485),MATCH($B486,Regions,0),9),INDEX(INDIRECT($B485),MATCH($B486,Regions,0),3)+INDEX(INDIRECT($B485),MATCH($B486,Regions,0),2))&lt;Buffer,0,1)</f>
        <v>4</v>
      </c>
      <c r="E493" s="21">
        <f ca="1">ROUNDDOWN(E492*INDEX(INDIRECT($B485),MATCH($B486,Regions,0),9)/(INDEX(INDIRECT($B485),MATCH($B486,Regions,0),3)+INDEX(INDIRECT($B485),MATCH($B486,Regions,0),2)),0)+IF(MOD(INDEX(INDIRECT($B485),MATCH($B486,Regions,0),9),INDEX(INDIRECT($B485),MATCH($B486,Regions,0),3)+INDEX(INDIRECT($B485),MATCH($B486,Regions,0),2))&lt;Buffer,0,1)</f>
        <v>6</v>
      </c>
    </row>
    <row r="494" spans="2:5" hidden="1" outlineLevel="1" x14ac:dyDescent="0.3">
      <c r="B494" s="20" t="s">
        <v>43</v>
      </c>
      <c r="C494" s="21">
        <f ca="1">ROUNDDOWN(INDEX(INDIRECT($B485),MATCH($B486,Regions,0),8)*INDEX(INDIRECT($B485),MATCH($B486,Regions,0),10),0)</f>
        <v>64</v>
      </c>
      <c r="D494" s="21">
        <f ca="1">ROUNDDOWN(INDEX(INDIRECT($B485),MATCH($B486,Regions,0),8)*INDEX(INDIRECT($B485),MATCH($B486,Regions,0),10),0)</f>
        <v>64</v>
      </c>
      <c r="E494" s="21">
        <f ca="1">ROUNDDOWN(INDEX(INDIRECT($B485),MATCH($B486,Regions,0),8)*INDEX(INDIRECT($B485),MATCH($B486,Regions,0),10),0)</f>
        <v>64</v>
      </c>
    </row>
    <row r="495" spans="2:5" hidden="1" outlineLevel="1" x14ac:dyDescent="0.3">
      <c r="B495" s="26" t="s">
        <v>11</v>
      </c>
      <c r="C495" s="27">
        <f ca="1">IFERROR(C491/(C494*C493),NA())</f>
        <v>3.8107660104946253</v>
      </c>
      <c r="D495" s="27">
        <f t="shared" ref="D495" ca="1" si="75">IFERROR(D491/(D494*D493),NA())</f>
        <v>1.9053830052473126</v>
      </c>
      <c r="E495" s="27">
        <f t="shared" ref="E495" ca="1" si="76">IFERROR(E491/(E494*E493),NA())</f>
        <v>1.2702553368315417</v>
      </c>
    </row>
    <row r="496" spans="2:5" hidden="1" outlineLevel="1" x14ac:dyDescent="0.3">
      <c r="B496" s="12" t="s">
        <v>14</v>
      </c>
      <c r="C496" s="28"/>
      <c r="D496" s="29"/>
      <c r="E496" s="30"/>
    </row>
    <row r="497" spans="2:5" hidden="1" outlineLevel="1" x14ac:dyDescent="0.3">
      <c r="B497" s="31" t="s">
        <v>38</v>
      </c>
      <c r="C497" s="32">
        <f ca="1">IFERROR(C491/C495,0)</f>
        <v>128</v>
      </c>
      <c r="D497" s="32">
        <f t="shared" ref="D497:E497" ca="1" si="77">IFERROR(D491/D495,0)</f>
        <v>256</v>
      </c>
      <c r="E497" s="32">
        <f t="shared" ca="1" si="77"/>
        <v>384</v>
      </c>
    </row>
    <row r="498" spans="2:5" hidden="1" outlineLevel="1" x14ac:dyDescent="0.3">
      <c r="B498" s="20" t="s">
        <v>30</v>
      </c>
      <c r="C498" s="33">
        <f ca="1">IF(C497=0,0,INDEX(INDIRECT($B485),MATCH($B486,Regions,0),9)*C492*C494)</f>
        <v>512</v>
      </c>
      <c r="D498" s="33">
        <f ca="1">IF(D497=0,0,INDEX(INDIRECT($B485),MATCH($B486,Regions,0),9)*D492*D494)</f>
        <v>1024</v>
      </c>
      <c r="E498" s="33">
        <f ca="1">IF(E497=0,0,INDEX(INDIRECT($B485),MATCH($B486,Regions,0),9)*E492*E494)</f>
        <v>1536</v>
      </c>
    </row>
    <row r="499" spans="2:5" hidden="1" outlineLevel="1" x14ac:dyDescent="0.3">
      <c r="B499" s="20" t="s">
        <v>31</v>
      </c>
      <c r="C499" s="33">
        <f ca="1">IFERROR(C497*INDEX(INDIRECT($B485),MATCH($B486,Regions,0),4)/(7/INDEX(INDIRECT($B485),MATCH($B486,Regions,0),6)),0)</f>
        <v>62.507577748226446</v>
      </c>
      <c r="D499" s="33">
        <f ca="1">IFERROR(D497*INDEX(INDIRECT($B485),MATCH($B486,Regions,0),4)/(7/INDEX(INDIRECT($B485),MATCH($B486,Regions,0),6)),0)</f>
        <v>125.01515549645289</v>
      </c>
      <c r="E499" s="33">
        <f ca="1">IFERROR(E497*INDEX(INDIRECT($B485),MATCH($B486,Regions,0),4)/(7/INDEX(INDIRECT($B485),MATCH($B486,Regions,0),6)),0)</f>
        <v>187.52273324467936</v>
      </c>
    </row>
    <row r="500" spans="2:5" hidden="1" outlineLevel="1" x14ac:dyDescent="0.3">
      <c r="B500" s="20" t="s">
        <v>32</v>
      </c>
      <c r="C500" s="33">
        <f ca="1">IFERROR(C497*INDEX(INDIRECT($B485),MATCH($B486,Regions,0),5)/(7/INDEX(INDIRECT($B485),MATCH($B486,Regions,0),7)),0)</f>
        <v>4.3733847876233449</v>
      </c>
      <c r="D500" s="33">
        <f ca="1">IFERROR(D497*INDEX(INDIRECT($B485),MATCH($B486,Regions,0),5)/(7/INDEX(INDIRECT($B485),MATCH($B486,Regions,0),7)),0)</f>
        <v>8.7467695752466899</v>
      </c>
      <c r="E500" s="33">
        <f ca="1">IFERROR(E497*INDEX(INDIRECT($B485),MATCH($B486,Regions,0),5)/(7/INDEX(INDIRECT($B485),MATCH($B486,Regions,0),7)),0)</f>
        <v>13.120154362870034</v>
      </c>
    </row>
    <row r="501" spans="2:5" hidden="1" outlineLevel="1" x14ac:dyDescent="0.3"/>
    <row r="502" spans="2:5" hidden="1" outlineLevel="1" x14ac:dyDescent="0.3">
      <c r="B502" s="10" t="s">
        <v>25</v>
      </c>
    </row>
    <row r="503" spans="2:5" hidden="1" outlineLevel="1" x14ac:dyDescent="0.3">
      <c r="B503" s="11" t="s">
        <v>27</v>
      </c>
    </row>
    <row r="504" spans="2:5" hidden="1" outlineLevel="1" x14ac:dyDescent="0.3">
      <c r="B504" s="11" t="s">
        <v>4</v>
      </c>
    </row>
    <row r="505" spans="2:5" hidden="1" outlineLevel="1" x14ac:dyDescent="0.3"/>
    <row r="506" spans="2:5" hidden="1" outlineLevel="1" x14ac:dyDescent="0.3">
      <c r="C506" s="297" t="s">
        <v>12</v>
      </c>
      <c r="D506" s="297"/>
      <c r="E506" s="297"/>
    </row>
    <row r="507" spans="2:5" ht="28.8" hidden="1" outlineLevel="1" x14ac:dyDescent="0.3">
      <c r="B507" s="13" t="str">
        <f>B503&amp;" - "&amp;B504</f>
        <v>Cancer_P4 - Toronto</v>
      </c>
      <c r="C507" s="14" t="str">
        <f>'Data Inputs'!$C$29</f>
        <v>Scenario 1:
+1 day a week</v>
      </c>
      <c r="D507" s="14" t="str">
        <f>'Data Inputs'!$D$29</f>
        <v>Scenario 2:
+2 days a week</v>
      </c>
      <c r="E507" s="71" t="str">
        <f>'Data Inputs'!$E$29</f>
        <v>Scenario 3:
+3 days a week</v>
      </c>
    </row>
    <row r="508" spans="2:5" hidden="1" outlineLevel="1" x14ac:dyDescent="0.3">
      <c r="B508" s="12" t="s">
        <v>21</v>
      </c>
      <c r="C508" s="17"/>
      <c r="D508" s="18"/>
      <c r="E508" s="19"/>
    </row>
    <row r="509" spans="2:5" hidden="1" outlineLevel="1" x14ac:dyDescent="0.3">
      <c r="B509" s="20" t="s">
        <v>13</v>
      </c>
      <c r="C509" s="21">
        <f ca="1">INDEX(INDIRECT($B503),MATCH($B504,Regions,0),1)</f>
        <v>986.13614964238559</v>
      </c>
      <c r="D509" s="21">
        <f ca="1">INDEX(INDIRECT($B503),MATCH($B504,Regions,0),1)</f>
        <v>986.13614964238559</v>
      </c>
      <c r="E509" s="21">
        <f ca="1">INDEX(INDIRECT($B503),MATCH($B504,Regions,0),1)</f>
        <v>986.13614964238559</v>
      </c>
    </row>
    <row r="510" spans="2:5" hidden="1" outlineLevel="1" x14ac:dyDescent="0.3">
      <c r="B510" s="20" t="s">
        <v>20</v>
      </c>
      <c r="C510" s="23">
        <f>INDEX(ScenarioInputs,MATCH($B504,Regions,0),MATCH(C507,Scenarios,0))</f>
        <v>1</v>
      </c>
      <c r="D510" s="23">
        <f>INDEX(ScenarioInputs,MATCH($B504,Regions,0),MATCH(D507,Scenarios,0))</f>
        <v>2</v>
      </c>
      <c r="E510" s="23">
        <f>INDEX(ScenarioInputs,MATCH($B504,Regions,0),MATCH(E507,Scenarios,0))</f>
        <v>3</v>
      </c>
    </row>
    <row r="511" spans="2:5" hidden="1" outlineLevel="1" x14ac:dyDescent="0.3">
      <c r="B511" s="20" t="s">
        <v>37</v>
      </c>
      <c r="C511" s="21">
        <f ca="1">ROUNDDOWN(C510*INDEX(INDIRECT($B503),MATCH($B504,Regions,0),9)/(INDEX(INDIRECT($B503),MATCH($B504,Regions,0),3)+INDEX(INDIRECT($B503),MATCH($B504,Regions,0),2)),0)+IF(MOD(INDEX(INDIRECT($B503),MATCH($B504,Regions,0),9),INDEX(INDIRECT($B503),MATCH($B504,Regions,0),3)+INDEX(INDIRECT($B503),MATCH($B504,Regions,0),2))&lt;Buffer,0,1)</f>
        <v>2</v>
      </c>
      <c r="D511" s="21">
        <f ca="1">ROUNDDOWN(D510*INDEX(INDIRECT($B503),MATCH($B504,Regions,0),9)/(INDEX(INDIRECT($B503),MATCH($B504,Regions,0),3)+INDEX(INDIRECT($B503),MATCH($B504,Regions,0),2)),0)+IF(MOD(INDEX(INDIRECT($B503),MATCH($B504,Regions,0),9),INDEX(INDIRECT($B503),MATCH($B504,Regions,0),3)+INDEX(INDIRECT($B503),MATCH($B504,Regions,0),2))&lt;Buffer,0,1)</f>
        <v>4</v>
      </c>
      <c r="E511" s="21">
        <f ca="1">ROUNDDOWN(E510*INDEX(INDIRECT($B503),MATCH($B504,Regions,0),9)/(INDEX(INDIRECT($B503),MATCH($B504,Regions,0),3)+INDEX(INDIRECT($B503),MATCH($B504,Regions,0),2)),0)+IF(MOD(INDEX(INDIRECT($B503),MATCH($B504,Regions,0),9),INDEX(INDIRECT($B503),MATCH($B504,Regions,0),3)+INDEX(INDIRECT($B503),MATCH($B504,Regions,0),2))&lt;Buffer,0,1)</f>
        <v>6</v>
      </c>
    </row>
    <row r="512" spans="2:5" hidden="1" outlineLevel="1" x14ac:dyDescent="0.3">
      <c r="B512" s="20" t="s">
        <v>43</v>
      </c>
      <c r="C512" s="21">
        <f ca="1">ROUNDDOWN(INDEX(INDIRECT($B503),MATCH($B504,Regions,0),8)*INDEX(INDIRECT($B503),MATCH($B504,Regions,0),10),0)</f>
        <v>64</v>
      </c>
      <c r="D512" s="21">
        <f ca="1">ROUNDDOWN(INDEX(INDIRECT($B503),MATCH($B504,Regions,0),8)*INDEX(INDIRECT($B503),MATCH($B504,Regions,0),10),0)</f>
        <v>64</v>
      </c>
      <c r="E512" s="21">
        <f ca="1">ROUNDDOWN(INDEX(INDIRECT($B503),MATCH($B504,Regions,0),8)*INDEX(INDIRECT($B503),MATCH($B504,Regions,0),10),0)</f>
        <v>64</v>
      </c>
    </row>
    <row r="513" spans="2:5" hidden="1" outlineLevel="1" x14ac:dyDescent="0.3">
      <c r="B513" s="26" t="s">
        <v>11</v>
      </c>
      <c r="C513" s="27">
        <f ca="1">IFERROR(C509/(C512*C511),NA())</f>
        <v>7.7041886690811374</v>
      </c>
      <c r="D513" s="27">
        <f t="shared" ref="D513" ca="1" si="78">IFERROR(D509/(D512*D511),NA())</f>
        <v>3.8520943345405687</v>
      </c>
      <c r="E513" s="27">
        <f t="shared" ref="E513" ca="1" si="79">IFERROR(E509/(E512*E511),NA())</f>
        <v>2.5680628896937123</v>
      </c>
    </row>
    <row r="514" spans="2:5" hidden="1" outlineLevel="1" x14ac:dyDescent="0.3">
      <c r="B514" s="12" t="s">
        <v>14</v>
      </c>
      <c r="C514" s="28"/>
      <c r="D514" s="29"/>
      <c r="E514" s="30"/>
    </row>
    <row r="515" spans="2:5" hidden="1" outlineLevel="1" x14ac:dyDescent="0.3">
      <c r="B515" s="31" t="s">
        <v>38</v>
      </c>
      <c r="C515" s="32">
        <f ca="1">IFERROR(C509/C513,0)</f>
        <v>128</v>
      </c>
      <c r="D515" s="32">
        <f t="shared" ref="D515:E515" ca="1" si="80">IFERROR(D509/D513,0)</f>
        <v>256</v>
      </c>
      <c r="E515" s="32">
        <f t="shared" ca="1" si="80"/>
        <v>384</v>
      </c>
    </row>
    <row r="516" spans="2:5" hidden="1" outlineLevel="1" x14ac:dyDescent="0.3">
      <c r="B516" s="20" t="s">
        <v>30</v>
      </c>
      <c r="C516" s="33">
        <f ca="1">IF(C515=0,0,INDEX(INDIRECT($B503),MATCH($B504,Regions,0),9)*C510*C512)</f>
        <v>512</v>
      </c>
      <c r="D516" s="33">
        <f ca="1">IF(D515=0,0,INDEX(INDIRECT($B503),MATCH($B504,Regions,0),9)*D510*D512)</f>
        <v>1024</v>
      </c>
      <c r="E516" s="33">
        <f ca="1">IF(E515=0,0,INDEX(INDIRECT($B503),MATCH($B504,Regions,0),9)*E510*E512)</f>
        <v>1536</v>
      </c>
    </row>
    <row r="517" spans="2:5" hidden="1" outlineLevel="1" x14ac:dyDescent="0.3">
      <c r="B517" s="20" t="s">
        <v>31</v>
      </c>
      <c r="C517" s="33">
        <f ca="1">IFERROR(C515*INDEX(INDIRECT($B503),MATCH($B504,Regions,0),4)/(7/INDEX(INDIRECT($B503),MATCH($B504,Regions,0),6)),0)</f>
        <v>47.453233914523743</v>
      </c>
      <c r="D517" s="33">
        <f ca="1">IFERROR(D515*INDEX(INDIRECT($B503),MATCH($B504,Regions,0),4)/(7/INDEX(INDIRECT($B503),MATCH($B504,Regions,0),6)),0)</f>
        <v>94.906467829047486</v>
      </c>
      <c r="E517" s="33">
        <f ca="1">IFERROR(E515*INDEX(INDIRECT($B503),MATCH($B504,Regions,0),4)/(7/INDEX(INDIRECT($B503),MATCH($B504,Regions,0),6)),0)</f>
        <v>142.35970174357121</v>
      </c>
    </row>
    <row r="518" spans="2:5" hidden="1" outlineLevel="1" x14ac:dyDescent="0.3">
      <c r="B518" s="20" t="s">
        <v>32</v>
      </c>
      <c r="C518" s="33">
        <f ca="1">IFERROR(C515*INDEX(INDIRECT($B503),MATCH($B504,Regions,0),5)/(7/INDEX(INDIRECT($B503),MATCH($B504,Regions,0),7)),0)</f>
        <v>1.178503999448534</v>
      </c>
      <c r="D518" s="33">
        <f ca="1">IFERROR(D515*INDEX(INDIRECT($B503),MATCH($B504,Regions,0),5)/(7/INDEX(INDIRECT($B503),MATCH($B504,Regions,0),7)),0)</f>
        <v>2.357007998897068</v>
      </c>
      <c r="E518" s="33">
        <f ca="1">IFERROR(E515*INDEX(INDIRECT($B503),MATCH($B504,Regions,0),5)/(7/INDEX(INDIRECT($B503),MATCH($B504,Regions,0),7)),0)</f>
        <v>3.5355119983456027</v>
      </c>
    </row>
    <row r="519" spans="2:5" hidden="1" outlineLevel="1" x14ac:dyDescent="0.3"/>
    <row r="520" spans="2:5" hidden="1" outlineLevel="1" x14ac:dyDescent="0.3">
      <c r="B520" s="10" t="s">
        <v>25</v>
      </c>
    </row>
    <row r="521" spans="2:5" hidden="1" outlineLevel="1" x14ac:dyDescent="0.3">
      <c r="B521" s="11" t="s">
        <v>33</v>
      </c>
    </row>
    <row r="522" spans="2:5" hidden="1" outlineLevel="1" x14ac:dyDescent="0.3">
      <c r="B522" s="11" t="s">
        <v>4</v>
      </c>
    </row>
    <row r="523" spans="2:5" hidden="1" outlineLevel="1" x14ac:dyDescent="0.3"/>
    <row r="524" spans="2:5" hidden="1" outlineLevel="1" x14ac:dyDescent="0.3">
      <c r="C524" s="297" t="s">
        <v>12</v>
      </c>
      <c r="D524" s="297"/>
      <c r="E524" s="297"/>
    </row>
    <row r="525" spans="2:5" ht="28.8" hidden="1" outlineLevel="1" x14ac:dyDescent="0.3">
      <c r="B525" s="13" t="str">
        <f>B521&amp;" - "&amp;B522</f>
        <v>Vascular_P2P3 - Toronto</v>
      </c>
      <c r="C525" s="14" t="str">
        <f>'Data Inputs'!$C$29</f>
        <v>Scenario 1:
+1 day a week</v>
      </c>
      <c r="D525" s="14" t="str">
        <f>'Data Inputs'!$D$29</f>
        <v>Scenario 2:
+2 days a week</v>
      </c>
      <c r="E525" s="71" t="str">
        <f>'Data Inputs'!$E$29</f>
        <v>Scenario 3:
+3 days a week</v>
      </c>
    </row>
    <row r="526" spans="2:5" hidden="1" outlineLevel="1" x14ac:dyDescent="0.3">
      <c r="B526" s="12" t="s">
        <v>21</v>
      </c>
      <c r="C526" s="17"/>
      <c r="D526" s="18"/>
      <c r="E526" s="19"/>
    </row>
    <row r="527" spans="2:5" hidden="1" outlineLevel="1" x14ac:dyDescent="0.3">
      <c r="B527" s="20" t="s">
        <v>13</v>
      </c>
      <c r="C527" s="21">
        <f ca="1">INDEX(INDIRECT($B521),MATCH($B522,Regions,0),1)</f>
        <v>96.696162923000003</v>
      </c>
      <c r="D527" s="21">
        <f ca="1">INDEX(INDIRECT($B521),MATCH($B522,Regions,0),1)</f>
        <v>96.696162923000003</v>
      </c>
      <c r="E527" s="21">
        <f ca="1">INDEX(INDIRECT($B521),MATCH($B522,Regions,0),1)</f>
        <v>96.696162923000003</v>
      </c>
    </row>
    <row r="528" spans="2:5" hidden="1" outlineLevel="1" x14ac:dyDescent="0.3">
      <c r="B528" s="20" t="s">
        <v>20</v>
      </c>
      <c r="C528" s="23">
        <f>INDEX(ScenarioInputs,MATCH($B522,Regions,0),MATCH(C525,Scenarios,0))</f>
        <v>1</v>
      </c>
      <c r="D528" s="23">
        <f>INDEX(ScenarioInputs,MATCH($B522,Regions,0),MATCH(D525,Scenarios,0))</f>
        <v>2</v>
      </c>
      <c r="E528" s="23">
        <f>INDEX(ScenarioInputs,MATCH($B522,Regions,0),MATCH(E525,Scenarios,0))</f>
        <v>3</v>
      </c>
    </row>
    <row r="529" spans="2:5" hidden="1" outlineLevel="1" x14ac:dyDescent="0.3">
      <c r="B529" s="20" t="s">
        <v>37</v>
      </c>
      <c r="C529" s="21">
        <f ca="1">ROUNDDOWN(C528*INDEX(INDIRECT($B521),MATCH($B522,Regions,0),9)/(INDEX(INDIRECT($B521),MATCH($B522,Regions,0),3)+INDEX(INDIRECT($B521),MATCH($B522,Regions,0),2)),0)+IF(MOD(INDEX(INDIRECT($B521),MATCH($B522,Regions,0),9),INDEX(INDIRECT($B521),MATCH($B522,Regions,0),3)+INDEX(INDIRECT($B521),MATCH($B522,Regions,0),2))&lt;Buffer,0,1)</f>
        <v>2</v>
      </c>
      <c r="D529" s="21">
        <f ca="1">ROUNDDOWN(D528*INDEX(INDIRECT($B521),MATCH($B522,Regions,0),9)/(INDEX(INDIRECT($B521),MATCH($B522,Regions,0),3)+INDEX(INDIRECT($B521),MATCH($B522,Regions,0),2)),0)+IF(MOD(INDEX(INDIRECT($B521),MATCH($B522,Regions,0),9),INDEX(INDIRECT($B521),MATCH($B522,Regions,0),3)+INDEX(INDIRECT($B521),MATCH($B522,Regions,0),2))&lt;Buffer,0,1)</f>
        <v>4</v>
      </c>
      <c r="E529" s="21">
        <f ca="1">ROUNDDOWN(E528*INDEX(INDIRECT($B521),MATCH($B522,Regions,0),9)/(INDEX(INDIRECT($B521),MATCH($B522,Regions,0),3)+INDEX(INDIRECT($B521),MATCH($B522,Regions,0),2)),0)+IF(MOD(INDEX(INDIRECT($B521),MATCH($B522,Regions,0),9),INDEX(INDIRECT($B521),MATCH($B522,Regions,0),3)+INDEX(INDIRECT($B521),MATCH($B522,Regions,0),2))&lt;Buffer,0,1)</f>
        <v>6</v>
      </c>
    </row>
    <row r="530" spans="2:5" hidden="1" outlineLevel="1" x14ac:dyDescent="0.3">
      <c r="B530" s="20" t="s">
        <v>43</v>
      </c>
      <c r="C530" s="21">
        <f ca="1">ROUNDDOWN(INDEX(INDIRECT($B521),MATCH($B522,Regions,0),8)*INDEX(INDIRECT($B521),MATCH($B522,Regions,0),10),0)</f>
        <v>43</v>
      </c>
      <c r="D530" s="21">
        <f ca="1">ROUNDDOWN(INDEX(INDIRECT($B521),MATCH($B522,Regions,0),8)*INDEX(INDIRECT($B521),MATCH($B522,Regions,0),10),0)</f>
        <v>43</v>
      </c>
      <c r="E530" s="21">
        <f ca="1">ROUNDDOWN(INDEX(INDIRECT($B521),MATCH($B522,Regions,0),8)*INDEX(INDIRECT($B521),MATCH($B522,Regions,0),10),0)</f>
        <v>43</v>
      </c>
    </row>
    <row r="531" spans="2:5" hidden="1" outlineLevel="1" x14ac:dyDescent="0.3">
      <c r="B531" s="26" t="s">
        <v>11</v>
      </c>
      <c r="C531" s="27">
        <f ca="1">IFERROR(C527/(C530*C529),NA())</f>
        <v>1.1243739874767442</v>
      </c>
      <c r="D531" s="27">
        <f t="shared" ref="D531" ca="1" si="81">IFERROR(D527/(D530*D529),NA())</f>
        <v>0.56218699373837211</v>
      </c>
      <c r="E531" s="27">
        <f t="shared" ref="E531" ca="1" si="82">IFERROR(E527/(E530*E529),NA())</f>
        <v>0.37479132915891472</v>
      </c>
    </row>
    <row r="532" spans="2:5" hidden="1" outlineLevel="1" x14ac:dyDescent="0.3">
      <c r="B532" s="12" t="s">
        <v>14</v>
      </c>
      <c r="C532" s="28"/>
      <c r="D532" s="29"/>
      <c r="E532" s="30"/>
    </row>
    <row r="533" spans="2:5" hidden="1" outlineLevel="1" x14ac:dyDescent="0.3">
      <c r="B533" s="31" t="s">
        <v>38</v>
      </c>
      <c r="C533" s="32">
        <f ca="1">IFERROR(C527/C531,0)</f>
        <v>86</v>
      </c>
      <c r="D533" s="32">
        <f t="shared" ref="D533:E533" ca="1" si="83">IFERROR(D527/D531,0)</f>
        <v>172</v>
      </c>
      <c r="E533" s="32">
        <f t="shared" ca="1" si="83"/>
        <v>258</v>
      </c>
    </row>
    <row r="534" spans="2:5" hidden="1" outlineLevel="1" x14ac:dyDescent="0.3">
      <c r="B534" s="20" t="s">
        <v>30</v>
      </c>
      <c r="C534" s="33">
        <f ca="1">IF(C533=0,0,INDEX(INDIRECT($B521),MATCH($B522,Regions,0),9)*C528*C530)</f>
        <v>344</v>
      </c>
      <c r="D534" s="33">
        <f ca="1">IF(D533=0,0,INDEX(INDIRECT($B521),MATCH($B522,Regions,0),9)*D528*D530)</f>
        <v>688</v>
      </c>
      <c r="E534" s="33">
        <f ca="1">IF(E533=0,0,INDEX(INDIRECT($B521),MATCH($B522,Regions,0),9)*E528*E530)</f>
        <v>1032</v>
      </c>
    </row>
    <row r="535" spans="2:5" hidden="1" outlineLevel="1" x14ac:dyDescent="0.3">
      <c r="B535" s="20" t="s">
        <v>31</v>
      </c>
      <c r="C535" s="33">
        <f ca="1">IFERROR(C533*INDEX(INDIRECT($B521),MATCH($B522,Regions,0),4)/(7/INDEX(INDIRECT($B521),MATCH($B522,Regions,0),6)),0)</f>
        <v>56.999114486537955</v>
      </c>
      <c r="D535" s="33">
        <f ca="1">IFERROR(D533*INDEX(INDIRECT($B521),MATCH($B522,Regions,0),4)/(7/INDEX(INDIRECT($B521),MATCH($B522,Regions,0),6)),0)</f>
        <v>113.99822897307591</v>
      </c>
      <c r="E535" s="33">
        <f ca="1">IFERROR(E533*INDEX(INDIRECT($B521),MATCH($B522,Regions,0),4)/(7/INDEX(INDIRECT($B521),MATCH($B522,Regions,0),6)),0)</f>
        <v>170.99734345961386</v>
      </c>
    </row>
    <row r="536" spans="2:5" hidden="1" outlineLevel="1" x14ac:dyDescent="0.3">
      <c r="B536" s="20" t="s">
        <v>32</v>
      </c>
      <c r="C536" s="33">
        <f ca="1">IFERROR(C533*INDEX(INDIRECT($B521),MATCH($B522,Regions,0),5)/(7/INDEX(INDIRECT($B521),MATCH($B522,Regions,0),7)),0)</f>
        <v>9.3231936309858181</v>
      </c>
      <c r="D536" s="33">
        <f ca="1">IFERROR(D533*INDEX(INDIRECT($B521),MATCH($B522,Regions,0),5)/(7/INDEX(INDIRECT($B521),MATCH($B522,Regions,0),7)),0)</f>
        <v>18.646387261971636</v>
      </c>
      <c r="E536" s="33">
        <f ca="1">IFERROR(E533*INDEX(INDIRECT($B521),MATCH($B522,Regions,0),5)/(7/INDEX(INDIRECT($B521),MATCH($B522,Regions,0),7)),0)</f>
        <v>27.96958089295746</v>
      </c>
    </row>
    <row r="537" spans="2:5" hidden="1" outlineLevel="1" x14ac:dyDescent="0.3"/>
    <row r="538" spans="2:5" hidden="1" outlineLevel="1" x14ac:dyDescent="0.3">
      <c r="B538" s="10" t="s">
        <v>25</v>
      </c>
    </row>
    <row r="539" spans="2:5" hidden="1" outlineLevel="1" x14ac:dyDescent="0.3">
      <c r="B539" s="11" t="s">
        <v>34</v>
      </c>
    </row>
    <row r="540" spans="2:5" hidden="1" outlineLevel="1" x14ac:dyDescent="0.3">
      <c r="B540" s="11" t="s">
        <v>4</v>
      </c>
    </row>
    <row r="541" spans="2:5" hidden="1" outlineLevel="1" x14ac:dyDescent="0.3"/>
    <row r="542" spans="2:5" hidden="1" outlineLevel="1" x14ac:dyDescent="0.3">
      <c r="C542" s="297" t="s">
        <v>12</v>
      </c>
      <c r="D542" s="297"/>
      <c r="E542" s="297"/>
    </row>
    <row r="543" spans="2:5" ht="28.8" hidden="1" outlineLevel="1" x14ac:dyDescent="0.3">
      <c r="B543" s="13" t="str">
        <f>B539&amp;" - "&amp;B540</f>
        <v>Vascular_P4 - Toronto</v>
      </c>
      <c r="C543" s="14" t="str">
        <f>'Data Inputs'!$C$29</f>
        <v>Scenario 1:
+1 day a week</v>
      </c>
      <c r="D543" s="14" t="str">
        <f>'Data Inputs'!$D$29</f>
        <v>Scenario 2:
+2 days a week</v>
      </c>
      <c r="E543" s="71" t="str">
        <f>'Data Inputs'!$E$29</f>
        <v>Scenario 3:
+3 days a week</v>
      </c>
    </row>
    <row r="544" spans="2:5" hidden="1" outlineLevel="1" x14ac:dyDescent="0.3">
      <c r="B544" s="12" t="s">
        <v>21</v>
      </c>
      <c r="C544" s="17"/>
      <c r="D544" s="18"/>
      <c r="E544" s="19"/>
    </row>
    <row r="545" spans="2:5" hidden="1" outlineLevel="1" x14ac:dyDescent="0.3">
      <c r="B545" s="20" t="s">
        <v>13</v>
      </c>
      <c r="C545" s="21">
        <f ca="1">INDEX(INDIRECT($B539),MATCH($B540,Regions,0),1)</f>
        <v>127.676172928</v>
      </c>
      <c r="D545" s="21">
        <f ca="1">INDEX(INDIRECT($B539),MATCH($B540,Regions,0),1)</f>
        <v>127.676172928</v>
      </c>
      <c r="E545" s="21">
        <f ca="1">INDEX(INDIRECT($B539),MATCH($B540,Regions,0),1)</f>
        <v>127.676172928</v>
      </c>
    </row>
    <row r="546" spans="2:5" hidden="1" outlineLevel="1" x14ac:dyDescent="0.3">
      <c r="B546" s="20" t="s">
        <v>20</v>
      </c>
      <c r="C546" s="23">
        <f>INDEX(ScenarioInputs,MATCH($B540,Regions,0),MATCH(C543,Scenarios,0))</f>
        <v>1</v>
      </c>
      <c r="D546" s="23">
        <f>INDEX(ScenarioInputs,MATCH($B540,Regions,0),MATCH(D543,Scenarios,0))</f>
        <v>2</v>
      </c>
      <c r="E546" s="23">
        <f>INDEX(ScenarioInputs,MATCH($B540,Regions,0),MATCH(E543,Scenarios,0))</f>
        <v>3</v>
      </c>
    </row>
    <row r="547" spans="2:5" hidden="1" outlineLevel="1" x14ac:dyDescent="0.3">
      <c r="B547" s="20" t="s">
        <v>37</v>
      </c>
      <c r="C547" s="21">
        <f ca="1">ROUNDDOWN(C546*INDEX(INDIRECT($B539),MATCH($B540,Regions,0),9)/(INDEX(INDIRECT($B539),MATCH($B540,Regions,0),3)+INDEX(INDIRECT($B539),MATCH($B540,Regions,0),2)),0)+IF(MOD(INDEX(INDIRECT($B539),MATCH($B540,Regions,0),9),INDEX(INDIRECT($B539),MATCH($B540,Regions,0),3)+INDEX(INDIRECT($B539),MATCH($B540,Regions,0),2))&lt;Buffer,0,1)</f>
        <v>2</v>
      </c>
      <c r="D547" s="21">
        <f ca="1">ROUNDDOWN(D546*INDEX(INDIRECT($B539),MATCH($B540,Regions,0),9)/(INDEX(INDIRECT($B539),MATCH($B540,Regions,0),3)+INDEX(INDIRECT($B539),MATCH($B540,Regions,0),2)),0)+IF(MOD(INDEX(INDIRECT($B539),MATCH($B540,Regions,0),9),INDEX(INDIRECT($B539),MATCH($B540,Regions,0),3)+INDEX(INDIRECT($B539),MATCH($B540,Regions,0),2))&lt;Buffer,0,1)</f>
        <v>4</v>
      </c>
      <c r="E547" s="21">
        <f ca="1">ROUNDDOWN(E546*INDEX(INDIRECT($B539),MATCH($B540,Regions,0),9)/(INDEX(INDIRECT($B539),MATCH($B540,Regions,0),3)+INDEX(INDIRECT($B539),MATCH($B540,Regions,0),2)),0)+IF(MOD(INDEX(INDIRECT($B539),MATCH($B540,Regions,0),9),INDEX(INDIRECT($B539),MATCH($B540,Regions,0),3)+INDEX(INDIRECT($B539),MATCH($B540,Regions,0),2))&lt;Buffer,0,1)</f>
        <v>7</v>
      </c>
    </row>
    <row r="548" spans="2:5" hidden="1" outlineLevel="1" x14ac:dyDescent="0.3">
      <c r="B548" s="20" t="s">
        <v>43</v>
      </c>
      <c r="C548" s="21">
        <f ca="1">ROUNDDOWN(INDEX(INDIRECT($B539),MATCH($B540,Regions,0),8)*INDEX(INDIRECT($B539),MATCH($B540,Regions,0),10),0)</f>
        <v>43</v>
      </c>
      <c r="D548" s="21">
        <f ca="1">ROUNDDOWN(INDEX(INDIRECT($B539),MATCH($B540,Regions,0),8)*INDEX(INDIRECT($B539),MATCH($B540,Regions,0),10),0)</f>
        <v>43</v>
      </c>
      <c r="E548" s="21">
        <f ca="1">ROUNDDOWN(INDEX(INDIRECT($B539),MATCH($B540,Regions,0),8)*INDEX(INDIRECT($B539),MATCH($B540,Regions,0),10),0)</f>
        <v>43</v>
      </c>
    </row>
    <row r="549" spans="2:5" hidden="1" outlineLevel="1" x14ac:dyDescent="0.3">
      <c r="B549" s="26" t="s">
        <v>11</v>
      </c>
      <c r="C549" s="27">
        <f ca="1">IFERROR(C545/(C548*C547),NA())</f>
        <v>1.4846066619534883</v>
      </c>
      <c r="D549" s="27">
        <f t="shared" ref="D549" ca="1" si="84">IFERROR(D545/(D548*D547),NA())</f>
        <v>0.74230333097674417</v>
      </c>
      <c r="E549" s="27">
        <f t="shared" ref="E549" ca="1" si="85">IFERROR(E545/(E548*E547),NA())</f>
        <v>0.42417333198671098</v>
      </c>
    </row>
    <row r="550" spans="2:5" hidden="1" outlineLevel="1" x14ac:dyDescent="0.3">
      <c r="B550" s="12" t="s">
        <v>14</v>
      </c>
      <c r="C550" s="28"/>
      <c r="D550" s="29"/>
      <c r="E550" s="30"/>
    </row>
    <row r="551" spans="2:5" hidden="1" outlineLevel="1" x14ac:dyDescent="0.3">
      <c r="B551" s="31" t="s">
        <v>38</v>
      </c>
      <c r="C551" s="32">
        <f ca="1">IFERROR(C545/C549,0)</f>
        <v>86</v>
      </c>
      <c r="D551" s="32">
        <f t="shared" ref="D551:E551" ca="1" si="86">IFERROR(D545/D549,0)</f>
        <v>172</v>
      </c>
      <c r="E551" s="32">
        <f t="shared" ca="1" si="86"/>
        <v>301</v>
      </c>
    </row>
    <row r="552" spans="2:5" hidden="1" outlineLevel="1" x14ac:dyDescent="0.3">
      <c r="B552" s="20" t="s">
        <v>30</v>
      </c>
      <c r="C552" s="33">
        <f ca="1">IF(C551=0,0,INDEX(INDIRECT($B539),MATCH($B540,Regions,0),9)*C546*C548)</f>
        <v>344</v>
      </c>
      <c r="D552" s="33">
        <f ca="1">IF(D551=0,0,INDEX(INDIRECT($B539),MATCH($B540,Regions,0),9)*D546*D548)</f>
        <v>688</v>
      </c>
      <c r="E552" s="33">
        <f ca="1">IF(E551=0,0,INDEX(INDIRECT($B539),MATCH($B540,Regions,0),9)*E546*E548)</f>
        <v>1032</v>
      </c>
    </row>
    <row r="553" spans="2:5" hidden="1" outlineLevel="1" x14ac:dyDescent="0.3">
      <c r="B553" s="20" t="s">
        <v>31</v>
      </c>
      <c r="C553" s="33">
        <f ca="1">IFERROR(C551*INDEX(INDIRECT($B539),MATCH($B540,Regions,0),4)/(7/INDEX(INDIRECT($B539),MATCH($B540,Regions,0),6)),0)</f>
        <v>28.39538499186347</v>
      </c>
      <c r="D553" s="33">
        <f ca="1">IFERROR(D551*INDEX(INDIRECT($B539),MATCH($B540,Regions,0),4)/(7/INDEX(INDIRECT($B539),MATCH($B540,Regions,0),6)),0)</f>
        <v>56.790769983726939</v>
      </c>
      <c r="E553" s="33">
        <f ca="1">IFERROR(E551*INDEX(INDIRECT($B539),MATCH($B540,Regions,0),4)/(7/INDEX(INDIRECT($B539),MATCH($B540,Regions,0),6)),0)</f>
        <v>99.383847471522145</v>
      </c>
    </row>
    <row r="554" spans="2:5" hidden="1" outlineLevel="1" x14ac:dyDescent="0.3">
      <c r="B554" s="20" t="s">
        <v>32</v>
      </c>
      <c r="C554" s="33">
        <f ca="1">IFERROR(C551*INDEX(INDIRECT($B539),MATCH($B540,Regions,0),5)/(7/INDEX(INDIRECT($B539),MATCH($B540,Regions,0),7)),0)</f>
        <v>2.4582788839840082</v>
      </c>
      <c r="D554" s="33">
        <f ca="1">IFERROR(D551*INDEX(INDIRECT($B539),MATCH($B540,Regions,0),5)/(7/INDEX(INDIRECT($B539),MATCH($B540,Regions,0),7)),0)</f>
        <v>4.9165577679680164</v>
      </c>
      <c r="E554" s="33">
        <f ca="1">IFERROR(E551*INDEX(INDIRECT($B539),MATCH($B540,Regions,0),5)/(7/INDEX(INDIRECT($B539),MATCH($B540,Regions,0),7)),0)</f>
        <v>8.6039760939440288</v>
      </c>
    </row>
    <row r="555" spans="2:5" hidden="1" outlineLevel="1" x14ac:dyDescent="0.3"/>
    <row r="556" spans="2:5" hidden="1" outlineLevel="1" x14ac:dyDescent="0.3">
      <c r="B556" s="10" t="s">
        <v>25</v>
      </c>
    </row>
    <row r="557" spans="2:5" hidden="1" outlineLevel="1" x14ac:dyDescent="0.3">
      <c r="B557" s="11" t="s">
        <v>2</v>
      </c>
    </row>
    <row r="558" spans="2:5" hidden="1" outlineLevel="1" x14ac:dyDescent="0.3">
      <c r="B558" s="11" t="s">
        <v>4</v>
      </c>
    </row>
    <row r="559" spans="2:5" hidden="1" outlineLevel="1" x14ac:dyDescent="0.3"/>
    <row r="560" spans="2:5" hidden="1" outlineLevel="1" x14ac:dyDescent="0.3">
      <c r="C560" s="297" t="s">
        <v>12</v>
      </c>
      <c r="D560" s="297"/>
      <c r="E560" s="297"/>
    </row>
    <row r="561" spans="2:5" ht="28.8" hidden="1" outlineLevel="1" x14ac:dyDescent="0.3">
      <c r="B561" s="13" t="str">
        <f>B557&amp;" - "&amp;B558</f>
        <v>Transplant - Toronto</v>
      </c>
      <c r="C561" s="14" t="str">
        <f>'Data Inputs'!$C$29</f>
        <v>Scenario 1:
+1 day a week</v>
      </c>
      <c r="D561" s="14" t="str">
        <f>'Data Inputs'!$D$29</f>
        <v>Scenario 2:
+2 days a week</v>
      </c>
      <c r="E561" s="71" t="str">
        <f>'Data Inputs'!$E$29</f>
        <v>Scenario 3:
+3 days a week</v>
      </c>
    </row>
    <row r="562" spans="2:5" hidden="1" outlineLevel="1" x14ac:dyDescent="0.3">
      <c r="B562" s="12" t="s">
        <v>21</v>
      </c>
      <c r="C562" s="17"/>
      <c r="D562" s="18"/>
      <c r="E562" s="19"/>
    </row>
    <row r="563" spans="2:5" hidden="1" outlineLevel="1" x14ac:dyDescent="0.3">
      <c r="B563" s="20" t="s">
        <v>13</v>
      </c>
      <c r="C563" s="21">
        <f ca="1">INDEX(INDIRECT($B557),MATCH($B558,Regions,0),1)</f>
        <v>123.58988409700176</v>
      </c>
      <c r="D563" s="21">
        <f ca="1">INDEX(INDIRECT($B557),MATCH($B558,Regions,0),1)</f>
        <v>123.58988409700176</v>
      </c>
      <c r="E563" s="21">
        <f ca="1">INDEX(INDIRECT($B557),MATCH($B558,Regions,0),1)</f>
        <v>123.58988409700176</v>
      </c>
    </row>
    <row r="564" spans="2:5" hidden="1" outlineLevel="1" x14ac:dyDescent="0.3">
      <c r="B564" s="20" t="s">
        <v>20</v>
      </c>
      <c r="C564" s="23">
        <f>INDEX(ScenarioInputs,MATCH($B558,Regions,0),MATCH(C561,Scenarios,0))</f>
        <v>1</v>
      </c>
      <c r="D564" s="23">
        <f>INDEX(ScenarioInputs,MATCH($B558,Regions,0),MATCH(D561,Scenarios,0))</f>
        <v>2</v>
      </c>
      <c r="E564" s="23">
        <f>INDEX(ScenarioInputs,MATCH($B558,Regions,0),MATCH(E561,Scenarios,0))</f>
        <v>3</v>
      </c>
    </row>
    <row r="565" spans="2:5" hidden="1" outlineLevel="1" x14ac:dyDescent="0.3">
      <c r="B565" s="20" t="s">
        <v>37</v>
      </c>
      <c r="C565" s="21">
        <f ca="1">ROUNDDOWN(C564*INDEX(INDIRECT($B557),MATCH($B558,Regions,0),9)/(INDEX(INDIRECT($B557),MATCH($B558,Regions,0),3)+INDEX(INDIRECT($B557),MATCH($B558,Regions,0),2)),0)</f>
        <v>1</v>
      </c>
      <c r="D565" s="21">
        <f ca="1">ROUNDDOWN(D564*INDEX(INDIRECT($B557),MATCH($B558,Regions,0),9)/(INDEX(INDIRECT($B557),MATCH($B558,Regions,0),3)+INDEX(INDIRECT($B557),MATCH($B558,Regions,0),2)),0)</f>
        <v>2</v>
      </c>
      <c r="E565" s="21">
        <f ca="1">ROUNDDOWN(E564*INDEX(INDIRECT($B557),MATCH($B558,Regions,0),9)/(INDEX(INDIRECT($B557),MATCH($B558,Regions,0),3)+INDEX(INDIRECT($B557),MATCH($B558,Regions,0),2)),0)</f>
        <v>3</v>
      </c>
    </row>
    <row r="566" spans="2:5" hidden="1" outlineLevel="1" x14ac:dyDescent="0.3">
      <c r="B566" s="20" t="s">
        <v>43</v>
      </c>
      <c r="C566" s="21">
        <f ca="1">ROUNDDOWN(INDEX(INDIRECT($B557),MATCH($B558,Regions,0),8)*INDEX(INDIRECT($B557),MATCH($B558,Regions,0),10),0)</f>
        <v>30</v>
      </c>
      <c r="D566" s="21">
        <f ca="1">ROUNDDOWN(INDEX(INDIRECT($B557),MATCH($B558,Regions,0),8)*INDEX(INDIRECT($B557),MATCH($B558,Regions,0),10),0)</f>
        <v>30</v>
      </c>
      <c r="E566" s="21">
        <f ca="1">ROUNDDOWN(INDEX(INDIRECT($B557),MATCH($B558,Regions,0),8)*INDEX(INDIRECT($B557),MATCH($B558,Regions,0),10),0)</f>
        <v>30</v>
      </c>
    </row>
    <row r="567" spans="2:5" hidden="1" outlineLevel="1" x14ac:dyDescent="0.3">
      <c r="B567" s="26" t="s">
        <v>11</v>
      </c>
      <c r="C567" s="27">
        <f ca="1">IFERROR(C563/(C566*C565),"")</f>
        <v>4.1196628032333917</v>
      </c>
      <c r="D567" s="27">
        <f t="shared" ref="D567" ca="1" si="87">IFERROR(D563/(D566*D565),"")</f>
        <v>2.0598314016166959</v>
      </c>
      <c r="E567" s="27">
        <f t="shared" ref="E567" ca="1" si="88">IFERROR(E563/(E566*E565),"")</f>
        <v>1.3732209344111306</v>
      </c>
    </row>
    <row r="568" spans="2:5" hidden="1" outlineLevel="1" x14ac:dyDescent="0.3">
      <c r="B568" s="12" t="s">
        <v>14</v>
      </c>
      <c r="C568" s="28"/>
      <c r="D568" s="29"/>
      <c r="E568" s="30"/>
    </row>
    <row r="569" spans="2:5" hidden="1" outlineLevel="1" x14ac:dyDescent="0.3">
      <c r="B569" s="31" t="s">
        <v>38</v>
      </c>
      <c r="C569" s="32">
        <f ca="1">IFERROR(C563/C567,0)</f>
        <v>30</v>
      </c>
      <c r="D569" s="32">
        <f t="shared" ref="D569:E569" ca="1" si="89">IFERROR(D563/D567,0)</f>
        <v>60</v>
      </c>
      <c r="E569" s="32">
        <f t="shared" ca="1" si="89"/>
        <v>90</v>
      </c>
    </row>
    <row r="570" spans="2:5" hidden="1" outlineLevel="1" x14ac:dyDescent="0.3">
      <c r="B570" s="20" t="s">
        <v>30</v>
      </c>
      <c r="C570" s="33">
        <f ca="1">IF(C569=0,0,INDEX(INDIRECT($B557),MATCH($B558,Regions,0),9)*C564*C566)</f>
        <v>240</v>
      </c>
      <c r="D570" s="33">
        <f ca="1">IF(D569=0,0,INDEX(INDIRECT($B557),MATCH($B558,Regions,0),9)*D564*D566)</f>
        <v>480</v>
      </c>
      <c r="E570" s="33">
        <f ca="1">IF(E569=0,0,INDEX(INDIRECT($B557),MATCH($B558,Regions,0),9)*E564*E566)</f>
        <v>720</v>
      </c>
    </row>
    <row r="571" spans="2:5" hidden="1" outlineLevel="1" x14ac:dyDescent="0.3">
      <c r="B571" s="20" t="s">
        <v>31</v>
      </c>
      <c r="C571" s="33">
        <f ca="1">IFERROR(C569*INDEX(INDIRECT($B557),MATCH($B558,Regions,0),4)/(7/INDEX(INDIRECT($B557),MATCH($B558,Regions,0),6)),0)</f>
        <v>51.450778778571433</v>
      </c>
      <c r="D571" s="33">
        <f ca="1">IFERROR(D569*INDEX(INDIRECT($B557),MATCH($B558,Regions,0),4)/(7/INDEX(INDIRECT($B557),MATCH($B558,Regions,0),6)),0)</f>
        <v>102.90155755714287</v>
      </c>
      <c r="E571" s="33">
        <f ca="1">IFERROR(E569*INDEX(INDIRECT($B557),MATCH($B558,Regions,0),4)/(7/INDEX(INDIRECT($B557),MATCH($B558,Regions,0),6)),0)</f>
        <v>154.35233633571428</v>
      </c>
    </row>
    <row r="572" spans="2:5" hidden="1" outlineLevel="1" x14ac:dyDescent="0.3">
      <c r="B572" s="20" t="s">
        <v>32</v>
      </c>
      <c r="C572" s="33">
        <f ca="1">IFERROR(C569*INDEX(INDIRECT($B557),MATCH($B558,Regions,0),5)/(7/INDEX(INDIRECT($B557),MATCH($B558,Regions,0),7)),0)</f>
        <v>19.030403092649955</v>
      </c>
      <c r="D572" s="33">
        <f ca="1">IFERROR(D569*INDEX(INDIRECT($B557),MATCH($B558,Regions,0),5)/(7/INDEX(INDIRECT($B557),MATCH($B558,Regions,0),7)),0)</f>
        <v>38.06080618529991</v>
      </c>
      <c r="E572" s="33">
        <f ca="1">IFERROR(E569*INDEX(INDIRECT($B557),MATCH($B558,Regions,0),5)/(7/INDEX(INDIRECT($B557),MATCH($B558,Regions,0),7)),0)</f>
        <v>57.091209277949879</v>
      </c>
    </row>
    <row r="573" spans="2:5" hidden="1" outlineLevel="1" x14ac:dyDescent="0.3"/>
    <row r="574" spans="2:5" hidden="1" outlineLevel="1" x14ac:dyDescent="0.3">
      <c r="B574" s="10" t="s">
        <v>25</v>
      </c>
    </row>
    <row r="575" spans="2:5" hidden="1" outlineLevel="1" x14ac:dyDescent="0.3">
      <c r="B575" s="11" t="s">
        <v>28</v>
      </c>
    </row>
    <row r="576" spans="2:5" hidden="1" outlineLevel="1" x14ac:dyDescent="0.3">
      <c r="B576" s="11" t="s">
        <v>4</v>
      </c>
    </row>
    <row r="577" spans="2:5" hidden="1" outlineLevel="1" x14ac:dyDescent="0.3"/>
    <row r="578" spans="2:5" hidden="1" outlineLevel="1" x14ac:dyDescent="0.3">
      <c r="C578" s="297" t="s">
        <v>12</v>
      </c>
      <c r="D578" s="297"/>
      <c r="E578" s="297"/>
    </row>
    <row r="579" spans="2:5" ht="28.8" hidden="1" outlineLevel="1" x14ac:dyDescent="0.3">
      <c r="B579" s="13" t="str">
        <f>B575&amp;" - "&amp;B576</f>
        <v>Cardiac_CABG - Toronto</v>
      </c>
      <c r="C579" s="14" t="str">
        <f>'Data Inputs'!$C$29</f>
        <v>Scenario 1:
+1 day a week</v>
      </c>
      <c r="D579" s="14" t="str">
        <f>'Data Inputs'!$D$29</f>
        <v>Scenario 2:
+2 days a week</v>
      </c>
      <c r="E579" s="71" t="str">
        <f>'Data Inputs'!$E$29</f>
        <v>Scenario 3:
+3 days a week</v>
      </c>
    </row>
    <row r="580" spans="2:5" hidden="1" outlineLevel="1" x14ac:dyDescent="0.3">
      <c r="B580" s="12" t="s">
        <v>21</v>
      </c>
      <c r="C580" s="17"/>
      <c r="D580" s="18"/>
      <c r="E580" s="19"/>
    </row>
    <row r="581" spans="2:5" hidden="1" outlineLevel="1" x14ac:dyDescent="0.3">
      <c r="B581" s="20" t="s">
        <v>13</v>
      </c>
      <c r="C581" s="21">
        <f ca="1">INDEX(INDIRECT($B575),MATCH($B576,Regions,0),1)</f>
        <v>86.041666666666671</v>
      </c>
      <c r="D581" s="21">
        <f ca="1">INDEX(INDIRECT($B575),MATCH($B576,Regions,0),1)</f>
        <v>86.041666666666671</v>
      </c>
      <c r="E581" s="21">
        <f ca="1">INDEX(INDIRECT($B575),MATCH($B576,Regions,0),1)</f>
        <v>86.041666666666671</v>
      </c>
    </row>
    <row r="582" spans="2:5" hidden="1" outlineLevel="1" x14ac:dyDescent="0.3">
      <c r="B582" s="20" t="s">
        <v>20</v>
      </c>
      <c r="C582" s="23">
        <f>INDEX(ScenarioInputs,MATCH($B576,Regions,0),MATCH(C579,Scenarios,0))</f>
        <v>1</v>
      </c>
      <c r="D582" s="23">
        <f>INDEX(ScenarioInputs,MATCH($B576,Regions,0),MATCH(D579,Scenarios,0))</f>
        <v>2</v>
      </c>
      <c r="E582" s="23">
        <f>INDEX(ScenarioInputs,MATCH($B576,Regions,0),MATCH(E579,Scenarios,0))</f>
        <v>3</v>
      </c>
    </row>
    <row r="583" spans="2:5" hidden="1" outlineLevel="1" x14ac:dyDescent="0.3">
      <c r="B583" s="20" t="s">
        <v>37</v>
      </c>
      <c r="C583" s="21">
        <f ca="1">ROUNDDOWN(C582*INDEX(INDIRECT($B575),MATCH($B576,Regions,0),9)/(INDEX(INDIRECT($B575),MATCH($B576,Regions,0),3)+INDEX(INDIRECT($B575),MATCH($B576,Regions,0),2)),0)+IF(MOD(INDEX(INDIRECT($B575),MATCH($B576,Regions,0),9),INDEX(INDIRECT($B575),MATCH($B576,Regions,0),3)+INDEX(INDIRECT($B575),MATCH($B576,Regions,0),2))&lt;Buffer,0,1)</f>
        <v>2</v>
      </c>
      <c r="D583" s="21">
        <f ca="1">ROUNDDOWN(D582*INDEX(INDIRECT($B575),MATCH($B576,Regions,0),9)/(INDEX(INDIRECT($B575),MATCH($B576,Regions,0),3)+INDEX(INDIRECT($B575),MATCH($B576,Regions,0),2)),0)+IF(MOD(INDEX(INDIRECT($B575),MATCH($B576,Regions,0),9),INDEX(INDIRECT($B575),MATCH($B576,Regions,0),3)+INDEX(INDIRECT($B575),MATCH($B576,Regions,0),2))&lt;Buffer,0,1)</f>
        <v>4</v>
      </c>
      <c r="E583" s="21">
        <f ca="1">ROUNDDOWN(E582*INDEX(INDIRECT($B575),MATCH($B576,Regions,0),9)/(INDEX(INDIRECT($B575),MATCH($B576,Regions,0),3)+INDEX(INDIRECT($B575),MATCH($B576,Regions,0),2)),0)+IF(MOD(INDEX(INDIRECT($B575),MATCH($B576,Regions,0),9),INDEX(INDIRECT($B575),MATCH($B576,Regions,0),3)+INDEX(INDIRECT($B575),MATCH($B576,Regions,0),2))&lt;Buffer,0,1)</f>
        <v>6</v>
      </c>
    </row>
    <row r="584" spans="2:5" hidden="1" outlineLevel="1" x14ac:dyDescent="0.3">
      <c r="B584" s="20" t="s">
        <v>43</v>
      </c>
      <c r="C584" s="21">
        <f ca="1">ROUNDDOWN(INDEX(INDIRECT($B575),MATCH($B576,Regions,0),8)*INDEX(INDIRECT($B575),MATCH($B576,Regions,0),10),0)</f>
        <v>10</v>
      </c>
      <c r="D584" s="21">
        <f ca="1">ROUNDDOWN(INDEX(INDIRECT($B575),MATCH($B576,Regions,0),8)*INDEX(INDIRECT($B575),MATCH($B576,Regions,0),10),0)</f>
        <v>10</v>
      </c>
      <c r="E584" s="21">
        <f ca="1">ROUNDDOWN(INDEX(INDIRECT($B575),MATCH($B576,Regions,0),8)*INDEX(INDIRECT($B575),MATCH($B576,Regions,0),10),0)</f>
        <v>10</v>
      </c>
    </row>
    <row r="585" spans="2:5" hidden="1" outlineLevel="1" x14ac:dyDescent="0.3">
      <c r="B585" s="26" t="s">
        <v>11</v>
      </c>
      <c r="C585" s="27">
        <f ca="1">IFERROR(C581/(C584*C583),NA())</f>
        <v>4.3020833333333339</v>
      </c>
      <c r="D585" s="27">
        <f t="shared" ref="D585" ca="1" si="90">IFERROR(D581/(D584*D583),NA())</f>
        <v>2.151041666666667</v>
      </c>
      <c r="E585" s="27">
        <f t="shared" ref="E585" ca="1" si="91">IFERROR(E581/(E584*E583),NA())</f>
        <v>1.4340277777777779</v>
      </c>
    </row>
    <row r="586" spans="2:5" hidden="1" outlineLevel="1" x14ac:dyDescent="0.3">
      <c r="B586" s="12" t="s">
        <v>14</v>
      </c>
      <c r="C586" s="28"/>
      <c r="D586" s="29"/>
      <c r="E586" s="30"/>
    </row>
    <row r="587" spans="2:5" hidden="1" outlineLevel="1" x14ac:dyDescent="0.3">
      <c r="B587" s="31" t="s">
        <v>38</v>
      </c>
      <c r="C587" s="32">
        <f ca="1">IFERROR(C581/C585,0)</f>
        <v>20</v>
      </c>
      <c r="D587" s="32">
        <f t="shared" ref="D587:E587" ca="1" si="92">IFERROR(D581/D585,0)</f>
        <v>40</v>
      </c>
      <c r="E587" s="32">
        <f t="shared" ca="1" si="92"/>
        <v>60</v>
      </c>
    </row>
    <row r="588" spans="2:5" hidden="1" outlineLevel="1" x14ac:dyDescent="0.3">
      <c r="B588" s="20" t="s">
        <v>30</v>
      </c>
      <c r="C588" s="33">
        <f ca="1">IF(C587=0,0,INDEX(INDIRECT($B575),MATCH($B576,Regions,0),9)*C582*C584)</f>
        <v>80</v>
      </c>
      <c r="D588" s="33">
        <f ca="1">IF(D587=0,0,INDEX(INDIRECT($B575),MATCH($B576,Regions,0),9)*D582*D584)</f>
        <v>160</v>
      </c>
      <c r="E588" s="33">
        <f ca="1">IF(E587=0,0,INDEX(INDIRECT($B575),MATCH($B576,Regions,0),9)*E582*E584)</f>
        <v>240</v>
      </c>
    </row>
    <row r="589" spans="2:5" hidden="1" outlineLevel="1" x14ac:dyDescent="0.3">
      <c r="B589" s="20" t="s">
        <v>31</v>
      </c>
      <c r="C589" s="33">
        <f ca="1">IFERROR(C587*INDEX(INDIRECT($B575),MATCH($B576,Regions,0),4)/(7/INDEX(INDIRECT($B575),MATCH($B576,Regions,0),6)),0)</f>
        <v>20</v>
      </c>
      <c r="D589" s="33">
        <f ca="1">IFERROR(D587*INDEX(INDIRECT($B575),MATCH($B576,Regions,0),4)/(7/INDEX(INDIRECT($B575),MATCH($B576,Regions,0),6)),0)</f>
        <v>40</v>
      </c>
      <c r="E589" s="33">
        <f ca="1">IFERROR(E587*INDEX(INDIRECT($B575),MATCH($B576,Regions,0),4)/(7/INDEX(INDIRECT($B575),MATCH($B576,Regions,0),6)),0)</f>
        <v>60</v>
      </c>
    </row>
    <row r="590" spans="2:5" hidden="1" outlineLevel="1" x14ac:dyDescent="0.3">
      <c r="B590" s="20" t="s">
        <v>32</v>
      </c>
      <c r="C590" s="33">
        <f ca="1">IFERROR(C587*INDEX(INDIRECT($B575),MATCH($B576,Regions,0),5)/(7/INDEX(INDIRECT($B575),MATCH($B576,Regions,0),7)),0)</f>
        <v>8.5714285714285712</v>
      </c>
      <c r="D590" s="33">
        <f ca="1">IFERROR(D587*INDEX(INDIRECT($B575),MATCH($B576,Regions,0),5)/(7/INDEX(INDIRECT($B575),MATCH($B576,Regions,0),7)),0)</f>
        <v>17.142857142857142</v>
      </c>
      <c r="E590" s="33">
        <f ca="1">IFERROR(E587*INDEX(INDIRECT($B575),MATCH($B576,Regions,0),5)/(7/INDEX(INDIRECT($B575),MATCH($B576,Regions,0),7)),0)</f>
        <v>25.714285714285712</v>
      </c>
    </row>
    <row r="591" spans="2:5" hidden="1" outlineLevel="1" x14ac:dyDescent="0.3"/>
    <row r="592" spans="2:5" hidden="1" outlineLevel="1" x14ac:dyDescent="0.3">
      <c r="B592" s="10" t="s">
        <v>25</v>
      </c>
    </row>
    <row r="593" spans="2:5" hidden="1" outlineLevel="1" x14ac:dyDescent="0.3">
      <c r="B593" s="11" t="s">
        <v>46</v>
      </c>
    </row>
    <row r="594" spans="2:5" hidden="1" outlineLevel="1" x14ac:dyDescent="0.3">
      <c r="B594" s="11" t="s">
        <v>4</v>
      </c>
    </row>
    <row r="595" spans="2:5" hidden="1" outlineLevel="1" x14ac:dyDescent="0.3"/>
    <row r="596" spans="2:5" hidden="1" outlineLevel="1" x14ac:dyDescent="0.3">
      <c r="C596" s="297" t="s">
        <v>12</v>
      </c>
      <c r="D596" s="297"/>
      <c r="E596" s="297"/>
    </row>
    <row r="597" spans="2:5" ht="28.8" hidden="1" outlineLevel="1" x14ac:dyDescent="0.3">
      <c r="B597" s="13" t="str">
        <f>B593&amp;" - "&amp;B594</f>
        <v>Cardiac_Valve - Toronto</v>
      </c>
      <c r="C597" s="14" t="str">
        <f>'Data Inputs'!$C$29</f>
        <v>Scenario 1:
+1 day a week</v>
      </c>
      <c r="D597" s="14" t="str">
        <f>'Data Inputs'!$D$29</f>
        <v>Scenario 2:
+2 days a week</v>
      </c>
      <c r="E597" s="71" t="str">
        <f>'Data Inputs'!$E$29</f>
        <v>Scenario 3:
+3 days a week</v>
      </c>
    </row>
    <row r="598" spans="2:5" hidden="1" outlineLevel="1" x14ac:dyDescent="0.3">
      <c r="B598" s="12" t="s">
        <v>21</v>
      </c>
      <c r="C598" s="17"/>
      <c r="D598" s="18"/>
      <c r="E598" s="19"/>
    </row>
    <row r="599" spans="2:5" hidden="1" outlineLevel="1" x14ac:dyDescent="0.3">
      <c r="B599" s="20" t="s">
        <v>13</v>
      </c>
      <c r="C599" s="21">
        <f ca="1">INDEX(INDIRECT($B593),MATCH($B594,Regions,0),1)</f>
        <v>50.743494423791823</v>
      </c>
      <c r="D599" s="21">
        <f ca="1">INDEX(INDIRECT($B593),MATCH($B594,Regions,0),1)</f>
        <v>50.743494423791823</v>
      </c>
      <c r="E599" s="21">
        <f ca="1">INDEX(INDIRECT($B593),MATCH($B594,Regions,0),1)</f>
        <v>50.743494423791823</v>
      </c>
    </row>
    <row r="600" spans="2:5" hidden="1" outlineLevel="1" x14ac:dyDescent="0.3">
      <c r="B600" s="20" t="s">
        <v>20</v>
      </c>
      <c r="C600" s="23">
        <f>INDEX(ScenarioInputs,MATCH($B594,Regions,0),MATCH(C597,Scenarios,0))</f>
        <v>1</v>
      </c>
      <c r="D600" s="23">
        <f>INDEX(ScenarioInputs,MATCH($B594,Regions,0),MATCH(D597,Scenarios,0))</f>
        <v>2</v>
      </c>
      <c r="E600" s="23">
        <f>INDEX(ScenarioInputs,MATCH($B594,Regions,0),MATCH(E597,Scenarios,0))</f>
        <v>3</v>
      </c>
    </row>
    <row r="601" spans="2:5" hidden="1" outlineLevel="1" x14ac:dyDescent="0.3">
      <c r="B601" s="20" t="s">
        <v>37</v>
      </c>
      <c r="C601" s="21">
        <f ca="1">ROUNDDOWN(C600*INDEX(INDIRECT($B593),MATCH($B594,Regions,0),9)/(INDEX(INDIRECT($B593),MATCH($B594,Regions,0),3)+INDEX(INDIRECT($B593),MATCH($B594,Regions,0),2)),0)+IF(MOD(INDEX(INDIRECT($B593),MATCH($B594,Regions,0),9),INDEX(INDIRECT($B593),MATCH($B594,Regions,0),3)+INDEX(INDIRECT($B593),MATCH($B594,Regions,0),2))&lt;Buffer,0,1)</f>
        <v>2</v>
      </c>
      <c r="D601" s="21">
        <f ca="1">ROUNDDOWN(D600*INDEX(INDIRECT($B593),MATCH($B594,Regions,0),9)/(INDEX(INDIRECT($B593),MATCH($B594,Regions,0),3)+INDEX(INDIRECT($B593),MATCH($B594,Regions,0),2)),0)+IF(MOD(INDEX(INDIRECT($B593),MATCH($B594,Regions,0),9),INDEX(INDIRECT($B593),MATCH($B594,Regions,0),3)+INDEX(INDIRECT($B593),MATCH($B594,Regions,0),2))&lt;Buffer,0,1)</f>
        <v>4</v>
      </c>
      <c r="E601" s="21">
        <f ca="1">ROUNDDOWN(E600*INDEX(INDIRECT($B593),MATCH($B594,Regions,0),9)/(INDEX(INDIRECT($B593),MATCH($B594,Regions,0),3)+INDEX(INDIRECT($B593),MATCH($B594,Regions,0),2)),0)+IF(MOD(INDEX(INDIRECT($B593),MATCH($B594,Regions,0),9),INDEX(INDIRECT($B593),MATCH($B594,Regions,0),3)+INDEX(INDIRECT($B593),MATCH($B594,Regions,0),2))&lt;Buffer,0,1)</f>
        <v>6</v>
      </c>
    </row>
    <row r="602" spans="2:5" hidden="1" outlineLevel="1" x14ac:dyDescent="0.3">
      <c r="B602" s="20" t="s">
        <v>43</v>
      </c>
      <c r="C602" s="21">
        <f ca="1">ROUNDDOWN(INDEX(INDIRECT($B593),MATCH($B594,Regions,0),8)*INDEX(INDIRECT($B593),MATCH($B594,Regions,0),10),0)</f>
        <v>10</v>
      </c>
      <c r="D602" s="21">
        <f ca="1">ROUNDDOWN(INDEX(INDIRECT($B593),MATCH($B594,Regions,0),8)*INDEX(INDIRECT($B593),MATCH($B594,Regions,0),10),0)</f>
        <v>10</v>
      </c>
      <c r="E602" s="21">
        <f ca="1">ROUNDDOWN(INDEX(INDIRECT($B593),MATCH($B594,Regions,0),8)*INDEX(INDIRECT($B593),MATCH($B594,Regions,0),10),0)</f>
        <v>10</v>
      </c>
    </row>
    <row r="603" spans="2:5" hidden="1" outlineLevel="1" x14ac:dyDescent="0.3">
      <c r="B603" s="26" t="s">
        <v>11</v>
      </c>
      <c r="C603" s="27">
        <f ca="1">IFERROR(C599/(C602*C601),NA())</f>
        <v>2.537174721189591</v>
      </c>
      <c r="D603" s="27">
        <f t="shared" ref="D603" ca="1" si="93">IFERROR(D599/(D602*D601),NA())</f>
        <v>1.2685873605947955</v>
      </c>
      <c r="E603" s="27">
        <f t="shared" ref="E603" ca="1" si="94">IFERROR(E599/(E602*E601),NA())</f>
        <v>0.84572490706319703</v>
      </c>
    </row>
    <row r="604" spans="2:5" hidden="1" outlineLevel="1" x14ac:dyDescent="0.3">
      <c r="B604" s="12" t="s">
        <v>14</v>
      </c>
      <c r="C604" s="28"/>
      <c r="D604" s="29"/>
      <c r="E604" s="30"/>
    </row>
    <row r="605" spans="2:5" hidden="1" outlineLevel="1" x14ac:dyDescent="0.3">
      <c r="B605" s="31" t="s">
        <v>38</v>
      </c>
      <c r="C605" s="32">
        <f ca="1">IFERROR(C599/C603,0)</f>
        <v>20</v>
      </c>
      <c r="D605" s="32">
        <f t="shared" ref="D605:E605" ca="1" si="95">IFERROR(D599/D603,0)</f>
        <v>40</v>
      </c>
      <c r="E605" s="32">
        <f t="shared" ca="1" si="95"/>
        <v>60</v>
      </c>
    </row>
    <row r="606" spans="2:5" hidden="1" outlineLevel="1" x14ac:dyDescent="0.3">
      <c r="B606" s="20" t="s">
        <v>30</v>
      </c>
      <c r="C606" s="33">
        <f ca="1">IF(C605=0,0,INDEX(INDIRECT($B593),MATCH($B594,Regions,0),9)*C600*C602)</f>
        <v>80</v>
      </c>
      <c r="D606" s="33">
        <f ca="1">IF(D605=0,0,INDEX(INDIRECT($B593),MATCH($B594,Regions,0),9)*D600*D602)</f>
        <v>160</v>
      </c>
      <c r="E606" s="33">
        <f ca="1">IF(E605=0,0,INDEX(INDIRECT($B593),MATCH($B594,Regions,0),9)*E600*E602)</f>
        <v>240</v>
      </c>
    </row>
    <row r="607" spans="2:5" hidden="1" outlineLevel="1" x14ac:dyDescent="0.3">
      <c r="B607" s="20" t="s">
        <v>31</v>
      </c>
      <c r="C607" s="33">
        <f ca="1">IFERROR(C605*INDEX(INDIRECT($B593),MATCH($B594,Regions,0),4)/(7/INDEX(INDIRECT($B593),MATCH($B594,Regions,0),6)),0)</f>
        <v>22.857142857142858</v>
      </c>
      <c r="D607" s="33">
        <f ca="1">IFERROR(D605*INDEX(INDIRECT($B593),MATCH($B594,Regions,0),4)/(7/INDEX(INDIRECT($B593),MATCH($B594,Regions,0),6)),0)</f>
        <v>45.714285714285715</v>
      </c>
      <c r="E607" s="33">
        <f ca="1">IFERROR(E605*INDEX(INDIRECT($B593),MATCH($B594,Regions,0),4)/(7/INDEX(INDIRECT($B593),MATCH($B594,Regions,0),6)),0)</f>
        <v>68.571428571428569</v>
      </c>
    </row>
    <row r="608" spans="2:5" hidden="1" outlineLevel="1" x14ac:dyDescent="0.3">
      <c r="B608" s="20" t="s">
        <v>32</v>
      </c>
      <c r="C608" s="33">
        <f ca="1">IFERROR(C605*INDEX(INDIRECT($B593),MATCH($B594,Regions,0),5)/(7/INDEX(INDIRECT($B593),MATCH($B594,Regions,0),7)),0)</f>
        <v>11.428571428571429</v>
      </c>
      <c r="D608" s="33">
        <f ca="1">IFERROR(D605*INDEX(INDIRECT($B593),MATCH($B594,Regions,0),5)/(7/INDEX(INDIRECT($B593),MATCH($B594,Regions,0),7)),0)</f>
        <v>22.857142857142858</v>
      </c>
      <c r="E608" s="33">
        <f ca="1">IFERROR(E605*INDEX(INDIRECT($B593),MATCH($B594,Regions,0),5)/(7/INDEX(INDIRECT($B593),MATCH($B594,Regions,0),7)),0)</f>
        <v>34.285714285714285</v>
      </c>
    </row>
    <row r="609" spans="2:5" hidden="1" outlineLevel="1" x14ac:dyDescent="0.3">
      <c r="B609" s="20"/>
      <c r="C609" s="44"/>
      <c r="D609" s="44"/>
      <c r="E609" s="44"/>
    </row>
    <row r="610" spans="2:5" hidden="1" outlineLevel="1" x14ac:dyDescent="0.3">
      <c r="B610" s="10" t="s">
        <v>25</v>
      </c>
    </row>
    <row r="611" spans="2:5" hidden="1" outlineLevel="1" x14ac:dyDescent="0.3">
      <c r="B611" s="11" t="s">
        <v>110</v>
      </c>
    </row>
    <row r="612" spans="2:5" hidden="1" outlineLevel="1" x14ac:dyDescent="0.3">
      <c r="B612" s="11" t="s">
        <v>4</v>
      </c>
    </row>
    <row r="613" spans="2:5" hidden="1" outlineLevel="1" x14ac:dyDescent="0.3"/>
    <row r="614" spans="2:5" hidden="1" outlineLevel="1" x14ac:dyDescent="0.3">
      <c r="C614" s="297" t="s">
        <v>12</v>
      </c>
      <c r="D614" s="297"/>
      <c r="E614" s="297"/>
    </row>
    <row r="615" spans="2:5" ht="28.8" hidden="1" outlineLevel="1" x14ac:dyDescent="0.3">
      <c r="B615" s="13" t="str">
        <f>B611&amp;" - "&amp;B612</f>
        <v>Benign_P2P3 - Toronto</v>
      </c>
      <c r="C615" s="14" t="str">
        <f>'Data Inputs'!$C$29</f>
        <v>Scenario 1:
+1 day a week</v>
      </c>
      <c r="D615" s="14" t="str">
        <f>'Data Inputs'!$D$29</f>
        <v>Scenario 2:
+2 days a week</v>
      </c>
      <c r="E615" s="71" t="str">
        <f>'Data Inputs'!$E$29</f>
        <v>Scenario 3:
+3 days a week</v>
      </c>
    </row>
    <row r="616" spans="2:5" hidden="1" outlineLevel="1" x14ac:dyDescent="0.3">
      <c r="B616" s="12" t="s">
        <v>21</v>
      </c>
      <c r="C616" s="17"/>
      <c r="D616" s="18"/>
      <c r="E616" s="19"/>
    </row>
    <row r="617" spans="2:5" hidden="1" outlineLevel="1" x14ac:dyDescent="0.3">
      <c r="B617" s="20" t="s">
        <v>13</v>
      </c>
      <c r="C617" s="21">
        <f ca="1">INDEX(INDIRECT($B611),MATCH($B612,Regions,0),1)</f>
        <v>2097.5463597999997</v>
      </c>
      <c r="D617" s="21">
        <f ca="1">INDEX(INDIRECT($B611),MATCH($B612,Regions,0),1)</f>
        <v>2097.5463597999997</v>
      </c>
      <c r="E617" s="21">
        <f ca="1">INDEX(INDIRECT($B611),MATCH($B612,Regions,0),1)</f>
        <v>2097.5463597999997</v>
      </c>
    </row>
    <row r="618" spans="2:5" hidden="1" outlineLevel="1" x14ac:dyDescent="0.3">
      <c r="B618" s="20" t="s">
        <v>20</v>
      </c>
      <c r="C618" s="23">
        <f>INDEX(ScenarioInputs,MATCH($B612,Regions,0),MATCH(C615,Scenarios,0))</f>
        <v>1</v>
      </c>
      <c r="D618" s="23">
        <f>INDEX(ScenarioInputs,MATCH($B612,Regions,0),MATCH(D615,Scenarios,0))</f>
        <v>2</v>
      </c>
      <c r="E618" s="23">
        <f>INDEX(ScenarioInputs,MATCH($B612,Regions,0),MATCH(E615,Scenarios,0))</f>
        <v>3</v>
      </c>
    </row>
    <row r="619" spans="2:5" hidden="1" outlineLevel="1" x14ac:dyDescent="0.3">
      <c r="B619" s="20" t="s">
        <v>37</v>
      </c>
      <c r="C619" s="21">
        <f ca="1">ROUNDDOWN(C618*INDEX(INDIRECT($B611),MATCH($B612,Regions,0),9)/(INDEX(INDIRECT($B611),MATCH($B612,Regions,0),3)+INDEX(INDIRECT($B611),MATCH($B612,Regions,0),2)),0)+IF(MOD(INDEX(INDIRECT($B611),MATCH($B612,Regions,0),9),INDEX(INDIRECT($B611),MATCH($B612,Regions,0),3)+INDEX(INDIRECT($B611),MATCH($B612,Regions,0),2))&lt;Buffer,0,1)</f>
        <v>3</v>
      </c>
      <c r="D619" s="21">
        <f ca="1">ROUNDDOWN(D618*INDEX(INDIRECT($B611),MATCH($B612,Regions,0),9)/(INDEX(INDIRECT($B611),MATCH($B612,Regions,0),3)+INDEX(INDIRECT($B611),MATCH($B612,Regions,0),2)),0)+IF(MOD(INDEX(INDIRECT($B611),MATCH($B612,Regions,0),9),INDEX(INDIRECT($B611),MATCH($B612,Regions,0),3)+INDEX(INDIRECT($B611),MATCH($B612,Regions,0),2))&lt;Buffer,0,1)</f>
        <v>6</v>
      </c>
      <c r="E619" s="21">
        <f ca="1">ROUNDDOWN(E618*INDEX(INDIRECT($B611),MATCH($B612,Regions,0),9)/(INDEX(INDIRECT($B611),MATCH($B612,Regions,0),3)+INDEX(INDIRECT($B611),MATCH($B612,Regions,0),2)),0)+IF(MOD(INDEX(INDIRECT($B611),MATCH($B612,Regions,0),9),INDEX(INDIRECT($B611),MATCH($B612,Regions,0),3)+INDEX(INDIRECT($B611),MATCH($B612,Regions,0),2))&lt;Buffer,0,1)</f>
        <v>10</v>
      </c>
    </row>
    <row r="620" spans="2:5" hidden="1" outlineLevel="1" x14ac:dyDescent="0.3">
      <c r="B620" s="20" t="s">
        <v>43</v>
      </c>
      <c r="C620" s="21">
        <f ca="1">ROUNDDOWN(INDEX(INDIRECT($B611),MATCH($B612,Regions,0),8)*INDEX(INDIRECT($B611),MATCH($B612,Regions,0),10),0)</f>
        <v>64</v>
      </c>
      <c r="D620" s="21">
        <f ca="1">ROUNDDOWN(INDEX(INDIRECT($B611),MATCH($B612,Regions,0),8)*INDEX(INDIRECT($B611),MATCH($B612,Regions,0),10),0)</f>
        <v>64</v>
      </c>
      <c r="E620" s="21">
        <f ca="1">ROUNDDOWN(INDEX(INDIRECT($B611),MATCH($B612,Regions,0),8)*INDEX(INDIRECT($B611),MATCH($B612,Regions,0),10),0)</f>
        <v>64</v>
      </c>
    </row>
    <row r="621" spans="2:5" hidden="1" outlineLevel="1" x14ac:dyDescent="0.3">
      <c r="B621" s="26" t="s">
        <v>11</v>
      </c>
      <c r="C621" s="27">
        <f ca="1">IFERROR(C617/(C620*C619),NA())</f>
        <v>10.924720623958331</v>
      </c>
      <c r="D621" s="27">
        <f t="shared" ref="D621:E621" ca="1" si="96">IFERROR(D617/(D620*D619),NA())</f>
        <v>5.4623603119791655</v>
      </c>
      <c r="E621" s="27">
        <f t="shared" ca="1" si="96"/>
        <v>3.2774161871874994</v>
      </c>
    </row>
    <row r="622" spans="2:5" hidden="1" outlineLevel="1" x14ac:dyDescent="0.3">
      <c r="B622" s="12" t="s">
        <v>14</v>
      </c>
      <c r="C622" s="28"/>
      <c r="D622" s="29"/>
      <c r="E622" s="30"/>
    </row>
    <row r="623" spans="2:5" hidden="1" outlineLevel="1" x14ac:dyDescent="0.3">
      <c r="B623" s="31" t="s">
        <v>38</v>
      </c>
      <c r="C623" s="32">
        <f ca="1">IFERROR(C617/C621,0)</f>
        <v>192</v>
      </c>
      <c r="D623" s="32">
        <f t="shared" ref="D623:E623" ca="1" si="97">IFERROR(D617/D621,0)</f>
        <v>384</v>
      </c>
      <c r="E623" s="32">
        <f t="shared" ca="1" si="97"/>
        <v>640</v>
      </c>
    </row>
    <row r="624" spans="2:5" hidden="1" outlineLevel="1" x14ac:dyDescent="0.3">
      <c r="B624" s="20" t="s">
        <v>30</v>
      </c>
      <c r="C624" s="33">
        <f ca="1">IF(C623=0,0,INDEX(INDIRECT($B611),MATCH($B612,Regions,0),9)*C618*C620)</f>
        <v>512</v>
      </c>
      <c r="D624" s="33">
        <f ca="1">IF(D623=0,0,INDEX(INDIRECT($B611),MATCH($B612,Regions,0),9)*D618*D620)</f>
        <v>1024</v>
      </c>
      <c r="E624" s="33">
        <f ca="1">IF(E623=0,0,INDEX(INDIRECT($B611),MATCH($B612,Regions,0),9)*E618*E620)</f>
        <v>1536</v>
      </c>
    </row>
    <row r="625" spans="2:5" hidden="1" outlineLevel="1" x14ac:dyDescent="0.3">
      <c r="B625" s="20" t="s">
        <v>31</v>
      </c>
      <c r="C625" s="33">
        <f ca="1">IFERROR(C623*INDEX(INDIRECT($B611),MATCH($B612,Regions,0),4)/(7/INDEX(INDIRECT($B611),MATCH($B612,Regions,0),6)),0)</f>
        <v>46.224416774958428</v>
      </c>
      <c r="D625" s="33">
        <f ca="1">IFERROR(D623*INDEX(INDIRECT($B611),MATCH($B612,Regions,0),4)/(7/INDEX(INDIRECT($B611),MATCH($B612,Regions,0),6)),0)</f>
        <v>92.448833549916856</v>
      </c>
      <c r="E625" s="33">
        <f ca="1">IFERROR(E623*INDEX(INDIRECT($B611),MATCH($B612,Regions,0),4)/(7/INDEX(INDIRECT($B611),MATCH($B612,Regions,0),6)),0)</f>
        <v>154.08138924986142</v>
      </c>
    </row>
    <row r="626" spans="2:5" hidden="1" outlineLevel="1" x14ac:dyDescent="0.3">
      <c r="B626" s="20" t="s">
        <v>32</v>
      </c>
      <c r="C626" s="33">
        <f ca="1">IFERROR(C623*INDEX(INDIRECT($B611),MATCH($B612,Regions,0),5)/(7/INDEX(INDIRECT($B611),MATCH($B612,Regions,0),7)),0)</f>
        <v>1.9446941111891494</v>
      </c>
      <c r="D626" s="33">
        <f ca="1">IFERROR(D623*INDEX(INDIRECT($B611),MATCH($B612,Regions,0),5)/(7/INDEX(INDIRECT($B611),MATCH($B612,Regions,0),7)),0)</f>
        <v>3.8893882223782987</v>
      </c>
      <c r="E626" s="33">
        <f ca="1">IFERROR(E623*INDEX(INDIRECT($B611),MATCH($B612,Regions,0),5)/(7/INDEX(INDIRECT($B611),MATCH($B612,Regions,0),7)),0)</f>
        <v>6.4823137039638317</v>
      </c>
    </row>
    <row r="627" spans="2:5" hidden="1" outlineLevel="1" x14ac:dyDescent="0.3">
      <c r="B627" s="20"/>
      <c r="C627" s="44"/>
      <c r="D627" s="44"/>
      <c r="E627" s="44"/>
    </row>
    <row r="628" spans="2:5" hidden="1" outlineLevel="1" x14ac:dyDescent="0.3">
      <c r="B628" s="10" t="s">
        <v>25</v>
      </c>
    </row>
    <row r="629" spans="2:5" hidden="1" outlineLevel="1" x14ac:dyDescent="0.3">
      <c r="B629" s="11" t="s">
        <v>111</v>
      </c>
    </row>
    <row r="630" spans="2:5" hidden="1" outlineLevel="1" x14ac:dyDescent="0.3">
      <c r="B630" s="11" t="s">
        <v>4</v>
      </c>
    </row>
    <row r="631" spans="2:5" hidden="1" outlineLevel="1" x14ac:dyDescent="0.3"/>
    <row r="632" spans="2:5" hidden="1" outlineLevel="1" x14ac:dyDescent="0.3">
      <c r="C632" s="297" t="s">
        <v>12</v>
      </c>
      <c r="D632" s="297"/>
      <c r="E632" s="297"/>
    </row>
    <row r="633" spans="2:5" ht="28.8" hidden="1" outlineLevel="1" x14ac:dyDescent="0.3">
      <c r="B633" s="13" t="str">
        <f>B629&amp;" - "&amp;B630</f>
        <v>Benign_P4 - Toronto</v>
      </c>
      <c r="C633" s="14" t="str">
        <f>'Data Inputs'!$C$29</f>
        <v>Scenario 1:
+1 day a week</v>
      </c>
      <c r="D633" s="14" t="str">
        <f>'Data Inputs'!$D$29</f>
        <v>Scenario 2:
+2 days a week</v>
      </c>
      <c r="E633" s="71" t="str">
        <f>'Data Inputs'!$E$29</f>
        <v>Scenario 3:
+3 days a week</v>
      </c>
    </row>
    <row r="634" spans="2:5" hidden="1" outlineLevel="1" x14ac:dyDescent="0.3">
      <c r="B634" s="12" t="s">
        <v>21</v>
      </c>
      <c r="C634" s="17"/>
      <c r="D634" s="18"/>
      <c r="E634" s="19"/>
    </row>
    <row r="635" spans="2:5" hidden="1" outlineLevel="1" x14ac:dyDescent="0.3">
      <c r="B635" s="20" t="s">
        <v>13</v>
      </c>
      <c r="C635" s="21">
        <f ca="1">INDEX(INDIRECT($B629),MATCH($B630,Regions,0),1)</f>
        <v>13102.348932900002</v>
      </c>
      <c r="D635" s="21">
        <f ca="1">INDEX(INDIRECT($B629),MATCH($B630,Regions,0),1)</f>
        <v>13102.348932900002</v>
      </c>
      <c r="E635" s="21">
        <f ca="1">INDEX(INDIRECT($B629),MATCH($B630,Regions,0),1)</f>
        <v>13102.348932900002</v>
      </c>
    </row>
    <row r="636" spans="2:5" hidden="1" outlineLevel="1" x14ac:dyDescent="0.3">
      <c r="B636" s="20" t="s">
        <v>20</v>
      </c>
      <c r="C636" s="23">
        <f>INDEX(ScenarioInputs,MATCH($B630,Regions,0),MATCH(C633,Scenarios,0))</f>
        <v>1</v>
      </c>
      <c r="D636" s="23">
        <f>INDEX(ScenarioInputs,MATCH($B630,Regions,0),MATCH(D633,Scenarios,0))</f>
        <v>2</v>
      </c>
      <c r="E636" s="23">
        <f>INDEX(ScenarioInputs,MATCH($B630,Regions,0),MATCH(E633,Scenarios,0))</f>
        <v>3</v>
      </c>
    </row>
    <row r="637" spans="2:5" hidden="1" outlineLevel="1" x14ac:dyDescent="0.3">
      <c r="B637" s="20" t="s">
        <v>37</v>
      </c>
      <c r="C637" s="21">
        <f ca="1">ROUNDDOWN(C636*INDEX(INDIRECT($B629),MATCH($B630,Regions,0),9)/(INDEX(INDIRECT($B629),MATCH($B630,Regions,0),3)+INDEX(INDIRECT($B629),MATCH($B630,Regions,0),2)),0)+IF(MOD(INDEX(INDIRECT($B629),MATCH($B630,Regions,0),9),INDEX(INDIRECT($B629),MATCH($B630,Regions,0),3)+INDEX(INDIRECT($B629),MATCH($B630,Regions,0),2))&lt;Buffer,0,1)</f>
        <v>4</v>
      </c>
      <c r="D637" s="21">
        <f ca="1">ROUNDDOWN(D636*INDEX(INDIRECT($B629),MATCH($B630,Regions,0),9)/(INDEX(INDIRECT($B629),MATCH($B630,Regions,0),3)+INDEX(INDIRECT($B629),MATCH($B630,Regions,0),2)),0)+IF(MOD(INDEX(INDIRECT($B629),MATCH($B630,Regions,0),9),INDEX(INDIRECT($B629),MATCH($B630,Regions,0),3)+INDEX(INDIRECT($B629),MATCH($B630,Regions,0),2))&lt;Buffer,0,1)</f>
        <v>8</v>
      </c>
      <c r="E637" s="21">
        <f ca="1">ROUNDDOWN(E636*INDEX(INDIRECT($B629),MATCH($B630,Regions,0),9)/(INDEX(INDIRECT($B629),MATCH($B630,Regions,0),3)+INDEX(INDIRECT($B629),MATCH($B630,Regions,0),2)),0)+IF(MOD(INDEX(INDIRECT($B629),MATCH($B630,Regions,0),9),INDEX(INDIRECT($B629),MATCH($B630,Regions,0),3)+INDEX(INDIRECT($B629),MATCH($B630,Regions,0),2))&lt;Buffer,0,1)</f>
        <v>12</v>
      </c>
    </row>
    <row r="638" spans="2:5" hidden="1" outlineLevel="1" x14ac:dyDescent="0.3">
      <c r="B638" s="20" t="s">
        <v>43</v>
      </c>
      <c r="C638" s="21">
        <f ca="1">ROUNDDOWN(INDEX(INDIRECT($B629),MATCH($B630,Regions,0),8)*INDEX(INDIRECT($B629),MATCH($B630,Regions,0),10),0)</f>
        <v>64</v>
      </c>
      <c r="D638" s="21">
        <f ca="1">ROUNDDOWN(INDEX(INDIRECT($B629),MATCH($B630,Regions,0),8)*INDEX(INDIRECT($B629),MATCH($B630,Regions,0),10),0)</f>
        <v>64</v>
      </c>
      <c r="E638" s="21">
        <f ca="1">ROUNDDOWN(INDEX(INDIRECT($B629),MATCH($B630,Regions,0),8)*INDEX(INDIRECT($B629),MATCH($B630,Regions,0),10),0)</f>
        <v>64</v>
      </c>
    </row>
    <row r="639" spans="2:5" hidden="1" outlineLevel="1" x14ac:dyDescent="0.3">
      <c r="B639" s="26" t="s">
        <v>11</v>
      </c>
      <c r="C639" s="27">
        <f ca="1">IFERROR(C635/(C638*C637),NA())</f>
        <v>51.181050519140634</v>
      </c>
      <c r="D639" s="27">
        <f t="shared" ref="D639:E639" ca="1" si="98">IFERROR(D635/(D638*D637),NA())</f>
        <v>25.590525259570317</v>
      </c>
      <c r="E639" s="27">
        <f t="shared" ca="1" si="98"/>
        <v>17.060350173046878</v>
      </c>
    </row>
    <row r="640" spans="2:5" hidden="1" outlineLevel="1" x14ac:dyDescent="0.3">
      <c r="B640" s="12" t="s">
        <v>14</v>
      </c>
      <c r="C640" s="28"/>
      <c r="D640" s="29"/>
      <c r="E640" s="30"/>
    </row>
    <row r="641" spans="2:5" hidden="1" outlineLevel="1" x14ac:dyDescent="0.3">
      <c r="B641" s="31" t="s">
        <v>38</v>
      </c>
      <c r="C641" s="32">
        <f ca="1">IFERROR(C635/C639,0)</f>
        <v>256</v>
      </c>
      <c r="D641" s="32">
        <f t="shared" ref="D641:E641" ca="1" si="99">IFERROR(D635/D639,0)</f>
        <v>512</v>
      </c>
      <c r="E641" s="32">
        <f t="shared" ca="1" si="99"/>
        <v>768</v>
      </c>
    </row>
    <row r="642" spans="2:5" hidden="1" outlineLevel="1" x14ac:dyDescent="0.3">
      <c r="B642" s="20" t="s">
        <v>30</v>
      </c>
      <c r="C642" s="33">
        <f ca="1">IF(C641=0,0,INDEX(INDIRECT($B629),MATCH($B630,Regions,0),9)*C636*C638)</f>
        <v>512</v>
      </c>
      <c r="D642" s="33">
        <f ca="1">IF(D641=0,0,INDEX(INDIRECT($B629),MATCH($B630,Regions,0),9)*D636*D638)</f>
        <v>1024</v>
      </c>
      <c r="E642" s="33">
        <f ca="1">IF(E641=0,0,INDEX(INDIRECT($B629),MATCH($B630,Regions,0),9)*E636*E638)</f>
        <v>1536</v>
      </c>
    </row>
    <row r="643" spans="2:5" hidden="1" outlineLevel="1" x14ac:dyDescent="0.3">
      <c r="B643" s="20" t="s">
        <v>31</v>
      </c>
      <c r="C643" s="33">
        <f ca="1">IFERROR(C641*INDEX(INDIRECT($B629),MATCH($B630,Regions,0),4)/(7/INDEX(INDIRECT($B629),MATCH($B630,Regions,0),6)),0)</f>
        <v>28.191239358379313</v>
      </c>
      <c r="D643" s="33">
        <f ca="1">IFERROR(D641*INDEX(INDIRECT($B629),MATCH($B630,Regions,0),4)/(7/INDEX(INDIRECT($B629),MATCH($B630,Regions,0),6)),0)</f>
        <v>56.382478716758627</v>
      </c>
      <c r="E643" s="33">
        <f ca="1">IFERROR(E641*INDEX(INDIRECT($B629),MATCH($B630,Regions,0),4)/(7/INDEX(INDIRECT($B629),MATCH($B630,Regions,0),6)),0)</f>
        <v>84.573718075137933</v>
      </c>
    </row>
    <row r="644" spans="2:5" hidden="1" outlineLevel="1" x14ac:dyDescent="0.3">
      <c r="B644" s="20" t="s">
        <v>32</v>
      </c>
      <c r="C644" s="33">
        <f ca="1">IFERROR(C641*INDEX(INDIRECT($B629),MATCH($B630,Regions,0),5)/(7/INDEX(INDIRECT($B629),MATCH($B630,Regions,0),7)),0)</f>
        <v>0.20894788956595201</v>
      </c>
      <c r="D644" s="33">
        <f ca="1">IFERROR(D641*INDEX(INDIRECT($B629),MATCH($B630,Regions,0),5)/(7/INDEX(INDIRECT($B629),MATCH($B630,Regions,0),7)),0)</f>
        <v>0.41789577913190401</v>
      </c>
      <c r="E644" s="33">
        <f ca="1">IFERROR(E641*INDEX(INDIRECT($B629),MATCH($B630,Regions,0),5)/(7/INDEX(INDIRECT($B629),MATCH($B630,Regions,0),7)),0)</f>
        <v>0.62684366869785602</v>
      </c>
    </row>
    <row r="645" spans="2:5" hidden="1" outlineLevel="1" x14ac:dyDescent="0.3">
      <c r="B645" s="20"/>
      <c r="C645" s="44"/>
      <c r="D645" s="44"/>
      <c r="E645" s="44"/>
    </row>
    <row r="646" spans="2:5" hidden="1" outlineLevel="1" x14ac:dyDescent="0.3">
      <c r="B646" s="10" t="s">
        <v>25</v>
      </c>
    </row>
    <row r="647" spans="2:5" hidden="1" outlineLevel="1" x14ac:dyDescent="0.3">
      <c r="B647" s="11" t="s">
        <v>112</v>
      </c>
    </row>
    <row r="648" spans="2:5" hidden="1" outlineLevel="1" x14ac:dyDescent="0.3">
      <c r="B648" s="11" t="s">
        <v>4</v>
      </c>
    </row>
    <row r="649" spans="2:5" hidden="1" outlineLevel="1" x14ac:dyDescent="0.3"/>
    <row r="650" spans="2:5" hidden="1" outlineLevel="1" x14ac:dyDescent="0.3">
      <c r="C650" s="297" t="s">
        <v>12</v>
      </c>
      <c r="D650" s="297"/>
      <c r="E650" s="297"/>
    </row>
    <row r="651" spans="2:5" ht="28.8" hidden="1" outlineLevel="1" x14ac:dyDescent="0.3">
      <c r="B651" s="13" t="str">
        <f>B647&amp;" - "&amp;B648</f>
        <v>Pediatric_P2P3 - Toronto</v>
      </c>
      <c r="C651" s="14" t="str">
        <f>'Data Inputs'!$C$29</f>
        <v>Scenario 1:
+1 day a week</v>
      </c>
      <c r="D651" s="14" t="str">
        <f>'Data Inputs'!$D$29</f>
        <v>Scenario 2:
+2 days a week</v>
      </c>
      <c r="E651" s="71" t="str">
        <f>'Data Inputs'!$E$29</f>
        <v>Scenario 3:
+3 days a week</v>
      </c>
    </row>
    <row r="652" spans="2:5" hidden="1" outlineLevel="1" x14ac:dyDescent="0.3">
      <c r="B652" s="12" t="s">
        <v>21</v>
      </c>
      <c r="C652" s="17"/>
      <c r="D652" s="18"/>
      <c r="E652" s="19"/>
    </row>
    <row r="653" spans="2:5" hidden="1" outlineLevel="1" x14ac:dyDescent="0.3">
      <c r="B653" s="20" t="s">
        <v>13</v>
      </c>
      <c r="C653" s="21">
        <f ca="1">INDEX(INDIRECT($B647),MATCH($B648,Regions,0),1)</f>
        <v>624.27425124999991</v>
      </c>
      <c r="D653" s="21">
        <f ca="1">INDEX(INDIRECT($B647),MATCH($B648,Regions,0),1)</f>
        <v>624.27425124999991</v>
      </c>
      <c r="E653" s="21">
        <f ca="1">INDEX(INDIRECT($B647),MATCH($B648,Regions,0),1)</f>
        <v>624.27425124999991</v>
      </c>
    </row>
    <row r="654" spans="2:5" hidden="1" outlineLevel="1" x14ac:dyDescent="0.3">
      <c r="B654" s="20" t="s">
        <v>20</v>
      </c>
      <c r="C654" s="23">
        <f>INDEX(ScenarioInputs,MATCH($B648,Regions,0),MATCH(C651,Scenarios,0))</f>
        <v>1</v>
      </c>
      <c r="D654" s="23">
        <f>INDEX(ScenarioInputs,MATCH($B648,Regions,0),MATCH(D651,Scenarios,0))</f>
        <v>2</v>
      </c>
      <c r="E654" s="23">
        <f>INDEX(ScenarioInputs,MATCH($B648,Regions,0),MATCH(E651,Scenarios,0))</f>
        <v>3</v>
      </c>
    </row>
    <row r="655" spans="2:5" hidden="1" outlineLevel="1" x14ac:dyDescent="0.3">
      <c r="B655" s="20" t="s">
        <v>37</v>
      </c>
      <c r="C655" s="21">
        <f ca="1">ROUNDDOWN(C654*INDEX(INDIRECT($B647),MATCH($B648,Regions,0),9)/(INDEX(INDIRECT($B647),MATCH($B648,Regions,0),3)+INDEX(INDIRECT($B647),MATCH($B648,Regions,0),2)),0)+IF(MOD(INDEX(INDIRECT($B647),MATCH($B648,Regions,0),9),INDEX(INDIRECT($B647),MATCH($B648,Regions,0),3)+INDEX(INDIRECT($B647),MATCH($B648,Regions,0),2))&lt;Buffer,0,1)</f>
        <v>3</v>
      </c>
      <c r="D655" s="21">
        <f ca="1">ROUNDDOWN(D654*INDEX(INDIRECT($B647),MATCH($B648,Regions,0),9)/(INDEX(INDIRECT($B647),MATCH($B648,Regions,0),3)+INDEX(INDIRECT($B647),MATCH($B648,Regions,0),2)),0)+IF(MOD(INDEX(INDIRECT($B647),MATCH($B648,Regions,0),9),INDEX(INDIRECT($B647),MATCH($B648,Regions,0),3)+INDEX(INDIRECT($B647),MATCH($B648,Regions,0),2))&lt;Buffer,0,1)</f>
        <v>6</v>
      </c>
      <c r="E655" s="21">
        <f ca="1">ROUNDDOWN(E654*INDEX(INDIRECT($B647),MATCH($B648,Regions,0),9)/(INDEX(INDIRECT($B647),MATCH($B648,Regions,0),3)+INDEX(INDIRECT($B647),MATCH($B648,Regions,0),2)),0)+IF(MOD(INDEX(INDIRECT($B647),MATCH($B648,Regions,0),9),INDEX(INDIRECT($B647),MATCH($B648,Regions,0),3)+INDEX(INDIRECT($B647),MATCH($B648,Regions,0),2))&lt;Buffer,0,1)</f>
        <v>9</v>
      </c>
    </row>
    <row r="656" spans="2:5" hidden="1" outlineLevel="1" x14ac:dyDescent="0.3">
      <c r="B656" s="20" t="s">
        <v>43</v>
      </c>
      <c r="C656" s="21">
        <f ca="1">ROUNDDOWN(INDEX(INDIRECT($B647),MATCH($B648,Regions,0),8)*INDEX(INDIRECT($B647),MATCH($B648,Regions,0),10),0)</f>
        <v>20</v>
      </c>
      <c r="D656" s="21">
        <f ca="1">ROUNDDOWN(INDEX(INDIRECT($B647),MATCH($B648,Regions,0),8)*INDEX(INDIRECT($B647),MATCH($B648,Regions,0),10),0)</f>
        <v>20</v>
      </c>
      <c r="E656" s="21">
        <f ca="1">ROUNDDOWN(INDEX(INDIRECT($B647),MATCH($B648,Regions,0),8)*INDEX(INDIRECT($B647),MATCH($B648,Regions,0),10),0)</f>
        <v>20</v>
      </c>
    </row>
    <row r="657" spans="2:5" hidden="1" outlineLevel="1" x14ac:dyDescent="0.3">
      <c r="B657" s="26" t="s">
        <v>11</v>
      </c>
      <c r="C657" s="27">
        <f ca="1">IFERROR(C653/(C656*C655),NA())</f>
        <v>10.404570854166666</v>
      </c>
      <c r="D657" s="27">
        <f t="shared" ref="D657:E657" ca="1" si="100">IFERROR(D653/(D656*D655),NA())</f>
        <v>5.202285427083333</v>
      </c>
      <c r="E657" s="27">
        <f t="shared" ca="1" si="100"/>
        <v>3.4681902847222217</v>
      </c>
    </row>
    <row r="658" spans="2:5" hidden="1" outlineLevel="1" x14ac:dyDescent="0.3">
      <c r="B658" s="12" t="s">
        <v>14</v>
      </c>
      <c r="C658" s="28"/>
      <c r="D658" s="29"/>
      <c r="E658" s="30"/>
    </row>
    <row r="659" spans="2:5" hidden="1" outlineLevel="1" x14ac:dyDescent="0.3">
      <c r="B659" s="31" t="s">
        <v>38</v>
      </c>
      <c r="C659" s="32">
        <f ca="1">IFERROR(C653/C657,0)</f>
        <v>59.999999999999993</v>
      </c>
      <c r="D659" s="32">
        <f t="shared" ref="D659:E659" ca="1" si="101">IFERROR(D653/D657,0)</f>
        <v>119.99999999999999</v>
      </c>
      <c r="E659" s="32">
        <f t="shared" ca="1" si="101"/>
        <v>180</v>
      </c>
    </row>
    <row r="660" spans="2:5" hidden="1" outlineLevel="1" x14ac:dyDescent="0.3">
      <c r="B660" s="20" t="s">
        <v>30</v>
      </c>
      <c r="C660" s="33">
        <f ca="1">IF(C659=0,0,INDEX(INDIRECT($B647),MATCH($B648,Regions,0),9)*C654*C656)</f>
        <v>160</v>
      </c>
      <c r="D660" s="33">
        <f ca="1">IF(D659=0,0,INDEX(INDIRECT($B647),MATCH($B648,Regions,0),9)*D654*D656)</f>
        <v>320</v>
      </c>
      <c r="E660" s="33">
        <f ca="1">IF(E659=0,0,INDEX(INDIRECT($B647),MATCH($B648,Regions,0),9)*E654*E656)</f>
        <v>480</v>
      </c>
    </row>
    <row r="661" spans="2:5" hidden="1" outlineLevel="1" x14ac:dyDescent="0.3">
      <c r="B661" s="20" t="s">
        <v>31</v>
      </c>
      <c r="C661" s="33">
        <f ca="1">IFERROR(C659*INDEX(INDIRECT($B647),MATCH($B648,Regions,0),4)/(7/INDEX(INDIRECT($B647),MATCH($B648,Regions,0),6)),0)</f>
        <v>30.312051141093455</v>
      </c>
      <c r="D661" s="33">
        <f ca="1">IFERROR(D659*INDEX(INDIRECT($B647),MATCH($B648,Regions,0),4)/(7/INDEX(INDIRECT($B647),MATCH($B648,Regions,0),6)),0)</f>
        <v>60.624102282186911</v>
      </c>
      <c r="E661" s="33">
        <f ca="1">IFERROR(E659*INDEX(INDIRECT($B647),MATCH($B648,Regions,0),4)/(7/INDEX(INDIRECT($B647),MATCH($B648,Regions,0),6)),0)</f>
        <v>90.936153423280373</v>
      </c>
    </row>
    <row r="662" spans="2:5" hidden="1" outlineLevel="1" x14ac:dyDescent="0.3">
      <c r="B662" s="20" t="s">
        <v>32</v>
      </c>
      <c r="C662" s="33">
        <f ca="1">IFERROR(C659*INDEX(INDIRECT($B647),MATCH($B648,Regions,0),5)/(7/INDEX(INDIRECT($B647),MATCH($B648,Regions,0),7)),0)</f>
        <v>6.8615492529326021</v>
      </c>
      <c r="D662" s="33">
        <f ca="1">IFERROR(D659*INDEX(INDIRECT($B647),MATCH($B648,Regions,0),5)/(7/INDEX(INDIRECT($B647),MATCH($B648,Regions,0),7)),0)</f>
        <v>13.723098505865204</v>
      </c>
      <c r="E662" s="33">
        <f ca="1">IFERROR(E659*INDEX(INDIRECT($B647),MATCH($B648,Regions,0),5)/(7/INDEX(INDIRECT($B647),MATCH($B648,Regions,0),7)),0)</f>
        <v>20.584647758797807</v>
      </c>
    </row>
    <row r="663" spans="2:5" hidden="1" outlineLevel="1" x14ac:dyDescent="0.3">
      <c r="B663" s="20"/>
      <c r="C663" s="44"/>
      <c r="D663" s="44"/>
      <c r="E663" s="44"/>
    </row>
    <row r="664" spans="2:5" hidden="1" outlineLevel="1" x14ac:dyDescent="0.3">
      <c r="B664" s="10" t="s">
        <v>25</v>
      </c>
    </row>
    <row r="665" spans="2:5" hidden="1" outlineLevel="1" x14ac:dyDescent="0.3">
      <c r="B665" s="11" t="s">
        <v>113</v>
      </c>
    </row>
    <row r="666" spans="2:5" hidden="1" outlineLevel="1" x14ac:dyDescent="0.3">
      <c r="B666" s="11" t="s">
        <v>4</v>
      </c>
    </row>
    <row r="667" spans="2:5" hidden="1" outlineLevel="1" x14ac:dyDescent="0.3"/>
    <row r="668" spans="2:5" hidden="1" outlineLevel="1" x14ac:dyDescent="0.3">
      <c r="C668" s="297" t="s">
        <v>12</v>
      </c>
      <c r="D668" s="297"/>
      <c r="E668" s="297"/>
    </row>
    <row r="669" spans="2:5" ht="28.8" hidden="1" outlineLevel="1" x14ac:dyDescent="0.3">
      <c r="B669" s="13" t="str">
        <f>B665&amp;" - "&amp;B666</f>
        <v>Pediatric_P4 - Toronto</v>
      </c>
      <c r="C669" s="14" t="str">
        <f>'Data Inputs'!$C$29</f>
        <v>Scenario 1:
+1 day a week</v>
      </c>
      <c r="D669" s="14" t="str">
        <f>'Data Inputs'!$D$29</f>
        <v>Scenario 2:
+2 days a week</v>
      </c>
      <c r="E669" s="71" t="str">
        <f>'Data Inputs'!$E$29</f>
        <v>Scenario 3:
+3 days a week</v>
      </c>
    </row>
    <row r="670" spans="2:5" hidden="1" outlineLevel="1" x14ac:dyDescent="0.3">
      <c r="B670" s="12" t="s">
        <v>21</v>
      </c>
      <c r="C670" s="17"/>
      <c r="D670" s="18"/>
      <c r="E670" s="19"/>
    </row>
    <row r="671" spans="2:5" hidden="1" outlineLevel="1" x14ac:dyDescent="0.3">
      <c r="B671" s="20" t="s">
        <v>13</v>
      </c>
      <c r="C671" s="21">
        <f ca="1">INDEX(INDIRECT($B665),MATCH($B666,Regions,0),1)</f>
        <v>1310.5920298000003</v>
      </c>
      <c r="D671" s="21">
        <f ca="1">INDEX(INDIRECT($B665),MATCH($B666,Regions,0),1)</f>
        <v>1310.5920298000003</v>
      </c>
      <c r="E671" s="21">
        <f ca="1">INDEX(INDIRECT($B665),MATCH($B666,Regions,0),1)</f>
        <v>1310.5920298000003</v>
      </c>
    </row>
    <row r="672" spans="2:5" hidden="1" outlineLevel="1" x14ac:dyDescent="0.3">
      <c r="B672" s="20" t="s">
        <v>20</v>
      </c>
      <c r="C672" s="23">
        <f>INDEX(ScenarioInputs,MATCH($B666,Regions,0),MATCH(C669,Scenarios,0))</f>
        <v>1</v>
      </c>
      <c r="D672" s="23">
        <f>INDEX(ScenarioInputs,MATCH($B666,Regions,0),MATCH(D669,Scenarios,0))</f>
        <v>2</v>
      </c>
      <c r="E672" s="23">
        <f>INDEX(ScenarioInputs,MATCH($B666,Regions,0),MATCH(E669,Scenarios,0))</f>
        <v>3</v>
      </c>
    </row>
    <row r="673" spans="2:5" hidden="1" outlineLevel="1" x14ac:dyDescent="0.3">
      <c r="B673" s="20" t="s">
        <v>37</v>
      </c>
      <c r="C673" s="21">
        <f ca="1">ROUNDDOWN(C672*INDEX(INDIRECT($B665),MATCH($B666,Regions,0),9)/(INDEX(INDIRECT($B665),MATCH($B666,Regions,0),3)+INDEX(INDIRECT($B665),MATCH($B666,Regions,0),2)),0)+IF(MOD(INDEX(INDIRECT($B665),MATCH($B666,Regions,0),9),INDEX(INDIRECT($B665),MATCH($B666,Regions,0),3)+INDEX(INDIRECT($B665),MATCH($B666,Regions,0),2))&lt;Buffer,0,1)</f>
        <v>3</v>
      </c>
      <c r="D673" s="21">
        <f ca="1">ROUNDDOWN(D672*INDEX(INDIRECT($B665),MATCH($B666,Regions,0),9)/(INDEX(INDIRECT($B665),MATCH($B666,Regions,0),3)+INDEX(INDIRECT($B665),MATCH($B666,Regions,0),2)),0)+IF(MOD(INDEX(INDIRECT($B665),MATCH($B666,Regions,0),9),INDEX(INDIRECT($B665),MATCH($B666,Regions,0),3)+INDEX(INDIRECT($B665),MATCH($B666,Regions,0),2))&lt;Buffer,0,1)</f>
        <v>6</v>
      </c>
      <c r="E673" s="21">
        <f ca="1">ROUNDDOWN(E672*INDEX(INDIRECT($B665),MATCH($B666,Regions,0),9)/(INDEX(INDIRECT($B665),MATCH($B666,Regions,0),3)+INDEX(INDIRECT($B665),MATCH($B666,Regions,0),2)),0)+IF(MOD(INDEX(INDIRECT($B665),MATCH($B666,Regions,0),9),INDEX(INDIRECT($B665),MATCH($B666,Regions,0),3)+INDEX(INDIRECT($B665),MATCH($B666,Regions,0),2))&lt;Buffer,0,1)</f>
        <v>10</v>
      </c>
    </row>
    <row r="674" spans="2:5" hidden="1" outlineLevel="1" x14ac:dyDescent="0.3">
      <c r="B674" s="20" t="s">
        <v>43</v>
      </c>
      <c r="C674" s="21">
        <f ca="1">ROUNDDOWN(INDEX(INDIRECT($B665),MATCH($B666,Regions,0),8)*INDEX(INDIRECT($B665),MATCH($B666,Regions,0),10),0)</f>
        <v>20</v>
      </c>
      <c r="D674" s="21">
        <f ca="1">ROUNDDOWN(INDEX(INDIRECT($B665),MATCH($B666,Regions,0),8)*INDEX(INDIRECT($B665),MATCH($B666,Regions,0),10),0)</f>
        <v>20</v>
      </c>
      <c r="E674" s="21">
        <f ca="1">ROUNDDOWN(INDEX(INDIRECT($B665),MATCH($B666,Regions,0),8)*INDEX(INDIRECT($B665),MATCH($B666,Regions,0),10),0)</f>
        <v>20</v>
      </c>
    </row>
    <row r="675" spans="2:5" hidden="1" outlineLevel="1" x14ac:dyDescent="0.3">
      <c r="B675" s="26" t="s">
        <v>11</v>
      </c>
      <c r="C675" s="27">
        <f ca="1">IFERROR(C671/(C674*C673),NA())</f>
        <v>21.843200496666672</v>
      </c>
      <c r="D675" s="27">
        <f t="shared" ref="D675:E675" ca="1" si="102">IFERROR(D671/(D674*D673),NA())</f>
        <v>10.921600248333336</v>
      </c>
      <c r="E675" s="27">
        <f t="shared" ca="1" si="102"/>
        <v>6.5529601490000013</v>
      </c>
    </row>
    <row r="676" spans="2:5" hidden="1" outlineLevel="1" x14ac:dyDescent="0.3">
      <c r="B676" s="12" t="s">
        <v>14</v>
      </c>
      <c r="C676" s="28"/>
      <c r="D676" s="29"/>
      <c r="E676" s="30"/>
    </row>
    <row r="677" spans="2:5" hidden="1" outlineLevel="1" x14ac:dyDescent="0.3">
      <c r="B677" s="31" t="s">
        <v>38</v>
      </c>
      <c r="C677" s="32">
        <f ca="1">IFERROR(C671/C675,0)</f>
        <v>60</v>
      </c>
      <c r="D677" s="32">
        <f t="shared" ref="D677:E677" ca="1" si="103">IFERROR(D671/D675,0)</f>
        <v>120</v>
      </c>
      <c r="E677" s="32">
        <f t="shared" ca="1" si="103"/>
        <v>200</v>
      </c>
    </row>
    <row r="678" spans="2:5" hidden="1" outlineLevel="1" x14ac:dyDescent="0.3">
      <c r="B678" s="20" t="s">
        <v>30</v>
      </c>
      <c r="C678" s="33">
        <f ca="1">IF(C677=0,0,INDEX(INDIRECT($B665),MATCH($B666,Regions,0),9)*C672*C674)</f>
        <v>160</v>
      </c>
      <c r="D678" s="33">
        <f ca="1">IF(D677=0,0,INDEX(INDIRECT($B665),MATCH($B666,Regions,0),9)*D672*D674)</f>
        <v>320</v>
      </c>
      <c r="E678" s="33">
        <f ca="1">IF(E677=0,0,INDEX(INDIRECT($B665),MATCH($B666,Regions,0),9)*E672*E674)</f>
        <v>480</v>
      </c>
    </row>
    <row r="679" spans="2:5" hidden="1" outlineLevel="1" x14ac:dyDescent="0.3">
      <c r="B679" s="20" t="s">
        <v>31</v>
      </c>
      <c r="C679" s="33">
        <f ca="1">IFERROR(C677*INDEX(INDIRECT($B665),MATCH($B666,Regions,0),4)/(7/INDEX(INDIRECT($B665),MATCH($B666,Regions,0),6)),0)</f>
        <v>8.3714366908822058</v>
      </c>
      <c r="D679" s="33">
        <f ca="1">IFERROR(D677*INDEX(INDIRECT($B665),MATCH($B666,Regions,0),4)/(7/INDEX(INDIRECT($B665),MATCH($B666,Regions,0),6)),0)</f>
        <v>16.742873381764412</v>
      </c>
      <c r="E679" s="33">
        <f ca="1">IFERROR(E677*INDEX(INDIRECT($B665),MATCH($B666,Regions,0),4)/(7/INDEX(INDIRECT($B665),MATCH($B666,Regions,0),6)),0)</f>
        <v>27.904788969607353</v>
      </c>
    </row>
    <row r="680" spans="2:5" hidden="1" outlineLevel="1" x14ac:dyDescent="0.3">
      <c r="B680" s="20" t="s">
        <v>32</v>
      </c>
      <c r="C680" s="33">
        <f ca="1">IFERROR(C677*INDEX(INDIRECT($B665),MATCH($B666,Regions,0),5)/(7/INDEX(INDIRECT($B665),MATCH($B666,Regions,0),7)),0)</f>
        <v>0.12236174274753941</v>
      </c>
      <c r="D680" s="33">
        <f ca="1">IFERROR(D677*INDEX(INDIRECT($B665),MATCH($B666,Regions,0),5)/(7/INDEX(INDIRECT($B665),MATCH($B666,Regions,0),7)),0)</f>
        <v>0.24472348549507883</v>
      </c>
      <c r="E680" s="33">
        <f ca="1">IFERROR(E677*INDEX(INDIRECT($B665),MATCH($B666,Regions,0),5)/(7/INDEX(INDIRECT($B665),MATCH($B666,Regions,0),7)),0)</f>
        <v>0.40787247582513148</v>
      </c>
    </row>
    <row r="681" spans="2:5" hidden="1" outlineLevel="1" x14ac:dyDescent="0.3">
      <c r="B681" s="20"/>
      <c r="C681" s="44"/>
      <c r="D681" s="44"/>
      <c r="E681" s="44"/>
    </row>
    <row r="682" spans="2:5" hidden="1" outlineLevel="1" x14ac:dyDescent="0.3">
      <c r="B682" s="20"/>
      <c r="C682" s="44"/>
      <c r="D682" s="44"/>
      <c r="E682" s="44"/>
    </row>
    <row r="683" spans="2:5" hidden="1" outlineLevel="1" x14ac:dyDescent="0.3"/>
    <row r="684" spans="2:5" collapsed="1" x14ac:dyDescent="0.3"/>
    <row r="685" spans="2:5" x14ac:dyDescent="0.3">
      <c r="C685" s="297" t="s">
        <v>12</v>
      </c>
      <c r="D685" s="297"/>
      <c r="E685" s="297"/>
    </row>
    <row r="686" spans="2:5" ht="28.8" x14ac:dyDescent="0.3">
      <c r="B686" s="13" t="s">
        <v>5</v>
      </c>
      <c r="C686" s="14" t="str">
        <f>'Data Inputs'!$C$29</f>
        <v>Scenario 1:
+1 day a week</v>
      </c>
      <c r="D686" s="14" t="str">
        <f>'Data Inputs'!$D$29</f>
        <v>Scenario 2:
+2 days a week</v>
      </c>
      <c r="E686" s="71" t="str">
        <f>'Data Inputs'!$E$29</f>
        <v>Scenario 3:
+3 days a week</v>
      </c>
    </row>
    <row r="687" spans="2:5" x14ac:dyDescent="0.3">
      <c r="B687" s="12" t="s">
        <v>21</v>
      </c>
      <c r="C687" s="17"/>
      <c r="D687" s="18"/>
      <c r="E687" s="19"/>
    </row>
    <row r="688" spans="2:5" x14ac:dyDescent="0.3">
      <c r="B688" s="20" t="s">
        <v>13</v>
      </c>
      <c r="C688" s="21">
        <f ca="1">SUMIF($B704:$B896,$B688,C704:C896)</f>
        <v>36884.553279421292</v>
      </c>
      <c r="D688" s="21">
        <f t="shared" ref="D688:E688" ca="1" si="104">SUMIF($B704:$B896,$B688,D704:D896)</f>
        <v>36884.553279421292</v>
      </c>
      <c r="E688" s="21">
        <f t="shared" ca="1" si="104"/>
        <v>36884.553279421292</v>
      </c>
    </row>
    <row r="689" spans="2:5" x14ac:dyDescent="0.3">
      <c r="B689" s="26" t="s">
        <v>11</v>
      </c>
      <c r="C689" s="33">
        <f ca="1">SUMIF($B704:$B896,$B689,C704:C896)</f>
        <v>94.914788612584843</v>
      </c>
      <c r="D689" s="33">
        <f t="shared" ref="D689:E689" ca="1" si="105">SUMIF($B704:$B896,$B689,D704:D896)</f>
        <v>42.656658249629707</v>
      </c>
      <c r="E689" s="33">
        <f t="shared" ca="1" si="105"/>
        <v>27.577167503457289</v>
      </c>
    </row>
    <row r="690" spans="2:5" x14ac:dyDescent="0.3">
      <c r="B690" s="12" t="s">
        <v>14</v>
      </c>
      <c r="C690" s="28"/>
      <c r="D690" s="29"/>
      <c r="E690" s="30"/>
    </row>
    <row r="691" spans="2:5" x14ac:dyDescent="0.3">
      <c r="B691" s="31" t="s">
        <v>38</v>
      </c>
      <c r="C691" s="33">
        <f ca="1">C688/C689</f>
        <v>388.60702129331543</v>
      </c>
      <c r="D691" s="33">
        <f t="shared" ref="D691:E691" ca="1" si="106">D688/D689</f>
        <v>864.68454850753528</v>
      </c>
      <c r="E691" s="33">
        <f t="shared" ca="1" si="106"/>
        <v>1337.5033267937019</v>
      </c>
    </row>
    <row r="692" spans="2:5" x14ac:dyDescent="0.3">
      <c r="B692" s="20" t="s">
        <v>114</v>
      </c>
      <c r="C692" s="33">
        <f ca="1">(C711*C$710+C$728*C729+C$746*C747+C$764*C765+C$782*C783+C$800*C801+C$818*C819+C$836*C837+C$854*C855+C$872*C873+C$890*C891)/SUM(C$710+C$728+C$746+C$764+C$782+C$800+C$818+C$836+C$854+C$872+C$890)</f>
        <v>629.83194016717994</v>
      </c>
      <c r="D692" s="33">
        <f t="shared" ref="D692:E692" ca="1" si="107">(D711*D$710+D$728*D729+D$746*D747+D$764*D765+D$782*D783+D$800*D801+D$818*D819+D$836*D837+D$854*D855+D$872*D873+D$890*D891)/SUM(D$710+D$728+D$746+D$764+D$782+D$800+D$818+D$836+D$854+D$872+D$890)</f>
        <v>1259.5133625847627</v>
      </c>
      <c r="E692" s="33">
        <f t="shared" ca="1" si="107"/>
        <v>1894.0158092523002</v>
      </c>
    </row>
    <row r="693" spans="2:5" x14ac:dyDescent="0.3">
      <c r="B693" s="20" t="s">
        <v>115</v>
      </c>
      <c r="C693" s="33">
        <f t="shared" ref="C693:E694" ca="1" si="108">(C712*C$710+C$728*C730+C$746*C748+C$764*C766+C$782*C784+C$800*C802+C$818*C820+C$836*C838+C$854*C856+C$872*C874+C$890*C892)/SUM(C$710+C$728+C$746+C$764+C$782+C$800+C$818+C$836+C$854+C$872+C$890)</f>
        <v>35.818598245884651</v>
      </c>
      <c r="D693" s="33">
        <f t="shared" ca="1" si="108"/>
        <v>75.817191009349344</v>
      </c>
      <c r="E693" s="33">
        <f t="shared" ca="1" si="108"/>
        <v>115.98169376014003</v>
      </c>
    </row>
    <row r="694" spans="2:5" x14ac:dyDescent="0.3">
      <c r="B694" s="20" t="s">
        <v>116</v>
      </c>
      <c r="C694" s="33">
        <f t="shared" ca="1" si="108"/>
        <v>0.63469960983510998</v>
      </c>
      <c r="D694" s="33">
        <f t="shared" ca="1" si="108"/>
        <v>1.2562603961353023</v>
      </c>
      <c r="E694" s="33">
        <f t="shared" ca="1" si="108"/>
        <v>1.8775511553238726</v>
      </c>
    </row>
    <row r="697" spans="2:5" hidden="1" outlineLevel="1" x14ac:dyDescent="0.3">
      <c r="B697" s="10" t="s">
        <v>25</v>
      </c>
    </row>
    <row r="698" spans="2:5" hidden="1" outlineLevel="1" x14ac:dyDescent="0.3">
      <c r="B698" s="11" t="s">
        <v>26</v>
      </c>
    </row>
    <row r="699" spans="2:5" hidden="1" outlineLevel="1" x14ac:dyDescent="0.3">
      <c r="B699" s="11" t="s">
        <v>5</v>
      </c>
    </row>
    <row r="700" spans="2:5" hidden="1" outlineLevel="1" x14ac:dyDescent="0.3"/>
    <row r="701" spans="2:5" hidden="1" outlineLevel="1" x14ac:dyDescent="0.3">
      <c r="C701" s="297" t="s">
        <v>12</v>
      </c>
      <c r="D701" s="297"/>
      <c r="E701" s="297"/>
    </row>
    <row r="702" spans="2:5" ht="28.8" hidden="1" outlineLevel="1" x14ac:dyDescent="0.3">
      <c r="B702" s="13" t="str">
        <f>B698&amp;" - "&amp;B699</f>
        <v>Cancer_P2P3 - East</v>
      </c>
      <c r="C702" s="14" t="str">
        <f>'Data Inputs'!$C$29</f>
        <v>Scenario 1:
+1 day a week</v>
      </c>
      <c r="D702" s="14" t="str">
        <f>'Data Inputs'!$D$29</f>
        <v>Scenario 2:
+2 days a week</v>
      </c>
      <c r="E702" s="71" t="str">
        <f>'Data Inputs'!$E$29</f>
        <v>Scenario 3:
+3 days a week</v>
      </c>
    </row>
    <row r="703" spans="2:5" hidden="1" outlineLevel="1" x14ac:dyDescent="0.3">
      <c r="B703" s="12" t="s">
        <v>21</v>
      </c>
      <c r="C703" s="17"/>
      <c r="D703" s="18"/>
      <c r="E703" s="19"/>
    </row>
    <row r="704" spans="2:5" hidden="1" outlineLevel="1" x14ac:dyDescent="0.3">
      <c r="B704" s="20" t="s">
        <v>13</v>
      </c>
      <c r="C704" s="21">
        <f ca="1">INDEX(INDIRECT($B698),MATCH($B699,Regions,0),1)</f>
        <v>376.38014810744619</v>
      </c>
      <c r="D704" s="21">
        <f ca="1">INDEX(INDIRECT($B698),MATCH($B699,Regions,0),1)</f>
        <v>376.38014810744619</v>
      </c>
      <c r="E704" s="21">
        <f ca="1">INDEX(INDIRECT($B698),MATCH($B699,Regions,0),1)</f>
        <v>376.38014810744619</v>
      </c>
    </row>
    <row r="705" spans="2:5" hidden="1" outlineLevel="1" x14ac:dyDescent="0.3">
      <c r="B705" s="20" t="s">
        <v>20</v>
      </c>
      <c r="C705" s="23">
        <f>INDEX(ScenarioInputs,MATCH($B699,Regions,0),MATCH(C702,Scenarios,0))</f>
        <v>1</v>
      </c>
      <c r="D705" s="23">
        <f>INDEX(ScenarioInputs,MATCH($B699,Regions,0),MATCH(D702,Scenarios,0))</f>
        <v>2</v>
      </c>
      <c r="E705" s="23">
        <f>INDEX(ScenarioInputs,MATCH($B699,Regions,0),MATCH(E702,Scenarios,0))</f>
        <v>3</v>
      </c>
    </row>
    <row r="706" spans="2:5" hidden="1" outlineLevel="1" x14ac:dyDescent="0.3">
      <c r="B706" s="20" t="s">
        <v>37</v>
      </c>
      <c r="C706" s="21">
        <f ca="1">ROUNDDOWN(C705*INDEX(INDIRECT($B698),MATCH($B699,Regions,0),9)/(INDEX(INDIRECT($B698),MATCH($B699,Regions,0),3)+INDEX(INDIRECT($B698),MATCH($B699,Regions,0),2)),0)+IF(MOD(INDEX(INDIRECT($B698),MATCH($B699,Regions,0),9),INDEX(INDIRECT($B698),MATCH($B699,Regions,0),3)+INDEX(INDIRECT($B698),MATCH($B699,Regions,0),2))&lt;Buffer,0,1)</f>
        <v>3</v>
      </c>
      <c r="D706" s="21">
        <f ca="1">ROUNDDOWN(D705*INDEX(INDIRECT($B698),MATCH($B699,Regions,0),9)/(INDEX(INDIRECT($B698),MATCH($B699,Regions,0),3)+INDEX(INDIRECT($B698),MATCH($B699,Regions,0),2)),0)+IF(MOD(INDEX(INDIRECT($B698),MATCH($B699,Regions,0),9),INDEX(INDIRECT($B698),MATCH($B699,Regions,0),3)+INDEX(INDIRECT($B698),MATCH($B699,Regions,0),2))&lt;Buffer,0,1)</f>
        <v>6</v>
      </c>
      <c r="E706" s="21">
        <f ca="1">ROUNDDOWN(E705*INDEX(INDIRECT($B698),MATCH($B699,Regions,0),9)/(INDEX(INDIRECT($B698),MATCH($B699,Regions,0),3)+INDEX(INDIRECT($B698),MATCH($B699,Regions,0),2)),0)+IF(MOD(INDEX(INDIRECT($B698),MATCH($B699,Regions,0),9),INDEX(INDIRECT($B698),MATCH($B699,Regions,0),3)+INDEX(INDIRECT($B698),MATCH($B699,Regions,0),2))&lt;Buffer,0,1)</f>
        <v>9</v>
      </c>
    </row>
    <row r="707" spans="2:5" hidden="1" outlineLevel="1" x14ac:dyDescent="0.3">
      <c r="B707" s="20" t="s">
        <v>43</v>
      </c>
      <c r="C707" s="21">
        <f ca="1">ROUNDDOWN(INDEX(INDIRECT($B698),MATCH($B699,Regions,0),8)*INDEX(INDIRECT($B698),MATCH($B699,Regions,0),10),0)</f>
        <v>89</v>
      </c>
      <c r="D707" s="21">
        <f ca="1">ROUNDDOWN(INDEX(INDIRECT($B698),MATCH($B699,Regions,0),8)*INDEX(INDIRECT($B698),MATCH($B699,Regions,0),10),0)</f>
        <v>89</v>
      </c>
      <c r="E707" s="21">
        <f ca="1">ROUNDDOWN(INDEX(INDIRECT($B698),MATCH($B699,Regions,0),8)*INDEX(INDIRECT($B698),MATCH($B699,Regions,0),10),0)</f>
        <v>89</v>
      </c>
    </row>
    <row r="708" spans="2:5" hidden="1" outlineLevel="1" x14ac:dyDescent="0.3">
      <c r="B708" s="26" t="s">
        <v>11</v>
      </c>
      <c r="C708" s="27">
        <f ca="1">IFERROR(C704/(C707*C706),NA())</f>
        <v>1.4096634760578508</v>
      </c>
      <c r="D708" s="27">
        <f t="shared" ref="D708" ca="1" si="109">IFERROR(D704/(D707*D706),NA())</f>
        <v>0.7048317380289254</v>
      </c>
      <c r="E708" s="27">
        <f t="shared" ref="E708" ca="1" si="110">IFERROR(E704/(E707*E706),NA())</f>
        <v>0.46988782535261697</v>
      </c>
    </row>
    <row r="709" spans="2:5" hidden="1" outlineLevel="1" x14ac:dyDescent="0.3">
      <c r="B709" s="12" t="s">
        <v>14</v>
      </c>
      <c r="C709" s="28"/>
      <c r="D709" s="29"/>
      <c r="E709" s="30"/>
    </row>
    <row r="710" spans="2:5" hidden="1" outlineLevel="1" x14ac:dyDescent="0.3">
      <c r="B710" s="31" t="s">
        <v>38</v>
      </c>
      <c r="C710" s="32">
        <f ca="1">IFERROR(C704/C708,0)</f>
        <v>267</v>
      </c>
      <c r="D710" s="32">
        <f t="shared" ref="D710:E710" ca="1" si="111">IFERROR(D704/D708,0)</f>
        <v>534</v>
      </c>
      <c r="E710" s="32">
        <f t="shared" ca="1" si="111"/>
        <v>801</v>
      </c>
    </row>
    <row r="711" spans="2:5" hidden="1" outlineLevel="1" x14ac:dyDescent="0.3">
      <c r="B711" s="20" t="s">
        <v>30</v>
      </c>
      <c r="C711" s="33">
        <f ca="1">IF(C710=0,0,INDEX(INDIRECT($B698),MATCH($B699,Regions,0),9)*C705*C707)</f>
        <v>712</v>
      </c>
      <c r="D711" s="33">
        <f ca="1">IF(D710=0,0,INDEX(INDIRECT($B698),MATCH($B699,Regions,0),9)*D705*D707)</f>
        <v>1424</v>
      </c>
      <c r="E711" s="33">
        <f ca="1">IF(E710=0,0,INDEX(INDIRECT($B698),MATCH($B699,Regions,0),9)*E705*E707)</f>
        <v>2136</v>
      </c>
    </row>
    <row r="712" spans="2:5" hidden="1" outlineLevel="1" x14ac:dyDescent="0.3">
      <c r="B712" s="20" t="s">
        <v>31</v>
      </c>
      <c r="C712" s="33">
        <f ca="1">IFERROR(C710*INDEX(INDIRECT($B698),MATCH($B699,Regions,0),4)/(7/INDEX(INDIRECT($B698),MATCH($B699,Regions,0),6)),0)</f>
        <v>87.586079019079335</v>
      </c>
      <c r="D712" s="33">
        <f ca="1">IFERROR(D710*INDEX(INDIRECT($B698),MATCH($B699,Regions,0),4)/(7/INDEX(INDIRECT($B698),MATCH($B699,Regions,0),6)),0)</f>
        <v>175.17215803815867</v>
      </c>
      <c r="E712" s="33">
        <f ca="1">IFERROR(E710*INDEX(INDIRECT($B698),MATCH($B699,Regions,0),4)/(7/INDEX(INDIRECT($B698),MATCH($B699,Regions,0),6)),0)</f>
        <v>262.75823705723798</v>
      </c>
    </row>
    <row r="713" spans="2:5" hidden="1" outlineLevel="1" x14ac:dyDescent="0.3">
      <c r="B713" s="20" t="s">
        <v>32</v>
      </c>
      <c r="C713" s="33">
        <f ca="1">IFERROR(C710*INDEX(INDIRECT($B698),MATCH($B699,Regions,0),5)/(7/INDEX(INDIRECT($B698),MATCH($B699,Regions,0),7)),0)</f>
        <v>1.8608872444606928</v>
      </c>
      <c r="D713" s="33">
        <f ca="1">IFERROR(D710*INDEX(INDIRECT($B698),MATCH($B699,Regions,0),5)/(7/INDEX(INDIRECT($B698),MATCH($B699,Regions,0),7)),0)</f>
        <v>3.7217744889213855</v>
      </c>
      <c r="E713" s="33">
        <f ca="1">IFERROR(E710*INDEX(INDIRECT($B698),MATCH($B699,Regions,0),5)/(7/INDEX(INDIRECT($B698),MATCH($B699,Regions,0),7)),0)</f>
        <v>5.5826617333820785</v>
      </c>
    </row>
    <row r="714" spans="2:5" hidden="1" outlineLevel="1" x14ac:dyDescent="0.3"/>
    <row r="715" spans="2:5" hidden="1" outlineLevel="1" x14ac:dyDescent="0.3">
      <c r="B715" s="10" t="s">
        <v>25</v>
      </c>
    </row>
    <row r="716" spans="2:5" hidden="1" outlineLevel="1" x14ac:dyDescent="0.3">
      <c r="B716" s="11" t="s">
        <v>27</v>
      </c>
    </row>
    <row r="717" spans="2:5" hidden="1" outlineLevel="1" x14ac:dyDescent="0.3">
      <c r="B717" s="11" t="s">
        <v>5</v>
      </c>
    </row>
    <row r="718" spans="2:5" hidden="1" outlineLevel="1" x14ac:dyDescent="0.3"/>
    <row r="719" spans="2:5" hidden="1" outlineLevel="1" x14ac:dyDescent="0.3">
      <c r="C719" s="297" t="s">
        <v>12</v>
      </c>
      <c r="D719" s="297"/>
      <c r="E719" s="297"/>
    </row>
    <row r="720" spans="2:5" ht="28.8" hidden="1" outlineLevel="1" x14ac:dyDescent="0.3">
      <c r="B720" s="13" t="str">
        <f>B716&amp;" - "&amp;B717</f>
        <v>Cancer_P4 - East</v>
      </c>
      <c r="C720" s="14" t="str">
        <f>'Data Inputs'!$C$29</f>
        <v>Scenario 1:
+1 day a week</v>
      </c>
      <c r="D720" s="14" t="str">
        <f>'Data Inputs'!$D$29</f>
        <v>Scenario 2:
+2 days a week</v>
      </c>
      <c r="E720" s="71" t="str">
        <f>'Data Inputs'!$E$29</f>
        <v>Scenario 3:
+3 days a week</v>
      </c>
    </row>
    <row r="721" spans="2:5" hidden="1" outlineLevel="1" x14ac:dyDescent="0.3">
      <c r="B721" s="12" t="s">
        <v>21</v>
      </c>
      <c r="C721" s="17"/>
      <c r="D721" s="18"/>
      <c r="E721" s="19"/>
    </row>
    <row r="722" spans="2:5" hidden="1" outlineLevel="1" x14ac:dyDescent="0.3">
      <c r="B722" s="20" t="s">
        <v>13</v>
      </c>
      <c r="C722" s="21">
        <f ca="1">INDEX(INDIRECT($B716),MATCH($B717,Regions,0),1)</f>
        <v>910.6557901398902</v>
      </c>
      <c r="D722" s="21">
        <f ca="1">INDEX(INDIRECT($B716),MATCH($B717,Regions,0),1)</f>
        <v>910.6557901398902</v>
      </c>
      <c r="E722" s="21">
        <f ca="1">INDEX(INDIRECT($B716),MATCH($B717,Regions,0),1)</f>
        <v>910.6557901398902</v>
      </c>
    </row>
    <row r="723" spans="2:5" hidden="1" outlineLevel="1" x14ac:dyDescent="0.3">
      <c r="B723" s="20" t="s">
        <v>20</v>
      </c>
      <c r="C723" s="23">
        <f>INDEX(ScenarioInputs,MATCH($B717,Regions,0),MATCH(C720,Scenarios,0))</f>
        <v>1</v>
      </c>
      <c r="D723" s="23">
        <f>INDEX(ScenarioInputs,MATCH($B717,Regions,0),MATCH(D720,Scenarios,0))</f>
        <v>2</v>
      </c>
      <c r="E723" s="23">
        <f>INDEX(ScenarioInputs,MATCH($B717,Regions,0),MATCH(E720,Scenarios,0))</f>
        <v>3</v>
      </c>
    </row>
    <row r="724" spans="2:5" hidden="1" outlineLevel="1" x14ac:dyDescent="0.3">
      <c r="B724" s="20" t="s">
        <v>37</v>
      </c>
      <c r="C724" s="21">
        <f ca="1">ROUNDDOWN(C723*INDEX(INDIRECT($B716),MATCH($B717,Regions,0),9)/(INDEX(INDIRECT($B716),MATCH($B717,Regions,0),3)+INDEX(INDIRECT($B716),MATCH($B717,Regions,0),2)),0)+IF(MOD(INDEX(INDIRECT($B716),MATCH($B717,Regions,0),9),INDEX(INDIRECT($B716),MATCH($B717,Regions,0),3)+INDEX(INDIRECT($B716),MATCH($B717,Regions,0),2))&lt;Buffer,0,1)</f>
        <v>3</v>
      </c>
      <c r="D724" s="21">
        <f ca="1">ROUNDDOWN(D723*INDEX(INDIRECT($B716),MATCH($B717,Regions,0),9)/(INDEX(INDIRECT($B716),MATCH($B717,Regions,0),3)+INDEX(INDIRECT($B716),MATCH($B717,Regions,0),2)),0)+IF(MOD(INDEX(INDIRECT($B716),MATCH($B717,Regions,0),9),INDEX(INDIRECT($B716),MATCH($B717,Regions,0),3)+INDEX(INDIRECT($B716),MATCH($B717,Regions,0),2))&lt;Buffer,0,1)</f>
        <v>7</v>
      </c>
      <c r="E724" s="21">
        <f ca="1">ROUNDDOWN(E723*INDEX(INDIRECT($B716),MATCH($B717,Regions,0),9)/(INDEX(INDIRECT($B716),MATCH($B717,Regions,0),3)+INDEX(INDIRECT($B716),MATCH($B717,Regions,0),2)),0)+IF(MOD(INDEX(INDIRECT($B716),MATCH($B717,Regions,0),9),INDEX(INDIRECT($B716),MATCH($B717,Regions,0),3)+INDEX(INDIRECT($B716),MATCH($B717,Regions,0),2))&lt;Buffer,0,1)</f>
        <v>11</v>
      </c>
    </row>
    <row r="725" spans="2:5" hidden="1" outlineLevel="1" x14ac:dyDescent="0.3">
      <c r="B725" s="20" t="s">
        <v>43</v>
      </c>
      <c r="C725" s="21">
        <f ca="1">ROUNDDOWN(INDEX(INDIRECT($B716),MATCH($B717,Regions,0),8)*INDEX(INDIRECT($B716),MATCH($B717,Regions,0),10),0)</f>
        <v>89</v>
      </c>
      <c r="D725" s="21">
        <f ca="1">ROUNDDOWN(INDEX(INDIRECT($B716),MATCH($B717,Regions,0),8)*INDEX(INDIRECT($B716),MATCH($B717,Regions,0),10),0)</f>
        <v>89</v>
      </c>
      <c r="E725" s="21">
        <f ca="1">ROUNDDOWN(INDEX(INDIRECT($B716),MATCH($B717,Regions,0),8)*INDEX(INDIRECT($B716),MATCH($B717,Regions,0),10),0)</f>
        <v>89</v>
      </c>
    </row>
    <row r="726" spans="2:5" hidden="1" outlineLevel="1" x14ac:dyDescent="0.3">
      <c r="B726" s="26" t="s">
        <v>11</v>
      </c>
      <c r="C726" s="27">
        <f ca="1">IFERROR(C722/(C725*C724),NA())</f>
        <v>3.4106958432205627</v>
      </c>
      <c r="D726" s="27">
        <f t="shared" ref="D726" ca="1" si="112">IFERROR(D722/(D725*D724),NA())</f>
        <v>1.4617267899516697</v>
      </c>
      <c r="E726" s="27">
        <f t="shared" ref="E726" ca="1" si="113">IFERROR(E722/(E725*E724),NA())</f>
        <v>0.93018977542378978</v>
      </c>
    </row>
    <row r="727" spans="2:5" hidden="1" outlineLevel="1" x14ac:dyDescent="0.3">
      <c r="B727" s="12" t="s">
        <v>14</v>
      </c>
      <c r="C727" s="28"/>
      <c r="D727" s="29"/>
      <c r="E727" s="30"/>
    </row>
    <row r="728" spans="2:5" hidden="1" outlineLevel="1" x14ac:dyDescent="0.3">
      <c r="B728" s="31" t="s">
        <v>38</v>
      </c>
      <c r="C728" s="32">
        <f ca="1">IFERROR(C722/C726,0)</f>
        <v>267</v>
      </c>
      <c r="D728" s="32">
        <f t="shared" ref="D728:E728" ca="1" si="114">IFERROR(D722/D726,0)</f>
        <v>623</v>
      </c>
      <c r="E728" s="32">
        <f t="shared" ca="1" si="114"/>
        <v>979</v>
      </c>
    </row>
    <row r="729" spans="2:5" hidden="1" outlineLevel="1" x14ac:dyDescent="0.3">
      <c r="B729" s="20" t="s">
        <v>30</v>
      </c>
      <c r="C729" s="33">
        <f ca="1">IF(C728=0,0,INDEX(INDIRECT($B716),MATCH($B717,Regions,0),9)*C723*C725)</f>
        <v>712</v>
      </c>
      <c r="D729" s="33">
        <f ca="1">IF(D728=0,0,INDEX(INDIRECT($B716),MATCH($B717,Regions,0),9)*D723*D725)</f>
        <v>1424</v>
      </c>
      <c r="E729" s="33">
        <f ca="1">IF(E728=0,0,INDEX(INDIRECT($B716),MATCH($B717,Regions,0),9)*E723*E725)</f>
        <v>2136</v>
      </c>
    </row>
    <row r="730" spans="2:5" hidden="1" outlineLevel="1" x14ac:dyDescent="0.3">
      <c r="B730" s="20" t="s">
        <v>31</v>
      </c>
      <c r="C730" s="33">
        <f ca="1">IFERROR(C728*INDEX(INDIRECT($B716),MATCH($B717,Regions,0),4)/(7/INDEX(INDIRECT($B716),MATCH($B717,Regions,0),6)),0)</f>
        <v>42.074789338247577</v>
      </c>
      <c r="D730" s="33">
        <f ca="1">IFERROR(D728*INDEX(INDIRECT($B716),MATCH($B717,Regions,0),4)/(7/INDEX(INDIRECT($B716),MATCH($B717,Regions,0),6)),0)</f>
        <v>98.174508455911024</v>
      </c>
      <c r="E730" s="33">
        <f ca="1">IFERROR(E728*INDEX(INDIRECT($B716),MATCH($B717,Regions,0),4)/(7/INDEX(INDIRECT($B716),MATCH($B717,Regions,0),6)),0)</f>
        <v>154.27422757357445</v>
      </c>
    </row>
    <row r="731" spans="2:5" hidden="1" outlineLevel="1" x14ac:dyDescent="0.3">
      <c r="B731" s="20" t="s">
        <v>32</v>
      </c>
      <c r="C731" s="33">
        <f ca="1">IFERROR(C728*INDEX(INDIRECT($B716),MATCH($B717,Regions,0),5)/(7/INDEX(INDIRECT($B716),MATCH($B717,Regions,0),7)),0)</f>
        <v>0.34970988090881006</v>
      </c>
      <c r="D731" s="33">
        <f ca="1">IFERROR(D728*INDEX(INDIRECT($B716),MATCH($B717,Regions,0),5)/(7/INDEX(INDIRECT($B716),MATCH($B717,Regions,0),7)),0)</f>
        <v>0.81598972212055665</v>
      </c>
      <c r="E731" s="33">
        <f ca="1">IFERROR(E728*INDEX(INDIRECT($B716),MATCH($B717,Regions,0),5)/(7/INDEX(INDIRECT($B716),MATCH($B717,Regions,0),7)),0)</f>
        <v>1.2822695633323036</v>
      </c>
    </row>
    <row r="732" spans="2:5" hidden="1" outlineLevel="1" x14ac:dyDescent="0.3"/>
    <row r="733" spans="2:5" hidden="1" outlineLevel="1" x14ac:dyDescent="0.3">
      <c r="B733" s="10" t="s">
        <v>25</v>
      </c>
    </row>
    <row r="734" spans="2:5" hidden="1" outlineLevel="1" x14ac:dyDescent="0.3">
      <c r="B734" s="11" t="s">
        <v>33</v>
      </c>
    </row>
    <row r="735" spans="2:5" hidden="1" outlineLevel="1" x14ac:dyDescent="0.3">
      <c r="B735" s="11" t="s">
        <v>5</v>
      </c>
    </row>
    <row r="736" spans="2:5" hidden="1" outlineLevel="1" x14ac:dyDescent="0.3"/>
    <row r="737" spans="2:5" hidden="1" outlineLevel="1" x14ac:dyDescent="0.3">
      <c r="C737" s="297" t="s">
        <v>12</v>
      </c>
      <c r="D737" s="297"/>
      <c r="E737" s="297"/>
    </row>
    <row r="738" spans="2:5" ht="28.8" hidden="1" outlineLevel="1" x14ac:dyDescent="0.3">
      <c r="B738" s="13" t="str">
        <f>B734&amp;" - "&amp;B735</f>
        <v>Vascular_P2P3 - East</v>
      </c>
      <c r="C738" s="14" t="str">
        <f>'Data Inputs'!$C$29</f>
        <v>Scenario 1:
+1 day a week</v>
      </c>
      <c r="D738" s="14" t="str">
        <f>'Data Inputs'!$D$29</f>
        <v>Scenario 2:
+2 days a week</v>
      </c>
      <c r="E738" s="71" t="str">
        <f>'Data Inputs'!$E$29</f>
        <v>Scenario 3:
+3 days a week</v>
      </c>
    </row>
    <row r="739" spans="2:5" hidden="1" outlineLevel="1" x14ac:dyDescent="0.3">
      <c r="B739" s="12" t="s">
        <v>21</v>
      </c>
      <c r="C739" s="17"/>
      <c r="D739" s="18"/>
      <c r="E739" s="19"/>
    </row>
    <row r="740" spans="2:5" hidden="1" outlineLevel="1" x14ac:dyDescent="0.3">
      <c r="B740" s="20" t="s">
        <v>13</v>
      </c>
      <c r="C740" s="21">
        <f ca="1">INDEX(INDIRECT($B734),MATCH($B735,Regions,0),1)</f>
        <v>284.29826554224672</v>
      </c>
      <c r="D740" s="21">
        <f ca="1">INDEX(INDIRECT($B734),MATCH($B735,Regions,0),1)</f>
        <v>284.29826554224672</v>
      </c>
      <c r="E740" s="21">
        <f ca="1">INDEX(INDIRECT($B734),MATCH($B735,Regions,0),1)</f>
        <v>284.29826554224672</v>
      </c>
    </row>
    <row r="741" spans="2:5" hidden="1" outlineLevel="1" x14ac:dyDescent="0.3">
      <c r="B741" s="20" t="s">
        <v>20</v>
      </c>
      <c r="C741" s="23">
        <f>INDEX(ScenarioInputs,MATCH($B735,Regions,0),MATCH(C738,Scenarios,0))</f>
        <v>1</v>
      </c>
      <c r="D741" s="23">
        <f>INDEX(ScenarioInputs,MATCH($B735,Regions,0),MATCH(D738,Scenarios,0))</f>
        <v>2</v>
      </c>
      <c r="E741" s="23">
        <f>INDEX(ScenarioInputs,MATCH($B735,Regions,0),MATCH(E738,Scenarios,0))</f>
        <v>3</v>
      </c>
    </row>
    <row r="742" spans="2:5" hidden="1" outlineLevel="1" x14ac:dyDescent="0.3">
      <c r="B742" s="20" t="s">
        <v>37</v>
      </c>
      <c r="C742" s="21">
        <f ca="1">ROUNDDOWN(C741*INDEX(INDIRECT($B734),MATCH($B735,Regions,0),9)/(INDEX(INDIRECT($B734),MATCH($B735,Regions,0),3)+INDEX(INDIRECT($B734),MATCH($B735,Regions,0),2)),0)+IF(MOD(INDEX(INDIRECT($B734),MATCH($B735,Regions,0),9),INDEX(INDIRECT($B734),MATCH($B735,Regions,0),3)+INDEX(INDIRECT($B734),MATCH($B735,Regions,0),2))&lt;Buffer,0,1)</f>
        <v>3</v>
      </c>
      <c r="D742" s="21">
        <f ca="1">ROUNDDOWN(D741*INDEX(INDIRECT($B734),MATCH($B735,Regions,0),9)/(INDEX(INDIRECT($B734),MATCH($B735,Regions,0),3)+INDEX(INDIRECT($B734),MATCH($B735,Regions,0),2)),0)+IF(MOD(INDEX(INDIRECT($B734),MATCH($B735,Regions,0),9),INDEX(INDIRECT($B734),MATCH($B735,Regions,0),3)+INDEX(INDIRECT($B734),MATCH($B735,Regions,0),2))&lt;Buffer,0,1)</f>
        <v>6</v>
      </c>
      <c r="E742" s="21">
        <f ca="1">ROUNDDOWN(E741*INDEX(INDIRECT($B734),MATCH($B735,Regions,0),9)/(INDEX(INDIRECT($B734),MATCH($B735,Regions,0),3)+INDEX(INDIRECT($B734),MATCH($B735,Regions,0),2)),0)+IF(MOD(INDEX(INDIRECT($B734),MATCH($B735,Regions,0),9),INDEX(INDIRECT($B734),MATCH($B735,Regions,0),3)+INDEX(INDIRECT($B734),MATCH($B735,Regions,0),2))&lt;Buffer,0,1)</f>
        <v>9</v>
      </c>
    </row>
    <row r="743" spans="2:5" hidden="1" outlineLevel="1" x14ac:dyDescent="0.3">
      <c r="B743" s="20" t="s">
        <v>43</v>
      </c>
      <c r="C743" s="21">
        <f ca="1">ROUNDDOWN(INDEX(INDIRECT($B734),MATCH($B735,Regions,0),8)*INDEX(INDIRECT($B734),MATCH($B735,Regions,0),10),0)</f>
        <v>38</v>
      </c>
      <c r="D743" s="21">
        <f ca="1">ROUNDDOWN(INDEX(INDIRECT($B734),MATCH($B735,Regions,0),8)*INDEX(INDIRECT($B734),MATCH($B735,Regions,0),10),0)</f>
        <v>38</v>
      </c>
      <c r="E743" s="21">
        <f ca="1">ROUNDDOWN(INDEX(INDIRECT($B734),MATCH($B735,Regions,0),8)*INDEX(INDIRECT($B734),MATCH($B735,Regions,0),10),0)</f>
        <v>38</v>
      </c>
    </row>
    <row r="744" spans="2:5" hidden="1" outlineLevel="1" x14ac:dyDescent="0.3">
      <c r="B744" s="26" t="s">
        <v>11</v>
      </c>
      <c r="C744" s="27">
        <f ca="1">IFERROR(C740/(C743*C742),NA())</f>
        <v>2.4938444345811117</v>
      </c>
      <c r="D744" s="27">
        <f t="shared" ref="D744" ca="1" si="115">IFERROR(D740/(D743*D742),NA())</f>
        <v>1.2469222172905559</v>
      </c>
      <c r="E744" s="27">
        <f t="shared" ref="E744" ca="1" si="116">IFERROR(E740/(E743*E742),NA())</f>
        <v>0.8312814781937039</v>
      </c>
    </row>
    <row r="745" spans="2:5" hidden="1" outlineLevel="1" x14ac:dyDescent="0.3">
      <c r="B745" s="12" t="s">
        <v>14</v>
      </c>
      <c r="C745" s="28"/>
      <c r="D745" s="29"/>
      <c r="E745" s="30"/>
    </row>
    <row r="746" spans="2:5" hidden="1" outlineLevel="1" x14ac:dyDescent="0.3">
      <c r="B746" s="31" t="s">
        <v>38</v>
      </c>
      <c r="C746" s="32">
        <f ca="1">IFERROR(C740/C744,0)</f>
        <v>114</v>
      </c>
      <c r="D746" s="32">
        <f t="shared" ref="D746:E746" ca="1" si="117">IFERROR(D740/D744,0)</f>
        <v>228</v>
      </c>
      <c r="E746" s="32">
        <f t="shared" ca="1" si="117"/>
        <v>342</v>
      </c>
    </row>
    <row r="747" spans="2:5" hidden="1" outlineLevel="1" x14ac:dyDescent="0.3">
      <c r="B747" s="20" t="s">
        <v>30</v>
      </c>
      <c r="C747" s="33">
        <f ca="1">IF(C746=0,0,INDEX(INDIRECT($B734),MATCH($B735,Regions,0),9)*C741*C743)</f>
        <v>304</v>
      </c>
      <c r="D747" s="33">
        <f ca="1">IF(D746=0,0,INDEX(INDIRECT($B734),MATCH($B735,Regions,0),9)*D741*D743)</f>
        <v>608</v>
      </c>
      <c r="E747" s="33">
        <f ca="1">IF(E746=0,0,INDEX(INDIRECT($B734),MATCH($B735,Regions,0),9)*E741*E743)</f>
        <v>912</v>
      </c>
    </row>
    <row r="748" spans="2:5" hidden="1" outlineLevel="1" x14ac:dyDescent="0.3">
      <c r="B748" s="20" t="s">
        <v>31</v>
      </c>
      <c r="C748" s="33">
        <f ca="1">IFERROR(C746*INDEX(INDIRECT($B734),MATCH($B735,Regions,0),4)/(7/INDEX(INDIRECT($B734),MATCH($B735,Regions,0),6)),0)</f>
        <v>70.855925364560562</v>
      </c>
      <c r="D748" s="33">
        <f ca="1">IFERROR(D746*INDEX(INDIRECT($B734),MATCH($B735,Regions,0),4)/(7/INDEX(INDIRECT($B734),MATCH($B735,Regions,0),6)),0)</f>
        <v>141.71185072912112</v>
      </c>
      <c r="E748" s="33">
        <f ca="1">IFERROR(E746*INDEX(INDIRECT($B734),MATCH($B735,Regions,0),4)/(7/INDEX(INDIRECT($B734),MATCH($B735,Regions,0),6)),0)</f>
        <v>212.56777609368166</v>
      </c>
    </row>
    <row r="749" spans="2:5" hidden="1" outlineLevel="1" x14ac:dyDescent="0.3">
      <c r="B749" s="20" t="s">
        <v>32</v>
      </c>
      <c r="C749" s="33">
        <f ca="1">IFERROR(C746*INDEX(INDIRECT($B734),MATCH($B735,Regions,0),5)/(7/INDEX(INDIRECT($B734),MATCH($B735,Regions,0),7)),0)</f>
        <v>1.6045200219550619</v>
      </c>
      <c r="D749" s="33">
        <f ca="1">IFERROR(D746*INDEX(INDIRECT($B734),MATCH($B735,Regions,0),5)/(7/INDEX(INDIRECT($B734),MATCH($B735,Regions,0),7)),0)</f>
        <v>3.2090400439101239</v>
      </c>
      <c r="E749" s="33">
        <f ca="1">IFERROR(E746*INDEX(INDIRECT($B734),MATCH($B735,Regions,0),5)/(7/INDEX(INDIRECT($B734),MATCH($B735,Regions,0),7)),0)</f>
        <v>4.813560065865186</v>
      </c>
    </row>
    <row r="750" spans="2:5" hidden="1" outlineLevel="1" x14ac:dyDescent="0.3"/>
    <row r="751" spans="2:5" hidden="1" outlineLevel="1" x14ac:dyDescent="0.3">
      <c r="B751" s="10" t="s">
        <v>25</v>
      </c>
    </row>
    <row r="752" spans="2:5" hidden="1" outlineLevel="1" x14ac:dyDescent="0.3">
      <c r="B752" s="11" t="s">
        <v>34</v>
      </c>
    </row>
    <row r="753" spans="2:5" hidden="1" outlineLevel="1" x14ac:dyDescent="0.3">
      <c r="B753" s="11" t="s">
        <v>5</v>
      </c>
    </row>
    <row r="754" spans="2:5" hidden="1" outlineLevel="1" x14ac:dyDescent="0.3"/>
    <row r="755" spans="2:5" hidden="1" outlineLevel="1" x14ac:dyDescent="0.3">
      <c r="C755" s="297" t="s">
        <v>12</v>
      </c>
      <c r="D755" s="297"/>
      <c r="E755" s="297"/>
    </row>
    <row r="756" spans="2:5" ht="28.8" hidden="1" outlineLevel="1" x14ac:dyDescent="0.3">
      <c r="B756" s="13" t="str">
        <f>B752&amp;" - "&amp;B753</f>
        <v>Vascular_P4 - East</v>
      </c>
      <c r="C756" s="14" t="str">
        <f>'Data Inputs'!$C$29</f>
        <v>Scenario 1:
+1 day a week</v>
      </c>
      <c r="D756" s="14" t="str">
        <f>'Data Inputs'!$D$29</f>
        <v>Scenario 2:
+2 days a week</v>
      </c>
      <c r="E756" s="71" t="str">
        <f>'Data Inputs'!$E$29</f>
        <v>Scenario 3:
+3 days a week</v>
      </c>
    </row>
    <row r="757" spans="2:5" hidden="1" outlineLevel="1" x14ac:dyDescent="0.3">
      <c r="B757" s="12" t="s">
        <v>21</v>
      </c>
      <c r="C757" s="17"/>
      <c r="D757" s="18"/>
      <c r="E757" s="19"/>
    </row>
    <row r="758" spans="2:5" hidden="1" outlineLevel="1" x14ac:dyDescent="0.3">
      <c r="B758" s="20" t="s">
        <v>13</v>
      </c>
      <c r="C758" s="21">
        <f ca="1">INDEX(INDIRECT($B752),MATCH($B753,Regions,0),1)</f>
        <v>110.71918121100001</v>
      </c>
      <c r="D758" s="21">
        <f ca="1">INDEX(INDIRECT($B752),MATCH($B753,Regions,0),1)</f>
        <v>110.71918121100001</v>
      </c>
      <c r="E758" s="21">
        <f ca="1">INDEX(INDIRECT($B752),MATCH($B753,Regions,0),1)</f>
        <v>110.71918121100001</v>
      </c>
    </row>
    <row r="759" spans="2:5" hidden="1" outlineLevel="1" x14ac:dyDescent="0.3">
      <c r="B759" s="20" t="s">
        <v>20</v>
      </c>
      <c r="C759" s="23">
        <f>INDEX(ScenarioInputs,MATCH($B753,Regions,0),MATCH(C756,Scenarios,0))</f>
        <v>1</v>
      </c>
      <c r="D759" s="23">
        <f>INDEX(ScenarioInputs,MATCH($B753,Regions,0),MATCH(D756,Scenarios,0))</f>
        <v>2</v>
      </c>
      <c r="E759" s="23">
        <f>INDEX(ScenarioInputs,MATCH($B753,Regions,0),MATCH(E756,Scenarios,0))</f>
        <v>3</v>
      </c>
    </row>
    <row r="760" spans="2:5" hidden="1" outlineLevel="1" x14ac:dyDescent="0.3">
      <c r="B760" s="20" t="s">
        <v>37</v>
      </c>
      <c r="C760" s="21">
        <f ca="1">ROUNDDOWN(C759*INDEX(INDIRECT($B752),MATCH($B753,Regions,0),9)/(INDEX(INDIRECT($B752),MATCH($B753,Regions,0),3)+INDEX(INDIRECT($B752),MATCH($B753,Regions,0),2)),0)+IF(MOD(INDEX(INDIRECT($B752),MATCH($B753,Regions,0),9),INDEX(INDIRECT($B752),MATCH($B753,Regions,0),3)+INDEX(INDIRECT($B752),MATCH($B753,Regions,0),2))&lt;Buffer,0,1)</f>
        <v>3</v>
      </c>
      <c r="D760" s="21">
        <f ca="1">ROUNDDOWN(D759*INDEX(INDIRECT($B752),MATCH($B753,Regions,0),9)/(INDEX(INDIRECT($B752),MATCH($B753,Regions,0),3)+INDEX(INDIRECT($B752),MATCH($B753,Regions,0),2)),0)+IF(MOD(INDEX(INDIRECT($B752),MATCH($B753,Regions,0),9),INDEX(INDIRECT($B752),MATCH($B753,Regions,0),3)+INDEX(INDIRECT($B752),MATCH($B753,Regions,0),2))&lt;Buffer,0,1)</f>
        <v>7</v>
      </c>
      <c r="E760" s="21">
        <f ca="1">ROUNDDOWN(E759*INDEX(INDIRECT($B752),MATCH($B753,Regions,0),9)/(INDEX(INDIRECT($B752),MATCH($B753,Regions,0),3)+INDEX(INDIRECT($B752),MATCH($B753,Regions,0),2)),0)+IF(MOD(INDEX(INDIRECT($B752),MATCH($B753,Regions,0),9),INDEX(INDIRECT($B752),MATCH($B753,Regions,0),3)+INDEX(INDIRECT($B752),MATCH($B753,Regions,0),2))&lt;Buffer,0,1)</f>
        <v>10</v>
      </c>
    </row>
    <row r="761" spans="2:5" hidden="1" outlineLevel="1" x14ac:dyDescent="0.3">
      <c r="B761" s="20" t="s">
        <v>43</v>
      </c>
      <c r="C761" s="21">
        <f ca="1">ROUNDDOWN(INDEX(INDIRECT($B752),MATCH($B753,Regions,0),8)*INDEX(INDIRECT($B752),MATCH($B753,Regions,0),10),0)</f>
        <v>38</v>
      </c>
      <c r="D761" s="21">
        <f ca="1">ROUNDDOWN(INDEX(INDIRECT($B752),MATCH($B753,Regions,0),8)*INDEX(INDIRECT($B752),MATCH($B753,Regions,0),10),0)</f>
        <v>38</v>
      </c>
      <c r="E761" s="21">
        <f ca="1">ROUNDDOWN(INDEX(INDIRECT($B752),MATCH($B753,Regions,0),8)*INDEX(INDIRECT($B752),MATCH($B753,Regions,0),10),0)</f>
        <v>38</v>
      </c>
    </row>
    <row r="762" spans="2:5" hidden="1" outlineLevel="1" x14ac:dyDescent="0.3">
      <c r="B762" s="26" t="s">
        <v>11</v>
      </c>
      <c r="C762" s="27">
        <f ca="1">IFERROR(C758/(C761*C760),NA())</f>
        <v>0.97122088781578952</v>
      </c>
      <c r="D762" s="27">
        <f t="shared" ref="D762" ca="1" si="118">IFERROR(D758/(D761*D760),NA())</f>
        <v>0.41623752334962411</v>
      </c>
      <c r="E762" s="27">
        <f t="shared" ref="E762" ca="1" si="119">IFERROR(E758/(E761*E760),NA())</f>
        <v>0.29136626634473684</v>
      </c>
    </row>
    <row r="763" spans="2:5" hidden="1" outlineLevel="1" x14ac:dyDescent="0.3">
      <c r="B763" s="12" t="s">
        <v>14</v>
      </c>
      <c r="C763" s="28"/>
      <c r="D763" s="29"/>
      <c r="E763" s="30"/>
    </row>
    <row r="764" spans="2:5" hidden="1" outlineLevel="1" x14ac:dyDescent="0.3">
      <c r="B764" s="31" t="s">
        <v>38</v>
      </c>
      <c r="C764" s="32">
        <f ca="1">IFERROR(C758/C762,0)</f>
        <v>114</v>
      </c>
      <c r="D764" s="32">
        <f t="shared" ref="D764:E764" ca="1" si="120">IFERROR(D758/D762,0)</f>
        <v>266</v>
      </c>
      <c r="E764" s="32">
        <f t="shared" ca="1" si="120"/>
        <v>380.00000000000006</v>
      </c>
    </row>
    <row r="765" spans="2:5" hidden="1" outlineLevel="1" x14ac:dyDescent="0.3">
      <c r="B765" s="20" t="s">
        <v>30</v>
      </c>
      <c r="C765" s="33">
        <f ca="1">IF(C764=0,0,INDEX(INDIRECT($B752),MATCH($B753,Regions,0),9)*C759*C761)</f>
        <v>304</v>
      </c>
      <c r="D765" s="33">
        <f ca="1">IF(D764=0,0,INDEX(INDIRECT($B752),MATCH($B753,Regions,0),9)*D759*D761)</f>
        <v>608</v>
      </c>
      <c r="E765" s="33">
        <f ca="1">IF(E764=0,0,INDEX(INDIRECT($B752),MATCH($B753,Regions,0),9)*E759*E761)</f>
        <v>912</v>
      </c>
    </row>
    <row r="766" spans="2:5" hidden="1" outlineLevel="1" x14ac:dyDescent="0.3">
      <c r="B766" s="20" t="s">
        <v>31</v>
      </c>
      <c r="C766" s="33">
        <f ca="1">IFERROR(C764*INDEX(INDIRECT($B752),MATCH($B753,Regions,0),4)/(7/INDEX(INDIRECT($B752),MATCH($B753,Regions,0),6)),0)</f>
        <v>17.927614775656235</v>
      </c>
      <c r="D766" s="33">
        <f ca="1">IFERROR(D764*INDEX(INDIRECT($B752),MATCH($B753,Regions,0),4)/(7/INDEX(INDIRECT($B752),MATCH($B753,Regions,0),6)),0)</f>
        <v>41.831101143197884</v>
      </c>
      <c r="E766" s="33">
        <f ca="1">IFERROR(E764*INDEX(INDIRECT($B752),MATCH($B753,Regions,0),4)/(7/INDEX(INDIRECT($B752),MATCH($B753,Regions,0),6)),0)</f>
        <v>59.758715918854129</v>
      </c>
    </row>
    <row r="767" spans="2:5" hidden="1" outlineLevel="1" x14ac:dyDescent="0.3">
      <c r="B767" s="20" t="s">
        <v>32</v>
      </c>
      <c r="C767" s="33">
        <f ca="1">IFERROR(C764*INDEX(INDIRECT($B752),MATCH($B753,Regions,0),5)/(7/INDEX(INDIRECT($B752),MATCH($B753,Regions,0),7)),0)</f>
        <v>0.47030514455972833</v>
      </c>
      <c r="D767" s="33">
        <f ca="1">IFERROR(D764*INDEX(INDIRECT($B752),MATCH($B753,Regions,0),5)/(7/INDEX(INDIRECT($B752),MATCH($B753,Regions,0),7)),0)</f>
        <v>1.097378670639366</v>
      </c>
      <c r="E767" s="33">
        <f ca="1">IFERROR(E764*INDEX(INDIRECT($B752),MATCH($B753,Regions,0),5)/(7/INDEX(INDIRECT($B752),MATCH($B753,Regions,0),7)),0)</f>
        <v>1.5676838151990946</v>
      </c>
    </row>
    <row r="768" spans="2:5" hidden="1" outlineLevel="1" x14ac:dyDescent="0.3"/>
    <row r="769" spans="2:5" hidden="1" outlineLevel="1" x14ac:dyDescent="0.3">
      <c r="B769" s="10" t="s">
        <v>25</v>
      </c>
    </row>
    <row r="770" spans="2:5" hidden="1" outlineLevel="1" x14ac:dyDescent="0.3">
      <c r="B770" s="11" t="s">
        <v>2</v>
      </c>
    </row>
    <row r="771" spans="2:5" hidden="1" outlineLevel="1" x14ac:dyDescent="0.3">
      <c r="B771" s="11" t="s">
        <v>5</v>
      </c>
    </row>
    <row r="772" spans="2:5" hidden="1" outlineLevel="1" x14ac:dyDescent="0.3"/>
    <row r="773" spans="2:5" hidden="1" outlineLevel="1" x14ac:dyDescent="0.3">
      <c r="C773" s="297" t="s">
        <v>12</v>
      </c>
      <c r="D773" s="297"/>
      <c r="E773" s="297"/>
    </row>
    <row r="774" spans="2:5" ht="28.8" hidden="1" outlineLevel="1" x14ac:dyDescent="0.3">
      <c r="B774" s="13" t="str">
        <f>B770&amp;" - "&amp;B771</f>
        <v>Transplant - East</v>
      </c>
      <c r="C774" s="14" t="str">
        <f>'Data Inputs'!$C$29</f>
        <v>Scenario 1:
+1 day a week</v>
      </c>
      <c r="D774" s="14" t="str">
        <f>'Data Inputs'!$D$29</f>
        <v>Scenario 2:
+2 days a week</v>
      </c>
      <c r="E774" s="71" t="str">
        <f>'Data Inputs'!$E$29</f>
        <v>Scenario 3:
+3 days a week</v>
      </c>
    </row>
    <row r="775" spans="2:5" hidden="1" outlineLevel="1" x14ac:dyDescent="0.3">
      <c r="B775" s="12" t="s">
        <v>21</v>
      </c>
      <c r="C775" s="17"/>
      <c r="D775" s="18"/>
      <c r="E775" s="19"/>
    </row>
    <row r="776" spans="2:5" hidden="1" outlineLevel="1" x14ac:dyDescent="0.3">
      <c r="B776" s="20" t="s">
        <v>13</v>
      </c>
      <c r="C776" s="21">
        <f ca="1">INDEX(INDIRECT($B770),MATCH($B771,Regions,0),1)</f>
        <v>71.761868185355866</v>
      </c>
      <c r="D776" s="21">
        <f ca="1">INDEX(INDIRECT($B770),MATCH($B771,Regions,0),1)</f>
        <v>71.761868185355866</v>
      </c>
      <c r="E776" s="21">
        <f ca="1">INDEX(INDIRECT($B770),MATCH($B771,Regions,0),1)</f>
        <v>71.761868185355866</v>
      </c>
    </row>
    <row r="777" spans="2:5" hidden="1" outlineLevel="1" x14ac:dyDescent="0.3">
      <c r="B777" s="20" t="s">
        <v>20</v>
      </c>
      <c r="C777" s="23">
        <f>INDEX(ScenarioInputs,MATCH($B771,Regions,0),MATCH(C774,Scenarios,0))</f>
        <v>1</v>
      </c>
      <c r="D777" s="23">
        <f>INDEX(ScenarioInputs,MATCH($B771,Regions,0),MATCH(D774,Scenarios,0))</f>
        <v>2</v>
      </c>
      <c r="E777" s="23">
        <f>INDEX(ScenarioInputs,MATCH($B771,Regions,0),MATCH(E774,Scenarios,0))</f>
        <v>3</v>
      </c>
    </row>
    <row r="778" spans="2:5" hidden="1" outlineLevel="1" x14ac:dyDescent="0.3">
      <c r="B778" s="20" t="s">
        <v>37</v>
      </c>
      <c r="C778" s="21">
        <f ca="1">ROUNDDOWN(C777*INDEX(INDIRECT($B770),MATCH($B771,Regions,0),9)/(INDEX(INDIRECT($B770),MATCH($B771,Regions,0),3)+INDEX(INDIRECT($B770),MATCH($B771,Regions,0),2)),0)</f>
        <v>1</v>
      </c>
      <c r="D778" s="21">
        <f ca="1">ROUNDDOWN(D777*INDEX(INDIRECT($B770),MATCH($B771,Regions,0),9)/(INDEX(INDIRECT($B770),MATCH($B771,Regions,0),3)+INDEX(INDIRECT($B770),MATCH($B771,Regions,0),2)),0)</f>
        <v>3</v>
      </c>
      <c r="E778" s="21">
        <f ca="1">ROUNDDOWN(E777*INDEX(INDIRECT($B770),MATCH($B771,Regions,0),9)/(INDEX(INDIRECT($B770),MATCH($B771,Regions,0),3)+INDEX(INDIRECT($B770),MATCH($B771,Regions,0),2)),0)</f>
        <v>5</v>
      </c>
    </row>
    <row r="779" spans="2:5" hidden="1" outlineLevel="1" x14ac:dyDescent="0.3">
      <c r="B779" s="20" t="s">
        <v>43</v>
      </c>
      <c r="C779" s="21">
        <f ca="1">ROUNDDOWN(INDEX(INDIRECT($B770),MATCH($B771,Regions,0),8)*INDEX(INDIRECT($B770),MATCH($B771,Regions,0),10),0)</f>
        <v>17</v>
      </c>
      <c r="D779" s="21">
        <f ca="1">ROUNDDOWN(INDEX(INDIRECT($B770),MATCH($B771,Regions,0),8)*INDEX(INDIRECT($B770),MATCH($B771,Regions,0),10),0)</f>
        <v>17</v>
      </c>
      <c r="E779" s="21">
        <f ca="1">ROUNDDOWN(INDEX(INDIRECT($B770),MATCH($B771,Regions,0),8)*INDEX(INDIRECT($B770),MATCH($B771,Regions,0),10),0)</f>
        <v>17</v>
      </c>
    </row>
    <row r="780" spans="2:5" hidden="1" outlineLevel="1" x14ac:dyDescent="0.3">
      <c r="B780" s="26" t="s">
        <v>11</v>
      </c>
      <c r="C780" s="27">
        <f ca="1">IFERROR(C776/(C779*C778),"")</f>
        <v>4.2212863638444631</v>
      </c>
      <c r="D780" s="27">
        <f t="shared" ref="D780" ca="1" si="121">IFERROR(D776/(D779*D778),"")</f>
        <v>1.4070954546148209</v>
      </c>
      <c r="E780" s="27">
        <f t="shared" ref="E780" ca="1" si="122">IFERROR(E776/(E779*E778),"")</f>
        <v>0.84425727276889251</v>
      </c>
    </row>
    <row r="781" spans="2:5" hidden="1" outlineLevel="1" x14ac:dyDescent="0.3">
      <c r="B781" s="12" t="s">
        <v>14</v>
      </c>
      <c r="C781" s="28"/>
      <c r="D781" s="29"/>
      <c r="E781" s="30"/>
    </row>
    <row r="782" spans="2:5" hidden="1" outlineLevel="1" x14ac:dyDescent="0.3">
      <c r="B782" s="31" t="s">
        <v>38</v>
      </c>
      <c r="C782" s="32">
        <f ca="1">IFERROR(C776/C780,0)</f>
        <v>17</v>
      </c>
      <c r="D782" s="32">
        <f t="shared" ref="D782:E782" ca="1" si="123">IFERROR(D776/D780,0)</f>
        <v>51</v>
      </c>
      <c r="E782" s="32">
        <f t="shared" ca="1" si="123"/>
        <v>85</v>
      </c>
    </row>
    <row r="783" spans="2:5" hidden="1" outlineLevel="1" x14ac:dyDescent="0.3">
      <c r="B783" s="20" t="s">
        <v>30</v>
      </c>
      <c r="C783" s="33">
        <f ca="1">IF(C782=0,0,INDEX(INDIRECT($B770),MATCH($B771,Regions,0),9)*C777*C779)</f>
        <v>136</v>
      </c>
      <c r="D783" s="33">
        <f ca="1">IF(D782=0,0,INDEX(INDIRECT($B770),MATCH($B771,Regions,0),9)*D777*D779)</f>
        <v>272</v>
      </c>
      <c r="E783" s="33">
        <f ca="1">IF(E782=0,0,INDEX(INDIRECT($B770),MATCH($B771,Regions,0),9)*E777*E779)</f>
        <v>408</v>
      </c>
    </row>
    <row r="784" spans="2:5" hidden="1" outlineLevel="1" x14ac:dyDescent="0.3">
      <c r="B784" s="20" t="s">
        <v>31</v>
      </c>
      <c r="C784" s="33">
        <f ca="1">IFERROR(C782*INDEX(INDIRECT($B770),MATCH($B771,Regions,0),4)/(7/INDEX(INDIRECT($B770),MATCH($B771,Regions,0),6)),0)</f>
        <v>18.500992064571427</v>
      </c>
      <c r="D784" s="33">
        <f ca="1">IFERROR(D782*INDEX(INDIRECT($B770),MATCH($B771,Regions,0),4)/(7/INDEX(INDIRECT($B770),MATCH($B771,Regions,0),6)),0)</f>
        <v>55.502976193714282</v>
      </c>
      <c r="E784" s="33">
        <f ca="1">IFERROR(E782*INDEX(INDIRECT($B770),MATCH($B771,Regions,0),4)/(7/INDEX(INDIRECT($B770),MATCH($B771,Regions,0),6)),0)</f>
        <v>92.50496032285713</v>
      </c>
    </row>
    <row r="785" spans="2:5" hidden="1" outlineLevel="1" x14ac:dyDescent="0.3">
      <c r="B785" s="20" t="s">
        <v>32</v>
      </c>
      <c r="C785" s="33">
        <f ca="1">IFERROR(C782*INDEX(INDIRECT($B770),MATCH($B771,Regions,0),5)/(7/INDEX(INDIRECT($B770),MATCH($B771,Regions,0),7)),0)</f>
        <v>0.90256283219332001</v>
      </c>
      <c r="D785" s="33">
        <f ca="1">IFERROR(D782*INDEX(INDIRECT($B770),MATCH($B771,Regions,0),5)/(7/INDEX(INDIRECT($B770),MATCH($B771,Regions,0),7)),0)</f>
        <v>2.7076884965799599</v>
      </c>
      <c r="E785" s="33">
        <f ca="1">IFERROR(E782*INDEX(INDIRECT($B770),MATCH($B771,Regions,0),5)/(7/INDEX(INDIRECT($B770),MATCH($B771,Regions,0),7)),0)</f>
        <v>4.5128141609665997</v>
      </c>
    </row>
    <row r="786" spans="2:5" hidden="1" outlineLevel="1" x14ac:dyDescent="0.3"/>
    <row r="787" spans="2:5" hidden="1" outlineLevel="1" x14ac:dyDescent="0.3">
      <c r="B787" s="10" t="s">
        <v>25</v>
      </c>
    </row>
    <row r="788" spans="2:5" hidden="1" outlineLevel="1" x14ac:dyDescent="0.3">
      <c r="B788" s="11" t="s">
        <v>28</v>
      </c>
    </row>
    <row r="789" spans="2:5" hidden="1" outlineLevel="1" x14ac:dyDescent="0.3">
      <c r="B789" s="11" t="s">
        <v>5</v>
      </c>
    </row>
    <row r="790" spans="2:5" hidden="1" outlineLevel="1" x14ac:dyDescent="0.3"/>
    <row r="791" spans="2:5" hidden="1" outlineLevel="1" x14ac:dyDescent="0.3">
      <c r="C791" s="297" t="s">
        <v>12</v>
      </c>
      <c r="D791" s="297"/>
      <c r="E791" s="297"/>
    </row>
    <row r="792" spans="2:5" ht="28.8" hidden="1" outlineLevel="1" x14ac:dyDescent="0.3">
      <c r="B792" s="13" t="str">
        <f>B788&amp;" - "&amp;B789</f>
        <v>Cardiac_CABG - East</v>
      </c>
      <c r="C792" s="14" t="str">
        <f>'Data Inputs'!$C$29</f>
        <v>Scenario 1:
+1 day a week</v>
      </c>
      <c r="D792" s="14" t="str">
        <f>'Data Inputs'!$D$29</f>
        <v>Scenario 2:
+2 days a week</v>
      </c>
      <c r="E792" s="71" t="str">
        <f>'Data Inputs'!$E$29</f>
        <v>Scenario 3:
+3 days a week</v>
      </c>
    </row>
    <row r="793" spans="2:5" hidden="1" outlineLevel="1" x14ac:dyDescent="0.3">
      <c r="B793" s="12" t="s">
        <v>21</v>
      </c>
      <c r="C793" s="17"/>
      <c r="D793" s="18"/>
      <c r="E793" s="19"/>
    </row>
    <row r="794" spans="2:5" hidden="1" outlineLevel="1" x14ac:dyDescent="0.3">
      <c r="B794" s="20" t="s">
        <v>13</v>
      </c>
      <c r="C794" s="21">
        <f ca="1">INDEX(INDIRECT($B788),MATCH($B789,Regions,0),1)</f>
        <v>36.875</v>
      </c>
      <c r="D794" s="21">
        <f ca="1">INDEX(INDIRECT($B788),MATCH($B789,Regions,0),1)</f>
        <v>36.875</v>
      </c>
      <c r="E794" s="21">
        <f ca="1">INDEX(INDIRECT($B788),MATCH($B789,Regions,0),1)</f>
        <v>36.875</v>
      </c>
    </row>
    <row r="795" spans="2:5" hidden="1" outlineLevel="1" x14ac:dyDescent="0.3">
      <c r="B795" s="20" t="s">
        <v>20</v>
      </c>
      <c r="C795" s="23">
        <f>INDEX(ScenarioInputs,MATCH($B789,Regions,0),MATCH(C792,Scenarios,0))</f>
        <v>1</v>
      </c>
      <c r="D795" s="23">
        <f>INDEX(ScenarioInputs,MATCH($B789,Regions,0),MATCH(D792,Scenarios,0))</f>
        <v>2</v>
      </c>
      <c r="E795" s="23">
        <f>INDEX(ScenarioInputs,MATCH($B789,Regions,0),MATCH(E792,Scenarios,0))</f>
        <v>3</v>
      </c>
    </row>
    <row r="796" spans="2:5" hidden="1" outlineLevel="1" x14ac:dyDescent="0.3">
      <c r="B796" s="20" t="s">
        <v>37</v>
      </c>
      <c r="C796" s="21">
        <f ca="1">ROUNDDOWN(C795*INDEX(INDIRECT($B788),MATCH($B789,Regions,0),9)/(INDEX(INDIRECT($B788),MATCH($B789,Regions,0),3)+INDEX(INDIRECT($B788),MATCH($B789,Regions,0),2)),0)+IF(MOD(INDEX(INDIRECT($B788),MATCH($B789,Regions,0),9),INDEX(INDIRECT($B788),MATCH($B789,Regions,0),3)+INDEX(INDIRECT($B788),MATCH($B789,Regions,0),2))&lt;Buffer,0,1)</f>
        <v>2</v>
      </c>
      <c r="D796" s="21">
        <f ca="1">ROUNDDOWN(D795*INDEX(INDIRECT($B788),MATCH($B789,Regions,0),9)/(INDEX(INDIRECT($B788),MATCH($B789,Regions,0),3)+INDEX(INDIRECT($B788),MATCH($B789,Regions,0),2)),0)+IF(MOD(INDEX(INDIRECT($B788),MATCH($B789,Regions,0),9),INDEX(INDIRECT($B788),MATCH($B789,Regions,0),3)+INDEX(INDIRECT($B788),MATCH($B789,Regions,0),2))&lt;Buffer,0,1)</f>
        <v>4</v>
      </c>
      <c r="E796" s="21">
        <f ca="1">ROUNDDOWN(E795*INDEX(INDIRECT($B788),MATCH($B789,Regions,0),9)/(INDEX(INDIRECT($B788),MATCH($B789,Regions,0),3)+INDEX(INDIRECT($B788),MATCH($B789,Regions,0),2)),0)+IF(MOD(INDEX(INDIRECT($B788),MATCH($B789,Regions,0),9),INDEX(INDIRECT($B788),MATCH($B789,Regions,0),3)+INDEX(INDIRECT($B788),MATCH($B789,Regions,0),2))&lt;Buffer,0,1)</f>
        <v>6</v>
      </c>
    </row>
    <row r="797" spans="2:5" hidden="1" outlineLevel="1" x14ac:dyDescent="0.3">
      <c r="B797" s="20" t="s">
        <v>43</v>
      </c>
      <c r="C797" s="21">
        <f ca="1">ROUNDDOWN(INDEX(INDIRECT($B788),MATCH($B789,Regions,0),8)*INDEX(INDIRECT($B788),MATCH($B789,Regions,0),10),0)</f>
        <v>9</v>
      </c>
      <c r="D797" s="21">
        <f ca="1">ROUNDDOWN(INDEX(INDIRECT($B788),MATCH($B789,Regions,0),8)*INDEX(INDIRECT($B788),MATCH($B789,Regions,0),10),0)</f>
        <v>9</v>
      </c>
      <c r="E797" s="21">
        <f ca="1">ROUNDDOWN(INDEX(INDIRECT($B788),MATCH($B789,Regions,0),8)*INDEX(INDIRECT($B788),MATCH($B789,Regions,0),10),0)</f>
        <v>9</v>
      </c>
    </row>
    <row r="798" spans="2:5" hidden="1" outlineLevel="1" x14ac:dyDescent="0.3">
      <c r="B798" s="26" t="s">
        <v>11</v>
      </c>
      <c r="C798" s="27">
        <f ca="1">IFERROR(C794/(C797*C796),NA())</f>
        <v>2.0486111111111112</v>
      </c>
      <c r="D798" s="27">
        <f t="shared" ref="D798" ca="1" si="124">IFERROR(D794/(D797*D796),NA())</f>
        <v>1.0243055555555556</v>
      </c>
      <c r="E798" s="27">
        <f t="shared" ref="E798" ca="1" si="125">IFERROR(E794/(E797*E796),NA())</f>
        <v>0.68287037037037035</v>
      </c>
    </row>
    <row r="799" spans="2:5" hidden="1" outlineLevel="1" x14ac:dyDescent="0.3">
      <c r="B799" s="12" t="s">
        <v>14</v>
      </c>
      <c r="C799" s="28"/>
      <c r="D799" s="29"/>
      <c r="E799" s="30"/>
    </row>
    <row r="800" spans="2:5" hidden="1" outlineLevel="1" x14ac:dyDescent="0.3">
      <c r="B800" s="31" t="s">
        <v>38</v>
      </c>
      <c r="C800" s="32">
        <f ca="1">IFERROR(C794/C798,0)</f>
        <v>18</v>
      </c>
      <c r="D800" s="32">
        <f t="shared" ref="D800:E800" ca="1" si="126">IFERROR(D794/D798,0)</f>
        <v>36</v>
      </c>
      <c r="E800" s="32">
        <f t="shared" ca="1" si="126"/>
        <v>54</v>
      </c>
    </row>
    <row r="801" spans="2:5" hidden="1" outlineLevel="1" x14ac:dyDescent="0.3">
      <c r="B801" s="20" t="s">
        <v>30</v>
      </c>
      <c r="C801" s="33">
        <f ca="1">IF(C800=0,0,INDEX(INDIRECT($B788),MATCH($B789,Regions,0),9)*C795*C797)</f>
        <v>72</v>
      </c>
      <c r="D801" s="33">
        <f ca="1">IF(D800=0,0,INDEX(INDIRECT($B788),MATCH($B789,Regions,0),9)*D795*D797)</f>
        <v>144</v>
      </c>
      <c r="E801" s="33">
        <f ca="1">IF(E800=0,0,INDEX(INDIRECT($B788),MATCH($B789,Regions,0),9)*E795*E797)</f>
        <v>216</v>
      </c>
    </row>
    <row r="802" spans="2:5" hidden="1" outlineLevel="1" x14ac:dyDescent="0.3">
      <c r="B802" s="20" t="s">
        <v>31</v>
      </c>
      <c r="C802" s="33">
        <f ca="1">IFERROR(C800*INDEX(INDIRECT($B788),MATCH($B789,Regions,0),4)/(7/INDEX(INDIRECT($B788),MATCH($B789,Regions,0),6)),0)</f>
        <v>20.571428571428573</v>
      </c>
      <c r="D802" s="33">
        <f ca="1">IFERROR(D800*INDEX(INDIRECT($B788),MATCH($B789,Regions,0),4)/(7/INDEX(INDIRECT($B788),MATCH($B789,Regions,0),6)),0)</f>
        <v>41.142857142857146</v>
      </c>
      <c r="E802" s="33">
        <f ca="1">IFERROR(E800*INDEX(INDIRECT($B788),MATCH($B789,Regions,0),4)/(7/INDEX(INDIRECT($B788),MATCH($B789,Regions,0),6)),0)</f>
        <v>61.714285714285715</v>
      </c>
    </row>
    <row r="803" spans="2:5" hidden="1" outlineLevel="1" x14ac:dyDescent="0.3">
      <c r="B803" s="20" t="s">
        <v>32</v>
      </c>
      <c r="C803" s="33">
        <f ca="1">IFERROR(C800*INDEX(INDIRECT($B788),MATCH($B789,Regions,0),5)/(7/INDEX(INDIRECT($B788),MATCH($B789,Regions,0),7)),0)</f>
        <v>7.7142857142857135</v>
      </c>
      <c r="D803" s="33">
        <f ca="1">IFERROR(D800*INDEX(INDIRECT($B788),MATCH($B789,Regions,0),5)/(7/INDEX(INDIRECT($B788),MATCH($B789,Regions,0),7)),0)</f>
        <v>15.428571428571427</v>
      </c>
      <c r="E803" s="33">
        <f ca="1">IFERROR(E800*INDEX(INDIRECT($B788),MATCH($B789,Regions,0),5)/(7/INDEX(INDIRECT($B788),MATCH($B789,Regions,0),7)),0)</f>
        <v>23.142857142857142</v>
      </c>
    </row>
    <row r="804" spans="2:5" hidden="1" outlineLevel="1" x14ac:dyDescent="0.3"/>
    <row r="805" spans="2:5" hidden="1" outlineLevel="1" x14ac:dyDescent="0.3">
      <c r="B805" s="10" t="s">
        <v>25</v>
      </c>
    </row>
    <row r="806" spans="2:5" hidden="1" outlineLevel="1" x14ac:dyDescent="0.3">
      <c r="B806" s="11" t="s">
        <v>46</v>
      </c>
    </row>
    <row r="807" spans="2:5" hidden="1" outlineLevel="1" x14ac:dyDescent="0.3">
      <c r="B807" s="11" t="s">
        <v>5</v>
      </c>
    </row>
    <row r="808" spans="2:5" hidden="1" outlineLevel="1" x14ac:dyDescent="0.3"/>
    <row r="809" spans="2:5" hidden="1" outlineLevel="1" x14ac:dyDescent="0.3">
      <c r="C809" s="297" t="s">
        <v>12</v>
      </c>
      <c r="D809" s="297"/>
      <c r="E809" s="297"/>
    </row>
    <row r="810" spans="2:5" ht="28.8" hidden="1" outlineLevel="1" x14ac:dyDescent="0.3">
      <c r="B810" s="13" t="str">
        <f>B806&amp;" - "&amp;B807</f>
        <v>Cardiac_Valve - East</v>
      </c>
      <c r="C810" s="14" t="str">
        <f>'Data Inputs'!$C$29</f>
        <v>Scenario 1:
+1 day a week</v>
      </c>
      <c r="D810" s="14" t="str">
        <f>'Data Inputs'!$D$29</f>
        <v>Scenario 2:
+2 days a week</v>
      </c>
      <c r="E810" s="71" t="str">
        <f>'Data Inputs'!$E$29</f>
        <v>Scenario 3:
+3 days a week</v>
      </c>
    </row>
    <row r="811" spans="2:5" hidden="1" outlineLevel="1" x14ac:dyDescent="0.3">
      <c r="B811" s="12" t="s">
        <v>21</v>
      </c>
      <c r="C811" s="17"/>
      <c r="D811" s="18"/>
      <c r="E811" s="19"/>
    </row>
    <row r="812" spans="2:5" hidden="1" outlineLevel="1" x14ac:dyDescent="0.3">
      <c r="B812" s="20" t="s">
        <v>13</v>
      </c>
      <c r="C812" s="21">
        <f ca="1">INDEX(INDIRECT($B806),MATCH($B807,Regions,0),1)</f>
        <v>20.167286245353161</v>
      </c>
      <c r="D812" s="21">
        <f ca="1">INDEX(INDIRECT($B806),MATCH($B807,Regions,0),1)</f>
        <v>20.167286245353161</v>
      </c>
      <c r="E812" s="21">
        <f ca="1">INDEX(INDIRECT($B806),MATCH($B807,Regions,0),1)</f>
        <v>20.167286245353161</v>
      </c>
    </row>
    <row r="813" spans="2:5" hidden="1" outlineLevel="1" x14ac:dyDescent="0.3">
      <c r="B813" s="20" t="s">
        <v>20</v>
      </c>
      <c r="C813" s="23">
        <f>INDEX(ScenarioInputs,MATCH($B807,Regions,0),MATCH(C810,Scenarios,0))</f>
        <v>1</v>
      </c>
      <c r="D813" s="23">
        <f>INDEX(ScenarioInputs,MATCH($B807,Regions,0),MATCH(D810,Scenarios,0))</f>
        <v>2</v>
      </c>
      <c r="E813" s="23">
        <f>INDEX(ScenarioInputs,MATCH($B807,Regions,0),MATCH(E810,Scenarios,0))</f>
        <v>3</v>
      </c>
    </row>
    <row r="814" spans="2:5" hidden="1" outlineLevel="1" x14ac:dyDescent="0.3">
      <c r="B814" s="20" t="s">
        <v>37</v>
      </c>
      <c r="C814" s="21">
        <f ca="1">ROUNDDOWN(C813*INDEX(INDIRECT($B806),MATCH($B807,Regions,0),9)/(INDEX(INDIRECT($B806),MATCH($B807,Regions,0),3)+INDEX(INDIRECT($B806),MATCH($B807,Regions,0),2)),0)+IF(MOD(INDEX(INDIRECT($B806),MATCH($B807,Regions,0),9),INDEX(INDIRECT($B806),MATCH($B807,Regions,0),3)+INDEX(INDIRECT($B806),MATCH($B807,Regions,0),2))&lt;Buffer,0,1)</f>
        <v>2</v>
      </c>
      <c r="D814" s="21">
        <f ca="1">ROUNDDOWN(D813*INDEX(INDIRECT($B806),MATCH($B807,Regions,0),9)/(INDEX(INDIRECT($B806),MATCH($B807,Regions,0),3)+INDEX(INDIRECT($B806),MATCH($B807,Regions,0),2)),0)+IF(MOD(INDEX(INDIRECT($B806),MATCH($B807,Regions,0),9),INDEX(INDIRECT($B806),MATCH($B807,Regions,0),3)+INDEX(INDIRECT($B806),MATCH($B807,Regions,0),2))&lt;Buffer,0,1)</f>
        <v>4</v>
      </c>
      <c r="E814" s="21">
        <f ca="1">ROUNDDOWN(E813*INDEX(INDIRECT($B806),MATCH($B807,Regions,0),9)/(INDEX(INDIRECT($B806),MATCH($B807,Regions,0),3)+INDEX(INDIRECT($B806),MATCH($B807,Regions,0),2)),0)+IF(MOD(INDEX(INDIRECT($B806),MATCH($B807,Regions,0),9),INDEX(INDIRECT($B806),MATCH($B807,Regions,0),3)+INDEX(INDIRECT($B806),MATCH($B807,Regions,0),2))&lt;Buffer,0,1)</f>
        <v>6</v>
      </c>
    </row>
    <row r="815" spans="2:5" hidden="1" outlineLevel="1" x14ac:dyDescent="0.3">
      <c r="B815" s="20" t="s">
        <v>43</v>
      </c>
      <c r="C815" s="21">
        <f ca="1">ROUNDDOWN(INDEX(INDIRECT($B806),MATCH($B807,Regions,0),8)*INDEX(INDIRECT($B806),MATCH($B807,Regions,0),10),0)</f>
        <v>9</v>
      </c>
      <c r="D815" s="21">
        <f ca="1">ROUNDDOWN(INDEX(INDIRECT($B806),MATCH($B807,Regions,0),8)*INDEX(INDIRECT($B806),MATCH($B807,Regions,0),10),0)</f>
        <v>9</v>
      </c>
      <c r="E815" s="21">
        <f ca="1">ROUNDDOWN(INDEX(INDIRECT($B806),MATCH($B807,Regions,0),8)*INDEX(INDIRECT($B806),MATCH($B807,Regions,0),10),0)</f>
        <v>9</v>
      </c>
    </row>
    <row r="816" spans="2:5" hidden="1" outlineLevel="1" x14ac:dyDescent="0.3">
      <c r="B816" s="26" t="s">
        <v>11</v>
      </c>
      <c r="C816" s="27">
        <f ca="1">IFERROR(C812/(C815*C814),NA())</f>
        <v>1.1204047914085089</v>
      </c>
      <c r="D816" s="27">
        <f t="shared" ref="D816" ca="1" si="127">IFERROR(D812/(D815*D814),NA())</f>
        <v>0.56020239570425445</v>
      </c>
      <c r="E816" s="27">
        <f t="shared" ref="E816" ca="1" si="128">IFERROR(E812/(E815*E814),NA())</f>
        <v>0.37346826380283632</v>
      </c>
    </row>
    <row r="817" spans="2:5" hidden="1" outlineLevel="1" x14ac:dyDescent="0.3">
      <c r="B817" s="12" t="s">
        <v>14</v>
      </c>
      <c r="C817" s="28"/>
      <c r="D817" s="29"/>
      <c r="E817" s="30"/>
    </row>
    <row r="818" spans="2:5" hidden="1" outlineLevel="1" x14ac:dyDescent="0.3">
      <c r="B818" s="31" t="s">
        <v>38</v>
      </c>
      <c r="C818" s="32">
        <f ca="1">IFERROR(C812/C816,0)</f>
        <v>18</v>
      </c>
      <c r="D818" s="32">
        <f t="shared" ref="D818:E818" ca="1" si="129">IFERROR(D812/D816,0)</f>
        <v>36</v>
      </c>
      <c r="E818" s="32">
        <f t="shared" ca="1" si="129"/>
        <v>54</v>
      </c>
    </row>
    <row r="819" spans="2:5" hidden="1" outlineLevel="1" x14ac:dyDescent="0.3">
      <c r="B819" s="20" t="s">
        <v>30</v>
      </c>
      <c r="C819" s="33">
        <f ca="1">IF(C818=0,0,INDEX(INDIRECT($B806),MATCH($B807,Regions,0),9)*C813*C815)</f>
        <v>72</v>
      </c>
      <c r="D819" s="33">
        <f ca="1">IF(D818=0,0,INDEX(INDIRECT($B806),MATCH($B807,Regions,0),9)*D813*D815)</f>
        <v>144</v>
      </c>
      <c r="E819" s="33">
        <f ca="1">IF(E818=0,0,INDEX(INDIRECT($B806),MATCH($B807,Regions,0),9)*E813*E815)</f>
        <v>216</v>
      </c>
    </row>
    <row r="820" spans="2:5" hidden="1" outlineLevel="1" x14ac:dyDescent="0.3">
      <c r="B820" s="20" t="s">
        <v>31</v>
      </c>
      <c r="C820" s="33">
        <f ca="1">IFERROR(C818*INDEX(INDIRECT($B806),MATCH($B807,Regions,0),4)/(7/INDEX(INDIRECT($B806),MATCH($B807,Regions,0),6)),0)</f>
        <v>25.714285714285715</v>
      </c>
      <c r="D820" s="33">
        <f ca="1">IFERROR(D818*INDEX(INDIRECT($B806),MATCH($B807,Regions,0),4)/(7/INDEX(INDIRECT($B806),MATCH($B807,Regions,0),6)),0)</f>
        <v>51.428571428571431</v>
      </c>
      <c r="E820" s="33">
        <f ca="1">IFERROR(E818*INDEX(INDIRECT($B806),MATCH($B807,Regions,0),4)/(7/INDEX(INDIRECT($B806),MATCH($B807,Regions,0),6)),0)</f>
        <v>77.142857142857153</v>
      </c>
    </row>
    <row r="821" spans="2:5" hidden="1" outlineLevel="1" x14ac:dyDescent="0.3">
      <c r="B821" s="20" t="s">
        <v>32</v>
      </c>
      <c r="C821" s="33">
        <f ca="1">IFERROR(C818*INDEX(INDIRECT($B806),MATCH($B807,Regions,0),5)/(7/INDEX(INDIRECT($B806),MATCH($B807,Regions,0),7)),0)</f>
        <v>12.857142857142858</v>
      </c>
      <c r="D821" s="33">
        <f ca="1">IFERROR(D818*INDEX(INDIRECT($B806),MATCH($B807,Regions,0),5)/(7/INDEX(INDIRECT($B806),MATCH($B807,Regions,0),7)),0)</f>
        <v>25.714285714285715</v>
      </c>
      <c r="E821" s="33">
        <f ca="1">IFERROR(E818*INDEX(INDIRECT($B806),MATCH($B807,Regions,0),5)/(7/INDEX(INDIRECT($B806),MATCH($B807,Regions,0),7)),0)</f>
        <v>38.571428571428577</v>
      </c>
    </row>
    <row r="822" spans="2:5" hidden="1" outlineLevel="1" x14ac:dyDescent="0.3">
      <c r="B822" s="20"/>
      <c r="C822" s="44"/>
      <c r="D822" s="44"/>
      <c r="E822" s="44"/>
    </row>
    <row r="823" spans="2:5" hidden="1" outlineLevel="1" x14ac:dyDescent="0.3">
      <c r="B823" s="10" t="s">
        <v>25</v>
      </c>
    </row>
    <row r="824" spans="2:5" hidden="1" outlineLevel="1" x14ac:dyDescent="0.3">
      <c r="B824" s="11" t="s">
        <v>110</v>
      </c>
    </row>
    <row r="825" spans="2:5" hidden="1" outlineLevel="1" x14ac:dyDescent="0.3">
      <c r="B825" s="11" t="s">
        <v>5</v>
      </c>
    </row>
    <row r="826" spans="2:5" hidden="1" outlineLevel="1" x14ac:dyDescent="0.3"/>
    <row r="827" spans="2:5" hidden="1" outlineLevel="1" x14ac:dyDescent="0.3">
      <c r="C827" s="297" t="s">
        <v>12</v>
      </c>
      <c r="D827" s="297"/>
      <c r="E827" s="297"/>
    </row>
    <row r="828" spans="2:5" ht="28.8" hidden="1" outlineLevel="1" x14ac:dyDescent="0.3">
      <c r="B828" s="13" t="str">
        <f>B824&amp;" - "&amp;B825</f>
        <v>Benign_P2P3 - East</v>
      </c>
      <c r="C828" s="14" t="str">
        <f>'Data Inputs'!$C$29</f>
        <v>Scenario 1:
+1 day a week</v>
      </c>
      <c r="D828" s="14" t="str">
        <f>'Data Inputs'!$D$29</f>
        <v>Scenario 2:
+2 days a week</v>
      </c>
      <c r="E828" s="71" t="str">
        <f>'Data Inputs'!$E$29</f>
        <v>Scenario 3:
+3 days a week</v>
      </c>
    </row>
    <row r="829" spans="2:5" hidden="1" outlineLevel="1" x14ac:dyDescent="0.3">
      <c r="B829" s="12" t="s">
        <v>21</v>
      </c>
      <c r="C829" s="17"/>
      <c r="D829" s="18"/>
      <c r="E829" s="19"/>
    </row>
    <row r="830" spans="2:5" hidden="1" outlineLevel="1" x14ac:dyDescent="0.3">
      <c r="B830" s="20" t="s">
        <v>13</v>
      </c>
      <c r="C830" s="21">
        <f ca="1">INDEX(INDIRECT($B824),MATCH($B825,Regions,0),1)</f>
        <v>5671.3179248000006</v>
      </c>
      <c r="D830" s="21">
        <f ca="1">INDEX(INDIRECT($B824),MATCH($B825,Regions,0),1)</f>
        <v>5671.3179248000006</v>
      </c>
      <c r="E830" s="21">
        <f ca="1">INDEX(INDIRECT($B824),MATCH($B825,Regions,0),1)</f>
        <v>5671.3179248000006</v>
      </c>
    </row>
    <row r="831" spans="2:5" hidden="1" outlineLevel="1" x14ac:dyDescent="0.3">
      <c r="B831" s="20" t="s">
        <v>20</v>
      </c>
      <c r="C831" s="23">
        <f>INDEX(ScenarioInputs,MATCH($B825,Regions,0),MATCH(C828,Scenarios,0))</f>
        <v>1</v>
      </c>
      <c r="D831" s="23">
        <f>INDEX(ScenarioInputs,MATCH($B825,Regions,0),MATCH(D828,Scenarios,0))</f>
        <v>2</v>
      </c>
      <c r="E831" s="23">
        <f>INDEX(ScenarioInputs,MATCH($B825,Regions,0),MATCH(E828,Scenarios,0))</f>
        <v>3</v>
      </c>
    </row>
    <row r="832" spans="2:5" hidden="1" outlineLevel="1" x14ac:dyDescent="0.3">
      <c r="B832" s="20" t="s">
        <v>37</v>
      </c>
      <c r="C832" s="21">
        <f ca="1">ROUNDDOWN(C831*INDEX(INDIRECT($B824),MATCH($B825,Regions,0),9)/(INDEX(INDIRECT($B824),MATCH($B825,Regions,0),3)+INDEX(INDIRECT($B824),MATCH($B825,Regions,0),2)),0)+IF(MOD(INDEX(INDIRECT($B824),MATCH($B825,Regions,0),9),INDEX(INDIRECT($B824),MATCH($B825,Regions,0),3)+INDEX(INDIRECT($B824),MATCH($B825,Regions,0),2))&lt;Buffer,0,1)</f>
        <v>4</v>
      </c>
      <c r="D832" s="21">
        <f ca="1">ROUNDDOWN(D831*INDEX(INDIRECT($B824),MATCH($B825,Regions,0),9)/(INDEX(INDIRECT($B824),MATCH($B825,Regions,0),3)+INDEX(INDIRECT($B824),MATCH($B825,Regions,0),2)),0)+IF(MOD(INDEX(INDIRECT($B824),MATCH($B825,Regions,0),9),INDEX(INDIRECT($B824),MATCH($B825,Regions,0),3)+INDEX(INDIRECT($B824),MATCH($B825,Regions,0),2))&lt;Buffer,0,1)</f>
        <v>9</v>
      </c>
      <c r="E832" s="21">
        <f ca="1">ROUNDDOWN(E831*INDEX(INDIRECT($B824),MATCH($B825,Regions,0),9)/(INDEX(INDIRECT($B824),MATCH($B825,Regions,0),3)+INDEX(INDIRECT($B824),MATCH($B825,Regions,0),2)),0)+IF(MOD(INDEX(INDIRECT($B824),MATCH($B825,Regions,0),9),INDEX(INDIRECT($B824),MATCH($B825,Regions,0),3)+INDEX(INDIRECT($B824),MATCH($B825,Regions,0),2))&lt;Buffer,0,1)</f>
        <v>14</v>
      </c>
    </row>
    <row r="833" spans="2:5" hidden="1" outlineLevel="1" x14ac:dyDescent="0.3">
      <c r="B833" s="20" t="s">
        <v>43</v>
      </c>
      <c r="C833" s="21">
        <f ca="1">ROUNDDOWN(INDEX(INDIRECT($B824),MATCH($B825,Regions,0),8)*INDEX(INDIRECT($B824),MATCH($B825,Regions,0),10),0)</f>
        <v>96</v>
      </c>
      <c r="D833" s="21">
        <f ca="1">ROUNDDOWN(INDEX(INDIRECT($B824),MATCH($B825,Regions,0),8)*INDEX(INDIRECT($B824),MATCH($B825,Regions,0),10),0)</f>
        <v>96</v>
      </c>
      <c r="E833" s="21">
        <f ca="1">ROUNDDOWN(INDEX(INDIRECT($B824),MATCH($B825,Regions,0),8)*INDEX(INDIRECT($B824),MATCH($B825,Regions,0),10),0)</f>
        <v>96</v>
      </c>
    </row>
    <row r="834" spans="2:5" hidden="1" outlineLevel="1" x14ac:dyDescent="0.3">
      <c r="B834" s="26" t="s">
        <v>11</v>
      </c>
      <c r="C834" s="27">
        <f ca="1">IFERROR(C830/(C833*C832),NA())</f>
        <v>14.769057095833334</v>
      </c>
      <c r="D834" s="27">
        <f t="shared" ref="D834:E834" ca="1" si="130">IFERROR(D830/(D833*D832),NA())</f>
        <v>6.5640253759259268</v>
      </c>
      <c r="E834" s="27">
        <f t="shared" ca="1" si="130"/>
        <v>4.2197305988095239</v>
      </c>
    </row>
    <row r="835" spans="2:5" hidden="1" outlineLevel="1" x14ac:dyDescent="0.3">
      <c r="B835" s="12" t="s">
        <v>14</v>
      </c>
      <c r="C835" s="28"/>
      <c r="D835" s="29"/>
      <c r="E835" s="30"/>
    </row>
    <row r="836" spans="2:5" hidden="1" outlineLevel="1" x14ac:dyDescent="0.3">
      <c r="B836" s="31" t="s">
        <v>38</v>
      </c>
      <c r="C836" s="32">
        <f ca="1">IFERROR(C830/C834,0)</f>
        <v>384</v>
      </c>
      <c r="D836" s="32">
        <f t="shared" ref="D836:E836" ca="1" si="131">IFERROR(D830/D834,0)</f>
        <v>864</v>
      </c>
      <c r="E836" s="32">
        <f t="shared" ca="1" si="131"/>
        <v>1344</v>
      </c>
    </row>
    <row r="837" spans="2:5" hidden="1" outlineLevel="1" x14ac:dyDescent="0.3">
      <c r="B837" s="20" t="s">
        <v>30</v>
      </c>
      <c r="C837" s="33">
        <f ca="1">IF(C836=0,0,INDEX(INDIRECT($B824),MATCH($B825,Regions,0),9)*C831*C833)</f>
        <v>768</v>
      </c>
      <c r="D837" s="33">
        <f ca="1">IF(D836=0,0,INDEX(INDIRECT($B824),MATCH($B825,Regions,0),9)*D831*D833)</f>
        <v>1536</v>
      </c>
      <c r="E837" s="33">
        <f ca="1">IF(E836=0,0,INDEX(INDIRECT($B824),MATCH($B825,Regions,0),9)*E831*E833)</f>
        <v>2304</v>
      </c>
    </row>
    <row r="838" spans="2:5" hidden="1" outlineLevel="1" x14ac:dyDescent="0.3">
      <c r="B838" s="20" t="s">
        <v>31</v>
      </c>
      <c r="C838" s="33">
        <f ca="1">IFERROR(C836*INDEX(INDIRECT($B824),MATCH($B825,Regions,0),4)/(7/INDEX(INDIRECT($B824),MATCH($B825,Regions,0),6)),0)</f>
        <v>37.215808625728265</v>
      </c>
      <c r="D838" s="33">
        <f ca="1">IFERROR(D836*INDEX(INDIRECT($B824),MATCH($B825,Regions,0),4)/(7/INDEX(INDIRECT($B824),MATCH($B825,Regions,0),6)),0)</f>
        <v>83.735569407888605</v>
      </c>
      <c r="E838" s="33">
        <f ca="1">IFERROR(E836*INDEX(INDIRECT($B824),MATCH($B825,Regions,0),4)/(7/INDEX(INDIRECT($B824),MATCH($B825,Regions,0),6)),0)</f>
        <v>130.25533019004894</v>
      </c>
    </row>
    <row r="839" spans="2:5" hidden="1" outlineLevel="1" x14ac:dyDescent="0.3">
      <c r="B839" s="20" t="s">
        <v>32</v>
      </c>
      <c r="C839" s="33">
        <f ca="1">IFERROR(C836*INDEX(INDIRECT($B824),MATCH($B825,Regions,0),5)/(7/INDEX(INDIRECT($B824),MATCH($B825,Regions,0),7)),0)</f>
        <v>0.25949587247589123</v>
      </c>
      <c r="D839" s="33">
        <f ca="1">IFERROR(D836*INDEX(INDIRECT($B824),MATCH($B825,Regions,0),5)/(7/INDEX(INDIRECT($B824),MATCH($B825,Regions,0),7)),0)</f>
        <v>0.5838657130707553</v>
      </c>
      <c r="E839" s="33">
        <f ca="1">IFERROR(E836*INDEX(INDIRECT($B824),MATCH($B825,Regions,0),5)/(7/INDEX(INDIRECT($B824),MATCH($B825,Regions,0),7)),0)</f>
        <v>0.90823555366561926</v>
      </c>
    </row>
    <row r="840" spans="2:5" hidden="1" outlineLevel="1" x14ac:dyDescent="0.3">
      <c r="B840" s="20"/>
      <c r="C840" s="44"/>
      <c r="D840" s="44"/>
      <c r="E840" s="44"/>
    </row>
    <row r="841" spans="2:5" hidden="1" outlineLevel="1" x14ac:dyDescent="0.3">
      <c r="B841" s="10" t="s">
        <v>25</v>
      </c>
    </row>
    <row r="842" spans="2:5" hidden="1" outlineLevel="1" x14ac:dyDescent="0.3">
      <c r="B842" s="11" t="s">
        <v>111</v>
      </c>
    </row>
    <row r="843" spans="2:5" hidden="1" outlineLevel="1" x14ac:dyDescent="0.3">
      <c r="B843" s="11" t="s">
        <v>5</v>
      </c>
    </row>
    <row r="844" spans="2:5" hidden="1" outlineLevel="1" x14ac:dyDescent="0.3"/>
    <row r="845" spans="2:5" hidden="1" outlineLevel="1" x14ac:dyDescent="0.3">
      <c r="C845" s="297" t="s">
        <v>12</v>
      </c>
      <c r="D845" s="297"/>
      <c r="E845" s="297"/>
    </row>
    <row r="846" spans="2:5" ht="28.8" hidden="1" outlineLevel="1" x14ac:dyDescent="0.3">
      <c r="B846" s="13" t="str">
        <f>B842&amp;" - "&amp;B843</f>
        <v>Benign_P4 - East</v>
      </c>
      <c r="C846" s="14" t="str">
        <f>'Data Inputs'!$C$29</f>
        <v>Scenario 1:
+1 day a week</v>
      </c>
      <c r="D846" s="14" t="str">
        <f>'Data Inputs'!$D$29</f>
        <v>Scenario 2:
+2 days a week</v>
      </c>
      <c r="E846" s="71" t="str">
        <f>'Data Inputs'!$E$29</f>
        <v>Scenario 3:
+3 days a week</v>
      </c>
    </row>
    <row r="847" spans="2:5" hidden="1" outlineLevel="1" x14ac:dyDescent="0.3">
      <c r="B847" s="12" t="s">
        <v>21</v>
      </c>
      <c r="C847" s="17"/>
      <c r="D847" s="18"/>
      <c r="E847" s="19"/>
    </row>
    <row r="848" spans="2:5" hidden="1" outlineLevel="1" x14ac:dyDescent="0.3">
      <c r="B848" s="20" t="s">
        <v>13</v>
      </c>
      <c r="C848" s="21">
        <f ca="1">INDEX(INDIRECT($B842),MATCH($B843,Regions,0),1)</f>
        <v>26702.216340999999</v>
      </c>
      <c r="D848" s="21">
        <f ca="1">INDEX(INDIRECT($B842),MATCH($B843,Regions,0),1)</f>
        <v>26702.216340999999</v>
      </c>
      <c r="E848" s="21">
        <f ca="1">INDEX(INDIRECT($B842),MATCH($B843,Regions,0),1)</f>
        <v>26702.216340999999</v>
      </c>
    </row>
    <row r="849" spans="2:5" hidden="1" outlineLevel="1" x14ac:dyDescent="0.3">
      <c r="B849" s="20" t="s">
        <v>20</v>
      </c>
      <c r="C849" s="23">
        <f>INDEX(ScenarioInputs,MATCH($B843,Regions,0),MATCH(C846,Scenarios,0))</f>
        <v>1</v>
      </c>
      <c r="D849" s="23">
        <f>INDEX(ScenarioInputs,MATCH($B843,Regions,0),MATCH(D846,Scenarios,0))</f>
        <v>2</v>
      </c>
      <c r="E849" s="23">
        <f>INDEX(ScenarioInputs,MATCH($B843,Regions,0),MATCH(E846,Scenarios,0))</f>
        <v>3</v>
      </c>
    </row>
    <row r="850" spans="2:5" hidden="1" outlineLevel="1" x14ac:dyDescent="0.3">
      <c r="B850" s="20" t="s">
        <v>37</v>
      </c>
      <c r="C850" s="21">
        <f ca="1">ROUNDDOWN(C849*INDEX(INDIRECT($B842),MATCH($B843,Regions,0),9)/(INDEX(INDIRECT($B842),MATCH($B843,Regions,0),3)+INDEX(INDIRECT($B842),MATCH($B843,Regions,0),2)),0)+IF(MOD(INDEX(INDIRECT($B842),MATCH($B843,Regions,0),9),INDEX(INDIRECT($B842),MATCH($B843,Regions,0),3)+INDEX(INDIRECT($B842),MATCH($B843,Regions,0),2))&lt;Buffer,0,1)</f>
        <v>5</v>
      </c>
      <c r="D850" s="21">
        <f ca="1">ROUNDDOWN(D849*INDEX(INDIRECT($B842),MATCH($B843,Regions,0),9)/(INDEX(INDIRECT($B842),MATCH($B843,Regions,0),3)+INDEX(INDIRECT($B842),MATCH($B843,Regions,0),2)),0)+IF(MOD(INDEX(INDIRECT($B842),MATCH($B843,Regions,0),9),INDEX(INDIRECT($B842),MATCH($B843,Regions,0),3)+INDEX(INDIRECT($B842),MATCH($B843,Regions,0),2))&lt;Buffer,0,1)</f>
        <v>11</v>
      </c>
      <c r="E850" s="21">
        <f ca="1">ROUNDDOWN(E849*INDEX(INDIRECT($B842),MATCH($B843,Regions,0),9)/(INDEX(INDIRECT($B842),MATCH($B843,Regions,0),3)+INDEX(INDIRECT($B842),MATCH($B843,Regions,0),2)),0)+IF(MOD(INDEX(INDIRECT($B842),MATCH($B843,Regions,0),9),INDEX(INDIRECT($B842),MATCH($B843,Regions,0),3)+INDEX(INDIRECT($B842),MATCH($B843,Regions,0),2))&lt;Buffer,0,1)</f>
        <v>17</v>
      </c>
    </row>
    <row r="851" spans="2:5" hidden="1" outlineLevel="1" x14ac:dyDescent="0.3">
      <c r="B851" s="20" t="s">
        <v>43</v>
      </c>
      <c r="C851" s="21">
        <f ca="1">ROUNDDOWN(INDEX(INDIRECT($B842),MATCH($B843,Regions,0),8)*INDEX(INDIRECT($B842),MATCH($B843,Regions,0),10),0)</f>
        <v>96</v>
      </c>
      <c r="D851" s="21">
        <f ca="1">ROUNDDOWN(INDEX(INDIRECT($B842),MATCH($B843,Regions,0),8)*INDEX(INDIRECT($B842),MATCH($B843,Regions,0),10),0)</f>
        <v>96</v>
      </c>
      <c r="E851" s="21">
        <f ca="1">ROUNDDOWN(INDEX(INDIRECT($B842),MATCH($B843,Regions,0),8)*INDEX(INDIRECT($B842),MATCH($B843,Regions,0),10),0)</f>
        <v>96</v>
      </c>
    </row>
    <row r="852" spans="2:5" hidden="1" outlineLevel="1" x14ac:dyDescent="0.3">
      <c r="B852" s="26" t="s">
        <v>11</v>
      </c>
      <c r="C852" s="27">
        <f ca="1">IFERROR(C848/(C851*C850),NA())</f>
        <v>55.629617377083335</v>
      </c>
      <c r="D852" s="27">
        <f t="shared" ref="D852:E852" ca="1" si="132">IFERROR(D848/(D851*D850),NA())</f>
        <v>25.286189716856061</v>
      </c>
      <c r="E852" s="27">
        <f t="shared" ca="1" si="132"/>
        <v>16.361652169730391</v>
      </c>
    </row>
    <row r="853" spans="2:5" hidden="1" outlineLevel="1" x14ac:dyDescent="0.3">
      <c r="B853" s="12" t="s">
        <v>14</v>
      </c>
      <c r="C853" s="28"/>
      <c r="D853" s="29"/>
      <c r="E853" s="30"/>
    </row>
    <row r="854" spans="2:5" hidden="1" outlineLevel="1" x14ac:dyDescent="0.3">
      <c r="B854" s="31" t="s">
        <v>38</v>
      </c>
      <c r="C854" s="32">
        <f ca="1">IFERROR(C848/C852,0)</f>
        <v>480</v>
      </c>
      <c r="D854" s="32">
        <f t="shared" ref="D854:E854" ca="1" si="133">IFERROR(D848/D852,0)</f>
        <v>1056</v>
      </c>
      <c r="E854" s="32">
        <f t="shared" ca="1" si="133"/>
        <v>1632</v>
      </c>
    </row>
    <row r="855" spans="2:5" hidden="1" outlineLevel="1" x14ac:dyDescent="0.3">
      <c r="B855" s="20" t="s">
        <v>30</v>
      </c>
      <c r="C855" s="33">
        <f ca="1">IF(C854=0,0,INDEX(INDIRECT($B842),MATCH($B843,Regions,0),9)*C849*C851)</f>
        <v>768</v>
      </c>
      <c r="D855" s="33">
        <f ca="1">IF(D854=0,0,INDEX(INDIRECT($B842),MATCH($B843,Regions,0),9)*D849*D851)</f>
        <v>1536</v>
      </c>
      <c r="E855" s="33">
        <f ca="1">IF(E854=0,0,INDEX(INDIRECT($B842),MATCH($B843,Regions,0),9)*E849*E851)</f>
        <v>2304</v>
      </c>
    </row>
    <row r="856" spans="2:5" hidden="1" outlineLevel="1" x14ac:dyDescent="0.3">
      <c r="B856" s="20" t="s">
        <v>31</v>
      </c>
      <c r="C856" s="33">
        <f ca="1">IFERROR(C854*INDEX(INDIRECT($B842),MATCH($B843,Regions,0),4)/(7/INDEX(INDIRECT($B842),MATCH($B843,Regions,0),6)),0)</f>
        <v>30.030013650856041</v>
      </c>
      <c r="D856" s="33">
        <f ca="1">IFERROR(D854*INDEX(INDIRECT($B842),MATCH($B843,Regions,0),4)/(7/INDEX(INDIRECT($B842),MATCH($B843,Regions,0),6)),0)</f>
        <v>66.066030031883287</v>
      </c>
      <c r="E856" s="33">
        <f ca="1">IFERROR(E854*INDEX(INDIRECT($B842),MATCH($B843,Regions,0),4)/(7/INDEX(INDIRECT($B842),MATCH($B843,Regions,0),6)),0)</f>
        <v>102.10204641291055</v>
      </c>
    </row>
    <row r="857" spans="2:5" hidden="1" outlineLevel="1" x14ac:dyDescent="0.3">
      <c r="B857" s="20" t="s">
        <v>32</v>
      </c>
      <c r="C857" s="33">
        <f ca="1">IFERROR(C854*INDEX(INDIRECT($B842),MATCH($B843,Regions,0),5)/(7/INDEX(INDIRECT($B842),MATCH($B843,Regions,0),7)),0)</f>
        <v>2.257230022737737E-2</v>
      </c>
      <c r="D857" s="33">
        <f ca="1">IFERROR(D854*INDEX(INDIRECT($B842),MATCH($B843,Regions,0),5)/(7/INDEX(INDIRECT($B842),MATCH($B843,Regions,0),7)),0)</f>
        <v>4.9659060500230216E-2</v>
      </c>
      <c r="E857" s="33">
        <f ca="1">IFERROR(E854*INDEX(INDIRECT($B842),MATCH($B843,Regions,0),5)/(7/INDEX(INDIRECT($B842),MATCH($B843,Regions,0),7)),0)</f>
        <v>7.6745820773083062E-2</v>
      </c>
    </row>
    <row r="858" spans="2:5" hidden="1" outlineLevel="1" x14ac:dyDescent="0.3">
      <c r="B858" s="20"/>
      <c r="C858" s="44"/>
      <c r="D858" s="44"/>
      <c r="E858" s="44"/>
    </row>
    <row r="859" spans="2:5" hidden="1" outlineLevel="1" x14ac:dyDescent="0.3">
      <c r="B859" s="10" t="s">
        <v>25</v>
      </c>
    </row>
    <row r="860" spans="2:5" hidden="1" outlineLevel="1" x14ac:dyDescent="0.3">
      <c r="B860" s="11" t="s">
        <v>112</v>
      </c>
    </row>
    <row r="861" spans="2:5" hidden="1" outlineLevel="1" x14ac:dyDescent="0.3">
      <c r="B861" s="11" t="s">
        <v>5</v>
      </c>
    </row>
    <row r="862" spans="2:5" hidden="1" outlineLevel="1" x14ac:dyDescent="0.3"/>
    <row r="863" spans="2:5" hidden="1" outlineLevel="1" x14ac:dyDescent="0.3">
      <c r="C863" s="297" t="s">
        <v>12</v>
      </c>
      <c r="D863" s="297"/>
      <c r="E863" s="297"/>
    </row>
    <row r="864" spans="2:5" ht="28.8" hidden="1" outlineLevel="1" x14ac:dyDescent="0.3">
      <c r="B864" s="13" t="str">
        <f>B860&amp;" - "&amp;B861</f>
        <v>Pediatric_P2P3 - East</v>
      </c>
      <c r="C864" s="14" t="str">
        <f>'Data Inputs'!$C$29</f>
        <v>Scenario 1:
+1 day a week</v>
      </c>
      <c r="D864" s="14" t="str">
        <f>'Data Inputs'!$D$29</f>
        <v>Scenario 2:
+2 days a week</v>
      </c>
      <c r="E864" s="71" t="str">
        <f>'Data Inputs'!$E$29</f>
        <v>Scenario 3:
+3 days a week</v>
      </c>
    </row>
    <row r="865" spans="2:5" hidden="1" outlineLevel="1" x14ac:dyDescent="0.3">
      <c r="B865" s="12" t="s">
        <v>21</v>
      </c>
      <c r="C865" s="17"/>
      <c r="D865" s="18"/>
      <c r="E865" s="19"/>
    </row>
    <row r="866" spans="2:5" hidden="1" outlineLevel="1" x14ac:dyDescent="0.3">
      <c r="B866" s="20" t="s">
        <v>13</v>
      </c>
      <c r="C866" s="21">
        <f ca="1">INDEX(INDIRECT($B860),MATCH($B861,Regions,0),1)</f>
        <v>868.66524899000001</v>
      </c>
      <c r="D866" s="21">
        <f ca="1">INDEX(INDIRECT($B860),MATCH($B861,Regions,0),1)</f>
        <v>868.66524899000001</v>
      </c>
      <c r="E866" s="21">
        <f ca="1">INDEX(INDIRECT($B860),MATCH($B861,Regions,0),1)</f>
        <v>868.66524899000001</v>
      </c>
    </row>
    <row r="867" spans="2:5" hidden="1" outlineLevel="1" x14ac:dyDescent="0.3">
      <c r="B867" s="20" t="s">
        <v>20</v>
      </c>
      <c r="C867" s="23">
        <f>INDEX(ScenarioInputs,MATCH($B861,Regions,0),MATCH(C864,Scenarios,0))</f>
        <v>1</v>
      </c>
      <c r="D867" s="23">
        <f>INDEX(ScenarioInputs,MATCH($B861,Regions,0),MATCH(D864,Scenarios,0))</f>
        <v>2</v>
      </c>
      <c r="E867" s="23">
        <f>INDEX(ScenarioInputs,MATCH($B861,Regions,0),MATCH(E864,Scenarios,0))</f>
        <v>3</v>
      </c>
    </row>
    <row r="868" spans="2:5" hidden="1" outlineLevel="1" x14ac:dyDescent="0.3">
      <c r="B868" s="20" t="s">
        <v>37</v>
      </c>
      <c r="C868" s="21">
        <f ca="1">ROUNDDOWN(C867*INDEX(INDIRECT($B860),MATCH($B861,Regions,0),9)/(INDEX(INDIRECT($B860),MATCH($B861,Regions,0),3)+INDEX(INDIRECT($B860),MATCH($B861,Regions,0),2)),0)+IF(MOD(INDEX(INDIRECT($B860),MATCH($B861,Regions,0),9),INDEX(INDIRECT($B860),MATCH($B861,Regions,0),3)+INDEX(INDIRECT($B860),MATCH($B861,Regions,0),2))&lt;Buffer,0,1)</f>
        <v>4</v>
      </c>
      <c r="D868" s="21">
        <f ca="1">ROUNDDOWN(D867*INDEX(INDIRECT($B860),MATCH($B861,Regions,0),9)/(INDEX(INDIRECT($B860),MATCH($B861,Regions,0),3)+INDEX(INDIRECT($B860),MATCH($B861,Regions,0),2)),0)+IF(MOD(INDEX(INDIRECT($B860),MATCH($B861,Regions,0),9),INDEX(INDIRECT($B860),MATCH($B861,Regions,0),3)+INDEX(INDIRECT($B860),MATCH($B861,Regions,0),2))&lt;Buffer,0,1)</f>
        <v>9</v>
      </c>
      <c r="E868" s="21">
        <f ca="1">ROUNDDOWN(E867*INDEX(INDIRECT($B860),MATCH($B861,Regions,0),9)/(INDEX(INDIRECT($B860),MATCH($B861,Regions,0),3)+INDEX(INDIRECT($B860),MATCH($B861,Regions,0),2)),0)+IF(MOD(INDEX(INDIRECT($B860),MATCH($B861,Regions,0),9),INDEX(INDIRECT($B860),MATCH($B861,Regions,0),3)+INDEX(INDIRECT($B860),MATCH($B861,Regions,0),2))&lt;Buffer,0,1)</f>
        <v>14</v>
      </c>
    </row>
    <row r="869" spans="2:5" hidden="1" outlineLevel="1" x14ac:dyDescent="0.3">
      <c r="B869" s="20" t="s">
        <v>43</v>
      </c>
      <c r="C869" s="21">
        <f ca="1">ROUNDDOWN(INDEX(INDIRECT($B860),MATCH($B861,Regions,0),8)*INDEX(INDIRECT($B860),MATCH($B861,Regions,0),10),0)</f>
        <v>66</v>
      </c>
      <c r="D869" s="21">
        <f ca="1">ROUNDDOWN(INDEX(INDIRECT($B860),MATCH($B861,Regions,0),8)*INDEX(INDIRECT($B860),MATCH($B861,Regions,0),10),0)</f>
        <v>66</v>
      </c>
      <c r="E869" s="21">
        <f ca="1">ROUNDDOWN(INDEX(INDIRECT($B860),MATCH($B861,Regions,0),8)*INDEX(INDIRECT($B860),MATCH($B861,Regions,0),10),0)</f>
        <v>66</v>
      </c>
    </row>
    <row r="870" spans="2:5" hidden="1" outlineLevel="1" x14ac:dyDescent="0.3">
      <c r="B870" s="26" t="s">
        <v>11</v>
      </c>
      <c r="C870" s="27">
        <f ca="1">IFERROR(C866/(C869*C868),NA())</f>
        <v>3.2903986704166668</v>
      </c>
      <c r="D870" s="27">
        <f t="shared" ref="D870:E870" ca="1" si="134">IFERROR(D866/(D869*D868),NA())</f>
        <v>1.4623994090740742</v>
      </c>
      <c r="E870" s="27">
        <f t="shared" ca="1" si="134"/>
        <v>0.94011390583333332</v>
      </c>
    </row>
    <row r="871" spans="2:5" hidden="1" outlineLevel="1" x14ac:dyDescent="0.3">
      <c r="B871" s="12" t="s">
        <v>14</v>
      </c>
      <c r="C871" s="28"/>
      <c r="D871" s="29"/>
      <c r="E871" s="30"/>
    </row>
    <row r="872" spans="2:5" hidden="1" outlineLevel="1" x14ac:dyDescent="0.3">
      <c r="B872" s="31" t="s">
        <v>38</v>
      </c>
      <c r="C872" s="32">
        <f ca="1">IFERROR(C866/C870,0)</f>
        <v>264</v>
      </c>
      <c r="D872" s="32">
        <f t="shared" ref="D872:E872" ca="1" si="135">IFERROR(D866/D870,0)</f>
        <v>594</v>
      </c>
      <c r="E872" s="32">
        <f t="shared" ca="1" si="135"/>
        <v>924</v>
      </c>
    </row>
    <row r="873" spans="2:5" hidden="1" outlineLevel="1" x14ac:dyDescent="0.3">
      <c r="B873" s="20" t="s">
        <v>30</v>
      </c>
      <c r="C873" s="33">
        <f ca="1">IF(C872=0,0,INDEX(INDIRECT($B860),MATCH($B861,Regions,0),9)*C867*C869)</f>
        <v>528</v>
      </c>
      <c r="D873" s="33">
        <f ca="1">IF(D872=0,0,INDEX(INDIRECT($B860),MATCH($B861,Regions,0),9)*D867*D869)</f>
        <v>1056</v>
      </c>
      <c r="E873" s="33">
        <f ca="1">IF(E872=0,0,INDEX(INDIRECT($B860),MATCH($B861,Regions,0),9)*E867*E869)</f>
        <v>1584</v>
      </c>
    </row>
    <row r="874" spans="2:5" hidden="1" outlineLevel="1" x14ac:dyDescent="0.3">
      <c r="B874" s="20" t="s">
        <v>31</v>
      </c>
      <c r="C874" s="33">
        <f ca="1">IFERROR(C872*INDEX(INDIRECT($B860),MATCH($B861,Regions,0),4)/(7/INDEX(INDIRECT($B860),MATCH($B861,Regions,0),6)),0)</f>
        <v>12.097253260232218</v>
      </c>
      <c r="D874" s="33">
        <f ca="1">IFERROR(D872*INDEX(INDIRECT($B860),MATCH($B861,Regions,0),4)/(7/INDEX(INDIRECT($B860),MATCH($B861,Regions,0),6)),0)</f>
        <v>27.218819835522492</v>
      </c>
      <c r="E874" s="33">
        <f ca="1">IFERROR(E872*INDEX(INDIRECT($B860),MATCH($B861,Regions,0),4)/(7/INDEX(INDIRECT($B860),MATCH($B861,Regions,0),6)),0)</f>
        <v>42.340386410812762</v>
      </c>
    </row>
    <row r="875" spans="2:5" hidden="1" outlineLevel="1" x14ac:dyDescent="0.3">
      <c r="B875" s="20" t="s">
        <v>32</v>
      </c>
      <c r="C875" s="33">
        <f ca="1">IFERROR(C872*INDEX(INDIRECT($B860),MATCH($B861,Regions,0),5)/(7/INDEX(INDIRECT($B860),MATCH($B861,Regions,0),7)),0)</f>
        <v>0.40106401763971339</v>
      </c>
      <c r="D875" s="33">
        <f ca="1">IFERROR(D872*INDEX(INDIRECT($B860),MATCH($B861,Regions,0),5)/(7/INDEX(INDIRECT($B860),MATCH($B861,Regions,0),7)),0)</f>
        <v>0.90239403968935517</v>
      </c>
      <c r="E875" s="33">
        <f ca="1">IFERROR(E872*INDEX(INDIRECT($B860),MATCH($B861,Regions,0),5)/(7/INDEX(INDIRECT($B860),MATCH($B861,Regions,0),7)),0)</f>
        <v>1.403724061738997</v>
      </c>
    </row>
    <row r="876" spans="2:5" hidden="1" outlineLevel="1" x14ac:dyDescent="0.3">
      <c r="B876" s="20"/>
      <c r="C876" s="44"/>
      <c r="D876" s="44"/>
      <c r="E876" s="44"/>
    </row>
    <row r="877" spans="2:5" hidden="1" outlineLevel="1" x14ac:dyDescent="0.3">
      <c r="B877" s="10" t="s">
        <v>25</v>
      </c>
    </row>
    <row r="878" spans="2:5" hidden="1" outlineLevel="1" x14ac:dyDescent="0.3">
      <c r="B878" s="11" t="s">
        <v>113</v>
      </c>
    </row>
    <row r="879" spans="2:5" hidden="1" outlineLevel="1" x14ac:dyDescent="0.3">
      <c r="B879" s="11" t="s">
        <v>5</v>
      </c>
    </row>
    <row r="880" spans="2:5" hidden="1" outlineLevel="1" x14ac:dyDescent="0.3"/>
    <row r="881" spans="2:5" hidden="1" outlineLevel="1" x14ac:dyDescent="0.3">
      <c r="C881" s="297" t="s">
        <v>12</v>
      </c>
      <c r="D881" s="297"/>
      <c r="E881" s="297"/>
    </row>
    <row r="882" spans="2:5" ht="28.8" hidden="1" outlineLevel="1" x14ac:dyDescent="0.3">
      <c r="B882" s="13" t="str">
        <f>B878&amp;" - "&amp;B879</f>
        <v>Pediatric_P4 - East</v>
      </c>
      <c r="C882" s="14" t="str">
        <f>'Data Inputs'!$C$29</f>
        <v>Scenario 1:
+1 day a week</v>
      </c>
      <c r="D882" s="14" t="str">
        <f>'Data Inputs'!$D$29</f>
        <v>Scenario 2:
+2 days a week</v>
      </c>
      <c r="E882" s="71" t="str">
        <f>'Data Inputs'!$E$29</f>
        <v>Scenario 3:
+3 days a week</v>
      </c>
    </row>
    <row r="883" spans="2:5" hidden="1" outlineLevel="1" x14ac:dyDescent="0.3">
      <c r="B883" s="12" t="s">
        <v>21</v>
      </c>
      <c r="C883" s="17"/>
      <c r="D883" s="18"/>
      <c r="E883" s="19"/>
    </row>
    <row r="884" spans="2:5" hidden="1" outlineLevel="1" x14ac:dyDescent="0.3">
      <c r="B884" s="20" t="s">
        <v>13</v>
      </c>
      <c r="C884" s="21">
        <f ca="1">INDEX(INDIRECT($B878),MATCH($B879,Regions,0),1)</f>
        <v>1831.4962251999998</v>
      </c>
      <c r="D884" s="21">
        <f ca="1">INDEX(INDIRECT($B878),MATCH($B879,Regions,0),1)</f>
        <v>1831.4962251999998</v>
      </c>
      <c r="E884" s="21">
        <f ca="1">INDEX(INDIRECT($B878),MATCH($B879,Regions,0),1)</f>
        <v>1831.4962251999998</v>
      </c>
    </row>
    <row r="885" spans="2:5" hidden="1" outlineLevel="1" x14ac:dyDescent="0.3">
      <c r="B885" s="20" t="s">
        <v>20</v>
      </c>
      <c r="C885" s="23">
        <f>INDEX(ScenarioInputs,MATCH($B879,Regions,0),MATCH(C882,Scenarios,0))</f>
        <v>1</v>
      </c>
      <c r="D885" s="23">
        <f>INDEX(ScenarioInputs,MATCH($B879,Regions,0),MATCH(D882,Scenarios,0))</f>
        <v>2</v>
      </c>
      <c r="E885" s="23">
        <f>INDEX(ScenarioInputs,MATCH($B879,Regions,0),MATCH(E882,Scenarios,0))</f>
        <v>3</v>
      </c>
    </row>
    <row r="886" spans="2:5" hidden="1" outlineLevel="1" x14ac:dyDescent="0.3">
      <c r="B886" s="20" t="s">
        <v>37</v>
      </c>
      <c r="C886" s="21">
        <f ca="1">ROUNDDOWN(C885*INDEX(INDIRECT($B878),MATCH($B879,Regions,0),9)/(INDEX(INDIRECT($B878),MATCH($B879,Regions,0),3)+INDEX(INDIRECT($B878),MATCH($B879,Regions,0),2)),0)+IF(MOD(INDEX(INDIRECT($B878),MATCH($B879,Regions,0),9),INDEX(INDIRECT($B878),MATCH($B879,Regions,0),3)+INDEX(INDIRECT($B878),MATCH($B879,Regions,0),2))&lt;Buffer,0,1)</f>
        <v>5</v>
      </c>
      <c r="D886" s="21">
        <f ca="1">ROUNDDOWN(D885*INDEX(INDIRECT($B878),MATCH($B879,Regions,0),9)/(INDEX(INDIRECT($B878),MATCH($B879,Regions,0),3)+INDEX(INDIRECT($B878),MATCH($B879,Regions,0),2)),0)+IF(MOD(INDEX(INDIRECT($B878),MATCH($B879,Regions,0),9),INDEX(INDIRECT($B878),MATCH($B879,Regions,0),3)+INDEX(INDIRECT($B878),MATCH($B879,Regions,0),2))&lt;Buffer,0,1)</f>
        <v>11</v>
      </c>
      <c r="E886" s="21">
        <f ca="1">ROUNDDOWN(E885*INDEX(INDIRECT($B878),MATCH($B879,Regions,0),9)/(INDEX(INDIRECT($B878),MATCH($B879,Regions,0),3)+INDEX(INDIRECT($B878),MATCH($B879,Regions,0),2)),0)+IF(MOD(INDEX(INDIRECT($B878),MATCH($B879,Regions,0),9),INDEX(INDIRECT($B878),MATCH($B879,Regions,0),3)+INDEX(INDIRECT($B878),MATCH($B879,Regions,0),2))&lt;Buffer,0,1)</f>
        <v>17</v>
      </c>
    </row>
    <row r="887" spans="2:5" hidden="1" outlineLevel="1" x14ac:dyDescent="0.3">
      <c r="B887" s="20" t="s">
        <v>43</v>
      </c>
      <c r="C887" s="21">
        <f ca="1">ROUNDDOWN(INDEX(INDIRECT($B878),MATCH($B879,Regions,0),8)*INDEX(INDIRECT($B878),MATCH($B879,Regions,0),10),0)</f>
        <v>66</v>
      </c>
      <c r="D887" s="21">
        <f ca="1">ROUNDDOWN(INDEX(INDIRECT($B878),MATCH($B879,Regions,0),8)*INDEX(INDIRECT($B878),MATCH($B879,Regions,0),10),0)</f>
        <v>66</v>
      </c>
      <c r="E887" s="21">
        <f ca="1">ROUNDDOWN(INDEX(INDIRECT($B878),MATCH($B879,Regions,0),8)*INDEX(INDIRECT($B878),MATCH($B879,Regions,0),10),0)</f>
        <v>66</v>
      </c>
    </row>
    <row r="888" spans="2:5" hidden="1" outlineLevel="1" x14ac:dyDescent="0.3">
      <c r="B888" s="26" t="s">
        <v>11</v>
      </c>
      <c r="C888" s="27">
        <f ca="1">IFERROR(C884/(C887*C886),NA())</f>
        <v>5.5499885612121203</v>
      </c>
      <c r="D888" s="27">
        <f t="shared" ref="D888:E888" ca="1" si="136">IFERROR(D884/(D887*D886),NA())</f>
        <v>2.5227220732782367</v>
      </c>
      <c r="E888" s="27">
        <f t="shared" ca="1" si="136"/>
        <v>1.6323495768270944</v>
      </c>
    </row>
    <row r="889" spans="2:5" hidden="1" outlineLevel="1" x14ac:dyDescent="0.3">
      <c r="B889" s="12" t="s">
        <v>14</v>
      </c>
      <c r="C889" s="28"/>
      <c r="D889" s="29"/>
      <c r="E889" s="30"/>
    </row>
    <row r="890" spans="2:5" hidden="1" outlineLevel="1" x14ac:dyDescent="0.3">
      <c r="B890" s="31" t="s">
        <v>38</v>
      </c>
      <c r="C890" s="32">
        <f ca="1">IFERROR(C884/C888,0)</f>
        <v>330</v>
      </c>
      <c r="D890" s="32">
        <f t="shared" ref="D890:E890" ca="1" si="137">IFERROR(D884/D888,0)</f>
        <v>726</v>
      </c>
      <c r="E890" s="32">
        <f t="shared" ca="1" si="137"/>
        <v>1122</v>
      </c>
    </row>
    <row r="891" spans="2:5" hidden="1" outlineLevel="1" x14ac:dyDescent="0.3">
      <c r="B891" s="20" t="s">
        <v>30</v>
      </c>
      <c r="C891" s="33">
        <f ca="1">IF(C890=0,0,INDEX(INDIRECT($B878),MATCH($B879,Regions,0),9)*C885*C887)</f>
        <v>528</v>
      </c>
      <c r="D891" s="33">
        <f ca="1">IF(D890=0,0,INDEX(INDIRECT($B878),MATCH($B879,Regions,0),9)*D885*D887)</f>
        <v>1056</v>
      </c>
      <c r="E891" s="33">
        <f ca="1">IF(E890=0,0,INDEX(INDIRECT($B878),MATCH($B879,Regions,0),9)*E885*E887)</f>
        <v>1584</v>
      </c>
    </row>
    <row r="892" spans="2:5" hidden="1" outlineLevel="1" x14ac:dyDescent="0.3">
      <c r="B892" s="20" t="s">
        <v>31</v>
      </c>
      <c r="C892" s="33">
        <f ca="1">IFERROR(C890*INDEX(INDIRECT($B878),MATCH($B879,Regions,0),4)/(7/INDEX(INDIRECT($B878),MATCH($B879,Regions,0),6)),0)</f>
        <v>10.994808296582946</v>
      </c>
      <c r="D892" s="33">
        <f ca="1">IFERROR(D890*INDEX(INDIRECT($B878),MATCH($B879,Regions,0),4)/(7/INDEX(INDIRECT($B878),MATCH($B879,Regions,0),6)),0)</f>
        <v>24.188578252482483</v>
      </c>
      <c r="E892" s="33">
        <f ca="1">IFERROR(E890*INDEX(INDIRECT($B878),MATCH($B879,Regions,0),4)/(7/INDEX(INDIRECT($B878),MATCH($B879,Regions,0),6)),0)</f>
        <v>37.38234820838202</v>
      </c>
    </row>
    <row r="893" spans="2:5" hidden="1" outlineLevel="1" x14ac:dyDescent="0.3">
      <c r="B893" s="20" t="s">
        <v>32</v>
      </c>
      <c r="C893" s="33">
        <f ca="1">IFERROR(C890*INDEX(INDIRECT($B878),MATCH($B879,Regions,0),5)/(7/INDEX(INDIRECT($B878),MATCH($B879,Regions,0),7)),0)</f>
        <v>4.2186089300282871E-2</v>
      </c>
      <c r="D893" s="33">
        <f ca="1">IFERROR(D890*INDEX(INDIRECT($B878),MATCH($B879,Regions,0),5)/(7/INDEX(INDIRECT($B878),MATCH($B879,Regions,0),7)),0)</f>
        <v>9.280939646062232E-2</v>
      </c>
      <c r="E893" s="33">
        <f ca="1">IFERROR(E890*INDEX(INDIRECT($B878),MATCH($B879,Regions,0),5)/(7/INDEX(INDIRECT($B878),MATCH($B879,Regions,0),7)),0)</f>
        <v>0.14343270362096178</v>
      </c>
    </row>
    <row r="894" spans="2:5" hidden="1" outlineLevel="1" x14ac:dyDescent="0.3">
      <c r="B894" s="20"/>
      <c r="C894" s="44"/>
      <c r="D894" s="44"/>
      <c r="E894" s="44"/>
    </row>
    <row r="895" spans="2:5" hidden="1" outlineLevel="1" x14ac:dyDescent="0.3">
      <c r="B895" s="20"/>
      <c r="C895" s="44"/>
      <c r="D895" s="44"/>
      <c r="E895" s="44"/>
    </row>
    <row r="896" spans="2:5" hidden="1" outlineLevel="1" x14ac:dyDescent="0.3"/>
    <row r="897" spans="2:5" collapsed="1" x14ac:dyDescent="0.3"/>
    <row r="898" spans="2:5" x14ac:dyDescent="0.3">
      <c r="C898" s="298" t="s">
        <v>12</v>
      </c>
      <c r="D898" s="299"/>
      <c r="E898" s="300"/>
    </row>
    <row r="899" spans="2:5" ht="28.8" x14ac:dyDescent="0.3">
      <c r="B899" s="13" t="s">
        <v>6</v>
      </c>
      <c r="C899" s="14" t="str">
        <f>'Data Inputs'!$C$29</f>
        <v>Scenario 1:
+1 day a week</v>
      </c>
      <c r="D899" s="14" t="str">
        <f>'Data Inputs'!$D$29</f>
        <v>Scenario 2:
+2 days a week</v>
      </c>
      <c r="E899" s="71" t="str">
        <f>'Data Inputs'!$E$29</f>
        <v>Scenario 3:
+3 days a week</v>
      </c>
    </row>
    <row r="900" spans="2:5" x14ac:dyDescent="0.3">
      <c r="B900" s="12" t="s">
        <v>21</v>
      </c>
      <c r="C900" s="17"/>
      <c r="D900" s="18"/>
      <c r="E900" s="19"/>
    </row>
    <row r="901" spans="2:5" x14ac:dyDescent="0.3">
      <c r="B901" s="20" t="s">
        <v>13</v>
      </c>
      <c r="C901" s="21">
        <f ca="1">SUMIF($B917:$B1107,$B901,C917:C1107)</f>
        <v>9398.8491544843801</v>
      </c>
      <c r="D901" s="21">
        <f t="shared" ref="D901:E901" ca="1" si="138">SUMIF($B917:$B1107,$B901,D917:D1107)</f>
        <v>9398.8491544843801</v>
      </c>
      <c r="E901" s="21">
        <f t="shared" ca="1" si="138"/>
        <v>9398.8491544843801</v>
      </c>
    </row>
    <row r="902" spans="2:5" x14ac:dyDescent="0.3">
      <c r="B902" s="26" t="s">
        <v>11</v>
      </c>
      <c r="C902" s="33">
        <f ca="1">SUMIF($B917:$B1107,$B902,C917:C1107)</f>
        <v>57.830040716233476</v>
      </c>
      <c r="D902" s="33">
        <f t="shared" ref="D902:E902" ca="1" si="139">SUMIF($B917:$B1107,$B902,D917:D1107)</f>
        <v>26.628001334400036</v>
      </c>
      <c r="E902" s="33">
        <f t="shared" ca="1" si="139"/>
        <v>17.34690310678489</v>
      </c>
    </row>
    <row r="903" spans="2:5" x14ac:dyDescent="0.3">
      <c r="B903" s="12" t="s">
        <v>14</v>
      </c>
      <c r="C903" s="28"/>
      <c r="D903" s="29"/>
      <c r="E903" s="30"/>
    </row>
    <row r="904" spans="2:5" x14ac:dyDescent="0.3">
      <c r="B904" s="31" t="s">
        <v>38</v>
      </c>
      <c r="C904" s="33">
        <f ca="1">C901/C902</f>
        <v>162.52537674326811</v>
      </c>
      <c r="D904" s="33">
        <f t="shared" ref="D904:E904" ca="1" si="140">D901/D902</f>
        <v>352.96863014432279</v>
      </c>
      <c r="E904" s="33">
        <f t="shared" ca="1" si="140"/>
        <v>541.81712416484368</v>
      </c>
    </row>
    <row r="905" spans="2:5" x14ac:dyDescent="0.3">
      <c r="B905" s="20" t="s">
        <v>114</v>
      </c>
      <c r="C905" s="33">
        <f ca="1">(C924*C$923+C$941*C942+C$959*C960+C$977*C978+C$995*C996+C$1013*C1014+C$1031*C1032+C$1049*C1050+C$1067*C1068+C$1085*C1086+C$1103*C1104)/SUM(C$923+C$941+C$959+C$977+C$995+C$1013+C$1031+C$1049+C$1067+C$1085+C$1103)</f>
        <v>251.91441860465116</v>
      </c>
      <c r="D905" s="33">
        <f t="shared" ref="D905:E905" ca="1" si="141">(D924*D$923+D$941*D942+D$959*D960+D$977*D978+D$995*D996+D$1013*D1014+D$1031*D1032+D$1049*D1050+D$1067*D1068+D$1085*D1086+D$1103*D1104)/SUM(D$923+D$941+D$959+D$977+D$995+D$1013+D$1031+D$1049+D$1067+D$1085+D$1103)</f>
        <v>504.8619768477293</v>
      </c>
      <c r="E905" s="33">
        <f t="shared" ca="1" si="141"/>
        <v>760.37043633125552</v>
      </c>
    </row>
    <row r="906" spans="2:5" x14ac:dyDescent="0.3">
      <c r="B906" s="20" t="s">
        <v>115</v>
      </c>
      <c r="C906" s="33">
        <f t="shared" ref="C906:E907" ca="1" si="142">(C925*C$923+C$941*C943+C$959*C961+C$977*C979+C$995*C997+C$1013*C1015+C$1031*C1033+C$1049*C1051+C$1067*C1069+C$1085*C1087+C$1103*C1105)/SUM(C$923+C$941+C$959+C$977+C$995+C$1013+C$1031+C$1049+C$1067+C$1085+C$1103)</f>
        <v>15.097422522624059</v>
      </c>
      <c r="D906" s="33">
        <f t="shared" ca="1" si="142"/>
        <v>31.491126185195085</v>
      </c>
      <c r="E906" s="33">
        <f t="shared" ca="1" si="142"/>
        <v>46.505899126527424</v>
      </c>
    </row>
    <row r="907" spans="2:5" x14ac:dyDescent="0.3">
      <c r="B907" s="20" t="s">
        <v>116</v>
      </c>
      <c r="C907" s="33">
        <f ca="1">(C926*C$923+C$941*C944+C$959*C962+C$977*C980+C$995*C998+C$1013*C1016+C$1031*C1034+C$1049*C1052+C$1067*C1070+C$1085*C1088+C$1103*C1106)/SUM(C$923+C$941+C$959+C$977+C$995+C$1013+C$1031+C$1049+C$1067+C$1085+C$1103)</f>
        <v>0.42249939961950006</v>
      </c>
      <c r="D907" s="33">
        <f t="shared" ca="1" si="142"/>
        <v>0.81984177159976712</v>
      </c>
      <c r="E907" s="33">
        <f t="shared" ca="1" si="142"/>
        <v>1.2104464194336066</v>
      </c>
    </row>
    <row r="910" spans="2:5" hidden="1" outlineLevel="1" x14ac:dyDescent="0.3">
      <c r="B910" s="10" t="s">
        <v>25</v>
      </c>
    </row>
    <row r="911" spans="2:5" hidden="1" outlineLevel="1" x14ac:dyDescent="0.3">
      <c r="B911" s="11" t="s">
        <v>26</v>
      </c>
    </row>
    <row r="912" spans="2:5" hidden="1" outlineLevel="1" x14ac:dyDescent="0.3">
      <c r="B912" s="11" t="s">
        <v>6</v>
      </c>
    </row>
    <row r="913" spans="2:5" hidden="1" outlineLevel="1" x14ac:dyDescent="0.3"/>
    <row r="914" spans="2:5" hidden="1" outlineLevel="1" x14ac:dyDescent="0.3">
      <c r="C914" s="297" t="s">
        <v>12</v>
      </c>
      <c r="D914" s="297"/>
      <c r="E914" s="297"/>
    </row>
    <row r="915" spans="2:5" ht="28.8" hidden="1" outlineLevel="1" x14ac:dyDescent="0.3">
      <c r="B915" s="13" t="str">
        <f>B911&amp;" - "&amp;B912</f>
        <v>Cancer_P2P3 - North</v>
      </c>
      <c r="C915" s="14" t="str">
        <f>'Data Inputs'!$C$29</f>
        <v>Scenario 1:
+1 day a week</v>
      </c>
      <c r="D915" s="14" t="str">
        <f>'Data Inputs'!$D$29</f>
        <v>Scenario 2:
+2 days a week</v>
      </c>
      <c r="E915" s="71" t="str">
        <f>'Data Inputs'!$E$29</f>
        <v>Scenario 3:
+3 days a week</v>
      </c>
    </row>
    <row r="916" spans="2:5" hidden="1" outlineLevel="1" x14ac:dyDescent="0.3">
      <c r="B916" s="12" t="s">
        <v>21</v>
      </c>
      <c r="C916" s="17"/>
      <c r="D916" s="18"/>
      <c r="E916" s="19"/>
    </row>
    <row r="917" spans="2:5" hidden="1" outlineLevel="1" x14ac:dyDescent="0.3">
      <c r="B917" s="20" t="s">
        <v>13</v>
      </c>
      <c r="C917" s="21">
        <f ca="1">INDEX(INDIRECT($B911),MATCH($B912,Regions,0),1)</f>
        <v>159.23418290698956</v>
      </c>
      <c r="D917" s="21">
        <f ca="1">INDEX(INDIRECT($B911),MATCH($B912,Regions,0),1)</f>
        <v>159.23418290698956</v>
      </c>
      <c r="E917" s="21">
        <f ca="1">INDEX(INDIRECT($B911),MATCH($B912,Regions,0),1)</f>
        <v>159.23418290698956</v>
      </c>
    </row>
    <row r="918" spans="2:5" hidden="1" outlineLevel="1" x14ac:dyDescent="0.3">
      <c r="B918" s="20" t="s">
        <v>20</v>
      </c>
      <c r="C918" s="23">
        <f>INDEX(ScenarioInputs,MATCH($B912,Regions,0),MATCH(C915,Scenarios,0))</f>
        <v>1</v>
      </c>
      <c r="D918" s="23">
        <f>INDEX(ScenarioInputs,MATCH($B912,Regions,0),MATCH(D915,Scenarios,0))</f>
        <v>2</v>
      </c>
      <c r="E918" s="23">
        <f>INDEX(ScenarioInputs,MATCH($B912,Regions,0),MATCH(E915,Scenarios,0))</f>
        <v>3</v>
      </c>
    </row>
    <row r="919" spans="2:5" hidden="1" outlineLevel="1" x14ac:dyDescent="0.3">
      <c r="B919" s="20" t="s">
        <v>37</v>
      </c>
      <c r="C919" s="21">
        <f ca="1">ROUNDDOWN(C918*INDEX(INDIRECT($B911),MATCH($B912,Regions,0),9)/(INDEX(INDIRECT($B911),MATCH($B912,Regions,0),3)+INDEX(INDIRECT($B911),MATCH($B912,Regions,0),2)),0)+IF(MOD(INDEX(INDIRECT($B911),MATCH($B912,Regions,0),9),INDEX(INDIRECT($B911),MATCH($B912,Regions,0),3)+INDEX(INDIRECT($B911),MATCH($B912,Regions,0),2))&lt;Buffer,0,1)</f>
        <v>3</v>
      </c>
      <c r="D919" s="21">
        <f ca="1">ROUNDDOWN(D918*INDEX(INDIRECT($B911),MATCH($B912,Regions,0),9)/(INDEX(INDIRECT($B911),MATCH($B912,Regions,0),3)+INDEX(INDIRECT($B911),MATCH($B912,Regions,0),2)),0)+IF(MOD(INDEX(INDIRECT($B911),MATCH($B912,Regions,0),9),INDEX(INDIRECT($B911),MATCH($B912,Regions,0),3)+INDEX(INDIRECT($B911),MATCH($B912,Regions,0),2))&lt;Buffer,0,1)</f>
        <v>6</v>
      </c>
      <c r="E919" s="21">
        <f ca="1">ROUNDDOWN(E918*INDEX(INDIRECT($B911),MATCH($B912,Regions,0),9)/(INDEX(INDIRECT($B911),MATCH($B912,Regions,0),3)+INDEX(INDIRECT($B911),MATCH($B912,Regions,0),2)),0)+IF(MOD(INDEX(INDIRECT($B911),MATCH($B912,Regions,0),9),INDEX(INDIRECT($B911),MATCH($B912,Regions,0),3)+INDEX(INDIRECT($B911),MATCH($B912,Regions,0),2))&lt;Buffer,0,1)</f>
        <v>9</v>
      </c>
    </row>
    <row r="920" spans="2:5" hidden="1" outlineLevel="1" x14ac:dyDescent="0.3">
      <c r="B920" s="20" t="s">
        <v>43</v>
      </c>
      <c r="C920" s="21">
        <f ca="1">ROUNDDOWN(INDEX(INDIRECT($B911),MATCH($B912,Regions,0),8)*INDEX(INDIRECT($B911),MATCH($B912,Regions,0),10),0)</f>
        <v>35</v>
      </c>
      <c r="D920" s="21">
        <f ca="1">ROUNDDOWN(INDEX(INDIRECT($B911),MATCH($B912,Regions,0),8)*INDEX(INDIRECT($B911),MATCH($B912,Regions,0),10),0)</f>
        <v>35</v>
      </c>
      <c r="E920" s="21">
        <f ca="1">ROUNDDOWN(INDEX(INDIRECT($B911),MATCH($B912,Regions,0),8)*INDEX(INDIRECT($B911),MATCH($B912,Regions,0),10),0)</f>
        <v>35</v>
      </c>
    </row>
    <row r="921" spans="2:5" hidden="1" outlineLevel="1" x14ac:dyDescent="0.3">
      <c r="B921" s="26" t="s">
        <v>11</v>
      </c>
      <c r="C921" s="27">
        <f ca="1">IFERROR(C917/(C920*C919),NA())</f>
        <v>1.5165160276856149</v>
      </c>
      <c r="D921" s="27">
        <f t="shared" ref="D921" ca="1" si="143">IFERROR(D917/(D920*D919),NA())</f>
        <v>0.75825801384280744</v>
      </c>
      <c r="E921" s="27">
        <f t="shared" ref="E921" ca="1" si="144">IFERROR(E917/(E920*E919),NA())</f>
        <v>0.50550534256187163</v>
      </c>
    </row>
    <row r="922" spans="2:5" hidden="1" outlineLevel="1" x14ac:dyDescent="0.3">
      <c r="B922" s="12" t="s">
        <v>14</v>
      </c>
      <c r="C922" s="28"/>
      <c r="D922" s="29"/>
      <c r="E922" s="30"/>
    </row>
    <row r="923" spans="2:5" hidden="1" outlineLevel="1" x14ac:dyDescent="0.3">
      <c r="B923" s="31" t="s">
        <v>38</v>
      </c>
      <c r="C923" s="32">
        <f ca="1">IFERROR(C917/C921,0)</f>
        <v>105</v>
      </c>
      <c r="D923" s="32">
        <f t="shared" ref="D923:E923" ca="1" si="145">IFERROR(D917/D921,0)</f>
        <v>210</v>
      </c>
      <c r="E923" s="32">
        <f t="shared" ca="1" si="145"/>
        <v>315</v>
      </c>
    </row>
    <row r="924" spans="2:5" hidden="1" outlineLevel="1" x14ac:dyDescent="0.3">
      <c r="B924" s="20" t="s">
        <v>30</v>
      </c>
      <c r="C924" s="33">
        <f ca="1">IF(C923=0,0,INDEX(INDIRECT($B911),MATCH($B912,Regions,0),9)*C918*C920)</f>
        <v>280</v>
      </c>
      <c r="D924" s="33">
        <f ca="1">IF(D923=0,0,INDEX(INDIRECT($B911),MATCH($B912,Regions,0),9)*D918*D920)</f>
        <v>560</v>
      </c>
      <c r="E924" s="33">
        <f ca="1">IF(E923=0,0,INDEX(INDIRECT($B911),MATCH($B912,Regions,0),9)*E918*E920)</f>
        <v>840</v>
      </c>
    </row>
    <row r="925" spans="2:5" hidden="1" outlineLevel="1" x14ac:dyDescent="0.3">
      <c r="B925" s="20" t="s">
        <v>31</v>
      </c>
      <c r="C925" s="33">
        <f ca="1">IFERROR(C923*INDEX(INDIRECT($B911),MATCH($B912,Regions,0),4)/(7/INDEX(INDIRECT($B911),MATCH($B912,Regions,0),6)),0)</f>
        <v>34.758670843086314</v>
      </c>
      <c r="D925" s="33">
        <f ca="1">IFERROR(D923*INDEX(INDIRECT($B911),MATCH($B912,Regions,0),4)/(7/INDEX(INDIRECT($B911),MATCH($B912,Regions,0),6)),0)</f>
        <v>69.517341686172628</v>
      </c>
      <c r="E925" s="33">
        <f ca="1">IFERROR(E923*INDEX(INDIRECT($B911),MATCH($B912,Regions,0),4)/(7/INDEX(INDIRECT($B911),MATCH($B912,Regions,0),6)),0)</f>
        <v>104.27601252925894</v>
      </c>
    </row>
    <row r="926" spans="2:5" hidden="1" outlineLevel="1" x14ac:dyDescent="0.3">
      <c r="B926" s="20" t="s">
        <v>32</v>
      </c>
      <c r="C926" s="33">
        <f ca="1">IFERROR(C923*INDEX(INDIRECT($B911),MATCH($B912,Regions,0),5)/(7/INDEX(INDIRECT($B911),MATCH($B912,Regions,0),7)),0)</f>
        <v>1.0933726148193068</v>
      </c>
      <c r="D926" s="33">
        <f ca="1">IFERROR(D923*INDEX(INDIRECT($B911),MATCH($B912,Regions,0),5)/(7/INDEX(INDIRECT($B911),MATCH($B912,Regions,0),7)),0)</f>
        <v>2.1867452296386136</v>
      </c>
      <c r="E926" s="33">
        <f ca="1">IFERROR(E923*INDEX(INDIRECT($B911),MATCH($B912,Regions,0),5)/(7/INDEX(INDIRECT($B911),MATCH($B912,Regions,0),7)),0)</f>
        <v>3.2801178444579202</v>
      </c>
    </row>
    <row r="927" spans="2:5" hidden="1" outlineLevel="1" x14ac:dyDescent="0.3"/>
    <row r="928" spans="2:5" hidden="1" outlineLevel="1" x14ac:dyDescent="0.3">
      <c r="B928" s="10" t="s">
        <v>25</v>
      </c>
    </row>
    <row r="929" spans="2:5" hidden="1" outlineLevel="1" x14ac:dyDescent="0.3">
      <c r="B929" s="11" t="s">
        <v>27</v>
      </c>
    </row>
    <row r="930" spans="2:5" hidden="1" outlineLevel="1" x14ac:dyDescent="0.3">
      <c r="B930" s="11" t="s">
        <v>6</v>
      </c>
    </row>
    <row r="931" spans="2:5" hidden="1" outlineLevel="1" x14ac:dyDescent="0.3"/>
    <row r="932" spans="2:5" hidden="1" outlineLevel="1" x14ac:dyDescent="0.3">
      <c r="C932" s="297" t="s">
        <v>12</v>
      </c>
      <c r="D932" s="297"/>
      <c r="E932" s="297"/>
    </row>
    <row r="933" spans="2:5" ht="28.8" hidden="1" outlineLevel="1" x14ac:dyDescent="0.3">
      <c r="B933" s="13" t="str">
        <f>B929&amp;" - "&amp;B930</f>
        <v>Cancer_P4 - North</v>
      </c>
      <c r="C933" s="14" t="str">
        <f>'Data Inputs'!$C$29</f>
        <v>Scenario 1:
+1 day a week</v>
      </c>
      <c r="D933" s="14" t="str">
        <f>'Data Inputs'!$D$29</f>
        <v>Scenario 2:
+2 days a week</v>
      </c>
      <c r="E933" s="71" t="str">
        <f>'Data Inputs'!$E$29</f>
        <v>Scenario 3:
+3 days a week</v>
      </c>
    </row>
    <row r="934" spans="2:5" hidden="1" outlineLevel="1" x14ac:dyDescent="0.3">
      <c r="B934" s="12" t="s">
        <v>21</v>
      </c>
      <c r="C934" s="17"/>
      <c r="D934" s="18"/>
      <c r="E934" s="19"/>
    </row>
    <row r="935" spans="2:5" hidden="1" outlineLevel="1" x14ac:dyDescent="0.3">
      <c r="B935" s="20" t="s">
        <v>13</v>
      </c>
      <c r="C935" s="21">
        <f ca="1">INDEX(INDIRECT($B929),MATCH($B930,Regions,0),1)</f>
        <v>90.856442404000006</v>
      </c>
      <c r="D935" s="21">
        <f ca="1">INDEX(INDIRECT($B929),MATCH($B930,Regions,0),1)</f>
        <v>90.856442404000006</v>
      </c>
      <c r="E935" s="21">
        <f ca="1">INDEX(INDIRECT($B929),MATCH($B930,Regions,0),1)</f>
        <v>90.856442404000006</v>
      </c>
    </row>
    <row r="936" spans="2:5" hidden="1" outlineLevel="1" x14ac:dyDescent="0.3">
      <c r="B936" s="20" t="s">
        <v>20</v>
      </c>
      <c r="C936" s="23">
        <f>INDEX(ScenarioInputs,MATCH($B930,Regions,0),MATCH(C933,Scenarios,0))</f>
        <v>1</v>
      </c>
      <c r="D936" s="23">
        <f>INDEX(ScenarioInputs,MATCH($B930,Regions,0),MATCH(D933,Scenarios,0))</f>
        <v>2</v>
      </c>
      <c r="E936" s="23">
        <f>INDEX(ScenarioInputs,MATCH($B930,Regions,0),MATCH(E933,Scenarios,0))</f>
        <v>3</v>
      </c>
    </row>
    <row r="937" spans="2:5" hidden="1" outlineLevel="1" x14ac:dyDescent="0.3">
      <c r="B937" s="20" t="s">
        <v>37</v>
      </c>
      <c r="C937" s="21">
        <f ca="1">ROUNDDOWN(C936*INDEX(INDIRECT($B929),MATCH($B930,Regions,0),9)/(INDEX(INDIRECT($B929),MATCH($B930,Regions,0),3)+INDEX(INDIRECT($B929),MATCH($B930,Regions,0),2)),0)+IF(MOD(INDEX(INDIRECT($B929),MATCH($B930,Regions,0),9),INDEX(INDIRECT($B929),MATCH($B930,Regions,0),3)+INDEX(INDIRECT($B929),MATCH($B930,Regions,0),2))&lt;Buffer,0,1)</f>
        <v>4</v>
      </c>
      <c r="D937" s="21">
        <f ca="1">ROUNDDOWN(D936*INDEX(INDIRECT($B929),MATCH($B930,Regions,0),9)/(INDEX(INDIRECT($B929),MATCH($B930,Regions,0),3)+INDEX(INDIRECT($B929),MATCH($B930,Regions,0),2)),0)+IF(MOD(INDEX(INDIRECT($B929),MATCH($B930,Regions,0),9),INDEX(INDIRECT($B929),MATCH($B930,Regions,0),3)+INDEX(INDIRECT($B929),MATCH($B930,Regions,0),2))&lt;Buffer,0,1)</f>
        <v>8</v>
      </c>
      <c r="E937" s="21">
        <f ca="1">ROUNDDOWN(E936*INDEX(INDIRECT($B929),MATCH($B930,Regions,0),9)/(INDEX(INDIRECT($B929),MATCH($B930,Regions,0),3)+INDEX(INDIRECT($B929),MATCH($B930,Regions,0),2)),0)+IF(MOD(INDEX(INDIRECT($B929),MATCH($B930,Regions,0),9),INDEX(INDIRECT($B929),MATCH($B930,Regions,0),3)+INDEX(INDIRECT($B929),MATCH($B930,Regions,0),2))&lt;Buffer,0,1)</f>
        <v>12</v>
      </c>
    </row>
    <row r="938" spans="2:5" hidden="1" outlineLevel="1" x14ac:dyDescent="0.3">
      <c r="B938" s="20" t="s">
        <v>43</v>
      </c>
      <c r="C938" s="21">
        <f ca="1">ROUNDDOWN(INDEX(INDIRECT($B929),MATCH($B930,Regions,0),8)*INDEX(INDIRECT($B929),MATCH($B930,Regions,0),10),0)</f>
        <v>35</v>
      </c>
      <c r="D938" s="21">
        <f ca="1">ROUNDDOWN(INDEX(INDIRECT($B929),MATCH($B930,Regions,0),8)*INDEX(INDIRECT($B929),MATCH($B930,Regions,0),10),0)</f>
        <v>35</v>
      </c>
      <c r="E938" s="21">
        <f ca="1">ROUNDDOWN(INDEX(INDIRECT($B929),MATCH($B930,Regions,0),8)*INDEX(INDIRECT($B929),MATCH($B930,Regions,0),10),0)</f>
        <v>35</v>
      </c>
    </row>
    <row r="939" spans="2:5" hidden="1" outlineLevel="1" x14ac:dyDescent="0.3">
      <c r="B939" s="26" t="s">
        <v>11</v>
      </c>
      <c r="C939" s="27">
        <f ca="1">IFERROR(C935/(C938*C937),NA())</f>
        <v>0.64897458860000001</v>
      </c>
      <c r="D939" s="27">
        <f t="shared" ref="D939" ca="1" si="146">IFERROR(D935/(D938*D937),NA())</f>
        <v>0.32448729430000001</v>
      </c>
      <c r="E939" s="27">
        <f t="shared" ref="E939" ca="1" si="147">IFERROR(E935/(E938*E937),NA())</f>
        <v>0.21632486286666669</v>
      </c>
    </row>
    <row r="940" spans="2:5" hidden="1" outlineLevel="1" x14ac:dyDescent="0.3">
      <c r="B940" s="12" t="s">
        <v>14</v>
      </c>
      <c r="C940" s="28"/>
      <c r="D940" s="29"/>
      <c r="E940" s="30"/>
    </row>
    <row r="941" spans="2:5" hidden="1" outlineLevel="1" x14ac:dyDescent="0.3">
      <c r="B941" s="31" t="s">
        <v>38</v>
      </c>
      <c r="C941" s="32">
        <f ca="1">IFERROR(C935/C939,0)</f>
        <v>140</v>
      </c>
      <c r="D941" s="32">
        <f t="shared" ref="D941:E941" ca="1" si="148">IFERROR(D935/D939,0)</f>
        <v>280</v>
      </c>
      <c r="E941" s="32">
        <f t="shared" ca="1" si="148"/>
        <v>420</v>
      </c>
    </row>
    <row r="942" spans="2:5" hidden="1" outlineLevel="1" x14ac:dyDescent="0.3">
      <c r="B942" s="20" t="s">
        <v>30</v>
      </c>
      <c r="C942" s="33">
        <f ca="1">IF(C941=0,0,INDEX(INDIRECT($B929),MATCH($B930,Regions,0),9)*C936*C938)</f>
        <v>280</v>
      </c>
      <c r="D942" s="33">
        <f ca="1">IF(D941=0,0,INDEX(INDIRECT($B929),MATCH($B930,Regions,0),9)*D936*D938)</f>
        <v>560</v>
      </c>
      <c r="E942" s="33">
        <f ca="1">IF(E941=0,0,INDEX(INDIRECT($B929),MATCH($B930,Regions,0),9)*E936*E938)</f>
        <v>840</v>
      </c>
    </row>
    <row r="943" spans="2:5" hidden="1" outlineLevel="1" x14ac:dyDescent="0.3">
      <c r="B943" s="20" t="s">
        <v>31</v>
      </c>
      <c r="C943" s="33">
        <f ca="1">IFERROR(C941*INDEX(INDIRECT($B929),MATCH($B930,Regions,0),4)/(7/INDEX(INDIRECT($B929),MATCH($B930,Regions,0),6)),0)</f>
        <v>14.81204255460209</v>
      </c>
      <c r="D943" s="33">
        <f ca="1">IFERROR(D941*INDEX(INDIRECT($B929),MATCH($B930,Regions,0),4)/(7/INDEX(INDIRECT($B929),MATCH($B930,Regions,0),6)),0)</f>
        <v>29.624085109204181</v>
      </c>
      <c r="E943" s="33">
        <f ca="1">IFERROR(E941*INDEX(INDIRECT($B929),MATCH($B930,Regions,0),4)/(7/INDEX(INDIRECT($B929),MATCH($B930,Regions,0),6)),0)</f>
        <v>44.436127663806275</v>
      </c>
    </row>
    <row r="944" spans="2:5" hidden="1" outlineLevel="1" x14ac:dyDescent="0.3">
      <c r="B944" s="20" t="s">
        <v>32</v>
      </c>
      <c r="C944" s="33">
        <f ca="1">IFERROR(C941*INDEX(INDIRECT($B929),MATCH($B930,Regions,0),5)/(7/INDEX(INDIRECT($B929),MATCH($B930,Regions,0),7)),0)</f>
        <v>0.35438850730286997</v>
      </c>
      <c r="D944" s="33">
        <f ca="1">IFERROR(D941*INDEX(INDIRECT($B929),MATCH($B930,Regions,0),5)/(7/INDEX(INDIRECT($B929),MATCH($B930,Regions,0),7)),0)</f>
        <v>0.70877701460573994</v>
      </c>
      <c r="E944" s="33">
        <f ca="1">IFERROR(E941*INDEX(INDIRECT($B929),MATCH($B930,Regions,0),5)/(7/INDEX(INDIRECT($B929),MATCH($B930,Regions,0),7)),0)</f>
        <v>1.06316552190861</v>
      </c>
    </row>
    <row r="945" spans="2:5" hidden="1" outlineLevel="1" x14ac:dyDescent="0.3"/>
    <row r="946" spans="2:5" hidden="1" outlineLevel="1" x14ac:dyDescent="0.3">
      <c r="B946" s="10" t="s">
        <v>25</v>
      </c>
    </row>
    <row r="947" spans="2:5" hidden="1" outlineLevel="1" x14ac:dyDescent="0.3">
      <c r="B947" s="11" t="s">
        <v>33</v>
      </c>
    </row>
    <row r="948" spans="2:5" hidden="1" outlineLevel="1" x14ac:dyDescent="0.3">
      <c r="B948" s="11" t="s">
        <v>6</v>
      </c>
    </row>
    <row r="949" spans="2:5" hidden="1" outlineLevel="1" x14ac:dyDescent="0.3"/>
    <row r="950" spans="2:5" hidden="1" outlineLevel="1" x14ac:dyDescent="0.3">
      <c r="C950" s="297" t="s">
        <v>12</v>
      </c>
      <c r="D950" s="297"/>
      <c r="E950" s="297"/>
    </row>
    <row r="951" spans="2:5" ht="28.8" hidden="1" outlineLevel="1" x14ac:dyDescent="0.3">
      <c r="B951" s="13" t="str">
        <f>B947&amp;" - "&amp;B948</f>
        <v>Vascular_P2P3 - North</v>
      </c>
      <c r="C951" s="14" t="str">
        <f>'Data Inputs'!$C$29</f>
        <v>Scenario 1:
+1 day a week</v>
      </c>
      <c r="D951" s="14" t="str">
        <f>'Data Inputs'!$D$29</f>
        <v>Scenario 2:
+2 days a week</v>
      </c>
      <c r="E951" s="71" t="str">
        <f>'Data Inputs'!$E$29</f>
        <v>Scenario 3:
+3 days a week</v>
      </c>
    </row>
    <row r="952" spans="2:5" hidden="1" outlineLevel="1" x14ac:dyDescent="0.3">
      <c r="B952" s="12" t="s">
        <v>21</v>
      </c>
      <c r="C952" s="17"/>
      <c r="D952" s="18"/>
      <c r="E952" s="19"/>
    </row>
    <row r="953" spans="2:5" hidden="1" outlineLevel="1" x14ac:dyDescent="0.3">
      <c r="B953" s="20" t="s">
        <v>13</v>
      </c>
      <c r="C953" s="21">
        <f ca="1">INDEX(INDIRECT($B947),MATCH($B948,Regions,0),1)</f>
        <v>60.808927198999996</v>
      </c>
      <c r="D953" s="21">
        <f ca="1">INDEX(INDIRECT($B947),MATCH($B948,Regions,0),1)</f>
        <v>60.808927198999996</v>
      </c>
      <c r="E953" s="21">
        <f ca="1">INDEX(INDIRECT($B947),MATCH($B948,Regions,0),1)</f>
        <v>60.808927198999996</v>
      </c>
    </row>
    <row r="954" spans="2:5" hidden="1" outlineLevel="1" x14ac:dyDescent="0.3">
      <c r="B954" s="20" t="s">
        <v>20</v>
      </c>
      <c r="C954" s="23">
        <f>INDEX(ScenarioInputs,MATCH($B948,Regions,0),MATCH(C951,Scenarios,0))</f>
        <v>1</v>
      </c>
      <c r="D954" s="23">
        <f>INDEX(ScenarioInputs,MATCH($B948,Regions,0),MATCH(D951,Scenarios,0))</f>
        <v>2</v>
      </c>
      <c r="E954" s="23">
        <f>INDEX(ScenarioInputs,MATCH($B948,Regions,0),MATCH(E951,Scenarios,0))</f>
        <v>3</v>
      </c>
    </row>
    <row r="955" spans="2:5" hidden="1" outlineLevel="1" x14ac:dyDescent="0.3">
      <c r="B955" s="20" t="s">
        <v>37</v>
      </c>
      <c r="C955" s="21">
        <f ca="1">ROUNDDOWN(C954*INDEX(INDIRECT($B947),MATCH($B948,Regions,0),9)/(INDEX(INDIRECT($B947),MATCH($B948,Regions,0),3)+INDEX(INDIRECT($B947),MATCH($B948,Regions,0),2)),0)+IF(MOD(INDEX(INDIRECT($B947),MATCH($B948,Regions,0),9),INDEX(INDIRECT($B947),MATCH($B948,Regions,0),3)+INDEX(INDIRECT($B947),MATCH($B948,Regions,0),2))&lt;Buffer,0,1)</f>
        <v>3</v>
      </c>
      <c r="D955" s="21">
        <f ca="1">ROUNDDOWN(D954*INDEX(INDIRECT($B947),MATCH($B948,Regions,0),9)/(INDEX(INDIRECT($B947),MATCH($B948,Regions,0),3)+INDEX(INDIRECT($B947),MATCH($B948,Regions,0),2)),0)+IF(MOD(INDEX(INDIRECT($B947),MATCH($B948,Regions,0),9),INDEX(INDIRECT($B947),MATCH($B948,Regions,0),3)+INDEX(INDIRECT($B947),MATCH($B948,Regions,0),2))&lt;Buffer,0,1)</f>
        <v>6</v>
      </c>
      <c r="E955" s="21">
        <f ca="1">ROUNDDOWN(E954*INDEX(INDIRECT($B947),MATCH($B948,Regions,0),9)/(INDEX(INDIRECT($B947),MATCH($B948,Regions,0),3)+INDEX(INDIRECT($B947),MATCH($B948,Regions,0),2)),0)+IF(MOD(INDEX(INDIRECT($B947),MATCH($B948,Regions,0),9),INDEX(INDIRECT($B947),MATCH($B948,Regions,0),3)+INDEX(INDIRECT($B947),MATCH($B948,Regions,0),2))&lt;Buffer,0,1)</f>
        <v>8</v>
      </c>
    </row>
    <row r="956" spans="2:5" hidden="1" outlineLevel="1" x14ac:dyDescent="0.3">
      <c r="B956" s="20" t="s">
        <v>43</v>
      </c>
      <c r="C956" s="21">
        <f ca="1">ROUNDDOWN(INDEX(INDIRECT($B947),MATCH($B948,Regions,0),8)*INDEX(INDIRECT($B947),MATCH($B948,Regions,0),10),0)</f>
        <v>24</v>
      </c>
      <c r="D956" s="21">
        <f ca="1">ROUNDDOWN(INDEX(INDIRECT($B947),MATCH($B948,Regions,0),8)*INDEX(INDIRECT($B947),MATCH($B948,Regions,0),10),0)</f>
        <v>24</v>
      </c>
      <c r="E956" s="21">
        <f ca="1">ROUNDDOWN(INDEX(INDIRECT($B947),MATCH($B948,Regions,0),8)*INDEX(INDIRECT($B947),MATCH($B948,Regions,0),10),0)</f>
        <v>24</v>
      </c>
    </row>
    <row r="957" spans="2:5" hidden="1" outlineLevel="1" x14ac:dyDescent="0.3">
      <c r="B957" s="26" t="s">
        <v>11</v>
      </c>
      <c r="C957" s="27">
        <f ca="1">IFERROR(C953/(C956*C955),NA())</f>
        <v>0.84456843331944442</v>
      </c>
      <c r="D957" s="27">
        <f t="shared" ref="D957" ca="1" si="149">IFERROR(D953/(D956*D955),NA())</f>
        <v>0.42228421665972221</v>
      </c>
      <c r="E957" s="27">
        <f t="shared" ref="E957" ca="1" si="150">IFERROR(E953/(E956*E955),NA())</f>
        <v>0.31671316249479164</v>
      </c>
    </row>
    <row r="958" spans="2:5" hidden="1" outlineLevel="1" x14ac:dyDescent="0.3">
      <c r="B958" s="12" t="s">
        <v>14</v>
      </c>
      <c r="C958" s="28"/>
      <c r="D958" s="29"/>
      <c r="E958" s="30"/>
    </row>
    <row r="959" spans="2:5" hidden="1" outlineLevel="1" x14ac:dyDescent="0.3">
      <c r="B959" s="31" t="s">
        <v>38</v>
      </c>
      <c r="C959" s="32">
        <f ca="1">IFERROR(C953/C957,0)</f>
        <v>72</v>
      </c>
      <c r="D959" s="32">
        <f t="shared" ref="D959:E959" ca="1" si="151">IFERROR(D953/D957,0)</f>
        <v>144</v>
      </c>
      <c r="E959" s="32">
        <f t="shared" ca="1" si="151"/>
        <v>192</v>
      </c>
    </row>
    <row r="960" spans="2:5" hidden="1" outlineLevel="1" x14ac:dyDescent="0.3">
      <c r="B960" s="20" t="s">
        <v>30</v>
      </c>
      <c r="C960" s="33">
        <f ca="1">IF(C959=0,0,INDEX(INDIRECT($B947),MATCH($B948,Regions,0),9)*C954*C956)</f>
        <v>192</v>
      </c>
      <c r="D960" s="33">
        <f ca="1">IF(D959=0,0,INDEX(INDIRECT($B947),MATCH($B948,Regions,0),9)*D954*D956)</f>
        <v>384</v>
      </c>
      <c r="E960" s="33">
        <f ca="1">IF(E959=0,0,INDEX(INDIRECT($B947),MATCH($B948,Regions,0),9)*E954*E956)</f>
        <v>576</v>
      </c>
    </row>
    <row r="961" spans="2:5" hidden="1" outlineLevel="1" x14ac:dyDescent="0.3">
      <c r="B961" s="20" t="s">
        <v>31</v>
      </c>
      <c r="C961" s="33">
        <f ca="1">IFERROR(C959*INDEX(INDIRECT($B947),MATCH($B948,Regions,0),4)/(7/INDEX(INDIRECT($B947),MATCH($B948,Regions,0),6)),0)</f>
        <v>48.568942142391677</v>
      </c>
      <c r="D961" s="33">
        <f ca="1">IFERROR(D959*INDEX(INDIRECT($B947),MATCH($B948,Regions,0),4)/(7/INDEX(INDIRECT($B947),MATCH($B948,Regions,0),6)),0)</f>
        <v>97.137884284783354</v>
      </c>
      <c r="E961" s="33">
        <f ca="1">IFERROR(E959*INDEX(INDIRECT($B947),MATCH($B948,Regions,0),4)/(7/INDEX(INDIRECT($B947),MATCH($B948,Regions,0),6)),0)</f>
        <v>129.51717904637781</v>
      </c>
    </row>
    <row r="962" spans="2:5" hidden="1" outlineLevel="1" x14ac:dyDescent="0.3">
      <c r="B962" s="20" t="s">
        <v>32</v>
      </c>
      <c r="C962" s="33">
        <f ca="1">IFERROR(C959*INDEX(INDIRECT($B947),MATCH($B948,Regions,0),5)/(7/INDEX(INDIRECT($B947),MATCH($B948,Regions,0),7)),0)</f>
        <v>0.62479940717740678</v>
      </c>
      <c r="D962" s="33">
        <f ca="1">IFERROR(D959*INDEX(INDIRECT($B947),MATCH($B948,Regions,0),5)/(7/INDEX(INDIRECT($B947),MATCH($B948,Regions,0),7)),0)</f>
        <v>1.2495988143548136</v>
      </c>
      <c r="E962" s="33">
        <f ca="1">IFERROR(E959*INDEX(INDIRECT($B947),MATCH($B948,Regions,0),5)/(7/INDEX(INDIRECT($B947),MATCH($B948,Regions,0),7)),0)</f>
        <v>1.6661317524730848</v>
      </c>
    </row>
    <row r="963" spans="2:5" hidden="1" outlineLevel="1" x14ac:dyDescent="0.3"/>
    <row r="964" spans="2:5" hidden="1" outlineLevel="1" x14ac:dyDescent="0.3">
      <c r="B964" s="10" t="s">
        <v>25</v>
      </c>
    </row>
    <row r="965" spans="2:5" hidden="1" outlineLevel="1" x14ac:dyDescent="0.3">
      <c r="B965" s="11" t="s">
        <v>34</v>
      </c>
    </row>
    <row r="966" spans="2:5" hidden="1" outlineLevel="1" x14ac:dyDescent="0.3">
      <c r="B966" s="11" t="s">
        <v>6</v>
      </c>
    </row>
    <row r="967" spans="2:5" hidden="1" outlineLevel="1" x14ac:dyDescent="0.3"/>
    <row r="968" spans="2:5" hidden="1" outlineLevel="1" x14ac:dyDescent="0.3">
      <c r="C968" s="297" t="s">
        <v>12</v>
      </c>
      <c r="D968" s="297"/>
      <c r="E968" s="297"/>
    </row>
    <row r="969" spans="2:5" ht="28.8" hidden="1" outlineLevel="1" x14ac:dyDescent="0.3">
      <c r="B969" s="13" t="str">
        <f>B965&amp;" - "&amp;B966</f>
        <v>Vascular_P4 - North</v>
      </c>
      <c r="C969" s="14" t="str">
        <f>'Data Inputs'!$C$29</f>
        <v>Scenario 1:
+1 day a week</v>
      </c>
      <c r="D969" s="14" t="str">
        <f>'Data Inputs'!$D$29</f>
        <v>Scenario 2:
+2 days a week</v>
      </c>
      <c r="E969" s="71" t="str">
        <f>'Data Inputs'!$E$29</f>
        <v>Scenario 3:
+3 days a week</v>
      </c>
    </row>
    <row r="970" spans="2:5" hidden="1" outlineLevel="1" x14ac:dyDescent="0.3">
      <c r="B970" s="12" t="s">
        <v>21</v>
      </c>
      <c r="C970" s="17"/>
      <c r="D970" s="18"/>
      <c r="E970" s="19"/>
    </row>
    <row r="971" spans="2:5" hidden="1" outlineLevel="1" x14ac:dyDescent="0.3">
      <c r="B971" s="20" t="s">
        <v>13</v>
      </c>
      <c r="C971" s="21">
        <f ca="1">INDEX(INDIRECT($B965),MATCH($B966,Regions,0),1)</f>
        <v>12.967111313</v>
      </c>
      <c r="D971" s="21">
        <f ca="1">INDEX(INDIRECT($B965),MATCH($B966,Regions,0),1)</f>
        <v>12.967111313</v>
      </c>
      <c r="E971" s="21">
        <f ca="1">INDEX(INDIRECT($B965),MATCH($B966,Regions,0),1)</f>
        <v>12.967111313</v>
      </c>
    </row>
    <row r="972" spans="2:5" hidden="1" outlineLevel="1" x14ac:dyDescent="0.3">
      <c r="B972" s="20" t="s">
        <v>20</v>
      </c>
      <c r="C972" s="23">
        <f>INDEX(ScenarioInputs,MATCH($B966,Regions,0),MATCH(C969,Scenarios,0))</f>
        <v>1</v>
      </c>
      <c r="D972" s="23">
        <f>INDEX(ScenarioInputs,MATCH($B966,Regions,0),MATCH(D969,Scenarios,0))</f>
        <v>2</v>
      </c>
      <c r="E972" s="23">
        <f>INDEX(ScenarioInputs,MATCH($B966,Regions,0),MATCH(E969,Scenarios,0))</f>
        <v>3</v>
      </c>
    </row>
    <row r="973" spans="2:5" hidden="1" outlineLevel="1" x14ac:dyDescent="0.3">
      <c r="B973" s="20" t="s">
        <v>37</v>
      </c>
      <c r="C973" s="21">
        <f ca="1">ROUNDDOWN(C972*INDEX(INDIRECT($B965),MATCH($B966,Regions,0),9)/(INDEX(INDIRECT($B965),MATCH($B966,Regions,0),3)+INDEX(INDIRECT($B965),MATCH($B966,Regions,0),2)),0)+IF(MOD(INDEX(INDIRECT($B965),MATCH($B966,Regions,0),9),INDEX(INDIRECT($B965),MATCH($B966,Regions,0),3)+INDEX(INDIRECT($B965),MATCH($B966,Regions,0),2))&lt;Buffer,0,1)</f>
        <v>3</v>
      </c>
      <c r="D973" s="21">
        <f ca="1">ROUNDDOWN(D972*INDEX(INDIRECT($B965),MATCH($B966,Regions,0),9)/(INDEX(INDIRECT($B965),MATCH($B966,Regions,0),3)+INDEX(INDIRECT($B965),MATCH($B966,Regions,0),2)),0)+IF(MOD(INDEX(INDIRECT($B965),MATCH($B966,Regions,0),9),INDEX(INDIRECT($B965),MATCH($B966,Regions,0),3)+INDEX(INDIRECT($B965),MATCH($B966,Regions,0),2))&lt;Buffer,0,1)</f>
        <v>7</v>
      </c>
      <c r="E973" s="21">
        <f ca="1">ROUNDDOWN(E972*INDEX(INDIRECT($B965),MATCH($B966,Regions,0),9)/(INDEX(INDIRECT($B965),MATCH($B966,Regions,0),3)+INDEX(INDIRECT($B965),MATCH($B966,Regions,0),2)),0)+IF(MOD(INDEX(INDIRECT($B965),MATCH($B966,Regions,0),9),INDEX(INDIRECT($B965),MATCH($B966,Regions,0),3)+INDEX(INDIRECT($B965),MATCH($B966,Regions,0),2))&lt;Buffer,0,1)</f>
        <v>10</v>
      </c>
    </row>
    <row r="974" spans="2:5" hidden="1" outlineLevel="1" x14ac:dyDescent="0.3">
      <c r="B974" s="20" t="s">
        <v>43</v>
      </c>
      <c r="C974" s="21">
        <f ca="1">ROUNDDOWN(INDEX(INDIRECT($B965),MATCH($B966,Regions,0),8)*INDEX(INDIRECT($B965),MATCH($B966,Regions,0),10),0)</f>
        <v>24</v>
      </c>
      <c r="D974" s="21">
        <f ca="1">ROUNDDOWN(INDEX(INDIRECT($B965),MATCH($B966,Regions,0),8)*INDEX(INDIRECT($B965),MATCH($B966,Regions,0),10),0)</f>
        <v>24</v>
      </c>
      <c r="E974" s="21">
        <f ca="1">ROUNDDOWN(INDEX(INDIRECT($B965),MATCH($B966,Regions,0),8)*INDEX(INDIRECT($B965),MATCH($B966,Regions,0),10),0)</f>
        <v>24</v>
      </c>
    </row>
    <row r="975" spans="2:5" hidden="1" outlineLevel="1" x14ac:dyDescent="0.3">
      <c r="B975" s="26" t="s">
        <v>11</v>
      </c>
      <c r="C975" s="27">
        <f ca="1">IFERROR(C971/(C974*C973),NA())</f>
        <v>0.18009876823611112</v>
      </c>
      <c r="D975" s="27">
        <f t="shared" ref="D975" ca="1" si="152">IFERROR(D971/(D974*D973),NA())</f>
        <v>7.7185186386904761E-2</v>
      </c>
      <c r="E975" s="27">
        <f t="shared" ref="E975" ca="1" si="153">IFERROR(E971/(E974*E973),NA())</f>
        <v>5.4029630470833333E-2</v>
      </c>
    </row>
    <row r="976" spans="2:5" hidden="1" outlineLevel="1" x14ac:dyDescent="0.3">
      <c r="B976" s="12" t="s">
        <v>14</v>
      </c>
      <c r="C976" s="28"/>
      <c r="D976" s="29"/>
      <c r="E976" s="30"/>
    </row>
    <row r="977" spans="2:5" hidden="1" outlineLevel="1" x14ac:dyDescent="0.3">
      <c r="B977" s="31" t="s">
        <v>38</v>
      </c>
      <c r="C977" s="32">
        <f ca="1">IFERROR(C971/C975,0)</f>
        <v>72</v>
      </c>
      <c r="D977" s="32">
        <f t="shared" ref="D977:E977" ca="1" si="154">IFERROR(D971/D975,0)</f>
        <v>168</v>
      </c>
      <c r="E977" s="32">
        <f t="shared" ca="1" si="154"/>
        <v>240</v>
      </c>
    </row>
    <row r="978" spans="2:5" hidden="1" outlineLevel="1" x14ac:dyDescent="0.3">
      <c r="B978" s="20" t="s">
        <v>30</v>
      </c>
      <c r="C978" s="33">
        <f ca="1">IF(C977=0,0,INDEX(INDIRECT($B965),MATCH($B966,Regions,0),9)*C972*C974)</f>
        <v>192</v>
      </c>
      <c r="D978" s="33">
        <f ca="1">IF(D977=0,0,INDEX(INDIRECT($B965),MATCH($B966,Regions,0),9)*D972*D974)</f>
        <v>384</v>
      </c>
      <c r="E978" s="33">
        <f ca="1">IF(E977=0,0,INDEX(INDIRECT($B965),MATCH($B966,Regions,0),9)*E972*E974)</f>
        <v>576</v>
      </c>
    </row>
    <row r="979" spans="2:5" hidden="1" outlineLevel="1" x14ac:dyDescent="0.3">
      <c r="B979" s="20" t="s">
        <v>31</v>
      </c>
      <c r="C979" s="33">
        <f ca="1">IFERROR(C977*INDEX(INDIRECT($B965),MATCH($B966,Regions,0),4)/(7/INDEX(INDIRECT($B965),MATCH($B966,Regions,0),6)),0)</f>
        <v>3.2037470721325887</v>
      </c>
      <c r="D979" s="33">
        <f ca="1">IFERROR(D977*INDEX(INDIRECT($B965),MATCH($B966,Regions,0),4)/(7/INDEX(INDIRECT($B965),MATCH($B966,Regions,0),6)),0)</f>
        <v>7.4754098349760403</v>
      </c>
      <c r="E979" s="33">
        <f ca="1">IFERROR(E977*INDEX(INDIRECT($B965),MATCH($B966,Regions,0),4)/(7/INDEX(INDIRECT($B965),MATCH($B966,Regions,0),6)),0)</f>
        <v>10.679156907108629</v>
      </c>
    </row>
    <row r="980" spans="2:5" hidden="1" outlineLevel="1" x14ac:dyDescent="0.3">
      <c r="B980" s="20" t="s">
        <v>32</v>
      </c>
      <c r="C980" s="33">
        <f ca="1">IFERROR(C977*INDEX(INDIRECT($B965),MATCH($B966,Regions,0),5)/(7/INDEX(INDIRECT($B965),MATCH($B966,Regions,0),7)),0)</f>
        <v>0</v>
      </c>
      <c r="D980" s="33">
        <f ca="1">IFERROR(D977*INDEX(INDIRECT($B965),MATCH($B966,Regions,0),5)/(7/INDEX(INDIRECT($B965),MATCH($B966,Regions,0),7)),0)</f>
        <v>0</v>
      </c>
      <c r="E980" s="33">
        <f ca="1">IFERROR(E977*INDEX(INDIRECT($B965),MATCH($B966,Regions,0),5)/(7/INDEX(INDIRECT($B965),MATCH($B966,Regions,0),7)),0)</f>
        <v>0</v>
      </c>
    </row>
    <row r="981" spans="2:5" hidden="1" outlineLevel="1" x14ac:dyDescent="0.3"/>
    <row r="982" spans="2:5" hidden="1" outlineLevel="1" x14ac:dyDescent="0.3">
      <c r="B982" s="10" t="s">
        <v>25</v>
      </c>
    </row>
    <row r="983" spans="2:5" hidden="1" outlineLevel="1" x14ac:dyDescent="0.3">
      <c r="B983" s="11" t="s">
        <v>2</v>
      </c>
    </row>
    <row r="984" spans="2:5" hidden="1" outlineLevel="1" x14ac:dyDescent="0.3">
      <c r="B984" s="11" t="s">
        <v>6</v>
      </c>
    </row>
    <row r="985" spans="2:5" hidden="1" outlineLevel="1" x14ac:dyDescent="0.3"/>
    <row r="986" spans="2:5" hidden="1" outlineLevel="1" x14ac:dyDescent="0.3">
      <c r="C986" s="297" t="s">
        <v>12</v>
      </c>
      <c r="D986" s="297"/>
      <c r="E986" s="297"/>
    </row>
    <row r="987" spans="2:5" ht="28.8" hidden="1" outlineLevel="1" x14ac:dyDescent="0.3">
      <c r="B987" s="13" t="str">
        <f>B983&amp;" - "&amp;B984</f>
        <v>Transplant - North</v>
      </c>
      <c r="C987" s="14" t="str">
        <f>'Data Inputs'!$C$29</f>
        <v>Scenario 1:
+1 day a week</v>
      </c>
      <c r="D987" s="14" t="str">
        <f>'Data Inputs'!$D$29</f>
        <v>Scenario 2:
+2 days a week</v>
      </c>
      <c r="E987" s="71" t="str">
        <f>'Data Inputs'!$E$29</f>
        <v>Scenario 3:
+3 days a week</v>
      </c>
    </row>
    <row r="988" spans="2:5" hidden="1" outlineLevel="1" x14ac:dyDescent="0.3">
      <c r="B988" s="12" t="s">
        <v>21</v>
      </c>
      <c r="C988" s="17"/>
      <c r="D988" s="18"/>
      <c r="E988" s="19"/>
    </row>
    <row r="989" spans="2:5" hidden="1" outlineLevel="1" x14ac:dyDescent="0.3">
      <c r="B989" s="20" t="s">
        <v>13</v>
      </c>
      <c r="C989" s="21">
        <f ca="1">INDEX(INDIRECT($B983),MATCH($B984,Regions,0),1)</f>
        <v>0</v>
      </c>
      <c r="D989" s="21">
        <f ca="1">INDEX(INDIRECT($B983),MATCH($B984,Regions,0),1)</f>
        <v>0</v>
      </c>
      <c r="E989" s="21">
        <f ca="1">INDEX(INDIRECT($B983),MATCH($B984,Regions,0),1)</f>
        <v>0</v>
      </c>
    </row>
    <row r="990" spans="2:5" hidden="1" outlineLevel="1" x14ac:dyDescent="0.3">
      <c r="B990" s="20" t="s">
        <v>20</v>
      </c>
      <c r="C990" s="23">
        <f>INDEX(ScenarioInputs,MATCH($B984,Regions,0),MATCH(C987,Scenarios,0))</f>
        <v>1</v>
      </c>
      <c r="D990" s="23">
        <f>INDEX(ScenarioInputs,MATCH($B984,Regions,0),MATCH(D987,Scenarios,0))</f>
        <v>2</v>
      </c>
      <c r="E990" s="23">
        <f>INDEX(ScenarioInputs,MATCH($B984,Regions,0),MATCH(E987,Scenarios,0))</f>
        <v>3</v>
      </c>
    </row>
    <row r="991" spans="2:5" hidden="1" outlineLevel="1" x14ac:dyDescent="0.3">
      <c r="B991" s="20" t="s">
        <v>37</v>
      </c>
      <c r="C991" s="21">
        <f ca="1">ROUNDDOWN(C990*INDEX(INDIRECT($B983),MATCH($B984,Regions,0),9)/(INDEX(INDIRECT($B983),MATCH($B984,Regions,0),3)+INDEX(INDIRECT($B983),MATCH($B984,Regions,0),2)),0)</f>
        <v>21</v>
      </c>
      <c r="D991" s="21">
        <f ca="1">ROUNDDOWN(D990*INDEX(INDIRECT($B983),MATCH($B984,Regions,0),9)/(INDEX(INDIRECT($B983),MATCH($B984,Regions,0),3)+INDEX(INDIRECT($B983),MATCH($B984,Regions,0),2)),0)</f>
        <v>43</v>
      </c>
      <c r="E991" s="21">
        <f ca="1">ROUNDDOWN(E990*INDEX(INDIRECT($B983),MATCH($B984,Regions,0),9)/(INDEX(INDIRECT($B983),MATCH($B984,Regions,0),3)+INDEX(INDIRECT($B983),MATCH($B984,Regions,0),2)),0)</f>
        <v>64</v>
      </c>
    </row>
    <row r="992" spans="2:5" hidden="1" outlineLevel="1" x14ac:dyDescent="0.3">
      <c r="B992" s="20" t="s">
        <v>43</v>
      </c>
      <c r="C992" s="21">
        <f ca="1">ROUNDDOWN(INDEX(INDIRECT($B983),MATCH($B984,Regions,0),8)*INDEX(INDIRECT($B983),MATCH($B984,Regions,0),10),0)</f>
        <v>0</v>
      </c>
      <c r="D992" s="21">
        <f ca="1">ROUNDDOWN(INDEX(INDIRECT($B983),MATCH($B984,Regions,0),8)*INDEX(INDIRECT($B983),MATCH($B984,Regions,0),10),0)</f>
        <v>0</v>
      </c>
      <c r="E992" s="21">
        <f ca="1">ROUNDDOWN(INDEX(INDIRECT($B983),MATCH($B984,Regions,0),8)*INDEX(INDIRECT($B983),MATCH($B984,Regions,0),10),0)</f>
        <v>0</v>
      </c>
    </row>
    <row r="993" spans="2:5" hidden="1" outlineLevel="1" x14ac:dyDescent="0.3">
      <c r="B993" s="26" t="s">
        <v>11</v>
      </c>
      <c r="C993" s="27" t="str">
        <f ca="1">IFERROR(C989/(C992*C991),"")</f>
        <v/>
      </c>
      <c r="D993" s="27" t="str">
        <f t="shared" ref="D993" ca="1" si="155">IFERROR(D989/(D992*D991),"")</f>
        <v/>
      </c>
      <c r="E993" s="27" t="str">
        <f t="shared" ref="E993" ca="1" si="156">IFERROR(E989/(E992*E991),"")</f>
        <v/>
      </c>
    </row>
    <row r="994" spans="2:5" hidden="1" outlineLevel="1" x14ac:dyDescent="0.3">
      <c r="B994" s="12" t="s">
        <v>14</v>
      </c>
      <c r="C994" s="28"/>
      <c r="D994" s="29"/>
      <c r="E994" s="30"/>
    </row>
    <row r="995" spans="2:5" hidden="1" outlineLevel="1" x14ac:dyDescent="0.3">
      <c r="B995" s="31" t="s">
        <v>38</v>
      </c>
      <c r="C995" s="32">
        <f ca="1">IFERROR(C989/C993,0)</f>
        <v>0</v>
      </c>
      <c r="D995" s="32">
        <f t="shared" ref="D995:E995" ca="1" si="157">IFERROR(D989/D993,0)</f>
        <v>0</v>
      </c>
      <c r="E995" s="32">
        <f t="shared" ca="1" si="157"/>
        <v>0</v>
      </c>
    </row>
    <row r="996" spans="2:5" hidden="1" outlineLevel="1" x14ac:dyDescent="0.3">
      <c r="B996" s="20" t="s">
        <v>30</v>
      </c>
      <c r="C996" s="33">
        <f ca="1">IF(C995=0,0,INDEX(INDIRECT($B983),MATCH($B984,Regions,0),9)*C990*C992)</f>
        <v>0</v>
      </c>
      <c r="D996" s="33">
        <f ca="1">IF(D995=0,0,INDEX(INDIRECT($B983),MATCH($B984,Regions,0),9)*D990*D992)</f>
        <v>0</v>
      </c>
      <c r="E996" s="33">
        <f ca="1">IF(E995=0,0,INDEX(INDIRECT($B983),MATCH($B984,Regions,0),9)*E990*E992)</f>
        <v>0</v>
      </c>
    </row>
    <row r="997" spans="2:5" hidden="1" outlineLevel="1" x14ac:dyDescent="0.3">
      <c r="B997" s="20" t="s">
        <v>31</v>
      </c>
      <c r="C997" s="33">
        <f ca="1">IFERROR(C995*INDEX(INDIRECT($B983),MATCH($B984,Regions,0),4)/(7/INDEX(INDIRECT($B983),MATCH($B984,Regions,0),6)),0)</f>
        <v>0</v>
      </c>
      <c r="D997" s="33">
        <f ca="1">IFERROR(D995*INDEX(INDIRECT($B983),MATCH($B984,Regions,0),4)/(7/INDEX(INDIRECT($B983),MATCH($B984,Regions,0),6)),0)</f>
        <v>0</v>
      </c>
      <c r="E997" s="33">
        <f ca="1">IFERROR(E995*INDEX(INDIRECT($B983),MATCH($B984,Regions,0),4)/(7/INDEX(INDIRECT($B983),MATCH($B984,Regions,0),6)),0)</f>
        <v>0</v>
      </c>
    </row>
    <row r="998" spans="2:5" hidden="1" outlineLevel="1" x14ac:dyDescent="0.3">
      <c r="B998" s="20" t="s">
        <v>32</v>
      </c>
      <c r="C998" s="33">
        <f ca="1">IFERROR(C995*INDEX(INDIRECT($B983),MATCH($B984,Regions,0),5)/(7/INDEX(INDIRECT($B983),MATCH($B984,Regions,0),7)),0)</f>
        <v>0</v>
      </c>
      <c r="D998" s="33">
        <f ca="1">IFERROR(D995*INDEX(INDIRECT($B983),MATCH($B984,Regions,0),5)/(7/INDEX(INDIRECT($B983),MATCH($B984,Regions,0),7)),0)</f>
        <v>0</v>
      </c>
      <c r="E998" s="33">
        <f ca="1">IFERROR(E995*INDEX(INDIRECT($B983),MATCH($B984,Regions,0),5)/(7/INDEX(INDIRECT($B983),MATCH($B984,Regions,0),7)),0)</f>
        <v>0</v>
      </c>
    </row>
    <row r="999" spans="2:5" hidden="1" outlineLevel="1" x14ac:dyDescent="0.3"/>
    <row r="1000" spans="2:5" hidden="1" outlineLevel="1" x14ac:dyDescent="0.3">
      <c r="B1000" s="10" t="s">
        <v>25</v>
      </c>
    </row>
    <row r="1001" spans="2:5" hidden="1" outlineLevel="1" x14ac:dyDescent="0.3">
      <c r="B1001" s="11" t="s">
        <v>28</v>
      </c>
    </row>
    <row r="1002" spans="2:5" hidden="1" outlineLevel="1" x14ac:dyDescent="0.3">
      <c r="B1002" s="11" t="s">
        <v>6</v>
      </c>
    </row>
    <row r="1003" spans="2:5" hidden="1" outlineLevel="1" x14ac:dyDescent="0.3"/>
    <row r="1004" spans="2:5" hidden="1" outlineLevel="1" x14ac:dyDescent="0.3">
      <c r="C1004" s="297" t="s">
        <v>12</v>
      </c>
      <c r="D1004" s="297"/>
      <c r="E1004" s="297"/>
    </row>
    <row r="1005" spans="2:5" ht="28.8" hidden="1" outlineLevel="1" x14ac:dyDescent="0.3">
      <c r="B1005" s="13" t="str">
        <f>B1001&amp;" - "&amp;B1002</f>
        <v>Cardiac_CABG - North</v>
      </c>
      <c r="C1005" s="14" t="str">
        <f>'Data Inputs'!$C$29</f>
        <v>Scenario 1:
+1 day a week</v>
      </c>
      <c r="D1005" s="14" t="str">
        <f>'Data Inputs'!$D$29</f>
        <v>Scenario 2:
+2 days a week</v>
      </c>
      <c r="E1005" s="71" t="str">
        <f>'Data Inputs'!$E$29</f>
        <v>Scenario 3:
+3 days a week</v>
      </c>
    </row>
    <row r="1006" spans="2:5" hidden="1" outlineLevel="1" x14ac:dyDescent="0.3">
      <c r="B1006" s="12" t="s">
        <v>21</v>
      </c>
      <c r="C1006" s="17"/>
      <c r="D1006" s="18"/>
      <c r="E1006" s="19"/>
    </row>
    <row r="1007" spans="2:5" hidden="1" outlineLevel="1" x14ac:dyDescent="0.3">
      <c r="B1007" s="20" t="s">
        <v>13</v>
      </c>
      <c r="C1007" s="21">
        <f ca="1">INDEX(INDIRECT($B1001),MATCH($B1002,Regions,0),1)</f>
        <v>23.354166666666668</v>
      </c>
      <c r="D1007" s="21">
        <f ca="1">INDEX(INDIRECT($B1001),MATCH($B1002,Regions,0),1)</f>
        <v>23.354166666666668</v>
      </c>
      <c r="E1007" s="21">
        <f ca="1">INDEX(INDIRECT($B1001),MATCH($B1002,Regions,0),1)</f>
        <v>23.354166666666668</v>
      </c>
    </row>
    <row r="1008" spans="2:5" hidden="1" outlineLevel="1" x14ac:dyDescent="0.3">
      <c r="B1008" s="20" t="s">
        <v>20</v>
      </c>
      <c r="C1008" s="23">
        <f>INDEX(ScenarioInputs,MATCH($B1002,Regions,0),MATCH(C1005,Scenarios,0))</f>
        <v>1</v>
      </c>
      <c r="D1008" s="23">
        <f>INDEX(ScenarioInputs,MATCH($B1002,Regions,0),MATCH(D1005,Scenarios,0))</f>
        <v>2</v>
      </c>
      <c r="E1008" s="23">
        <f>INDEX(ScenarioInputs,MATCH($B1002,Regions,0),MATCH(E1005,Scenarios,0))</f>
        <v>3</v>
      </c>
    </row>
    <row r="1009" spans="2:5" hidden="1" outlineLevel="1" x14ac:dyDescent="0.3">
      <c r="B1009" s="20" t="s">
        <v>37</v>
      </c>
      <c r="C1009" s="21">
        <f ca="1">ROUNDDOWN(C1008*INDEX(INDIRECT($B1001),MATCH($B1002,Regions,0),9)/(INDEX(INDIRECT($B1001),MATCH($B1002,Regions,0),3)+INDEX(INDIRECT($B1001),MATCH($B1002,Regions,0),2)),0)+IF(MOD(INDEX(INDIRECT($B1001),MATCH($B1002,Regions,0),9),INDEX(INDIRECT($B1001),MATCH($B1002,Regions,0),3)+INDEX(INDIRECT($B1001),MATCH($B1002,Regions,0),2))&lt;Buffer,0,1)</f>
        <v>2</v>
      </c>
      <c r="D1009" s="21">
        <f ca="1">ROUNDDOWN(D1008*INDEX(INDIRECT($B1001),MATCH($B1002,Regions,0),9)/(INDEX(INDIRECT($B1001),MATCH($B1002,Regions,0),3)+INDEX(INDIRECT($B1001),MATCH($B1002,Regions,0),2)),0)+IF(MOD(INDEX(INDIRECT($B1001),MATCH($B1002,Regions,0),9),INDEX(INDIRECT($B1001),MATCH($B1002,Regions,0),3)+INDEX(INDIRECT($B1001),MATCH($B1002,Regions,0),2))&lt;Buffer,0,1)</f>
        <v>4</v>
      </c>
      <c r="E1009" s="21">
        <f ca="1">ROUNDDOWN(E1008*INDEX(INDIRECT($B1001),MATCH($B1002,Regions,0),9)/(INDEX(INDIRECT($B1001),MATCH($B1002,Regions,0),3)+INDEX(INDIRECT($B1001),MATCH($B1002,Regions,0),2)),0)+IF(MOD(INDEX(INDIRECT($B1001),MATCH($B1002,Regions,0),9),INDEX(INDIRECT($B1001),MATCH($B1002,Regions,0),3)+INDEX(INDIRECT($B1001),MATCH($B1002,Regions,0),2))&lt;Buffer,0,1)</f>
        <v>6</v>
      </c>
    </row>
    <row r="1010" spans="2:5" hidden="1" outlineLevel="1" x14ac:dyDescent="0.3">
      <c r="B1010" s="20" t="s">
        <v>43</v>
      </c>
      <c r="C1010" s="21">
        <f ca="1">ROUNDDOWN(INDEX(INDIRECT($B1001),MATCH($B1002,Regions,0),8)*INDEX(INDIRECT($B1001),MATCH($B1002,Regions,0),10),0)</f>
        <v>8</v>
      </c>
      <c r="D1010" s="21">
        <f ca="1">ROUNDDOWN(INDEX(INDIRECT($B1001),MATCH($B1002,Regions,0),8)*INDEX(INDIRECT($B1001),MATCH($B1002,Regions,0),10),0)</f>
        <v>8</v>
      </c>
      <c r="E1010" s="21">
        <f ca="1">ROUNDDOWN(INDEX(INDIRECT($B1001),MATCH($B1002,Regions,0),8)*INDEX(INDIRECT($B1001),MATCH($B1002,Regions,0),10),0)</f>
        <v>8</v>
      </c>
    </row>
    <row r="1011" spans="2:5" hidden="1" outlineLevel="1" x14ac:dyDescent="0.3">
      <c r="B1011" s="26" t="s">
        <v>11</v>
      </c>
      <c r="C1011" s="27">
        <f ca="1">IFERROR(C1007/(C1010*C1009),NA())</f>
        <v>1.4596354166666667</v>
      </c>
      <c r="D1011" s="27">
        <f t="shared" ref="D1011" ca="1" si="158">IFERROR(D1007/(D1010*D1009),NA())</f>
        <v>0.72981770833333337</v>
      </c>
      <c r="E1011" s="27">
        <f t="shared" ref="E1011" ca="1" si="159">IFERROR(E1007/(E1010*E1009),NA())</f>
        <v>0.4865451388888889</v>
      </c>
    </row>
    <row r="1012" spans="2:5" hidden="1" outlineLevel="1" x14ac:dyDescent="0.3">
      <c r="B1012" s="12" t="s">
        <v>14</v>
      </c>
      <c r="C1012" s="28"/>
      <c r="D1012" s="29"/>
      <c r="E1012" s="30"/>
    </row>
    <row r="1013" spans="2:5" hidden="1" outlineLevel="1" x14ac:dyDescent="0.3">
      <c r="B1013" s="31" t="s">
        <v>38</v>
      </c>
      <c r="C1013" s="32">
        <f ca="1">IFERROR(C1007/C1011,0)</f>
        <v>16</v>
      </c>
      <c r="D1013" s="32">
        <f t="shared" ref="D1013:E1013" ca="1" si="160">IFERROR(D1007/D1011,0)</f>
        <v>32</v>
      </c>
      <c r="E1013" s="32">
        <f t="shared" ca="1" si="160"/>
        <v>48</v>
      </c>
    </row>
    <row r="1014" spans="2:5" hidden="1" outlineLevel="1" x14ac:dyDescent="0.3">
      <c r="B1014" s="20" t="s">
        <v>30</v>
      </c>
      <c r="C1014" s="33">
        <f ca="1">IF(C1013=0,0,INDEX(INDIRECT($B1001),MATCH($B1002,Regions,0),9)*C1008*C1010)</f>
        <v>64</v>
      </c>
      <c r="D1014" s="33">
        <f ca="1">IF(D1013=0,0,INDEX(INDIRECT($B1001),MATCH($B1002,Regions,0),9)*D1008*D1010)</f>
        <v>128</v>
      </c>
      <c r="E1014" s="33">
        <f ca="1">IF(E1013=0,0,INDEX(INDIRECT($B1001),MATCH($B1002,Regions,0),9)*E1008*E1010)</f>
        <v>192</v>
      </c>
    </row>
    <row r="1015" spans="2:5" hidden="1" outlineLevel="1" x14ac:dyDescent="0.3">
      <c r="B1015" s="20" t="s">
        <v>31</v>
      </c>
      <c r="C1015" s="33">
        <f ca="1">IFERROR(C1013*INDEX(INDIRECT($B1001),MATCH($B1002,Regions,0),4)/(7/INDEX(INDIRECT($B1001),MATCH($B1002,Regions,0),6)),0)</f>
        <v>16</v>
      </c>
      <c r="D1015" s="33">
        <f ca="1">IFERROR(D1013*INDEX(INDIRECT($B1001),MATCH($B1002,Regions,0),4)/(7/INDEX(INDIRECT($B1001),MATCH($B1002,Regions,0),6)),0)</f>
        <v>32</v>
      </c>
      <c r="E1015" s="33">
        <f ca="1">IFERROR(E1013*INDEX(INDIRECT($B1001),MATCH($B1002,Regions,0),4)/(7/INDEX(INDIRECT($B1001),MATCH($B1002,Regions,0),6)),0)</f>
        <v>48</v>
      </c>
    </row>
    <row r="1016" spans="2:5" hidden="1" outlineLevel="1" x14ac:dyDescent="0.3">
      <c r="B1016" s="20" t="s">
        <v>32</v>
      </c>
      <c r="C1016" s="33">
        <f ca="1">IFERROR(C1013*INDEX(INDIRECT($B1001),MATCH($B1002,Regions,0),5)/(7/INDEX(INDIRECT($B1001),MATCH($B1002,Regions,0),7)),0)</f>
        <v>6.8571428571428568</v>
      </c>
      <c r="D1016" s="33">
        <f ca="1">IFERROR(D1013*INDEX(INDIRECT($B1001),MATCH($B1002,Regions,0),5)/(7/INDEX(INDIRECT($B1001),MATCH($B1002,Regions,0),7)),0)</f>
        <v>13.714285714285714</v>
      </c>
      <c r="E1016" s="33">
        <f ca="1">IFERROR(E1013*INDEX(INDIRECT($B1001),MATCH($B1002,Regions,0),5)/(7/INDEX(INDIRECT($B1001),MATCH($B1002,Regions,0),7)),0)</f>
        <v>20.571428571428569</v>
      </c>
    </row>
    <row r="1017" spans="2:5" hidden="1" outlineLevel="1" x14ac:dyDescent="0.3"/>
    <row r="1018" spans="2:5" hidden="1" outlineLevel="1" x14ac:dyDescent="0.3">
      <c r="B1018" s="10" t="s">
        <v>25</v>
      </c>
    </row>
    <row r="1019" spans="2:5" hidden="1" outlineLevel="1" x14ac:dyDescent="0.3">
      <c r="B1019" s="11" t="s">
        <v>46</v>
      </c>
    </row>
    <row r="1020" spans="2:5" hidden="1" outlineLevel="1" x14ac:dyDescent="0.3">
      <c r="B1020" s="11" t="s">
        <v>6</v>
      </c>
    </row>
    <row r="1021" spans="2:5" hidden="1" outlineLevel="1" x14ac:dyDescent="0.3"/>
    <row r="1022" spans="2:5" hidden="1" outlineLevel="1" x14ac:dyDescent="0.3">
      <c r="C1022" s="297" t="s">
        <v>12</v>
      </c>
      <c r="D1022" s="297"/>
      <c r="E1022" s="297"/>
    </row>
    <row r="1023" spans="2:5" ht="28.8" hidden="1" outlineLevel="1" x14ac:dyDescent="0.3">
      <c r="B1023" s="13" t="str">
        <f>B1019&amp;" - "&amp;B1020</f>
        <v>Cardiac_Valve - North</v>
      </c>
      <c r="C1023" s="14" t="str">
        <f>'Data Inputs'!$C$29</f>
        <v>Scenario 1:
+1 day a week</v>
      </c>
      <c r="D1023" s="14" t="str">
        <f>'Data Inputs'!$D$29</f>
        <v>Scenario 2:
+2 days a week</v>
      </c>
      <c r="E1023" s="71" t="str">
        <f>'Data Inputs'!$E$29</f>
        <v>Scenario 3:
+3 days a week</v>
      </c>
    </row>
    <row r="1024" spans="2:5" hidden="1" outlineLevel="1" x14ac:dyDescent="0.3">
      <c r="B1024" s="12" t="s">
        <v>21</v>
      </c>
      <c r="C1024" s="17"/>
      <c r="D1024" s="18"/>
      <c r="E1024" s="19"/>
    </row>
    <row r="1025" spans="2:5" hidden="1" outlineLevel="1" x14ac:dyDescent="0.3">
      <c r="B1025" s="20" t="s">
        <v>13</v>
      </c>
      <c r="C1025" s="21">
        <f ca="1">INDEX(INDIRECT($B1019),MATCH($B1020,Regions,0),1)</f>
        <v>11.71003717472119</v>
      </c>
      <c r="D1025" s="21">
        <f ca="1">INDEX(INDIRECT($B1019),MATCH($B1020,Regions,0),1)</f>
        <v>11.71003717472119</v>
      </c>
      <c r="E1025" s="21">
        <f ca="1">INDEX(INDIRECT($B1019),MATCH($B1020,Regions,0),1)</f>
        <v>11.71003717472119</v>
      </c>
    </row>
    <row r="1026" spans="2:5" hidden="1" outlineLevel="1" x14ac:dyDescent="0.3">
      <c r="B1026" s="20" t="s">
        <v>20</v>
      </c>
      <c r="C1026" s="23">
        <f>INDEX(ScenarioInputs,MATCH($B1020,Regions,0),MATCH(C1023,Scenarios,0))</f>
        <v>1</v>
      </c>
      <c r="D1026" s="23">
        <f>INDEX(ScenarioInputs,MATCH($B1020,Regions,0),MATCH(D1023,Scenarios,0))</f>
        <v>2</v>
      </c>
      <c r="E1026" s="23">
        <f>INDEX(ScenarioInputs,MATCH($B1020,Regions,0),MATCH(E1023,Scenarios,0))</f>
        <v>3</v>
      </c>
    </row>
    <row r="1027" spans="2:5" hidden="1" outlineLevel="1" x14ac:dyDescent="0.3">
      <c r="B1027" s="20" t="s">
        <v>37</v>
      </c>
      <c r="C1027" s="21">
        <f ca="1">ROUNDDOWN(C1026*INDEX(INDIRECT($B1019),MATCH($B1020,Regions,0),9)/(INDEX(INDIRECT($B1019),MATCH($B1020,Regions,0),3)+INDEX(INDIRECT($B1019),MATCH($B1020,Regions,0),2)),0)+IF(MOD(INDEX(INDIRECT($B1019),MATCH($B1020,Regions,0),9),INDEX(INDIRECT($B1019),MATCH($B1020,Regions,0),3)+INDEX(INDIRECT($B1019),MATCH($B1020,Regions,0),2))&lt;Buffer,0,1)</f>
        <v>2</v>
      </c>
      <c r="D1027" s="21">
        <f ca="1">ROUNDDOWN(D1026*INDEX(INDIRECT($B1019),MATCH($B1020,Regions,0),9)/(INDEX(INDIRECT($B1019),MATCH($B1020,Regions,0),3)+INDEX(INDIRECT($B1019),MATCH($B1020,Regions,0),2)),0)+IF(MOD(INDEX(INDIRECT($B1019),MATCH($B1020,Regions,0),9),INDEX(INDIRECT($B1019),MATCH($B1020,Regions,0),3)+INDEX(INDIRECT($B1019),MATCH($B1020,Regions,0),2))&lt;Buffer,0,1)</f>
        <v>4</v>
      </c>
      <c r="E1027" s="21">
        <f ca="1">ROUNDDOWN(E1026*INDEX(INDIRECT($B1019),MATCH($B1020,Regions,0),9)/(INDEX(INDIRECT($B1019),MATCH($B1020,Regions,0),3)+INDEX(INDIRECT($B1019),MATCH($B1020,Regions,0),2)),0)+IF(MOD(INDEX(INDIRECT($B1019),MATCH($B1020,Regions,0),9),INDEX(INDIRECT($B1019),MATCH($B1020,Regions,0),3)+INDEX(INDIRECT($B1019),MATCH($B1020,Regions,0),2))&lt;Buffer,0,1)</f>
        <v>6</v>
      </c>
    </row>
    <row r="1028" spans="2:5" hidden="1" outlineLevel="1" x14ac:dyDescent="0.3">
      <c r="B1028" s="20" t="s">
        <v>43</v>
      </c>
      <c r="C1028" s="21">
        <f ca="1">ROUNDDOWN(INDEX(INDIRECT($B1019),MATCH($B1020,Regions,0),8)*INDEX(INDIRECT($B1019),MATCH($B1020,Regions,0),10),0)</f>
        <v>8</v>
      </c>
      <c r="D1028" s="21">
        <f ca="1">ROUNDDOWN(INDEX(INDIRECT($B1019),MATCH($B1020,Regions,0),8)*INDEX(INDIRECT($B1019),MATCH($B1020,Regions,0),10),0)</f>
        <v>8</v>
      </c>
      <c r="E1028" s="21">
        <f ca="1">ROUNDDOWN(INDEX(INDIRECT($B1019),MATCH($B1020,Regions,0),8)*INDEX(INDIRECT($B1019),MATCH($B1020,Regions,0),10),0)</f>
        <v>8</v>
      </c>
    </row>
    <row r="1029" spans="2:5" hidden="1" outlineLevel="1" x14ac:dyDescent="0.3">
      <c r="B1029" s="26" t="s">
        <v>11</v>
      </c>
      <c r="C1029" s="27">
        <f ca="1">IFERROR(C1025/(C1028*C1027),NA())</f>
        <v>0.73187732342007439</v>
      </c>
      <c r="D1029" s="27">
        <f t="shared" ref="D1029" ca="1" si="161">IFERROR(D1025/(D1028*D1027),NA())</f>
        <v>0.36593866171003719</v>
      </c>
      <c r="E1029" s="27">
        <f t="shared" ref="E1029" ca="1" si="162">IFERROR(E1025/(E1028*E1027),NA())</f>
        <v>0.24395910780669147</v>
      </c>
    </row>
    <row r="1030" spans="2:5" hidden="1" outlineLevel="1" x14ac:dyDescent="0.3">
      <c r="B1030" s="12" t="s">
        <v>14</v>
      </c>
      <c r="C1030" s="28"/>
      <c r="D1030" s="29"/>
      <c r="E1030" s="30"/>
    </row>
    <row r="1031" spans="2:5" hidden="1" outlineLevel="1" x14ac:dyDescent="0.3">
      <c r="B1031" s="31" t="s">
        <v>38</v>
      </c>
      <c r="C1031" s="32">
        <f ca="1">IFERROR(C1025/C1029,0)</f>
        <v>16</v>
      </c>
      <c r="D1031" s="32">
        <f t="shared" ref="D1031:E1031" ca="1" si="163">IFERROR(D1025/D1029,0)</f>
        <v>32</v>
      </c>
      <c r="E1031" s="32">
        <f t="shared" ca="1" si="163"/>
        <v>48</v>
      </c>
    </row>
    <row r="1032" spans="2:5" hidden="1" outlineLevel="1" x14ac:dyDescent="0.3">
      <c r="B1032" s="20" t="s">
        <v>30</v>
      </c>
      <c r="C1032" s="33">
        <f ca="1">IF(C1031=0,0,INDEX(INDIRECT($B1019),MATCH($B1020,Regions,0),9)*C1026*C1028)</f>
        <v>64</v>
      </c>
      <c r="D1032" s="33">
        <f ca="1">IF(D1031=0,0,INDEX(INDIRECT($B1019),MATCH($B1020,Regions,0),9)*D1026*D1028)</f>
        <v>128</v>
      </c>
      <c r="E1032" s="33">
        <f ca="1">IF(E1031=0,0,INDEX(INDIRECT($B1019),MATCH($B1020,Regions,0),9)*E1026*E1028)</f>
        <v>192</v>
      </c>
    </row>
    <row r="1033" spans="2:5" hidden="1" outlineLevel="1" x14ac:dyDescent="0.3">
      <c r="B1033" s="20" t="s">
        <v>31</v>
      </c>
      <c r="C1033" s="33">
        <f ca="1">IFERROR(C1031*INDEX(INDIRECT($B1019),MATCH($B1020,Regions,0),4)/(7/INDEX(INDIRECT($B1019),MATCH($B1020,Regions,0),6)),0)</f>
        <v>9.1428571428571423</v>
      </c>
      <c r="D1033" s="33">
        <f ca="1">IFERROR(D1031*INDEX(INDIRECT($B1019),MATCH($B1020,Regions,0),4)/(7/INDEX(INDIRECT($B1019),MATCH($B1020,Regions,0),6)),0)</f>
        <v>18.285714285714285</v>
      </c>
      <c r="E1033" s="33">
        <f ca="1">IFERROR(E1031*INDEX(INDIRECT($B1019),MATCH($B1020,Regions,0),4)/(7/INDEX(INDIRECT($B1019),MATCH($B1020,Regions,0),6)),0)</f>
        <v>27.428571428571427</v>
      </c>
    </row>
    <row r="1034" spans="2:5" hidden="1" outlineLevel="1" x14ac:dyDescent="0.3">
      <c r="B1034" s="20" t="s">
        <v>32</v>
      </c>
      <c r="C1034" s="33">
        <f ca="1">IFERROR(C1031*INDEX(INDIRECT($B1019),MATCH($B1020,Regions,0),5)/(7/INDEX(INDIRECT($B1019),MATCH($B1020,Regions,0),7)),0)</f>
        <v>6.8571428571428568</v>
      </c>
      <c r="D1034" s="33">
        <f ca="1">IFERROR(D1031*INDEX(INDIRECT($B1019),MATCH($B1020,Regions,0),5)/(7/INDEX(INDIRECT($B1019),MATCH($B1020,Regions,0),7)),0)</f>
        <v>13.714285714285714</v>
      </c>
      <c r="E1034" s="33">
        <f ca="1">IFERROR(E1031*INDEX(INDIRECT($B1019),MATCH($B1020,Regions,0),5)/(7/INDEX(INDIRECT($B1019),MATCH($B1020,Regions,0),7)),0)</f>
        <v>20.571428571428569</v>
      </c>
    </row>
    <row r="1035" spans="2:5" hidden="1" outlineLevel="1" x14ac:dyDescent="0.3">
      <c r="B1035" s="20"/>
      <c r="C1035" s="44"/>
      <c r="D1035" s="44"/>
      <c r="E1035" s="44"/>
    </row>
    <row r="1036" spans="2:5" hidden="1" outlineLevel="1" x14ac:dyDescent="0.3">
      <c r="B1036" s="10" t="s">
        <v>25</v>
      </c>
    </row>
    <row r="1037" spans="2:5" hidden="1" outlineLevel="1" x14ac:dyDescent="0.3">
      <c r="B1037" s="11" t="s">
        <v>110</v>
      </c>
    </row>
    <row r="1038" spans="2:5" hidden="1" outlineLevel="1" x14ac:dyDescent="0.3">
      <c r="B1038" s="11" t="s">
        <v>6</v>
      </c>
    </row>
    <row r="1039" spans="2:5" hidden="1" outlineLevel="1" x14ac:dyDescent="0.3"/>
    <row r="1040" spans="2:5" hidden="1" outlineLevel="1" x14ac:dyDescent="0.3">
      <c r="C1040" s="297" t="s">
        <v>12</v>
      </c>
      <c r="D1040" s="297"/>
      <c r="E1040" s="297"/>
    </row>
    <row r="1041" spans="2:5" ht="28.8" hidden="1" outlineLevel="1" x14ac:dyDescent="0.3">
      <c r="B1041" s="13" t="str">
        <f>B1037&amp;" - "&amp;B1038</f>
        <v>Benign_P2P3 - North</v>
      </c>
      <c r="C1041" s="14" t="str">
        <f>'Data Inputs'!$C$29</f>
        <v>Scenario 1:
+1 day a week</v>
      </c>
      <c r="D1041" s="14" t="str">
        <f>'Data Inputs'!$D$29</f>
        <v>Scenario 2:
+2 days a week</v>
      </c>
      <c r="E1041" s="71" t="str">
        <f>'Data Inputs'!$E$29</f>
        <v>Scenario 3:
+3 days a week</v>
      </c>
    </row>
    <row r="1042" spans="2:5" hidden="1" outlineLevel="1" x14ac:dyDescent="0.3">
      <c r="B1042" s="12" t="s">
        <v>21</v>
      </c>
      <c r="C1042" s="17"/>
      <c r="D1042" s="18"/>
      <c r="E1042" s="19"/>
    </row>
    <row r="1043" spans="2:5" hidden="1" outlineLevel="1" x14ac:dyDescent="0.3">
      <c r="B1043" s="20" t="s">
        <v>13</v>
      </c>
      <c r="C1043" s="21">
        <f ca="1">INDEX(INDIRECT($B1037),MATCH($B1038,Regions,0),1)</f>
        <v>1411.9533666999998</v>
      </c>
      <c r="D1043" s="21">
        <f ca="1">INDEX(INDIRECT($B1037),MATCH($B1038,Regions,0),1)</f>
        <v>1411.9533666999998</v>
      </c>
      <c r="E1043" s="21">
        <f ca="1">INDEX(INDIRECT($B1037),MATCH($B1038,Regions,0),1)</f>
        <v>1411.9533666999998</v>
      </c>
    </row>
    <row r="1044" spans="2:5" hidden="1" outlineLevel="1" x14ac:dyDescent="0.3">
      <c r="B1044" s="20" t="s">
        <v>20</v>
      </c>
      <c r="C1044" s="23">
        <f>INDEX(ScenarioInputs,MATCH($B1038,Regions,0),MATCH(C1041,Scenarios,0))</f>
        <v>1</v>
      </c>
      <c r="D1044" s="23">
        <f>INDEX(ScenarioInputs,MATCH($B1038,Regions,0),MATCH(D1041,Scenarios,0))</f>
        <v>2</v>
      </c>
      <c r="E1044" s="23">
        <f>INDEX(ScenarioInputs,MATCH($B1038,Regions,0),MATCH(E1041,Scenarios,0))</f>
        <v>3</v>
      </c>
    </row>
    <row r="1045" spans="2:5" hidden="1" outlineLevel="1" x14ac:dyDescent="0.3">
      <c r="B1045" s="20" t="s">
        <v>37</v>
      </c>
      <c r="C1045" s="21">
        <f ca="1">ROUNDDOWN(C1044*INDEX(INDIRECT($B1037),MATCH($B1038,Regions,0),9)/(INDEX(INDIRECT($B1037),MATCH($B1038,Regions,0),3)+INDEX(INDIRECT($B1037),MATCH($B1038,Regions,0),2)),0)+IF(MOD(INDEX(INDIRECT($B1037),MATCH($B1038,Regions,0),9),INDEX(INDIRECT($B1037),MATCH($B1038,Regions,0),3)+INDEX(INDIRECT($B1037),MATCH($B1038,Regions,0),2))&lt;Buffer,0,1)</f>
        <v>4</v>
      </c>
      <c r="D1045" s="21">
        <f ca="1">ROUNDDOWN(D1044*INDEX(INDIRECT($B1037),MATCH($B1038,Regions,0),9)/(INDEX(INDIRECT($B1037),MATCH($B1038,Regions,0),3)+INDEX(INDIRECT($B1037),MATCH($B1038,Regions,0),2)),0)+IF(MOD(INDEX(INDIRECT($B1037),MATCH($B1038,Regions,0),9),INDEX(INDIRECT($B1037),MATCH($B1038,Regions,0),3)+INDEX(INDIRECT($B1037),MATCH($B1038,Regions,0),2))&lt;Buffer,0,1)</f>
        <v>9</v>
      </c>
      <c r="E1045" s="21">
        <f ca="1">ROUNDDOWN(E1044*INDEX(INDIRECT($B1037),MATCH($B1038,Regions,0),9)/(INDEX(INDIRECT($B1037),MATCH($B1038,Regions,0),3)+INDEX(INDIRECT($B1037),MATCH($B1038,Regions,0),2)),0)+IF(MOD(INDEX(INDIRECT($B1037),MATCH($B1038,Regions,0),9),INDEX(INDIRECT($B1037),MATCH($B1038,Regions,0),3)+INDEX(INDIRECT($B1037),MATCH($B1038,Regions,0),2))&lt;Buffer,0,1)</f>
        <v>14</v>
      </c>
    </row>
    <row r="1046" spans="2:5" hidden="1" outlineLevel="1" x14ac:dyDescent="0.3">
      <c r="B1046" s="20" t="s">
        <v>43</v>
      </c>
      <c r="C1046" s="21">
        <f ca="1">ROUNDDOWN(INDEX(INDIRECT($B1037),MATCH($B1038,Regions,0),8)*INDEX(INDIRECT($B1037),MATCH($B1038,Regions,0),10),0)</f>
        <v>36</v>
      </c>
      <c r="D1046" s="21">
        <f ca="1">ROUNDDOWN(INDEX(INDIRECT($B1037),MATCH($B1038,Regions,0),8)*INDEX(INDIRECT($B1037),MATCH($B1038,Regions,0),10),0)</f>
        <v>36</v>
      </c>
      <c r="E1046" s="21">
        <f ca="1">ROUNDDOWN(INDEX(INDIRECT($B1037),MATCH($B1038,Regions,0),8)*INDEX(INDIRECT($B1037),MATCH($B1038,Regions,0),10),0)</f>
        <v>36</v>
      </c>
    </row>
    <row r="1047" spans="2:5" hidden="1" outlineLevel="1" x14ac:dyDescent="0.3">
      <c r="B1047" s="26" t="s">
        <v>11</v>
      </c>
      <c r="C1047" s="27">
        <f ca="1">IFERROR(C1043/(C1046*C1045),NA())</f>
        <v>9.8052317131944431</v>
      </c>
      <c r="D1047" s="27">
        <f t="shared" ref="D1047:E1047" ca="1" si="164">IFERROR(D1043/(D1046*D1045),NA())</f>
        <v>4.3578807614197528</v>
      </c>
      <c r="E1047" s="27">
        <f t="shared" ca="1" si="164"/>
        <v>2.8014947751984125</v>
      </c>
    </row>
    <row r="1048" spans="2:5" hidden="1" outlineLevel="1" x14ac:dyDescent="0.3">
      <c r="B1048" s="12" t="s">
        <v>14</v>
      </c>
      <c r="C1048" s="28"/>
      <c r="D1048" s="29"/>
      <c r="E1048" s="30"/>
    </row>
    <row r="1049" spans="2:5" hidden="1" outlineLevel="1" x14ac:dyDescent="0.3">
      <c r="B1049" s="31" t="s">
        <v>38</v>
      </c>
      <c r="C1049" s="32">
        <f ca="1">IFERROR(C1043/C1047,0)</f>
        <v>144</v>
      </c>
      <c r="D1049" s="32">
        <f t="shared" ref="D1049:E1049" ca="1" si="165">IFERROR(D1043/D1047,0)</f>
        <v>324</v>
      </c>
      <c r="E1049" s="32">
        <f t="shared" ca="1" si="165"/>
        <v>504</v>
      </c>
    </row>
    <row r="1050" spans="2:5" hidden="1" outlineLevel="1" x14ac:dyDescent="0.3">
      <c r="B1050" s="20" t="s">
        <v>30</v>
      </c>
      <c r="C1050" s="33">
        <f ca="1">IF(C1049=0,0,INDEX(INDIRECT($B1037),MATCH($B1038,Regions,0),9)*C1044*C1046)</f>
        <v>288</v>
      </c>
      <c r="D1050" s="33">
        <f ca="1">IF(D1049=0,0,INDEX(INDIRECT($B1037),MATCH($B1038,Regions,0),9)*D1044*D1046)</f>
        <v>576</v>
      </c>
      <c r="E1050" s="33">
        <f ca="1">IF(E1049=0,0,INDEX(INDIRECT($B1037),MATCH($B1038,Regions,0),9)*E1044*E1046)</f>
        <v>864</v>
      </c>
    </row>
    <row r="1051" spans="2:5" hidden="1" outlineLevel="1" x14ac:dyDescent="0.3">
      <c r="B1051" s="20" t="s">
        <v>31</v>
      </c>
      <c r="C1051" s="33">
        <f ca="1">IFERROR(C1049*INDEX(INDIRECT($B1037),MATCH($B1038,Regions,0),4)/(7/INDEX(INDIRECT($B1037),MATCH($B1038,Regions,0),6)),0)</f>
        <v>21.887520737273228</v>
      </c>
      <c r="D1051" s="33">
        <f ca="1">IFERROR(D1049*INDEX(INDIRECT($B1037),MATCH($B1038,Regions,0),4)/(7/INDEX(INDIRECT($B1037),MATCH($B1038,Regions,0),6)),0)</f>
        <v>49.246921658864757</v>
      </c>
      <c r="E1051" s="33">
        <f ca="1">IFERROR(E1049*INDEX(INDIRECT($B1037),MATCH($B1038,Regions,0),4)/(7/INDEX(INDIRECT($B1037),MATCH($B1038,Regions,0),6)),0)</f>
        <v>76.606322580456293</v>
      </c>
    </row>
    <row r="1052" spans="2:5" hidden="1" outlineLevel="1" x14ac:dyDescent="0.3">
      <c r="B1052" s="20" t="s">
        <v>32</v>
      </c>
      <c r="C1052" s="33">
        <f ca="1">IFERROR(C1049*INDEX(INDIRECT($B1037),MATCH($B1038,Regions,0),5)/(7/INDEX(INDIRECT($B1037),MATCH($B1038,Regions,0),7)),0)</f>
        <v>0.15234656012452802</v>
      </c>
      <c r="D1052" s="33">
        <f ca="1">IFERROR(D1049*INDEX(INDIRECT($B1037),MATCH($B1038,Regions,0),5)/(7/INDEX(INDIRECT($B1037),MATCH($B1038,Regions,0),7)),0)</f>
        <v>0.34277976028018803</v>
      </c>
      <c r="E1052" s="33">
        <f ca="1">IFERROR(E1049*INDEX(INDIRECT($B1037),MATCH($B1038,Regions,0),5)/(7/INDEX(INDIRECT($B1037),MATCH($B1038,Regions,0),7)),0)</f>
        <v>0.53321296043584809</v>
      </c>
    </row>
    <row r="1053" spans="2:5" hidden="1" outlineLevel="1" x14ac:dyDescent="0.3">
      <c r="B1053" s="20"/>
      <c r="C1053" s="44"/>
      <c r="D1053" s="44"/>
      <c r="E1053" s="44"/>
    </row>
    <row r="1054" spans="2:5" hidden="1" outlineLevel="1" x14ac:dyDescent="0.3">
      <c r="B1054" s="10" t="s">
        <v>25</v>
      </c>
    </row>
    <row r="1055" spans="2:5" hidden="1" outlineLevel="1" x14ac:dyDescent="0.3">
      <c r="B1055" s="11" t="s">
        <v>111</v>
      </c>
    </row>
    <row r="1056" spans="2:5" hidden="1" outlineLevel="1" x14ac:dyDescent="0.3">
      <c r="B1056" s="11" t="s">
        <v>6</v>
      </c>
    </row>
    <row r="1057" spans="2:5" hidden="1" outlineLevel="1" x14ac:dyDescent="0.3"/>
    <row r="1058" spans="2:5" hidden="1" outlineLevel="1" x14ac:dyDescent="0.3">
      <c r="C1058" s="297" t="s">
        <v>12</v>
      </c>
      <c r="D1058" s="297"/>
      <c r="E1058" s="297"/>
    </row>
    <row r="1059" spans="2:5" ht="28.8" hidden="1" outlineLevel="1" x14ac:dyDescent="0.3">
      <c r="B1059" s="13" t="str">
        <f>B1055&amp;" - "&amp;B1056</f>
        <v>Benign_P4 - North</v>
      </c>
      <c r="C1059" s="14" t="str">
        <f>'Data Inputs'!$C$29</f>
        <v>Scenario 1:
+1 day a week</v>
      </c>
      <c r="D1059" s="14" t="str">
        <f>'Data Inputs'!$D$29</f>
        <v>Scenario 2:
+2 days a week</v>
      </c>
      <c r="E1059" s="71" t="str">
        <f>'Data Inputs'!$E$29</f>
        <v>Scenario 3:
+3 days a week</v>
      </c>
    </row>
    <row r="1060" spans="2:5" hidden="1" outlineLevel="1" x14ac:dyDescent="0.3">
      <c r="B1060" s="12" t="s">
        <v>21</v>
      </c>
      <c r="C1060" s="17"/>
      <c r="D1060" s="18"/>
      <c r="E1060" s="19"/>
    </row>
    <row r="1061" spans="2:5" hidden="1" outlineLevel="1" x14ac:dyDescent="0.3">
      <c r="B1061" s="20" t="s">
        <v>13</v>
      </c>
      <c r="C1061" s="21">
        <f ca="1">INDEX(INDIRECT($B1055),MATCH($B1056,Regions,0),1)</f>
        <v>6848.5021340000012</v>
      </c>
      <c r="D1061" s="21">
        <f ca="1">INDEX(INDIRECT($B1055),MATCH($B1056,Regions,0),1)</f>
        <v>6848.5021340000012</v>
      </c>
      <c r="E1061" s="21">
        <f ca="1">INDEX(INDIRECT($B1055),MATCH($B1056,Regions,0),1)</f>
        <v>6848.5021340000012</v>
      </c>
    </row>
    <row r="1062" spans="2:5" hidden="1" outlineLevel="1" x14ac:dyDescent="0.3">
      <c r="B1062" s="20" t="s">
        <v>20</v>
      </c>
      <c r="C1062" s="23">
        <f>INDEX(ScenarioInputs,MATCH($B1056,Regions,0),MATCH(C1059,Scenarios,0))</f>
        <v>1</v>
      </c>
      <c r="D1062" s="23">
        <f>INDEX(ScenarioInputs,MATCH($B1056,Regions,0),MATCH(D1059,Scenarios,0))</f>
        <v>2</v>
      </c>
      <c r="E1062" s="23">
        <f>INDEX(ScenarioInputs,MATCH($B1056,Regions,0),MATCH(E1059,Scenarios,0))</f>
        <v>3</v>
      </c>
    </row>
    <row r="1063" spans="2:5" hidden="1" outlineLevel="1" x14ac:dyDescent="0.3">
      <c r="B1063" s="20" t="s">
        <v>37</v>
      </c>
      <c r="C1063" s="21">
        <f ca="1">ROUNDDOWN(C1062*INDEX(INDIRECT($B1055),MATCH($B1056,Regions,0),9)/(INDEX(INDIRECT($B1055),MATCH($B1056,Regions,0),3)+INDEX(INDIRECT($B1055),MATCH($B1056,Regions,0),2)),0)+IF(MOD(INDEX(INDIRECT($B1055),MATCH($B1056,Regions,0),9),INDEX(INDIRECT($B1055),MATCH($B1056,Regions,0),3)+INDEX(INDIRECT($B1055),MATCH($B1056,Regions,0),2))&lt;Buffer,0,1)</f>
        <v>5</v>
      </c>
      <c r="D1063" s="21">
        <f ca="1">ROUNDDOWN(D1062*INDEX(INDIRECT($B1055),MATCH($B1056,Regions,0),9)/(INDEX(INDIRECT($B1055),MATCH($B1056,Regions,0),3)+INDEX(INDIRECT($B1055),MATCH($B1056,Regions,0),2)),0)+IF(MOD(INDEX(INDIRECT($B1055),MATCH($B1056,Regions,0),9),INDEX(INDIRECT($B1055),MATCH($B1056,Regions,0),3)+INDEX(INDIRECT($B1055),MATCH($B1056,Regions,0),2))&lt;Buffer,0,1)</f>
        <v>11</v>
      </c>
      <c r="E1063" s="21">
        <f ca="1">ROUNDDOWN(E1062*INDEX(INDIRECT($B1055),MATCH($B1056,Regions,0),9)/(INDEX(INDIRECT($B1055),MATCH($B1056,Regions,0),3)+INDEX(INDIRECT($B1055),MATCH($B1056,Regions,0),2)),0)+IF(MOD(INDEX(INDIRECT($B1055),MATCH($B1056,Regions,0),9),INDEX(INDIRECT($B1055),MATCH($B1056,Regions,0),3)+INDEX(INDIRECT($B1055),MATCH($B1056,Regions,0),2))&lt;Buffer,0,1)</f>
        <v>17</v>
      </c>
    </row>
    <row r="1064" spans="2:5" hidden="1" outlineLevel="1" x14ac:dyDescent="0.3">
      <c r="B1064" s="20" t="s">
        <v>43</v>
      </c>
      <c r="C1064" s="21">
        <f ca="1">ROUNDDOWN(INDEX(INDIRECT($B1055),MATCH($B1056,Regions,0),8)*INDEX(INDIRECT($B1055),MATCH($B1056,Regions,0),10),0)</f>
        <v>36</v>
      </c>
      <c r="D1064" s="21">
        <f ca="1">ROUNDDOWN(INDEX(INDIRECT($B1055),MATCH($B1056,Regions,0),8)*INDEX(INDIRECT($B1055),MATCH($B1056,Regions,0),10),0)</f>
        <v>36</v>
      </c>
      <c r="E1064" s="21">
        <f ca="1">ROUNDDOWN(INDEX(INDIRECT($B1055),MATCH($B1056,Regions,0),8)*INDEX(INDIRECT($B1055),MATCH($B1056,Regions,0),10),0)</f>
        <v>36</v>
      </c>
    </row>
    <row r="1065" spans="2:5" hidden="1" outlineLevel="1" x14ac:dyDescent="0.3">
      <c r="B1065" s="26" t="s">
        <v>11</v>
      </c>
      <c r="C1065" s="27">
        <f ca="1">IFERROR(C1061/(C1064*C1063),NA())</f>
        <v>38.047234077777787</v>
      </c>
      <c r="D1065" s="27">
        <f t="shared" ref="D1065:E1065" ca="1" si="166">IFERROR(D1061/(D1064*D1063),NA())</f>
        <v>17.294197308080811</v>
      </c>
      <c r="E1065" s="27">
        <f t="shared" ca="1" si="166"/>
        <v>11.190362964052289</v>
      </c>
    </row>
    <row r="1066" spans="2:5" hidden="1" outlineLevel="1" x14ac:dyDescent="0.3">
      <c r="B1066" s="12" t="s">
        <v>14</v>
      </c>
      <c r="C1066" s="28"/>
      <c r="D1066" s="29"/>
      <c r="E1066" s="30"/>
    </row>
    <row r="1067" spans="2:5" hidden="1" outlineLevel="1" x14ac:dyDescent="0.3">
      <c r="B1067" s="31" t="s">
        <v>38</v>
      </c>
      <c r="C1067" s="32">
        <f ca="1">IFERROR(C1061/C1065,0)</f>
        <v>180</v>
      </c>
      <c r="D1067" s="32">
        <f t="shared" ref="D1067:E1067" ca="1" si="167">IFERROR(D1061/D1065,0)</f>
        <v>396</v>
      </c>
      <c r="E1067" s="32">
        <f t="shared" ca="1" si="167"/>
        <v>612</v>
      </c>
    </row>
    <row r="1068" spans="2:5" hidden="1" outlineLevel="1" x14ac:dyDescent="0.3">
      <c r="B1068" s="20" t="s">
        <v>30</v>
      </c>
      <c r="C1068" s="33">
        <f ca="1">IF(C1067=0,0,INDEX(INDIRECT($B1055),MATCH($B1056,Regions,0),9)*C1062*C1064)</f>
        <v>288</v>
      </c>
      <c r="D1068" s="33">
        <f ca="1">IF(D1067=0,0,INDEX(INDIRECT($B1055),MATCH($B1056,Regions,0),9)*D1062*D1064)</f>
        <v>576</v>
      </c>
      <c r="E1068" s="33">
        <f ca="1">IF(E1067=0,0,INDEX(INDIRECT($B1055),MATCH($B1056,Regions,0),9)*E1062*E1064)</f>
        <v>864</v>
      </c>
    </row>
    <row r="1069" spans="2:5" hidden="1" outlineLevel="1" x14ac:dyDescent="0.3">
      <c r="B1069" s="20" t="s">
        <v>31</v>
      </c>
      <c r="C1069" s="33">
        <f ca="1">IFERROR(C1067*INDEX(INDIRECT($B1055),MATCH($B1056,Regions,0),4)/(7/INDEX(INDIRECT($B1055),MATCH($B1056,Regions,0),6)),0)</f>
        <v>14.075212938889626</v>
      </c>
      <c r="D1069" s="33">
        <f ca="1">IFERROR(D1067*INDEX(INDIRECT($B1055),MATCH($B1056,Regions,0),4)/(7/INDEX(INDIRECT($B1055),MATCH($B1056,Regions,0),6)),0)</f>
        <v>30.965468465557183</v>
      </c>
      <c r="E1069" s="33">
        <f ca="1">IFERROR(E1067*INDEX(INDIRECT($B1055),MATCH($B1056,Regions,0),4)/(7/INDEX(INDIRECT($B1055),MATCH($B1056,Regions,0),6)),0)</f>
        <v>47.855723992224739</v>
      </c>
    </row>
    <row r="1070" spans="2:5" hidden="1" outlineLevel="1" x14ac:dyDescent="0.3">
      <c r="B1070" s="20" t="s">
        <v>32</v>
      </c>
      <c r="C1070" s="33">
        <f ca="1">IFERROR(C1067*INDEX(INDIRECT($B1055),MATCH($B1056,Regions,0),5)/(7/INDEX(INDIRECT($B1055),MATCH($B1056,Regions,0),7)),0)</f>
        <v>8.6519639561759999E-3</v>
      </c>
      <c r="D1070" s="33">
        <f ca="1">IFERROR(D1067*INDEX(INDIRECT($B1055),MATCH($B1056,Regions,0),5)/(7/INDEX(INDIRECT($B1055),MATCH($B1056,Regions,0),7)),0)</f>
        <v>1.9034320703587199E-2</v>
      </c>
      <c r="E1070" s="33">
        <f ca="1">IFERROR(E1067*INDEX(INDIRECT($B1055),MATCH($B1056,Regions,0),5)/(7/INDEX(INDIRECT($B1055),MATCH($B1056,Regions,0),7)),0)</f>
        <v>2.9416677450998397E-2</v>
      </c>
    </row>
    <row r="1071" spans="2:5" hidden="1" outlineLevel="1" x14ac:dyDescent="0.3">
      <c r="B1071" s="20"/>
      <c r="C1071" s="44"/>
      <c r="D1071" s="44"/>
      <c r="E1071" s="44"/>
    </row>
    <row r="1072" spans="2:5" hidden="1" outlineLevel="1" x14ac:dyDescent="0.3">
      <c r="B1072" s="10" t="s">
        <v>25</v>
      </c>
    </row>
    <row r="1073" spans="2:5" hidden="1" outlineLevel="1" x14ac:dyDescent="0.3">
      <c r="B1073" s="11" t="s">
        <v>112</v>
      </c>
    </row>
    <row r="1074" spans="2:5" hidden="1" outlineLevel="1" x14ac:dyDescent="0.3">
      <c r="B1074" s="11" t="s">
        <v>6</v>
      </c>
    </row>
    <row r="1075" spans="2:5" hidden="1" outlineLevel="1" x14ac:dyDescent="0.3"/>
    <row r="1076" spans="2:5" hidden="1" outlineLevel="1" x14ac:dyDescent="0.3">
      <c r="C1076" s="297" t="s">
        <v>12</v>
      </c>
      <c r="D1076" s="297"/>
      <c r="E1076" s="297"/>
    </row>
    <row r="1077" spans="2:5" ht="28.8" hidden="1" outlineLevel="1" x14ac:dyDescent="0.3">
      <c r="B1077" s="13" t="str">
        <f>B1073&amp;" - "&amp;B1074</f>
        <v>Pediatric_P2P3 - North</v>
      </c>
      <c r="C1077" s="14" t="str">
        <f>'Data Inputs'!$C$29</f>
        <v>Scenario 1:
+1 day a week</v>
      </c>
      <c r="D1077" s="14" t="str">
        <f>'Data Inputs'!$D$29</f>
        <v>Scenario 2:
+2 days a week</v>
      </c>
      <c r="E1077" s="71" t="str">
        <f>'Data Inputs'!$E$29</f>
        <v>Scenario 3:
+3 days a week</v>
      </c>
    </row>
    <row r="1078" spans="2:5" hidden="1" outlineLevel="1" x14ac:dyDescent="0.3">
      <c r="B1078" s="12" t="s">
        <v>21</v>
      </c>
      <c r="C1078" s="17"/>
      <c r="D1078" s="18"/>
      <c r="E1078" s="19"/>
    </row>
    <row r="1079" spans="2:5" hidden="1" outlineLevel="1" x14ac:dyDescent="0.3">
      <c r="B1079" s="20" t="s">
        <v>13</v>
      </c>
      <c r="C1079" s="21">
        <f ca="1">INDEX(INDIRECT($B1073),MATCH($B1074,Regions,0),1)</f>
        <v>239</v>
      </c>
      <c r="D1079" s="21">
        <f ca="1">INDEX(INDIRECT($B1073),MATCH($B1074,Regions,0),1)</f>
        <v>239</v>
      </c>
      <c r="E1079" s="21">
        <f ca="1">INDEX(INDIRECT($B1073),MATCH($B1074,Regions,0),1)</f>
        <v>239</v>
      </c>
    </row>
    <row r="1080" spans="2:5" hidden="1" outlineLevel="1" x14ac:dyDescent="0.3">
      <c r="B1080" s="20" t="s">
        <v>20</v>
      </c>
      <c r="C1080" s="23">
        <f>INDEX(ScenarioInputs,MATCH($B1074,Regions,0),MATCH(C1077,Scenarios,0))</f>
        <v>1</v>
      </c>
      <c r="D1080" s="23">
        <f>INDEX(ScenarioInputs,MATCH($B1074,Regions,0),MATCH(D1077,Scenarios,0))</f>
        <v>2</v>
      </c>
      <c r="E1080" s="23">
        <f>INDEX(ScenarioInputs,MATCH($B1074,Regions,0),MATCH(E1077,Scenarios,0))</f>
        <v>3</v>
      </c>
    </row>
    <row r="1081" spans="2:5" hidden="1" outlineLevel="1" x14ac:dyDescent="0.3">
      <c r="B1081" s="20" t="s">
        <v>37</v>
      </c>
      <c r="C1081" s="21">
        <f ca="1">ROUNDDOWN(C1080*INDEX(INDIRECT($B1073),MATCH($B1074,Regions,0),9)/(INDEX(INDIRECT($B1073),MATCH($B1074,Regions,0),3)+INDEX(INDIRECT($B1073),MATCH($B1074,Regions,0),2)),0)+IF(MOD(INDEX(INDIRECT($B1073),MATCH($B1074,Regions,0),9),INDEX(INDIRECT($B1073),MATCH($B1074,Regions,0),3)+INDEX(INDIRECT($B1073),MATCH($B1074,Regions,0),2))&lt;Buffer,0,1)</f>
        <v>5</v>
      </c>
      <c r="D1081" s="21">
        <f ca="1">ROUNDDOWN(D1080*INDEX(INDIRECT($B1073),MATCH($B1074,Regions,0),9)/(INDEX(INDIRECT($B1073),MATCH($B1074,Regions,0),3)+INDEX(INDIRECT($B1073),MATCH($B1074,Regions,0),2)),0)+IF(MOD(INDEX(INDIRECT($B1073),MATCH($B1074,Regions,0),9),INDEX(INDIRECT($B1073),MATCH($B1074,Regions,0),3)+INDEX(INDIRECT($B1073),MATCH($B1074,Regions,0),2))&lt;Buffer,0,1)</f>
        <v>10</v>
      </c>
      <c r="E1081" s="21">
        <f ca="1">ROUNDDOWN(E1080*INDEX(INDIRECT($B1073),MATCH($B1074,Regions,0),9)/(INDEX(INDIRECT($B1073),MATCH($B1074,Regions,0),3)+INDEX(INDIRECT($B1073),MATCH($B1074,Regions,0),2)),0)+IF(MOD(INDEX(INDIRECT($B1073),MATCH($B1074,Regions,0),9),INDEX(INDIRECT($B1073),MATCH($B1074,Regions,0),3)+INDEX(INDIRECT($B1073),MATCH($B1074,Regions,0),2))&lt;Buffer,0,1)</f>
        <v>15</v>
      </c>
    </row>
    <row r="1082" spans="2:5" hidden="1" outlineLevel="1" x14ac:dyDescent="0.3">
      <c r="B1082" s="20" t="s">
        <v>43</v>
      </c>
      <c r="C1082" s="21">
        <f ca="1">ROUNDDOWN(INDEX(INDIRECT($B1073),MATCH($B1074,Regions,0),8)*INDEX(INDIRECT($B1073),MATCH($B1074,Regions,0),10),0)</f>
        <v>30</v>
      </c>
      <c r="D1082" s="21">
        <f ca="1">ROUNDDOWN(INDEX(INDIRECT($B1073),MATCH($B1074,Regions,0),8)*INDEX(INDIRECT($B1073),MATCH($B1074,Regions,0),10),0)</f>
        <v>30</v>
      </c>
      <c r="E1082" s="21">
        <f ca="1">ROUNDDOWN(INDEX(INDIRECT($B1073),MATCH($B1074,Regions,0),8)*INDEX(INDIRECT($B1073),MATCH($B1074,Regions,0),10),0)</f>
        <v>30</v>
      </c>
    </row>
    <row r="1083" spans="2:5" hidden="1" outlineLevel="1" x14ac:dyDescent="0.3">
      <c r="B1083" s="26" t="s">
        <v>11</v>
      </c>
      <c r="C1083" s="27">
        <f ca="1">IFERROR(C1079/(C1082*C1081),NA())</f>
        <v>1.5933333333333333</v>
      </c>
      <c r="D1083" s="27">
        <f t="shared" ref="D1083:E1083" ca="1" si="168">IFERROR(D1079/(D1082*D1081),NA())</f>
        <v>0.79666666666666663</v>
      </c>
      <c r="E1083" s="27">
        <f t="shared" ca="1" si="168"/>
        <v>0.53111111111111109</v>
      </c>
    </row>
    <row r="1084" spans="2:5" hidden="1" outlineLevel="1" x14ac:dyDescent="0.3">
      <c r="B1084" s="12" t="s">
        <v>14</v>
      </c>
      <c r="C1084" s="28"/>
      <c r="D1084" s="29"/>
      <c r="E1084" s="30"/>
    </row>
    <row r="1085" spans="2:5" hidden="1" outlineLevel="1" x14ac:dyDescent="0.3">
      <c r="B1085" s="31" t="s">
        <v>38</v>
      </c>
      <c r="C1085" s="32">
        <f ca="1">IFERROR(C1079/C1083,0)</f>
        <v>150</v>
      </c>
      <c r="D1085" s="32">
        <f t="shared" ref="D1085:E1085" ca="1" si="169">IFERROR(D1079/D1083,0)</f>
        <v>300</v>
      </c>
      <c r="E1085" s="32">
        <f t="shared" ca="1" si="169"/>
        <v>450</v>
      </c>
    </row>
    <row r="1086" spans="2:5" hidden="1" outlineLevel="1" x14ac:dyDescent="0.3">
      <c r="B1086" s="20" t="s">
        <v>30</v>
      </c>
      <c r="C1086" s="33">
        <f ca="1">IF(C1085=0,0,INDEX(INDIRECT($B1073),MATCH($B1074,Regions,0),9)*C1080*C1082)</f>
        <v>240</v>
      </c>
      <c r="D1086" s="33">
        <f ca="1">IF(D1085=0,0,INDEX(INDIRECT($B1073),MATCH($B1074,Regions,0),9)*D1080*D1082)</f>
        <v>480</v>
      </c>
      <c r="E1086" s="33">
        <f ca="1">IF(E1085=0,0,INDEX(INDIRECT($B1073),MATCH($B1074,Regions,0),9)*E1080*E1082)</f>
        <v>720</v>
      </c>
    </row>
    <row r="1087" spans="2:5" hidden="1" outlineLevel="1" x14ac:dyDescent="0.3">
      <c r="B1087" s="20" t="s">
        <v>31</v>
      </c>
      <c r="C1087" s="33">
        <f ca="1">IFERROR(C1085*INDEX(INDIRECT($B1073),MATCH($B1074,Regions,0),4)/(7/INDEX(INDIRECT($B1073),MATCH($B1074,Regions,0),6)),0)</f>
        <v>2.9204688415178568</v>
      </c>
      <c r="D1087" s="33">
        <f ca="1">IFERROR(D1085*INDEX(INDIRECT($B1073),MATCH($B1074,Regions,0),4)/(7/INDEX(INDIRECT($B1073),MATCH($B1074,Regions,0),6)),0)</f>
        <v>5.8409376830357136</v>
      </c>
      <c r="E1087" s="33">
        <f ca="1">IFERROR(E1085*INDEX(INDIRECT($B1073),MATCH($B1074,Regions,0),4)/(7/INDEX(INDIRECT($B1073),MATCH($B1074,Regions,0),6)),0)</f>
        <v>8.7614065245535713</v>
      </c>
    </row>
    <row r="1088" spans="2:5" hidden="1" outlineLevel="1" x14ac:dyDescent="0.3">
      <c r="B1088" s="20" t="s">
        <v>32</v>
      </c>
      <c r="C1088" s="33">
        <f ca="1">IFERROR(C1085*INDEX(INDIRECT($B1073),MATCH($B1074,Regions,0),5)/(7/INDEX(INDIRECT($B1073),MATCH($B1074,Regions,0),7)),0)</f>
        <v>1.2094853547828858E-2</v>
      </c>
      <c r="D1088" s="33">
        <f ca="1">IFERROR(D1085*INDEX(INDIRECT($B1073),MATCH($B1074,Regions,0),5)/(7/INDEX(INDIRECT($B1073),MATCH($B1074,Regions,0),7)),0)</f>
        <v>2.4189707095657716E-2</v>
      </c>
      <c r="E1088" s="33">
        <f ca="1">IFERROR(E1085*INDEX(INDIRECT($B1073),MATCH($B1074,Regions,0),5)/(7/INDEX(INDIRECT($B1073),MATCH($B1074,Regions,0),7)),0)</f>
        <v>3.6284560643486577E-2</v>
      </c>
    </row>
    <row r="1089" spans="2:5" hidden="1" outlineLevel="1" x14ac:dyDescent="0.3">
      <c r="B1089" s="20"/>
      <c r="C1089" s="44"/>
      <c r="D1089" s="44"/>
      <c r="E1089" s="44"/>
    </row>
    <row r="1090" spans="2:5" hidden="1" outlineLevel="1" x14ac:dyDescent="0.3">
      <c r="B1090" s="10" t="s">
        <v>25</v>
      </c>
    </row>
    <row r="1091" spans="2:5" hidden="1" outlineLevel="1" x14ac:dyDescent="0.3">
      <c r="B1091" s="11" t="s">
        <v>113</v>
      </c>
    </row>
    <row r="1092" spans="2:5" hidden="1" outlineLevel="1" x14ac:dyDescent="0.3">
      <c r="B1092" s="11" t="s">
        <v>6</v>
      </c>
    </row>
    <row r="1093" spans="2:5" hidden="1" outlineLevel="1" x14ac:dyDescent="0.3"/>
    <row r="1094" spans="2:5" hidden="1" outlineLevel="1" x14ac:dyDescent="0.3">
      <c r="C1094" s="297" t="s">
        <v>12</v>
      </c>
      <c r="D1094" s="297"/>
      <c r="E1094" s="297"/>
    </row>
    <row r="1095" spans="2:5" ht="28.8" hidden="1" outlineLevel="1" x14ac:dyDescent="0.3">
      <c r="B1095" s="13" t="str">
        <f>B1091&amp;" - "&amp;B1092</f>
        <v>Pediatric_P4 - North</v>
      </c>
      <c r="C1095" s="14" t="str">
        <f>'Data Inputs'!$C$29</f>
        <v>Scenario 1:
+1 day a week</v>
      </c>
      <c r="D1095" s="14" t="str">
        <f>'Data Inputs'!$D$29</f>
        <v>Scenario 2:
+2 days a week</v>
      </c>
      <c r="E1095" s="71" t="str">
        <f>'Data Inputs'!$E$29</f>
        <v>Scenario 3:
+3 days a week</v>
      </c>
    </row>
    <row r="1096" spans="2:5" hidden="1" outlineLevel="1" x14ac:dyDescent="0.3">
      <c r="B1096" s="12" t="s">
        <v>21</v>
      </c>
      <c r="C1096" s="17"/>
      <c r="D1096" s="18"/>
      <c r="E1096" s="19"/>
    </row>
    <row r="1097" spans="2:5" hidden="1" outlineLevel="1" x14ac:dyDescent="0.3">
      <c r="B1097" s="20" t="s">
        <v>13</v>
      </c>
      <c r="C1097" s="21">
        <f ca="1">INDEX(INDIRECT($B1091),MATCH($B1092,Regions,0),1)</f>
        <v>540.46278611999992</v>
      </c>
      <c r="D1097" s="21">
        <f ca="1">INDEX(INDIRECT($B1091),MATCH($B1092,Regions,0),1)</f>
        <v>540.46278611999992</v>
      </c>
      <c r="E1097" s="21">
        <f ca="1">INDEX(INDIRECT($B1091),MATCH($B1092,Regions,0),1)</f>
        <v>540.46278611999992</v>
      </c>
    </row>
    <row r="1098" spans="2:5" hidden="1" outlineLevel="1" x14ac:dyDescent="0.3">
      <c r="B1098" s="20" t="s">
        <v>20</v>
      </c>
      <c r="C1098" s="23">
        <f>INDEX(ScenarioInputs,MATCH($B1092,Regions,0),MATCH(C1095,Scenarios,0))</f>
        <v>1</v>
      </c>
      <c r="D1098" s="23">
        <f>INDEX(ScenarioInputs,MATCH($B1092,Regions,0),MATCH(D1095,Scenarios,0))</f>
        <v>2</v>
      </c>
      <c r="E1098" s="23">
        <f>INDEX(ScenarioInputs,MATCH($B1092,Regions,0),MATCH(E1095,Scenarios,0))</f>
        <v>3</v>
      </c>
    </row>
    <row r="1099" spans="2:5" hidden="1" outlineLevel="1" x14ac:dyDescent="0.3">
      <c r="B1099" s="20" t="s">
        <v>37</v>
      </c>
      <c r="C1099" s="21">
        <f ca="1">ROUNDDOWN(C1098*INDEX(INDIRECT($B1091),MATCH($B1092,Regions,0),9)/(INDEX(INDIRECT($B1091),MATCH($B1092,Regions,0),3)+INDEX(INDIRECT($B1091),MATCH($B1092,Regions,0),2)),0)+IF(MOD(INDEX(INDIRECT($B1091),MATCH($B1092,Regions,0),9),INDEX(INDIRECT($B1091),MATCH($B1092,Regions,0),3)+INDEX(INDIRECT($B1091),MATCH($B1092,Regions,0),2))&lt;Buffer,0,1)</f>
        <v>6</v>
      </c>
      <c r="D1099" s="21">
        <f ca="1">ROUNDDOWN(D1098*INDEX(INDIRECT($B1091),MATCH($B1092,Regions,0),9)/(INDEX(INDIRECT($B1091),MATCH($B1092,Regions,0),3)+INDEX(INDIRECT($B1091),MATCH($B1092,Regions,0),2)),0)+IF(MOD(INDEX(INDIRECT($B1091),MATCH($B1092,Regions,0),9),INDEX(INDIRECT($B1091),MATCH($B1092,Regions,0),3)+INDEX(INDIRECT($B1091),MATCH($B1092,Regions,0),2))&lt;Buffer,0,1)</f>
        <v>12</v>
      </c>
      <c r="E1099" s="21">
        <f ca="1">ROUNDDOWN(E1098*INDEX(INDIRECT($B1091),MATCH($B1092,Regions,0),9)/(INDEX(INDIRECT($B1091),MATCH($B1092,Regions,0),3)+INDEX(INDIRECT($B1091),MATCH($B1092,Regions,0),2)),0)+IF(MOD(INDEX(INDIRECT($B1091),MATCH($B1092,Regions,0),9),INDEX(INDIRECT($B1091),MATCH($B1092,Regions,0),3)+INDEX(INDIRECT($B1091),MATCH($B1092,Regions,0),2))&lt;Buffer,0,1)</f>
        <v>18</v>
      </c>
    </row>
    <row r="1100" spans="2:5" hidden="1" outlineLevel="1" x14ac:dyDescent="0.3">
      <c r="B1100" s="20" t="s">
        <v>43</v>
      </c>
      <c r="C1100" s="21">
        <f ca="1">ROUNDDOWN(INDEX(INDIRECT($B1091),MATCH($B1092,Regions,0),8)*INDEX(INDIRECT($B1091),MATCH($B1092,Regions,0),10),0)</f>
        <v>30</v>
      </c>
      <c r="D1100" s="21">
        <f ca="1">ROUNDDOWN(INDEX(INDIRECT($B1091),MATCH($B1092,Regions,0),8)*INDEX(INDIRECT($B1091),MATCH($B1092,Regions,0),10),0)</f>
        <v>30</v>
      </c>
      <c r="E1100" s="21">
        <f ca="1">ROUNDDOWN(INDEX(INDIRECT($B1091),MATCH($B1092,Regions,0),8)*INDEX(INDIRECT($B1091),MATCH($B1092,Regions,0),10),0)</f>
        <v>30</v>
      </c>
    </row>
    <row r="1101" spans="2:5" hidden="1" outlineLevel="1" x14ac:dyDescent="0.3">
      <c r="B1101" s="26" t="s">
        <v>11</v>
      </c>
      <c r="C1101" s="27">
        <f ca="1">IFERROR(C1097/(C1100*C1099),NA())</f>
        <v>3.0025710339999994</v>
      </c>
      <c r="D1101" s="27">
        <f t="shared" ref="D1101:E1101" ca="1" si="170">IFERROR(D1097/(D1100*D1099),NA())</f>
        <v>1.5012855169999997</v>
      </c>
      <c r="E1101" s="27">
        <f t="shared" ca="1" si="170"/>
        <v>1.0008570113333333</v>
      </c>
    </row>
    <row r="1102" spans="2:5" hidden="1" outlineLevel="1" x14ac:dyDescent="0.3">
      <c r="B1102" s="12" t="s">
        <v>14</v>
      </c>
      <c r="C1102" s="28"/>
      <c r="D1102" s="29"/>
      <c r="E1102" s="30"/>
    </row>
    <row r="1103" spans="2:5" hidden="1" outlineLevel="1" x14ac:dyDescent="0.3">
      <c r="B1103" s="31" t="s">
        <v>38</v>
      </c>
      <c r="C1103" s="32">
        <f ca="1">IFERROR(C1097/C1101,0)</f>
        <v>180</v>
      </c>
      <c r="D1103" s="32">
        <f t="shared" ref="D1103:E1103" ca="1" si="171">IFERROR(D1097/D1101,0)</f>
        <v>360</v>
      </c>
      <c r="E1103" s="32">
        <f t="shared" ca="1" si="171"/>
        <v>540</v>
      </c>
    </row>
    <row r="1104" spans="2:5" hidden="1" outlineLevel="1" x14ac:dyDescent="0.3">
      <c r="B1104" s="20" t="s">
        <v>30</v>
      </c>
      <c r="C1104" s="33">
        <f ca="1">IF(C1103=0,0,INDEX(INDIRECT($B1091),MATCH($B1092,Regions,0),9)*C1098*C1100)</f>
        <v>240</v>
      </c>
      <c r="D1104" s="33">
        <f ca="1">IF(D1103=0,0,INDEX(INDIRECT($B1091),MATCH($B1092,Regions,0),9)*D1098*D1100)</f>
        <v>480</v>
      </c>
      <c r="E1104" s="33">
        <f ca="1">IF(E1103=0,0,INDEX(INDIRECT($B1091),MATCH($B1092,Regions,0),9)*E1098*E1100)</f>
        <v>720</v>
      </c>
    </row>
    <row r="1105" spans="2:5" hidden="1" outlineLevel="1" x14ac:dyDescent="0.3">
      <c r="B1105" s="20" t="s">
        <v>31</v>
      </c>
      <c r="C1105" s="33">
        <f ca="1">IFERROR(C1103*INDEX(INDIRECT($B1091),MATCH($B1092,Regions,0),4)/(7/INDEX(INDIRECT($B1091),MATCH($B1092,Regions,0),6)),0)</f>
        <v>1.4058435362549555</v>
      </c>
      <c r="D1105" s="33">
        <f ca="1">IFERROR(D1103*INDEX(INDIRECT($B1091),MATCH($B1092,Regions,0),4)/(7/INDEX(INDIRECT($B1091),MATCH($B1092,Regions,0),6)),0)</f>
        <v>2.811687072509911</v>
      </c>
      <c r="E1105" s="33">
        <f ca="1">IFERROR(E1103*INDEX(INDIRECT($B1091),MATCH($B1092,Regions,0),4)/(7/INDEX(INDIRECT($B1091),MATCH($B1092,Regions,0),6)),0)</f>
        <v>4.2175306087648661</v>
      </c>
    </row>
    <row r="1106" spans="2:5" hidden="1" outlineLevel="1" x14ac:dyDescent="0.3">
      <c r="B1106" s="20" t="s">
        <v>32</v>
      </c>
      <c r="C1106" s="33">
        <f ca="1">IFERROR(C1103*INDEX(INDIRECT($B1091),MATCH($B1092,Regions,0),5)/(7/INDEX(INDIRECT($B1091),MATCH($B1092,Regions,0),7)),0)</f>
        <v>2.4846702761571429E-4</v>
      </c>
      <c r="D1106" s="33">
        <f ca="1">IFERROR(D1103*INDEX(INDIRECT($B1091),MATCH($B1092,Regions,0),5)/(7/INDEX(INDIRECT($B1091),MATCH($B1092,Regions,0),7)),0)</f>
        <v>4.9693405523142857E-4</v>
      </c>
      <c r="E1106" s="33">
        <f ca="1">IFERROR(E1103*INDEX(INDIRECT($B1091),MATCH($B1092,Regions,0),5)/(7/INDEX(INDIRECT($B1091),MATCH($B1092,Regions,0),7)),0)</f>
        <v>7.4540108284714291E-4</v>
      </c>
    </row>
    <row r="1107" spans="2:5" hidden="1" outlineLevel="1" x14ac:dyDescent="0.3"/>
    <row r="1108" spans="2:5" collapsed="1" x14ac:dyDescent="0.3"/>
    <row r="1109" spans="2:5" x14ac:dyDescent="0.3">
      <c r="C1109" s="298" t="s">
        <v>12</v>
      </c>
      <c r="D1109" s="299"/>
      <c r="E1109" s="300"/>
    </row>
    <row r="1110" spans="2:5" ht="28.8" x14ac:dyDescent="0.3">
      <c r="B1110" s="13" t="s">
        <v>41</v>
      </c>
      <c r="C1110" s="14" t="str">
        <f>'Data Inputs'!$C$29</f>
        <v>Scenario 1:
+1 day a week</v>
      </c>
      <c r="D1110" s="14" t="str">
        <f>'Data Inputs'!$D$29</f>
        <v>Scenario 2:
+2 days a week</v>
      </c>
      <c r="E1110" s="71" t="str">
        <f>'Data Inputs'!$E$29</f>
        <v>Scenario 3:
+3 days a week</v>
      </c>
    </row>
    <row r="1111" spans="2:5" x14ac:dyDescent="0.3">
      <c r="B1111" s="12" t="s">
        <v>21</v>
      </c>
      <c r="C1111" s="17"/>
      <c r="D1111" s="18"/>
      <c r="E1111" s="19"/>
    </row>
    <row r="1112" spans="2:5" x14ac:dyDescent="0.3">
      <c r="B1112" s="20" t="s">
        <v>13</v>
      </c>
      <c r="C1112" s="21">
        <f ca="1">SUMIF($B1128:$B1347,$B1112,C1128:C1347)</f>
        <v>148364.0959769875</v>
      </c>
      <c r="D1112" s="21">
        <f ca="1">SUMIF($B1128:$B1347,$B1112,D1128:D1347)</f>
        <v>148364.0959769875</v>
      </c>
      <c r="E1112" s="21">
        <f ca="1">SUMIF($B1128:$B1347,$B1112,E1128:E1347)</f>
        <v>148364.0959769875</v>
      </c>
    </row>
    <row r="1113" spans="2:5" x14ac:dyDescent="0.3">
      <c r="B1113" s="26" t="s">
        <v>11</v>
      </c>
      <c r="C1113" s="33">
        <f ca="1">SUMIF($B1128:$B1347,$B1113,C1128:C1347)</f>
        <v>86.189457165773078</v>
      </c>
      <c r="D1113" s="33">
        <f t="shared" ref="D1113:E1113" ca="1" si="172">SUMIF($B1128:$B1347,$B1113,D1128:D1347)</f>
        <v>39.823438675658551</v>
      </c>
      <c r="E1113" s="33">
        <f t="shared" ca="1" si="172"/>
        <v>27.280519765618955</v>
      </c>
    </row>
    <row r="1114" spans="2:5" x14ac:dyDescent="0.3">
      <c r="B1114" s="12" t="s">
        <v>14</v>
      </c>
      <c r="C1114" s="28"/>
      <c r="D1114" s="29"/>
      <c r="E1114" s="30"/>
    </row>
    <row r="1115" spans="2:5" x14ac:dyDescent="0.3">
      <c r="B1115" s="31" t="s">
        <v>38</v>
      </c>
      <c r="C1115" s="33">
        <f ca="1">C1112/C1113</f>
        <v>1721.3717414605642</v>
      </c>
      <c r="D1115" s="33">
        <f t="shared" ref="D1115:E1115" ca="1" si="173">D1112/D1113</f>
        <v>3725.5470876168392</v>
      </c>
      <c r="E1115" s="33">
        <f t="shared" ca="1" si="173"/>
        <v>5438.4629490808875</v>
      </c>
    </row>
    <row r="1116" spans="2:5" x14ac:dyDescent="0.3">
      <c r="B1116" s="20" t="s">
        <v>114</v>
      </c>
      <c r="C1116" s="33">
        <f ca="1">(C1135*C$923+C$941*C1153+C$959*C1171+C$977*C1189+C$995*C1207+C$1013*C1225+C$1031*C1243+C$1049*C1261+C$1067*C1279+C$1085*C1297+C$1103*C1315)/SUM(C$923+C$941+C$959+C$977+C$995+C$1013+C$1031+C$1049+C$1067+C$1085+C$1103)</f>
        <v>2787.5944186046513</v>
      </c>
      <c r="D1116" s="33">
        <f t="shared" ref="D1116:E1116" ca="1" si="174">(D1135*D$923+D$941*D1153+D$959*D1171+D$977*D1189+D$995*D1207+D$1013*D1225+D$1031*D1243+D$1049*D1261+D$1067*D1279+D$1085*D1297+D$1103*D1315)/SUM(D$923+D$941+D$959+D$977+D$995+D$1013+D$1031+D$1049+D$1067+D$1085+D$1103)</f>
        <v>5592.3205699020482</v>
      </c>
      <c r="E1116" s="33">
        <f t="shared" ca="1" si="174"/>
        <v>8437.2074799643815</v>
      </c>
    </row>
    <row r="1117" spans="2:5" x14ac:dyDescent="0.3">
      <c r="B1117" s="20" t="s">
        <v>115</v>
      </c>
      <c r="C1117" s="33">
        <f t="shared" ref="C1117:E1117" ca="1" si="175">(C1136*C$923+C$941*C1154+C$959*C1172+C$977*C1190+C$995*C1208+C$1013*C1226+C$1031*C1244+C$1049*C1262+C$1067*C1280+C$1085*C1298+C$1103*C1316)/SUM(C$923+C$941+C$959+C$977+C$995+C$1013+C$1031+C$1049+C$1067+C$1085+C$1103)</f>
        <v>232.26715278545768</v>
      </c>
      <c r="D1117" s="33">
        <f t="shared" ca="1" si="175"/>
        <v>477.53289872767607</v>
      </c>
      <c r="E1117" s="33">
        <f t="shared" ca="1" si="175"/>
        <v>689.672269830402</v>
      </c>
    </row>
    <row r="1118" spans="2:5" x14ac:dyDescent="0.3">
      <c r="B1118" s="20" t="s">
        <v>116</v>
      </c>
      <c r="C1118" s="33">
        <f t="shared" ref="C1118:E1118" ca="1" si="176">(C1137*C$923+C$941*C1155+C$959*C1173+C$977*C1191+C$995*C1209+C$1013*C1227+C$1031*C1245+C$1049*C1263+C$1067*C1281+C$1085*C1299+C$1103*C1317)/SUM(C$923+C$941+C$959+C$977+C$995+C$1013+C$1031+C$1049+C$1067+C$1085+C$1103)</f>
        <v>14.299447894360895</v>
      </c>
      <c r="D1118" s="33">
        <f t="shared" ca="1" si="176"/>
        <v>27.956460745947965</v>
      </c>
      <c r="E1118" s="33">
        <f t="shared" ca="1" si="176"/>
        <v>40.719228146610249</v>
      </c>
    </row>
    <row r="1120" spans="2:5" hidden="1" outlineLevel="1" x14ac:dyDescent="0.3"/>
    <row r="1121" spans="2:5" hidden="1" outlineLevel="1" x14ac:dyDescent="0.3">
      <c r="B1121" s="10" t="s">
        <v>25</v>
      </c>
    </row>
    <row r="1122" spans="2:5" hidden="1" outlineLevel="1" x14ac:dyDescent="0.3">
      <c r="B1122" s="11" t="s">
        <v>26</v>
      </c>
    </row>
    <row r="1123" spans="2:5" hidden="1" outlineLevel="1" x14ac:dyDescent="0.3">
      <c r="B1123" s="11" t="s">
        <v>41</v>
      </c>
    </row>
    <row r="1124" spans="2:5" hidden="1" outlineLevel="1" x14ac:dyDescent="0.3"/>
    <row r="1125" spans="2:5" hidden="1" outlineLevel="1" x14ac:dyDescent="0.3">
      <c r="C1125" s="297" t="s">
        <v>12</v>
      </c>
      <c r="D1125" s="297"/>
      <c r="E1125" s="297"/>
    </row>
    <row r="1126" spans="2:5" ht="28.8" hidden="1" outlineLevel="1" x14ac:dyDescent="0.3">
      <c r="B1126" s="13" t="str">
        <f>B1122&amp;" - "&amp;B1123</f>
        <v>Cancer_P2P3 - Ontario</v>
      </c>
      <c r="C1126" s="14" t="str">
        <f>'Data Inputs'!$C$29</f>
        <v>Scenario 1:
+1 day a week</v>
      </c>
      <c r="D1126" s="14" t="str">
        <f>'Data Inputs'!$D$29</f>
        <v>Scenario 2:
+2 days a week</v>
      </c>
      <c r="E1126" s="71" t="str">
        <f>'Data Inputs'!$E$29</f>
        <v>Scenario 3:
+3 days a week</v>
      </c>
    </row>
    <row r="1127" spans="2:5" hidden="1" outlineLevel="1" x14ac:dyDescent="0.3">
      <c r="B1127" s="12" t="s">
        <v>21</v>
      </c>
      <c r="C1127" s="17"/>
      <c r="D1127" s="18"/>
      <c r="E1127" s="19"/>
    </row>
    <row r="1128" spans="2:5" hidden="1" outlineLevel="1" x14ac:dyDescent="0.3">
      <c r="B1128" s="20" t="s">
        <v>13</v>
      </c>
      <c r="C1128" s="21">
        <f ca="1">INDEX(INDIRECT($B1122),MATCH($B1123,Regions,0),1)</f>
        <v>1537.1557172948678</v>
      </c>
      <c r="D1128" s="21">
        <f ca="1">INDEX(INDIRECT($B1122),MATCH($B1123,Regions,0),1)</f>
        <v>1537.1557172948678</v>
      </c>
      <c r="E1128" s="21">
        <f ca="1">INDEX(INDIRECT($B1122),MATCH($B1123,Regions,0),1)</f>
        <v>1537.1557172948678</v>
      </c>
    </row>
    <row r="1129" spans="2:5" hidden="1" outlineLevel="1" x14ac:dyDescent="0.3">
      <c r="B1129" s="20" t="s">
        <v>20</v>
      </c>
      <c r="C1129" s="23">
        <f>INDEX(ScenarioInputs,MATCH($B1123,Regions,0),MATCH(C1126,Scenarios,0))</f>
        <v>1</v>
      </c>
      <c r="D1129" s="23">
        <f>INDEX(ScenarioInputs,MATCH($B1123,Regions,0),MATCH(D1126,Scenarios,0))</f>
        <v>2</v>
      </c>
      <c r="E1129" s="23">
        <f>INDEX(ScenarioInputs,MATCH($B1123,Regions,0),MATCH(E1126,Scenarios,0))</f>
        <v>3</v>
      </c>
    </row>
    <row r="1130" spans="2:5" hidden="1" outlineLevel="1" x14ac:dyDescent="0.3">
      <c r="B1130" s="20" t="s">
        <v>37</v>
      </c>
      <c r="C1130" s="21">
        <f ca="1">ROUNDDOWN(C1129*INDEX(INDIRECT($B1122),MATCH($B1123,Regions,0),9)/(INDEX(INDIRECT($B1122),MATCH($B1123,Regions,0),3)+INDEX(INDIRECT($B1122),MATCH($B1123,Regions,0),2)),0)+IF(MOD(INDEX(INDIRECT($B1122),MATCH($B1123,Regions,0),9),INDEX(INDIRECT($B1122),MATCH($B1123,Regions,0),3)+INDEX(INDIRECT($B1122),MATCH($B1123,Regions,0),2))&lt;Buffer,0,1)</f>
        <v>3</v>
      </c>
      <c r="D1130" s="21">
        <f ca="1">ROUNDDOWN(D1129*INDEX(INDIRECT($B1122),MATCH($B1123,Regions,0),9)/(INDEX(INDIRECT($B1122),MATCH($B1123,Regions,0),3)+INDEX(INDIRECT($B1122),MATCH($B1123,Regions,0),2)),0)+IF(MOD(INDEX(INDIRECT($B1122),MATCH($B1123,Regions,0),9),INDEX(INDIRECT($B1122),MATCH($B1123,Regions,0),3)+INDEX(INDIRECT($B1122),MATCH($B1123,Regions,0),2))&lt;Buffer,0,1)</f>
        <v>6</v>
      </c>
      <c r="E1130" s="21">
        <f ca="1">ROUNDDOWN(E1129*INDEX(INDIRECT($B1122),MATCH($B1123,Regions,0),9)/(INDEX(INDIRECT($B1122),MATCH($B1123,Regions,0),3)+INDEX(INDIRECT($B1122),MATCH($B1123,Regions,0),2)),0)+IF(MOD(INDEX(INDIRECT($B1122),MATCH($B1123,Regions,0),9),INDEX(INDIRECT($B1122),MATCH($B1123,Regions,0),3)+INDEX(INDIRECT($B1122),MATCH($B1123,Regions,0),2))&lt;Buffer,0,1)</f>
        <v>8</v>
      </c>
    </row>
    <row r="1131" spans="2:5" hidden="1" outlineLevel="1" x14ac:dyDescent="0.3">
      <c r="B1131" s="20" t="s">
        <v>43</v>
      </c>
      <c r="C1131" s="21">
        <f ca="1">ROUNDDOWN(INDEX(INDIRECT($B1122),MATCH($B1123,Regions,0),8)*INDEX(INDIRECT($B1122),MATCH($B1123,Regions,0),10),0)</f>
        <v>409</v>
      </c>
      <c r="D1131" s="21">
        <f ca="1">ROUNDDOWN(INDEX(INDIRECT($B1122),MATCH($B1123,Regions,0),8)*INDEX(INDIRECT($B1122),MATCH($B1123,Regions,0),10),0)</f>
        <v>409</v>
      </c>
      <c r="E1131" s="21">
        <f ca="1">ROUNDDOWN(INDEX(INDIRECT($B1122),MATCH($B1123,Regions,0),8)*INDEX(INDIRECT($B1122),MATCH($B1123,Regions,0),10),0)</f>
        <v>409</v>
      </c>
    </row>
    <row r="1132" spans="2:5" hidden="1" outlineLevel="1" x14ac:dyDescent="0.3">
      <c r="B1132" s="26" t="s">
        <v>11</v>
      </c>
      <c r="C1132" s="27">
        <f ca="1">IFERROR(C1128/(C1131*C1130),NA())</f>
        <v>1.2527756457170887</v>
      </c>
      <c r="D1132" s="27">
        <f t="shared" ref="D1132:E1132" ca="1" si="177">IFERROR(D1128/(D1131*D1130),NA())</f>
        <v>0.62638782285854433</v>
      </c>
      <c r="E1132" s="27">
        <f t="shared" ca="1" si="177"/>
        <v>0.46979086714390828</v>
      </c>
    </row>
    <row r="1133" spans="2:5" hidden="1" outlineLevel="1" x14ac:dyDescent="0.3">
      <c r="B1133" s="12" t="s">
        <v>14</v>
      </c>
      <c r="C1133" s="28"/>
      <c r="D1133" s="29"/>
      <c r="E1133" s="30"/>
    </row>
    <row r="1134" spans="2:5" hidden="1" outlineLevel="1" x14ac:dyDescent="0.3">
      <c r="B1134" s="31" t="s">
        <v>38</v>
      </c>
      <c r="C1134" s="32">
        <f ca="1">IFERROR(C1128/C1132,0)</f>
        <v>1227</v>
      </c>
      <c r="D1134" s="32">
        <f t="shared" ref="D1134:E1134" ca="1" si="178">IFERROR(D1128/D1132,0)</f>
        <v>2454</v>
      </c>
      <c r="E1134" s="32">
        <f t="shared" ca="1" si="178"/>
        <v>3272</v>
      </c>
    </row>
    <row r="1135" spans="2:5" hidden="1" outlineLevel="1" x14ac:dyDescent="0.3">
      <c r="B1135" s="20" t="s">
        <v>30</v>
      </c>
      <c r="C1135" s="33">
        <f ca="1">IF(C1134=0,0,INDEX(INDIRECT($B1122),MATCH($B1123,Regions,0),9)*C1129*C1131)</f>
        <v>3272</v>
      </c>
      <c r="D1135" s="33">
        <f ca="1">IF(D1134=0,0,INDEX(INDIRECT($B1122),MATCH($B1123,Regions,0),9)*D1129*D1131)</f>
        <v>6544</v>
      </c>
      <c r="E1135" s="33">
        <f ca="1">IF(E1134=0,0,INDEX(INDIRECT($B1122),MATCH($B1123,Regions,0),9)*E1129*E1131)</f>
        <v>9816</v>
      </c>
    </row>
    <row r="1136" spans="2:5" hidden="1" outlineLevel="1" x14ac:dyDescent="0.3">
      <c r="B1136" s="20" t="s">
        <v>31</v>
      </c>
      <c r="C1136" s="33">
        <f ca="1">IFERROR(C1134*INDEX(INDIRECT($B1122),MATCH($B1123,Regions,0),4)/(7/INDEX(INDIRECT($B1122),MATCH($B1123,Regions,0),6)),0)</f>
        <v>456.16434089178972</v>
      </c>
      <c r="D1136" s="33">
        <f ca="1">IFERROR(D1134*INDEX(INDIRECT($B1122),MATCH($B1123,Regions,0),4)/(7/INDEX(INDIRECT($B1122),MATCH($B1123,Regions,0),6)),0)</f>
        <v>912.32868178357944</v>
      </c>
      <c r="E1136" s="33">
        <f ca="1">IFERROR(E1134*INDEX(INDIRECT($B1122),MATCH($B1123,Regions,0),4)/(7/INDEX(INDIRECT($B1122),MATCH($B1123,Regions,0),6)),0)</f>
        <v>1216.4382423781058</v>
      </c>
    </row>
    <row r="1137" spans="2:5" hidden="1" outlineLevel="1" x14ac:dyDescent="0.3">
      <c r="B1137" s="20" t="s">
        <v>32</v>
      </c>
      <c r="C1137" s="33">
        <f ca="1">IFERROR(C1134*INDEX(INDIRECT($B1122),MATCH($B1123,Regions,0),5)/(7/INDEX(INDIRECT($B1122),MATCH($B1123,Regions,0),7)),0)</f>
        <v>17.40675637529613</v>
      </c>
      <c r="D1137" s="33">
        <f ca="1">IFERROR(D1134*INDEX(INDIRECT($B1122),MATCH($B1123,Regions,0),5)/(7/INDEX(INDIRECT($B1122),MATCH($B1123,Regions,0),7)),0)</f>
        <v>34.81351275059226</v>
      </c>
      <c r="E1137" s="33">
        <f ca="1">IFERROR(E1134*INDEX(INDIRECT($B1122),MATCH($B1123,Regions,0),5)/(7/INDEX(INDIRECT($B1122),MATCH($B1123,Regions,0),7)),0)</f>
        <v>46.418017000789682</v>
      </c>
    </row>
    <row r="1138" spans="2:5" hidden="1" outlineLevel="1" x14ac:dyDescent="0.3"/>
    <row r="1139" spans="2:5" hidden="1" outlineLevel="1" x14ac:dyDescent="0.3">
      <c r="B1139" s="10" t="s">
        <v>25</v>
      </c>
    </row>
    <row r="1140" spans="2:5" hidden="1" outlineLevel="1" x14ac:dyDescent="0.3">
      <c r="B1140" s="11" t="s">
        <v>27</v>
      </c>
    </row>
    <row r="1141" spans="2:5" hidden="1" outlineLevel="1" x14ac:dyDescent="0.3">
      <c r="B1141" s="11" t="s">
        <v>41</v>
      </c>
    </row>
    <row r="1142" spans="2:5" hidden="1" outlineLevel="1" x14ac:dyDescent="0.3"/>
    <row r="1143" spans="2:5" hidden="1" outlineLevel="1" x14ac:dyDescent="0.3">
      <c r="C1143" s="297" t="s">
        <v>12</v>
      </c>
      <c r="D1143" s="297"/>
      <c r="E1143" s="297"/>
    </row>
    <row r="1144" spans="2:5" ht="28.8" hidden="1" outlineLevel="1" x14ac:dyDescent="0.3">
      <c r="B1144" s="13" t="str">
        <f>B1140&amp;" - "&amp;B1141</f>
        <v>Cancer_P4 - Ontario</v>
      </c>
      <c r="C1144" s="14" t="str">
        <f>'Data Inputs'!$C$29</f>
        <v>Scenario 1:
+1 day a week</v>
      </c>
      <c r="D1144" s="14" t="str">
        <f>'Data Inputs'!$D$29</f>
        <v>Scenario 2:
+2 days a week</v>
      </c>
      <c r="E1144" s="71" t="str">
        <f>'Data Inputs'!$E$29</f>
        <v>Scenario 3:
+3 days a week</v>
      </c>
    </row>
    <row r="1145" spans="2:5" hidden="1" outlineLevel="1" x14ac:dyDescent="0.3">
      <c r="B1145" s="12" t="s">
        <v>21</v>
      </c>
      <c r="C1145" s="17"/>
      <c r="D1145" s="18"/>
      <c r="E1145" s="19"/>
    </row>
    <row r="1146" spans="2:5" hidden="1" outlineLevel="1" x14ac:dyDescent="0.3">
      <c r="B1146" s="20" t="s">
        <v>13</v>
      </c>
      <c r="C1146" s="21">
        <f ca="1">INDEX(INDIRECT($B1140),MATCH($B1141,Regions,0),1)</f>
        <v>3615.0115118269032</v>
      </c>
      <c r="D1146" s="21">
        <f ca="1">INDEX(INDIRECT($B1140),MATCH($B1141,Regions,0),1)</f>
        <v>3615.0115118269032</v>
      </c>
      <c r="E1146" s="21">
        <f ca="1">INDEX(INDIRECT($B1140),MATCH($B1141,Regions,0),1)</f>
        <v>3615.0115118269032</v>
      </c>
    </row>
    <row r="1147" spans="2:5" hidden="1" outlineLevel="1" x14ac:dyDescent="0.3">
      <c r="B1147" s="20" t="s">
        <v>20</v>
      </c>
      <c r="C1147" s="23">
        <f>INDEX(ScenarioInputs,MATCH($B1141,Regions,0),MATCH(C1144,Scenarios,0))</f>
        <v>1</v>
      </c>
      <c r="D1147" s="23">
        <f>INDEX(ScenarioInputs,MATCH($B1141,Regions,0),MATCH(D1144,Scenarios,0))</f>
        <v>2</v>
      </c>
      <c r="E1147" s="23">
        <f>INDEX(ScenarioInputs,MATCH($B1141,Regions,0),MATCH(E1144,Scenarios,0))</f>
        <v>3</v>
      </c>
    </row>
    <row r="1148" spans="2:5" hidden="1" outlineLevel="1" x14ac:dyDescent="0.3">
      <c r="B1148" s="20" t="s">
        <v>37</v>
      </c>
      <c r="C1148" s="21">
        <f ca="1">ROUNDDOWN(C1147*INDEX(INDIRECT($B1140),MATCH($B1141,Regions,0),9)/(INDEX(INDIRECT($B1140),MATCH($B1141,Regions,0),3)+INDEX(INDIRECT($B1140),MATCH($B1141,Regions,0),2)),0)+IF(MOD(INDEX(INDIRECT($B1140),MATCH($B1141,Regions,0),9),INDEX(INDIRECT($B1140),MATCH($B1141,Regions,0),3)+INDEX(INDIRECT($B1140),MATCH($B1141,Regions,0),2))&lt;Buffer,0,1)</f>
        <v>3</v>
      </c>
      <c r="D1148" s="21">
        <f ca="1">ROUNDDOWN(D1147*INDEX(INDIRECT($B1140),MATCH($B1141,Regions,0),9)/(INDEX(INDIRECT($B1140),MATCH($B1141,Regions,0),3)+INDEX(INDIRECT($B1140),MATCH($B1141,Regions,0),2)),0)+IF(MOD(INDEX(INDIRECT($B1140),MATCH($B1141,Regions,0),9),INDEX(INDIRECT($B1140),MATCH($B1141,Regions,0),3)+INDEX(INDIRECT($B1140),MATCH($B1141,Regions,0),2))&lt;Buffer,0,1)</f>
        <v>6</v>
      </c>
      <c r="E1148" s="21">
        <f ca="1">ROUNDDOWN(E1147*INDEX(INDIRECT($B1140),MATCH($B1141,Regions,0),9)/(INDEX(INDIRECT($B1140),MATCH($B1141,Regions,0),3)+INDEX(INDIRECT($B1140),MATCH($B1141,Regions,0),2)),0)+IF(MOD(INDEX(INDIRECT($B1140),MATCH($B1141,Regions,0),9),INDEX(INDIRECT($B1140),MATCH($B1141,Regions,0),3)+INDEX(INDIRECT($B1140),MATCH($B1141,Regions,0),2))&lt;Buffer,0,1)</f>
        <v>9</v>
      </c>
    </row>
    <row r="1149" spans="2:5" hidden="1" outlineLevel="1" x14ac:dyDescent="0.3">
      <c r="B1149" s="20" t="s">
        <v>43</v>
      </c>
      <c r="C1149" s="21">
        <f ca="1">ROUNDDOWN(INDEX(INDIRECT($B1140),MATCH($B1141,Regions,0),8)*INDEX(INDIRECT($B1140),MATCH($B1141,Regions,0),10),0)</f>
        <v>409</v>
      </c>
      <c r="D1149" s="21">
        <f ca="1">ROUNDDOWN(INDEX(INDIRECT($B1140),MATCH($B1141,Regions,0),8)*INDEX(INDIRECT($B1140),MATCH($B1141,Regions,0),10),0)</f>
        <v>409</v>
      </c>
      <c r="E1149" s="21">
        <f ca="1">ROUNDDOWN(INDEX(INDIRECT($B1140),MATCH($B1141,Regions,0),8)*INDEX(INDIRECT($B1140),MATCH($B1141,Regions,0),10),0)</f>
        <v>409</v>
      </c>
    </row>
    <row r="1150" spans="2:5" hidden="1" outlineLevel="1" x14ac:dyDescent="0.3">
      <c r="B1150" s="26" t="s">
        <v>11</v>
      </c>
      <c r="C1150" s="27">
        <f ca="1">IFERROR(C1146/(C1149*C1148),NA())</f>
        <v>2.9462196510406709</v>
      </c>
      <c r="D1150" s="27">
        <f t="shared" ref="D1150:E1150" ca="1" si="179">IFERROR(D1146/(D1149*D1148),NA())</f>
        <v>1.4731098255203354</v>
      </c>
      <c r="E1150" s="27">
        <f t="shared" ca="1" si="179"/>
        <v>0.98207321701355699</v>
      </c>
    </row>
    <row r="1151" spans="2:5" hidden="1" outlineLevel="1" x14ac:dyDescent="0.3">
      <c r="B1151" s="12" t="s">
        <v>14</v>
      </c>
      <c r="C1151" s="28"/>
      <c r="D1151" s="29"/>
      <c r="E1151" s="30"/>
    </row>
    <row r="1152" spans="2:5" hidden="1" outlineLevel="1" x14ac:dyDescent="0.3">
      <c r="B1152" s="31" t="s">
        <v>38</v>
      </c>
      <c r="C1152" s="32">
        <f ca="1">IFERROR(C1146/C1150,0)</f>
        <v>1227</v>
      </c>
      <c r="D1152" s="32">
        <f t="shared" ref="D1152:E1152" ca="1" si="180">IFERROR(D1146/D1150,0)</f>
        <v>2454</v>
      </c>
      <c r="E1152" s="32">
        <f t="shared" ca="1" si="180"/>
        <v>3681</v>
      </c>
    </row>
    <row r="1153" spans="2:5" hidden="1" outlineLevel="1" x14ac:dyDescent="0.3">
      <c r="B1153" s="20" t="s">
        <v>30</v>
      </c>
      <c r="C1153" s="33">
        <f ca="1">IF(C1152=0,0,INDEX(INDIRECT($B1140),MATCH($B1141,Regions,0),9)*C1147*C1149)</f>
        <v>3272</v>
      </c>
      <c r="D1153" s="33">
        <f ca="1">IF(D1152=0,0,INDEX(INDIRECT($B1140),MATCH($B1141,Regions,0),9)*D1147*D1149)</f>
        <v>6544</v>
      </c>
      <c r="E1153" s="33">
        <f ca="1">IF(E1152=0,0,INDEX(INDIRECT($B1140),MATCH($B1141,Regions,0),9)*E1147*E1149)</f>
        <v>9816</v>
      </c>
    </row>
    <row r="1154" spans="2:5" hidden="1" outlineLevel="1" x14ac:dyDescent="0.3">
      <c r="B1154" s="20" t="s">
        <v>31</v>
      </c>
      <c r="C1154" s="33">
        <f ca="1">IFERROR(C1152*INDEX(INDIRECT($B1140),MATCH($B1141,Regions,0),4)/(7/INDEX(INDIRECT($B1140),MATCH($B1141,Regions,0),6)),0)</f>
        <v>295.86157908748942</v>
      </c>
      <c r="D1154" s="33">
        <f ca="1">IFERROR(D1152*INDEX(INDIRECT($B1140),MATCH($B1141,Regions,0),4)/(7/INDEX(INDIRECT($B1140),MATCH($B1141,Regions,0),6)),0)</f>
        <v>591.72315817497883</v>
      </c>
      <c r="E1154" s="33">
        <f ca="1">IFERROR(E1152*INDEX(INDIRECT($B1140),MATCH($B1141,Regions,0),4)/(7/INDEX(INDIRECT($B1140),MATCH($B1141,Regions,0),6)),0)</f>
        <v>887.58473726246814</v>
      </c>
    </row>
    <row r="1155" spans="2:5" hidden="1" outlineLevel="1" x14ac:dyDescent="0.3">
      <c r="B1155" s="20" t="s">
        <v>32</v>
      </c>
      <c r="C1155" s="33">
        <f ca="1">IFERROR(C1152*INDEX(INDIRECT($B1140),MATCH($B1141,Regions,0),5)/(7/INDEX(INDIRECT($B1140),MATCH($B1141,Regions,0),7)),0)</f>
        <v>3.2903275970369195</v>
      </c>
      <c r="D1155" s="33">
        <f ca="1">IFERROR(D1152*INDEX(INDIRECT($B1140),MATCH($B1141,Regions,0),5)/(7/INDEX(INDIRECT($B1140),MATCH($B1141,Regions,0),7)),0)</f>
        <v>6.5806551940738389</v>
      </c>
      <c r="E1155" s="33">
        <f ca="1">IFERROR(E1152*INDEX(INDIRECT($B1140),MATCH($B1141,Regions,0),5)/(7/INDEX(INDIRECT($B1140),MATCH($B1141,Regions,0),7)),0)</f>
        <v>9.8709827911107588</v>
      </c>
    </row>
    <row r="1156" spans="2:5" hidden="1" outlineLevel="1" x14ac:dyDescent="0.3"/>
    <row r="1157" spans="2:5" hidden="1" outlineLevel="1" x14ac:dyDescent="0.3">
      <c r="B1157" s="10" t="s">
        <v>25</v>
      </c>
    </row>
    <row r="1158" spans="2:5" hidden="1" outlineLevel="1" x14ac:dyDescent="0.3">
      <c r="B1158" s="11" t="s">
        <v>33</v>
      </c>
    </row>
    <row r="1159" spans="2:5" hidden="1" outlineLevel="1" x14ac:dyDescent="0.3">
      <c r="B1159" s="11" t="s">
        <v>41</v>
      </c>
    </row>
    <row r="1160" spans="2:5" hidden="1" outlineLevel="1" x14ac:dyDescent="0.3"/>
    <row r="1161" spans="2:5" hidden="1" outlineLevel="1" x14ac:dyDescent="0.3">
      <c r="C1161" s="297" t="s">
        <v>12</v>
      </c>
      <c r="D1161" s="297"/>
      <c r="E1161" s="297"/>
    </row>
    <row r="1162" spans="2:5" ht="28.8" hidden="1" outlineLevel="1" x14ac:dyDescent="0.3">
      <c r="B1162" s="13" t="str">
        <f>B1158&amp;" - "&amp;B1159</f>
        <v>Vascular_P2P3 - Ontario</v>
      </c>
      <c r="C1162" s="14" t="str">
        <f>'Data Inputs'!$C$29</f>
        <v>Scenario 1:
+1 day a week</v>
      </c>
      <c r="D1162" s="14" t="str">
        <f>'Data Inputs'!$D$29</f>
        <v>Scenario 2:
+2 days a week</v>
      </c>
      <c r="E1162" s="71" t="str">
        <f>'Data Inputs'!$E$29</f>
        <v>Scenario 3:
+3 days a week</v>
      </c>
    </row>
    <row r="1163" spans="2:5" hidden="1" outlineLevel="1" x14ac:dyDescent="0.3">
      <c r="B1163" s="12" t="s">
        <v>21</v>
      </c>
      <c r="C1163" s="17"/>
      <c r="D1163" s="18"/>
      <c r="E1163" s="19"/>
    </row>
    <row r="1164" spans="2:5" hidden="1" outlineLevel="1" x14ac:dyDescent="0.3">
      <c r="B1164" s="20" t="s">
        <v>13</v>
      </c>
      <c r="C1164" s="21">
        <f ca="1">INDEX(INDIRECT($B1158),MATCH($B1159,Regions,0),1)</f>
        <v>939.92166430863836</v>
      </c>
      <c r="D1164" s="21">
        <f ca="1">INDEX(INDIRECT($B1158),MATCH($B1159,Regions,0),1)</f>
        <v>939.92166430863836</v>
      </c>
      <c r="E1164" s="21">
        <f ca="1">INDEX(INDIRECT($B1158),MATCH($B1159,Regions,0),1)</f>
        <v>939.92166430863836</v>
      </c>
    </row>
    <row r="1165" spans="2:5" hidden="1" outlineLevel="1" x14ac:dyDescent="0.3">
      <c r="B1165" s="20" t="s">
        <v>20</v>
      </c>
      <c r="C1165" s="23">
        <f>INDEX(ScenarioInputs,MATCH($B1159,Regions,0),MATCH(C1162,Scenarios,0))</f>
        <v>1</v>
      </c>
      <c r="D1165" s="23">
        <f>INDEX(ScenarioInputs,MATCH($B1159,Regions,0),MATCH(D1162,Scenarios,0))</f>
        <v>2</v>
      </c>
      <c r="E1165" s="23">
        <f>INDEX(ScenarioInputs,MATCH($B1159,Regions,0),MATCH(E1162,Scenarios,0))</f>
        <v>3</v>
      </c>
    </row>
    <row r="1166" spans="2:5" hidden="1" outlineLevel="1" x14ac:dyDescent="0.3">
      <c r="B1166" s="20" t="s">
        <v>37</v>
      </c>
      <c r="C1166" s="21">
        <f ca="1">ROUNDDOWN(C1165*INDEX(INDIRECT($B1158),MATCH($B1159,Regions,0),9)/(INDEX(INDIRECT($B1158),MATCH($B1159,Regions,0),3)+INDEX(INDIRECT($B1158),MATCH($B1159,Regions,0),2)),0)+IF(MOD(INDEX(INDIRECT($B1158),MATCH($B1159,Regions,0),9),INDEX(INDIRECT($B1158),MATCH($B1159,Regions,0),3)+INDEX(INDIRECT($B1158),MATCH($B1159,Regions,0),2))&lt;Buffer,0,1)</f>
        <v>3</v>
      </c>
      <c r="D1166" s="21">
        <f ca="1">ROUNDDOWN(D1165*INDEX(INDIRECT($B1158),MATCH($B1159,Regions,0),9)/(INDEX(INDIRECT($B1158),MATCH($B1159,Regions,0),3)+INDEX(INDIRECT($B1158),MATCH($B1159,Regions,0),2)),0)+IF(MOD(INDEX(INDIRECT($B1158),MATCH($B1159,Regions,0),9),INDEX(INDIRECT($B1158),MATCH($B1159,Regions,0),3)+INDEX(INDIRECT($B1158),MATCH($B1159,Regions,0),2))&lt;Buffer,0,1)</f>
        <v>6</v>
      </c>
      <c r="E1166" s="21">
        <f ca="1">ROUNDDOWN(E1165*INDEX(INDIRECT($B1158),MATCH($B1159,Regions,0),9)/(INDEX(INDIRECT($B1158),MATCH($B1159,Regions,0),3)+INDEX(INDIRECT($B1158),MATCH($B1159,Regions,0),2)),0)+IF(MOD(INDEX(INDIRECT($B1158),MATCH($B1159,Regions,0),9),INDEX(INDIRECT($B1158),MATCH($B1159,Regions,0),3)+INDEX(INDIRECT($B1158),MATCH($B1159,Regions,0),2))&lt;Buffer,0,1)</f>
        <v>9</v>
      </c>
    </row>
    <row r="1167" spans="2:5" hidden="1" outlineLevel="1" x14ac:dyDescent="0.3">
      <c r="B1167" s="20" t="s">
        <v>43</v>
      </c>
      <c r="C1167" s="21">
        <f ca="1">ROUNDDOWN(INDEX(INDIRECT($B1158),MATCH($B1159,Regions,0),8)*INDEX(INDIRECT($B1158),MATCH($B1159,Regions,0),10),0)</f>
        <v>231</v>
      </c>
      <c r="D1167" s="21">
        <f ca="1">ROUNDDOWN(INDEX(INDIRECT($B1158),MATCH($B1159,Regions,0),8)*INDEX(INDIRECT($B1158),MATCH($B1159,Regions,0),10),0)</f>
        <v>231</v>
      </c>
      <c r="E1167" s="21">
        <f ca="1">ROUNDDOWN(INDEX(INDIRECT($B1158),MATCH($B1159,Regions,0),8)*INDEX(INDIRECT($B1158),MATCH($B1159,Regions,0),10),0)</f>
        <v>231</v>
      </c>
    </row>
    <row r="1168" spans="2:5" hidden="1" outlineLevel="1" x14ac:dyDescent="0.3">
      <c r="B1168" s="26" t="s">
        <v>11</v>
      </c>
      <c r="C1168" s="27">
        <f ca="1">IFERROR(C1164/(C1167*C1166),NA())</f>
        <v>1.356308317905683</v>
      </c>
      <c r="D1168" s="27">
        <f t="shared" ref="D1168:E1168" ca="1" si="181">IFERROR(D1164/(D1167*D1166),NA())</f>
        <v>0.67815415895284148</v>
      </c>
      <c r="E1168" s="27">
        <f t="shared" ca="1" si="181"/>
        <v>0.45210277263522769</v>
      </c>
    </row>
    <row r="1169" spans="2:5" hidden="1" outlineLevel="1" x14ac:dyDescent="0.3">
      <c r="B1169" s="12" t="s">
        <v>14</v>
      </c>
      <c r="C1169" s="28"/>
      <c r="D1169" s="29"/>
      <c r="E1169" s="30"/>
    </row>
    <row r="1170" spans="2:5" hidden="1" outlineLevel="1" x14ac:dyDescent="0.3">
      <c r="B1170" s="31" t="s">
        <v>38</v>
      </c>
      <c r="C1170" s="32">
        <f ca="1">IFERROR(C1164/C1168,0)</f>
        <v>693</v>
      </c>
      <c r="D1170" s="32">
        <f t="shared" ref="D1170:E1170" ca="1" si="182">IFERROR(D1164/D1168,0)</f>
        <v>1386</v>
      </c>
      <c r="E1170" s="32">
        <f t="shared" ca="1" si="182"/>
        <v>2079</v>
      </c>
    </row>
    <row r="1171" spans="2:5" hidden="1" outlineLevel="1" x14ac:dyDescent="0.3">
      <c r="B1171" s="20" t="s">
        <v>30</v>
      </c>
      <c r="C1171" s="33">
        <f ca="1">IF(C1170=0,0,INDEX(INDIRECT($B1158),MATCH($B1159,Regions,0),9)*C1165*C1167)</f>
        <v>1848</v>
      </c>
      <c r="D1171" s="33">
        <f ca="1">IF(D1170=0,0,INDEX(INDIRECT($B1158),MATCH($B1159,Regions,0),9)*D1165*D1167)</f>
        <v>3696</v>
      </c>
      <c r="E1171" s="33">
        <f ca="1">IF(E1170=0,0,INDEX(INDIRECT($B1158),MATCH($B1159,Regions,0),9)*E1165*E1167)</f>
        <v>5544</v>
      </c>
    </row>
    <row r="1172" spans="2:5" hidden="1" outlineLevel="1" x14ac:dyDescent="0.3">
      <c r="B1172" s="20" t="s">
        <v>31</v>
      </c>
      <c r="C1172" s="33">
        <f ca="1">IFERROR(C1170*INDEX(INDIRECT($B1158),MATCH($B1159,Regions,0),4)/(7/INDEX(INDIRECT($B1158),MATCH($B1159,Regions,0),6)),0)</f>
        <v>407.52056822091549</v>
      </c>
      <c r="D1172" s="33">
        <f ca="1">IFERROR(D1170*INDEX(INDIRECT($B1158),MATCH($B1159,Regions,0),4)/(7/INDEX(INDIRECT($B1158),MATCH($B1159,Regions,0),6)),0)</f>
        <v>815.04113644183099</v>
      </c>
      <c r="E1172" s="33">
        <f ca="1">IFERROR(E1170*INDEX(INDIRECT($B1158),MATCH($B1159,Regions,0),4)/(7/INDEX(INDIRECT($B1158),MATCH($B1159,Regions,0),6)),0)</f>
        <v>1222.5617046627463</v>
      </c>
    </row>
    <row r="1173" spans="2:5" hidden="1" outlineLevel="1" x14ac:dyDescent="0.3">
      <c r="B1173" s="20" t="s">
        <v>32</v>
      </c>
      <c r="C1173" s="33">
        <f ca="1">IFERROR(C1170*INDEX(INDIRECT($B1158),MATCH($B1159,Regions,0),5)/(7/INDEX(INDIRECT($B1158),MATCH($B1159,Regions,0),7)),0)</f>
        <v>21.749304135118702</v>
      </c>
      <c r="D1173" s="33">
        <f ca="1">IFERROR(D1170*INDEX(INDIRECT($B1158),MATCH($B1159,Regions,0),5)/(7/INDEX(INDIRECT($B1158),MATCH($B1159,Regions,0),7)),0)</f>
        <v>43.498608270237405</v>
      </c>
      <c r="E1173" s="33">
        <f ca="1">IFERROR(E1170*INDEX(INDIRECT($B1158),MATCH($B1159,Regions,0),5)/(7/INDEX(INDIRECT($B1158),MATCH($B1159,Regions,0),7)),0)</f>
        <v>65.247912405356104</v>
      </c>
    </row>
    <row r="1174" spans="2:5" hidden="1" outlineLevel="1" x14ac:dyDescent="0.3"/>
    <row r="1175" spans="2:5" hidden="1" outlineLevel="1" x14ac:dyDescent="0.3">
      <c r="B1175" s="10" t="s">
        <v>25</v>
      </c>
    </row>
    <row r="1176" spans="2:5" hidden="1" outlineLevel="1" x14ac:dyDescent="0.3">
      <c r="B1176" s="11" t="s">
        <v>34</v>
      </c>
    </row>
    <row r="1177" spans="2:5" hidden="1" outlineLevel="1" x14ac:dyDescent="0.3">
      <c r="B1177" s="11" t="s">
        <v>41</v>
      </c>
    </row>
    <row r="1178" spans="2:5" hidden="1" outlineLevel="1" x14ac:dyDescent="0.3"/>
    <row r="1179" spans="2:5" hidden="1" outlineLevel="1" x14ac:dyDescent="0.3">
      <c r="C1179" s="297" t="s">
        <v>12</v>
      </c>
      <c r="D1179" s="297"/>
      <c r="E1179" s="297"/>
    </row>
    <row r="1180" spans="2:5" ht="28.8" hidden="1" outlineLevel="1" x14ac:dyDescent="0.3">
      <c r="B1180" s="13" t="str">
        <f>B1176&amp;" - "&amp;B1177</f>
        <v>Vascular_P4 - Ontario</v>
      </c>
      <c r="C1180" s="14" t="str">
        <f>'Data Inputs'!$C$29</f>
        <v>Scenario 1:
+1 day a week</v>
      </c>
      <c r="D1180" s="14" t="str">
        <f>'Data Inputs'!$D$29</f>
        <v>Scenario 2:
+2 days a week</v>
      </c>
      <c r="E1180" s="71" t="str">
        <f>'Data Inputs'!$E$29</f>
        <v>Scenario 3:
+3 days a week</v>
      </c>
    </row>
    <row r="1181" spans="2:5" hidden="1" outlineLevel="1" x14ac:dyDescent="0.3">
      <c r="B1181" s="12" t="s">
        <v>21</v>
      </c>
      <c r="C1181" s="17"/>
      <c r="D1181" s="18"/>
      <c r="E1181" s="19"/>
    </row>
    <row r="1182" spans="2:5" hidden="1" outlineLevel="1" x14ac:dyDescent="0.3">
      <c r="B1182" s="20" t="s">
        <v>13</v>
      </c>
      <c r="C1182" s="21">
        <f ca="1">INDEX(INDIRECT($B1176),MATCH($B1177,Regions,0),1)</f>
        <v>934.99749450781553</v>
      </c>
      <c r="D1182" s="21">
        <f ca="1">INDEX(INDIRECT($B1176),MATCH($B1177,Regions,0),1)</f>
        <v>934.99749450781553</v>
      </c>
      <c r="E1182" s="21">
        <f ca="1">INDEX(INDIRECT($B1176),MATCH($B1177,Regions,0),1)</f>
        <v>934.99749450781553</v>
      </c>
    </row>
    <row r="1183" spans="2:5" hidden="1" outlineLevel="1" x14ac:dyDescent="0.3">
      <c r="B1183" s="20" t="s">
        <v>20</v>
      </c>
      <c r="C1183" s="23">
        <f>INDEX(ScenarioInputs,MATCH($B1177,Regions,0),MATCH(C1180,Scenarios,0))</f>
        <v>1</v>
      </c>
      <c r="D1183" s="23">
        <f>INDEX(ScenarioInputs,MATCH($B1177,Regions,0),MATCH(D1180,Scenarios,0))</f>
        <v>2</v>
      </c>
      <c r="E1183" s="23">
        <f>INDEX(ScenarioInputs,MATCH($B1177,Regions,0),MATCH(E1180,Scenarios,0))</f>
        <v>3</v>
      </c>
    </row>
    <row r="1184" spans="2:5" hidden="1" outlineLevel="1" x14ac:dyDescent="0.3">
      <c r="B1184" s="20" t="s">
        <v>37</v>
      </c>
      <c r="C1184" s="21">
        <f ca="1">ROUNDDOWN(C1183*INDEX(INDIRECT($B1176),MATCH($B1177,Regions,0),9)/(INDEX(INDIRECT($B1176),MATCH($B1177,Regions,0),3)+INDEX(INDIRECT($B1176),MATCH($B1177,Regions,0),2)),0)+IF(MOD(INDEX(INDIRECT($B1176),MATCH($B1177,Regions,0),9),INDEX(INDIRECT($B1176),MATCH($B1177,Regions,0),3)+INDEX(INDIRECT($B1176),MATCH($B1177,Regions,0),2))&lt;Buffer,0,1)</f>
        <v>3</v>
      </c>
      <c r="D1184" s="21">
        <f ca="1">ROUNDDOWN(D1183*INDEX(INDIRECT($B1176),MATCH($B1177,Regions,0),9)/(INDEX(INDIRECT($B1176),MATCH($B1177,Regions,0),3)+INDEX(INDIRECT($B1176),MATCH($B1177,Regions,0),2)),0)+IF(MOD(INDEX(INDIRECT($B1176),MATCH($B1177,Regions,0),9),INDEX(INDIRECT($B1176),MATCH($B1177,Regions,0),3)+INDEX(INDIRECT($B1176),MATCH($B1177,Regions,0),2))&lt;Buffer,0,1)</f>
        <v>6</v>
      </c>
      <c r="E1184" s="21">
        <f ca="1">ROUNDDOWN(E1183*INDEX(INDIRECT($B1176),MATCH($B1177,Regions,0),9)/(INDEX(INDIRECT($B1176),MATCH($B1177,Regions,0),3)+INDEX(INDIRECT($B1176),MATCH($B1177,Regions,0),2)),0)+IF(MOD(INDEX(INDIRECT($B1176),MATCH($B1177,Regions,0),9),INDEX(INDIRECT($B1176),MATCH($B1177,Regions,0),3)+INDEX(INDIRECT($B1176),MATCH($B1177,Regions,0),2))&lt;Buffer,0,1)</f>
        <v>9</v>
      </c>
    </row>
    <row r="1185" spans="2:5" hidden="1" outlineLevel="1" x14ac:dyDescent="0.3">
      <c r="B1185" s="20" t="s">
        <v>43</v>
      </c>
      <c r="C1185" s="21">
        <f ca="1">ROUNDDOWN(INDEX(INDIRECT($B1176),MATCH($B1177,Regions,0),8)*INDEX(INDIRECT($B1176),MATCH($B1177,Regions,0),10),0)</f>
        <v>231</v>
      </c>
      <c r="D1185" s="21">
        <f ca="1">ROUNDDOWN(INDEX(INDIRECT($B1176),MATCH($B1177,Regions,0),8)*INDEX(INDIRECT($B1176),MATCH($B1177,Regions,0),10),0)</f>
        <v>231</v>
      </c>
      <c r="E1185" s="21">
        <f ca="1">ROUNDDOWN(INDEX(INDIRECT($B1176),MATCH($B1177,Regions,0),8)*INDEX(INDIRECT($B1176),MATCH($B1177,Regions,0),10),0)</f>
        <v>231</v>
      </c>
    </row>
    <row r="1186" spans="2:5" hidden="1" outlineLevel="1" x14ac:dyDescent="0.3">
      <c r="B1186" s="26" t="s">
        <v>11</v>
      </c>
      <c r="C1186" s="27">
        <f ca="1">IFERROR(C1182/(C1185*C1184),NA())</f>
        <v>1.3492027337775117</v>
      </c>
      <c r="D1186" s="27">
        <f t="shared" ref="D1186:E1186" ca="1" si="183">IFERROR(D1182/(D1185*D1184),NA())</f>
        <v>0.67460136688875583</v>
      </c>
      <c r="E1186" s="27">
        <f t="shared" ca="1" si="183"/>
        <v>0.44973424459250388</v>
      </c>
    </row>
    <row r="1187" spans="2:5" hidden="1" outlineLevel="1" x14ac:dyDescent="0.3">
      <c r="B1187" s="12" t="s">
        <v>14</v>
      </c>
      <c r="C1187" s="28"/>
      <c r="D1187" s="29"/>
      <c r="E1187" s="30"/>
    </row>
    <row r="1188" spans="2:5" hidden="1" outlineLevel="1" x14ac:dyDescent="0.3">
      <c r="B1188" s="31" t="s">
        <v>38</v>
      </c>
      <c r="C1188" s="32">
        <f ca="1">IFERROR(C1182/C1186,0)</f>
        <v>693</v>
      </c>
      <c r="D1188" s="32">
        <f t="shared" ref="D1188:E1188" ca="1" si="184">IFERROR(D1182/D1186,0)</f>
        <v>1386</v>
      </c>
      <c r="E1188" s="32">
        <f t="shared" ca="1" si="184"/>
        <v>2079</v>
      </c>
    </row>
    <row r="1189" spans="2:5" hidden="1" outlineLevel="1" x14ac:dyDescent="0.3">
      <c r="B1189" s="20" t="s">
        <v>30</v>
      </c>
      <c r="C1189" s="33">
        <f ca="1">IF(C1188=0,0,INDEX(INDIRECT($B1176),MATCH($B1177,Regions,0),9)*C1183*C1185)</f>
        <v>1848</v>
      </c>
      <c r="D1189" s="33">
        <f ca="1">IF(D1188=0,0,INDEX(INDIRECT($B1176),MATCH($B1177,Regions,0),9)*D1183*D1185)</f>
        <v>3696</v>
      </c>
      <c r="E1189" s="33">
        <f ca="1">IF(E1188=0,0,INDEX(INDIRECT($B1176),MATCH($B1177,Regions,0),9)*E1183*E1185)</f>
        <v>5544</v>
      </c>
    </row>
    <row r="1190" spans="2:5" hidden="1" outlineLevel="1" x14ac:dyDescent="0.3">
      <c r="B1190" s="20" t="s">
        <v>31</v>
      </c>
      <c r="C1190" s="33">
        <f ca="1">IFERROR(C1188*INDEX(INDIRECT($B1176),MATCH($B1177,Regions,0),4)/(7/INDEX(INDIRECT($B1176),MATCH($B1177,Regions,0),6)),0)</f>
        <v>216.02372251541391</v>
      </c>
      <c r="D1190" s="33">
        <f ca="1">IFERROR(D1188*INDEX(INDIRECT($B1176),MATCH($B1177,Regions,0),4)/(7/INDEX(INDIRECT($B1176),MATCH($B1177,Regions,0),6)),0)</f>
        <v>432.04744503082782</v>
      </c>
      <c r="E1190" s="33">
        <f ca="1">IFERROR(E1188*INDEX(INDIRECT($B1176),MATCH($B1177,Regions,0),4)/(7/INDEX(INDIRECT($B1176),MATCH($B1177,Regions,0),6)),0)</f>
        <v>648.07116754624167</v>
      </c>
    </row>
    <row r="1191" spans="2:5" hidden="1" outlineLevel="1" x14ac:dyDescent="0.3">
      <c r="B1191" s="20" t="s">
        <v>32</v>
      </c>
      <c r="C1191" s="33">
        <f ca="1">IFERROR(C1188*INDEX(INDIRECT($B1176),MATCH($B1177,Regions,0),5)/(7/INDEX(INDIRECT($B1176),MATCH($B1177,Regions,0),7)),0)</f>
        <v>16.673197621432564</v>
      </c>
      <c r="D1191" s="33">
        <f ca="1">IFERROR(D1188*INDEX(INDIRECT($B1176),MATCH($B1177,Regions,0),5)/(7/INDEX(INDIRECT($B1176),MATCH($B1177,Regions,0),7)),0)</f>
        <v>33.346395242865128</v>
      </c>
      <c r="E1191" s="33">
        <f ca="1">IFERROR(E1188*INDEX(INDIRECT($B1176),MATCH($B1177,Regions,0),5)/(7/INDEX(INDIRECT($B1176),MATCH($B1177,Regions,0),7)),0)</f>
        <v>50.019592864297699</v>
      </c>
    </row>
    <row r="1192" spans="2:5" hidden="1" outlineLevel="1" x14ac:dyDescent="0.3"/>
    <row r="1193" spans="2:5" hidden="1" outlineLevel="1" x14ac:dyDescent="0.3">
      <c r="B1193" s="10" t="s">
        <v>25</v>
      </c>
    </row>
    <row r="1194" spans="2:5" hidden="1" outlineLevel="1" x14ac:dyDescent="0.3">
      <c r="B1194" s="11" t="s">
        <v>2</v>
      </c>
    </row>
    <row r="1195" spans="2:5" hidden="1" outlineLevel="1" x14ac:dyDescent="0.3">
      <c r="B1195" s="11" t="s">
        <v>41</v>
      </c>
    </row>
    <row r="1196" spans="2:5" hidden="1" outlineLevel="1" x14ac:dyDescent="0.3"/>
    <row r="1197" spans="2:5" hidden="1" outlineLevel="1" x14ac:dyDescent="0.3">
      <c r="C1197" s="297" t="s">
        <v>12</v>
      </c>
      <c r="D1197" s="297"/>
      <c r="E1197" s="297"/>
    </row>
    <row r="1198" spans="2:5" ht="28.8" hidden="1" outlineLevel="1" x14ac:dyDescent="0.3">
      <c r="B1198" s="13" t="str">
        <f>B1194&amp;" - "&amp;B1195</f>
        <v>Transplant - Ontario</v>
      </c>
      <c r="C1198" s="14" t="str">
        <f>'Data Inputs'!$C$29</f>
        <v>Scenario 1:
+1 day a week</v>
      </c>
      <c r="D1198" s="14" t="str">
        <f>'Data Inputs'!$D$29</f>
        <v>Scenario 2:
+2 days a week</v>
      </c>
      <c r="E1198" s="71" t="str">
        <f>'Data Inputs'!$E$29</f>
        <v>Scenario 3:
+3 days a week</v>
      </c>
    </row>
    <row r="1199" spans="2:5" hidden="1" outlineLevel="1" x14ac:dyDescent="0.3">
      <c r="B1199" s="12" t="s">
        <v>21</v>
      </c>
      <c r="C1199" s="17"/>
      <c r="D1199" s="18"/>
      <c r="E1199" s="19"/>
    </row>
    <row r="1200" spans="2:5" hidden="1" outlineLevel="1" x14ac:dyDescent="0.3">
      <c r="B1200" s="20" t="s">
        <v>13</v>
      </c>
      <c r="C1200" s="21">
        <f ca="1">INDEX(INDIRECT($B1194),MATCH($B1195,Regions,0),1)</f>
        <v>243.1929977392615</v>
      </c>
      <c r="D1200" s="21">
        <f ca="1">INDEX(INDIRECT($B1194),MATCH($B1195,Regions,0),1)</f>
        <v>243.1929977392615</v>
      </c>
      <c r="E1200" s="21">
        <f ca="1">INDEX(INDIRECT($B1194),MATCH($B1195,Regions,0),1)</f>
        <v>243.1929977392615</v>
      </c>
    </row>
    <row r="1201" spans="2:5" hidden="1" outlineLevel="1" x14ac:dyDescent="0.3">
      <c r="B1201" s="20" t="s">
        <v>20</v>
      </c>
      <c r="C1201" s="23">
        <f>INDEX(ScenarioInputs,MATCH($B1195,Regions,0),MATCH(C1198,Scenarios,0))</f>
        <v>1</v>
      </c>
      <c r="D1201" s="23">
        <f>INDEX(ScenarioInputs,MATCH($B1195,Regions,0),MATCH(D1198,Scenarios,0))</f>
        <v>2</v>
      </c>
      <c r="E1201" s="23">
        <f>INDEX(ScenarioInputs,MATCH($B1195,Regions,0),MATCH(E1198,Scenarios,0))</f>
        <v>3</v>
      </c>
    </row>
    <row r="1202" spans="2:5" hidden="1" outlineLevel="1" x14ac:dyDescent="0.3">
      <c r="B1202" s="20" t="s">
        <v>37</v>
      </c>
      <c r="C1202" s="21">
        <f ca="1">ROUNDDOWN(C1201*INDEX(INDIRECT($B1194),MATCH($B1195,Regions,0),9)/(INDEX(INDIRECT($B1194),MATCH($B1195,Regions,0),3)+INDEX(INDIRECT($B1194),MATCH($B1195,Regions,0),2)),0)</f>
        <v>1</v>
      </c>
      <c r="D1202" s="21">
        <f ca="1">ROUNDDOWN(D1201*INDEX(INDIRECT($B1194),MATCH($B1195,Regions,0),9)/(INDEX(INDIRECT($B1194),MATCH($B1195,Regions,0),3)+INDEX(INDIRECT($B1194),MATCH($B1195,Regions,0),2)),0)</f>
        <v>2</v>
      </c>
      <c r="E1202" s="21">
        <f ca="1">ROUNDDOWN(E1201*INDEX(INDIRECT($B1194),MATCH($B1195,Regions,0),9)/(INDEX(INDIRECT($B1194),MATCH($B1195,Regions,0),3)+INDEX(INDIRECT($B1194),MATCH($B1195,Regions,0),2)),0)</f>
        <v>3</v>
      </c>
    </row>
    <row r="1203" spans="2:5" hidden="1" outlineLevel="1" x14ac:dyDescent="0.3">
      <c r="B1203" s="20" t="s">
        <v>43</v>
      </c>
      <c r="C1203" s="21">
        <f ca="1">ROUNDDOWN(INDEX(INDIRECT($B1194),MATCH($B1195,Regions,0),8)*INDEX(INDIRECT($B1194),MATCH($B1195,Regions,0),10),0)</f>
        <v>63</v>
      </c>
      <c r="D1203" s="21">
        <f ca="1">ROUNDDOWN(INDEX(INDIRECT($B1194),MATCH($B1195,Regions,0),8)*INDEX(INDIRECT($B1194),MATCH($B1195,Regions,0),10),0)</f>
        <v>63</v>
      </c>
      <c r="E1203" s="21">
        <f ca="1">ROUNDDOWN(INDEX(INDIRECT($B1194),MATCH($B1195,Regions,0),8)*INDEX(INDIRECT($B1194),MATCH($B1195,Regions,0),10),0)</f>
        <v>63</v>
      </c>
    </row>
    <row r="1204" spans="2:5" hidden="1" outlineLevel="1" x14ac:dyDescent="0.3">
      <c r="B1204" s="26" t="s">
        <v>11</v>
      </c>
      <c r="C1204" s="27">
        <f ca="1">IFERROR(C1200/(C1203*C1202),"")</f>
        <v>3.8602063133216111</v>
      </c>
      <c r="D1204" s="27">
        <f t="shared" ref="D1204:E1204" ca="1" si="185">IFERROR(D1200/(D1203*D1202),"")</f>
        <v>1.9301031566608056</v>
      </c>
      <c r="E1204" s="27">
        <f t="shared" ca="1" si="185"/>
        <v>1.2867354377738704</v>
      </c>
    </row>
    <row r="1205" spans="2:5" hidden="1" outlineLevel="1" x14ac:dyDescent="0.3">
      <c r="B1205" s="12" t="s">
        <v>14</v>
      </c>
      <c r="C1205" s="28"/>
      <c r="D1205" s="29"/>
      <c r="E1205" s="30"/>
    </row>
    <row r="1206" spans="2:5" hidden="1" outlineLevel="1" x14ac:dyDescent="0.3">
      <c r="B1206" s="31" t="s">
        <v>38</v>
      </c>
      <c r="C1206" s="32">
        <f ca="1">IFERROR(C1200/C1204,0)</f>
        <v>63</v>
      </c>
      <c r="D1206" s="32">
        <f t="shared" ref="D1206:E1206" ca="1" si="186">IFERROR(D1200/D1204,0)</f>
        <v>126</v>
      </c>
      <c r="E1206" s="32">
        <f t="shared" ca="1" si="186"/>
        <v>189</v>
      </c>
    </row>
    <row r="1207" spans="2:5" hidden="1" outlineLevel="1" x14ac:dyDescent="0.3">
      <c r="B1207" s="20" t="s">
        <v>30</v>
      </c>
      <c r="C1207" s="33">
        <f ca="1">IF(C1206=0,0,INDEX(INDIRECT($B1194),MATCH($B1195,Regions,0),9)*C1201*C1203)</f>
        <v>504</v>
      </c>
      <c r="D1207" s="33">
        <f ca="1">IF(D1206=0,0,INDEX(INDIRECT($B1194),MATCH($B1195,Regions,0),9)*D1201*D1203)</f>
        <v>1008</v>
      </c>
      <c r="E1207" s="33">
        <f ca="1">IF(E1206=0,0,INDEX(INDIRECT($B1194),MATCH($B1195,Regions,0),9)*E1201*E1203)</f>
        <v>1512</v>
      </c>
    </row>
    <row r="1208" spans="2:5" hidden="1" outlineLevel="1" x14ac:dyDescent="0.3">
      <c r="B1208" s="20" t="s">
        <v>31</v>
      </c>
      <c r="C1208" s="33">
        <f ca="1">IFERROR(C1206*INDEX(INDIRECT($B1194),MATCH($B1195,Regions,0),4)/(7/INDEX(INDIRECT($B1194),MATCH($B1195,Regions,0),6)),0)</f>
        <v>93.383493767999994</v>
      </c>
      <c r="D1208" s="33">
        <f ca="1">IFERROR(D1206*INDEX(INDIRECT($B1194),MATCH($B1195,Regions,0),4)/(7/INDEX(INDIRECT($B1194),MATCH($B1195,Regions,0),6)),0)</f>
        <v>186.76698753599999</v>
      </c>
      <c r="E1208" s="33">
        <f ca="1">IFERROR(E1206*INDEX(INDIRECT($B1194),MATCH($B1195,Regions,0),4)/(7/INDEX(INDIRECT($B1194),MATCH($B1195,Regions,0),6)),0)</f>
        <v>280.15048130399998</v>
      </c>
    </row>
    <row r="1209" spans="2:5" hidden="1" outlineLevel="1" x14ac:dyDescent="0.3">
      <c r="B1209" s="20" t="s">
        <v>32</v>
      </c>
      <c r="C1209" s="33">
        <f ca="1">IFERROR(C1206*INDEX(INDIRECT($B1194),MATCH($B1195,Regions,0),5)/(7/INDEX(INDIRECT($B1194),MATCH($B1195,Regions,0),7)),0)</f>
        <v>27.587435160503212</v>
      </c>
      <c r="D1209" s="33">
        <f ca="1">IFERROR(D1206*INDEX(INDIRECT($B1194),MATCH($B1195,Regions,0),5)/(7/INDEX(INDIRECT($B1194),MATCH($B1195,Regions,0),7)),0)</f>
        <v>55.174870321006424</v>
      </c>
      <c r="E1209" s="33">
        <f ca="1">IFERROR(E1206*INDEX(INDIRECT($B1194),MATCH($B1195,Regions,0),5)/(7/INDEX(INDIRECT($B1194),MATCH($B1195,Regions,0),7)),0)</f>
        <v>82.762305481509628</v>
      </c>
    </row>
    <row r="1210" spans="2:5" hidden="1" outlineLevel="1" x14ac:dyDescent="0.3"/>
    <row r="1211" spans="2:5" hidden="1" outlineLevel="1" x14ac:dyDescent="0.3">
      <c r="B1211" s="10" t="s">
        <v>25</v>
      </c>
    </row>
    <row r="1212" spans="2:5" hidden="1" outlineLevel="1" x14ac:dyDescent="0.3">
      <c r="B1212" s="11" t="s">
        <v>28</v>
      </c>
    </row>
    <row r="1213" spans="2:5" hidden="1" outlineLevel="1" x14ac:dyDescent="0.3">
      <c r="B1213" s="11" t="s">
        <v>41</v>
      </c>
    </row>
    <row r="1214" spans="2:5" hidden="1" outlineLevel="1" x14ac:dyDescent="0.3"/>
    <row r="1215" spans="2:5" hidden="1" outlineLevel="1" x14ac:dyDescent="0.3">
      <c r="C1215" s="297" t="s">
        <v>12</v>
      </c>
      <c r="D1215" s="297"/>
      <c r="E1215" s="297"/>
    </row>
    <row r="1216" spans="2:5" ht="28.8" hidden="1" outlineLevel="1" x14ac:dyDescent="0.3">
      <c r="B1216" s="13" t="str">
        <f>B1212&amp;" - "&amp;B1213</f>
        <v>Cardiac_CABG - Ontario</v>
      </c>
      <c r="C1216" s="14" t="str">
        <f>'Data Inputs'!$C$29</f>
        <v>Scenario 1:
+1 day a week</v>
      </c>
      <c r="D1216" s="14" t="str">
        <f>'Data Inputs'!$D$29</f>
        <v>Scenario 2:
+2 days a week</v>
      </c>
      <c r="E1216" s="71" t="str">
        <f>'Data Inputs'!$E$29</f>
        <v>Scenario 3:
+3 days a week</v>
      </c>
    </row>
    <row r="1217" spans="2:5" hidden="1" outlineLevel="1" x14ac:dyDescent="0.3">
      <c r="B1217" s="12" t="s">
        <v>21</v>
      </c>
      <c r="C1217" s="17"/>
      <c r="D1217" s="18"/>
      <c r="E1217" s="19"/>
    </row>
    <row r="1218" spans="2:5" hidden="1" outlineLevel="1" x14ac:dyDescent="0.3">
      <c r="B1218" s="20" t="s">
        <v>13</v>
      </c>
      <c r="C1218" s="21">
        <f ca="1">INDEX(INDIRECT($B1212),MATCH($B1213,Regions,0),1)</f>
        <v>295.00000000000006</v>
      </c>
      <c r="D1218" s="21">
        <f ca="1">INDEX(INDIRECT($B1212),MATCH($B1213,Regions,0),1)</f>
        <v>295.00000000000006</v>
      </c>
      <c r="E1218" s="21">
        <f ca="1">INDEX(INDIRECT($B1212),MATCH($B1213,Regions,0),1)</f>
        <v>295.00000000000006</v>
      </c>
    </row>
    <row r="1219" spans="2:5" hidden="1" outlineLevel="1" x14ac:dyDescent="0.3">
      <c r="B1219" s="20" t="s">
        <v>20</v>
      </c>
      <c r="C1219" s="23">
        <f>INDEX(ScenarioInputs,MATCH($B1213,Regions,0),MATCH(C1216,Scenarios,0))</f>
        <v>1</v>
      </c>
      <c r="D1219" s="23">
        <f>INDEX(ScenarioInputs,MATCH($B1213,Regions,0),MATCH(D1216,Scenarios,0))</f>
        <v>2</v>
      </c>
      <c r="E1219" s="23">
        <f>INDEX(ScenarioInputs,MATCH($B1213,Regions,0),MATCH(E1216,Scenarios,0))</f>
        <v>3</v>
      </c>
    </row>
    <row r="1220" spans="2:5" hidden="1" outlineLevel="1" x14ac:dyDescent="0.3">
      <c r="B1220" s="20" t="s">
        <v>37</v>
      </c>
      <c r="C1220" s="21">
        <f ca="1">ROUNDDOWN(C1219*INDEX(INDIRECT($B1212),MATCH($B1213,Regions,0),9)/(INDEX(INDIRECT($B1212),MATCH($B1213,Regions,0),3)+INDEX(INDIRECT($B1212),MATCH($B1213,Regions,0),2)),0)+IF(MOD(INDEX(INDIRECT($B1212),MATCH($B1213,Regions,0),9),INDEX(INDIRECT($B1212),MATCH($B1213,Regions,0),3)+INDEX(INDIRECT($B1212),MATCH($B1213,Regions,0),2))&lt;Buffer,0,1)</f>
        <v>2</v>
      </c>
      <c r="D1220" s="21">
        <f ca="1">ROUNDDOWN(D1219*INDEX(INDIRECT($B1212),MATCH($B1213,Regions,0),9)/(INDEX(INDIRECT($B1212),MATCH($B1213,Regions,0),3)+INDEX(INDIRECT($B1212),MATCH($B1213,Regions,0),2)),0)+IF(MOD(INDEX(INDIRECT($B1212),MATCH($B1213,Regions,0),9),INDEX(INDIRECT($B1212),MATCH($B1213,Regions,0),3)+INDEX(INDIRECT($B1212),MATCH($B1213,Regions,0),2))&lt;Buffer,0,1)</f>
        <v>4</v>
      </c>
      <c r="E1220" s="21">
        <f ca="1">ROUNDDOWN(E1219*INDEX(INDIRECT($B1212),MATCH($B1213,Regions,0),9)/(INDEX(INDIRECT($B1212),MATCH($B1213,Regions,0),3)+INDEX(INDIRECT($B1212),MATCH($B1213,Regions,0),2)),0)+IF(MOD(INDEX(INDIRECT($B1212),MATCH($B1213,Regions,0),9),INDEX(INDIRECT($B1212),MATCH($B1213,Regions,0),3)+INDEX(INDIRECT($B1212),MATCH($B1213,Regions,0),2))&lt;Buffer,0,1)</f>
        <v>6</v>
      </c>
    </row>
    <row r="1221" spans="2:5" hidden="1" outlineLevel="1" x14ac:dyDescent="0.3">
      <c r="B1221" s="20" t="s">
        <v>43</v>
      </c>
      <c r="C1221" s="21">
        <f ca="1">ROUNDDOWN(INDEX(INDIRECT($B1212),MATCH($B1213,Regions,0),8)*INDEX(INDIRECT($B1212),MATCH($B1213,Regions,0),10),0)</f>
        <v>65</v>
      </c>
      <c r="D1221" s="21">
        <f ca="1">ROUNDDOWN(INDEX(INDIRECT($B1212),MATCH($B1213,Regions,0),8)*INDEX(INDIRECT($B1212),MATCH($B1213,Regions,0),10),0)</f>
        <v>65</v>
      </c>
      <c r="E1221" s="21">
        <f ca="1">ROUNDDOWN(INDEX(INDIRECT($B1212),MATCH($B1213,Regions,0),8)*INDEX(INDIRECT($B1212),MATCH($B1213,Regions,0),10),0)</f>
        <v>65</v>
      </c>
    </row>
    <row r="1222" spans="2:5" hidden="1" outlineLevel="1" x14ac:dyDescent="0.3">
      <c r="B1222" s="26" t="s">
        <v>11</v>
      </c>
      <c r="C1222" s="27">
        <f ca="1">IFERROR(C1218/(C1221*C1220),NA())</f>
        <v>2.2692307692307696</v>
      </c>
      <c r="D1222" s="27">
        <f t="shared" ref="D1222:E1222" ca="1" si="187">IFERROR(D1218/(D1221*D1220),NA())</f>
        <v>1.1346153846153848</v>
      </c>
      <c r="E1222" s="27">
        <f t="shared" ca="1" si="187"/>
        <v>0.75641025641025661</v>
      </c>
    </row>
    <row r="1223" spans="2:5" hidden="1" outlineLevel="1" x14ac:dyDescent="0.3">
      <c r="B1223" s="12" t="s">
        <v>14</v>
      </c>
      <c r="C1223" s="28"/>
      <c r="D1223" s="29"/>
      <c r="E1223" s="30"/>
    </row>
    <row r="1224" spans="2:5" hidden="1" outlineLevel="1" x14ac:dyDescent="0.3">
      <c r="B1224" s="31" t="s">
        <v>38</v>
      </c>
      <c r="C1224" s="32">
        <f ca="1">IFERROR(C1218/C1222,0)</f>
        <v>130</v>
      </c>
      <c r="D1224" s="32">
        <f t="shared" ref="D1224:E1224" ca="1" si="188">IFERROR(D1218/D1222,0)</f>
        <v>260</v>
      </c>
      <c r="E1224" s="32">
        <f t="shared" ca="1" si="188"/>
        <v>390</v>
      </c>
    </row>
    <row r="1225" spans="2:5" hidden="1" outlineLevel="1" x14ac:dyDescent="0.3">
      <c r="B1225" s="20" t="s">
        <v>30</v>
      </c>
      <c r="C1225" s="33">
        <f ca="1">IF(C1224=0,0,INDEX(INDIRECT($B1212),MATCH($B1213,Regions,0),9)*C1219*C1221)</f>
        <v>520</v>
      </c>
      <c r="D1225" s="33">
        <f ca="1">IF(D1224=0,0,INDEX(INDIRECT($B1212),MATCH($B1213,Regions,0),9)*D1219*D1221)</f>
        <v>1040</v>
      </c>
      <c r="E1225" s="33">
        <f ca="1">IF(E1224=0,0,INDEX(INDIRECT($B1212),MATCH($B1213,Regions,0),9)*E1219*E1221)</f>
        <v>1560</v>
      </c>
    </row>
    <row r="1226" spans="2:5" hidden="1" outlineLevel="1" x14ac:dyDescent="0.3">
      <c r="B1226" s="20" t="s">
        <v>31</v>
      </c>
      <c r="C1226" s="33">
        <f ca="1">IFERROR(C1224*INDEX(INDIRECT($B1212),MATCH($B1213,Regions,0),4)/(7/INDEX(INDIRECT($B1212),MATCH($B1213,Regions,0),6)),0)</f>
        <v>130</v>
      </c>
      <c r="D1226" s="33">
        <f ca="1">IFERROR(D1224*INDEX(INDIRECT($B1212),MATCH($B1213,Regions,0),4)/(7/INDEX(INDIRECT($B1212),MATCH($B1213,Regions,0),6)),0)</f>
        <v>260</v>
      </c>
      <c r="E1226" s="33">
        <f ca="1">IFERROR(E1224*INDEX(INDIRECT($B1212),MATCH($B1213,Regions,0),4)/(7/INDEX(INDIRECT($B1212),MATCH($B1213,Regions,0),6)),0)</f>
        <v>390</v>
      </c>
    </row>
    <row r="1227" spans="2:5" hidden="1" outlineLevel="1" x14ac:dyDescent="0.3">
      <c r="B1227" s="20" t="s">
        <v>32</v>
      </c>
      <c r="C1227" s="33">
        <f ca="1">IFERROR(C1224*INDEX(INDIRECT($B1212),MATCH($B1213,Regions,0),5)/(7/INDEX(INDIRECT($B1212),MATCH($B1213,Regions,0),7)),0)</f>
        <v>55.714285714285708</v>
      </c>
      <c r="D1227" s="33">
        <f ca="1">IFERROR(D1224*INDEX(INDIRECT($B1212),MATCH($B1213,Regions,0),5)/(7/INDEX(INDIRECT($B1212),MATCH($B1213,Regions,0),7)),0)</f>
        <v>111.42857142857142</v>
      </c>
      <c r="E1227" s="33">
        <f ca="1">IFERROR(E1224*INDEX(INDIRECT($B1212),MATCH($B1213,Regions,0),5)/(7/INDEX(INDIRECT($B1212),MATCH($B1213,Regions,0),7)),0)</f>
        <v>167.14285714285714</v>
      </c>
    </row>
    <row r="1228" spans="2:5" hidden="1" outlineLevel="1" x14ac:dyDescent="0.3"/>
    <row r="1229" spans="2:5" hidden="1" outlineLevel="1" x14ac:dyDescent="0.3">
      <c r="B1229" s="10" t="s">
        <v>25</v>
      </c>
    </row>
    <row r="1230" spans="2:5" hidden="1" outlineLevel="1" x14ac:dyDescent="0.3">
      <c r="B1230" s="11" t="s">
        <v>46</v>
      </c>
    </row>
    <row r="1231" spans="2:5" hidden="1" outlineLevel="1" x14ac:dyDescent="0.3">
      <c r="B1231" s="11" t="s">
        <v>41</v>
      </c>
    </row>
    <row r="1232" spans="2:5" hidden="1" outlineLevel="1" x14ac:dyDescent="0.3"/>
    <row r="1233" spans="2:5" hidden="1" outlineLevel="1" x14ac:dyDescent="0.3">
      <c r="C1233" s="297" t="s">
        <v>12</v>
      </c>
      <c r="D1233" s="297"/>
      <c r="E1233" s="297"/>
    </row>
    <row r="1234" spans="2:5" ht="28.8" hidden="1" outlineLevel="1" x14ac:dyDescent="0.3">
      <c r="B1234" s="13" t="str">
        <f>B1230&amp;" - "&amp;B1231</f>
        <v>Cardiac_Valve - Ontario</v>
      </c>
      <c r="C1234" s="14" t="str">
        <f>'Data Inputs'!$C$29</f>
        <v>Scenario 1:
+1 day a week</v>
      </c>
      <c r="D1234" s="14" t="str">
        <f>'Data Inputs'!$D$29</f>
        <v>Scenario 2:
+2 days a week</v>
      </c>
      <c r="E1234" s="71" t="str">
        <f>'Data Inputs'!$E$29</f>
        <v>Scenario 3:
+3 days a week</v>
      </c>
    </row>
    <row r="1235" spans="2:5" hidden="1" outlineLevel="1" x14ac:dyDescent="0.3">
      <c r="B1235" s="12" t="s">
        <v>21</v>
      </c>
      <c r="C1235" s="17"/>
      <c r="D1235" s="18"/>
      <c r="E1235" s="19"/>
    </row>
    <row r="1236" spans="2:5" hidden="1" outlineLevel="1" x14ac:dyDescent="0.3">
      <c r="B1236" s="20" t="s">
        <v>13</v>
      </c>
      <c r="C1236" s="21">
        <f ca="1">INDEX(INDIRECT($B1230),MATCH($B1231,Regions,0),1)</f>
        <v>175</v>
      </c>
      <c r="D1236" s="21">
        <f ca="1">INDEX(INDIRECT($B1230),MATCH($B1231,Regions,0),1)</f>
        <v>175</v>
      </c>
      <c r="E1236" s="21">
        <f ca="1">INDEX(INDIRECT($B1230),MATCH($B1231,Regions,0),1)</f>
        <v>175</v>
      </c>
    </row>
    <row r="1237" spans="2:5" hidden="1" outlineLevel="1" x14ac:dyDescent="0.3">
      <c r="B1237" s="20" t="s">
        <v>20</v>
      </c>
      <c r="C1237" s="23">
        <f>INDEX(ScenarioInputs,MATCH($B1231,Regions,0),MATCH(C1234,Scenarios,0))</f>
        <v>1</v>
      </c>
      <c r="D1237" s="23">
        <f>INDEX(ScenarioInputs,MATCH($B1231,Regions,0),MATCH(D1234,Scenarios,0))</f>
        <v>2</v>
      </c>
      <c r="E1237" s="23">
        <f>INDEX(ScenarioInputs,MATCH($B1231,Regions,0),MATCH(E1234,Scenarios,0))</f>
        <v>3</v>
      </c>
    </row>
    <row r="1238" spans="2:5" hidden="1" outlineLevel="1" x14ac:dyDescent="0.3">
      <c r="B1238" s="20" t="s">
        <v>37</v>
      </c>
      <c r="C1238" s="21">
        <f ca="1">ROUNDDOWN(C1237*INDEX(INDIRECT($B1230),MATCH($B1231,Regions,0),9)/(INDEX(INDIRECT($B1230),MATCH($B1231,Regions,0),3)+INDEX(INDIRECT($B1230),MATCH($B1231,Regions,0),2)),0)+IF(MOD(INDEX(INDIRECT($B1230),MATCH($B1231,Regions,0),9),INDEX(INDIRECT($B1230),MATCH($B1231,Regions,0),3)+INDEX(INDIRECT($B1230),MATCH($B1231,Regions,0),2))&lt;Buffer,0,1)</f>
        <v>2</v>
      </c>
      <c r="D1238" s="21">
        <f ca="1">ROUNDDOWN(D1237*INDEX(INDIRECT($B1230),MATCH($B1231,Regions,0),9)/(INDEX(INDIRECT($B1230),MATCH($B1231,Regions,0),3)+INDEX(INDIRECT($B1230),MATCH($B1231,Regions,0),2)),0)+IF(MOD(INDEX(INDIRECT($B1230),MATCH($B1231,Regions,0),9),INDEX(INDIRECT($B1230),MATCH($B1231,Regions,0),3)+INDEX(INDIRECT($B1230),MATCH($B1231,Regions,0),2))&lt;Buffer,0,1)</f>
        <v>4</v>
      </c>
      <c r="E1238" s="21">
        <f ca="1">ROUNDDOWN(E1237*INDEX(INDIRECT($B1230),MATCH($B1231,Regions,0),9)/(INDEX(INDIRECT($B1230),MATCH($B1231,Regions,0),3)+INDEX(INDIRECT($B1230),MATCH($B1231,Regions,0),2)),0)+IF(MOD(INDEX(INDIRECT($B1230),MATCH($B1231,Regions,0),9),INDEX(INDIRECT($B1230),MATCH($B1231,Regions,0),3)+INDEX(INDIRECT($B1230),MATCH($B1231,Regions,0),2))&lt;Buffer,0,1)</f>
        <v>6</v>
      </c>
    </row>
    <row r="1239" spans="2:5" hidden="1" outlineLevel="1" x14ac:dyDescent="0.3">
      <c r="B1239" s="20" t="s">
        <v>43</v>
      </c>
      <c r="C1239" s="21">
        <f ca="1">ROUNDDOWN(INDEX(INDIRECT($B1230),MATCH($B1231,Regions,0),8)*INDEX(INDIRECT($B1230),MATCH($B1231,Regions,0),10),0)</f>
        <v>65</v>
      </c>
      <c r="D1239" s="21">
        <f ca="1">ROUNDDOWN(INDEX(INDIRECT($B1230),MATCH($B1231,Regions,0),8)*INDEX(INDIRECT($B1230),MATCH($B1231,Regions,0),10),0)</f>
        <v>65</v>
      </c>
      <c r="E1239" s="21">
        <f ca="1">ROUNDDOWN(INDEX(INDIRECT($B1230),MATCH($B1231,Regions,0),8)*INDEX(INDIRECT($B1230),MATCH($B1231,Regions,0),10),0)</f>
        <v>65</v>
      </c>
    </row>
    <row r="1240" spans="2:5" hidden="1" outlineLevel="1" x14ac:dyDescent="0.3">
      <c r="B1240" s="26" t="s">
        <v>11</v>
      </c>
      <c r="C1240" s="27">
        <f ca="1">IFERROR(C1236/(C1239*C1238),NA())</f>
        <v>1.3461538461538463</v>
      </c>
      <c r="D1240" s="27">
        <f t="shared" ref="D1240:E1240" ca="1" si="189">IFERROR(D1236/(D1239*D1238),NA())</f>
        <v>0.67307692307692313</v>
      </c>
      <c r="E1240" s="27">
        <f t="shared" ca="1" si="189"/>
        <v>0.44871794871794873</v>
      </c>
    </row>
    <row r="1241" spans="2:5" hidden="1" outlineLevel="1" x14ac:dyDescent="0.3">
      <c r="B1241" s="12" t="s">
        <v>14</v>
      </c>
      <c r="C1241" s="28"/>
      <c r="D1241" s="29"/>
      <c r="E1241" s="30"/>
    </row>
    <row r="1242" spans="2:5" hidden="1" outlineLevel="1" x14ac:dyDescent="0.3">
      <c r="B1242" s="31" t="s">
        <v>38</v>
      </c>
      <c r="C1242" s="32">
        <f ca="1">IFERROR(C1236/C1240,0)</f>
        <v>130</v>
      </c>
      <c r="D1242" s="32">
        <f t="shared" ref="D1242:E1242" ca="1" si="190">IFERROR(D1236/D1240,0)</f>
        <v>260</v>
      </c>
      <c r="E1242" s="32">
        <f t="shared" ca="1" si="190"/>
        <v>390</v>
      </c>
    </row>
    <row r="1243" spans="2:5" hidden="1" outlineLevel="1" x14ac:dyDescent="0.3">
      <c r="B1243" s="20" t="s">
        <v>30</v>
      </c>
      <c r="C1243" s="33">
        <f ca="1">IF(C1242=0,0,INDEX(INDIRECT($B1230),MATCH($B1231,Regions,0),9)*C1237*C1239)</f>
        <v>520</v>
      </c>
      <c r="D1243" s="33">
        <f ca="1">IF(D1242=0,0,INDEX(INDIRECT($B1230),MATCH($B1231,Regions,0),9)*D1237*D1239)</f>
        <v>1040</v>
      </c>
      <c r="E1243" s="33">
        <f ca="1">IF(E1242=0,0,INDEX(INDIRECT($B1230),MATCH($B1231,Regions,0),9)*E1237*E1239)</f>
        <v>1560</v>
      </c>
    </row>
    <row r="1244" spans="2:5" hidden="1" outlineLevel="1" x14ac:dyDescent="0.3">
      <c r="B1244" s="20" t="s">
        <v>31</v>
      </c>
      <c r="C1244" s="33">
        <f ca="1">IFERROR(C1242*INDEX(INDIRECT($B1230),MATCH($B1231,Regions,0),4)/(7/INDEX(INDIRECT($B1230),MATCH($B1231,Regions,0),6)),0)</f>
        <v>148.57142857142858</v>
      </c>
      <c r="D1244" s="33">
        <f ca="1">IFERROR(D1242*INDEX(INDIRECT($B1230),MATCH($B1231,Regions,0),4)/(7/INDEX(INDIRECT($B1230),MATCH($B1231,Regions,0),6)),0)</f>
        <v>297.14285714285717</v>
      </c>
      <c r="E1244" s="33">
        <f ca="1">IFERROR(E1242*INDEX(INDIRECT($B1230),MATCH($B1231,Regions,0),4)/(7/INDEX(INDIRECT($B1230),MATCH($B1231,Regions,0),6)),0)</f>
        <v>445.71428571428572</v>
      </c>
    </row>
    <row r="1245" spans="2:5" hidden="1" outlineLevel="1" x14ac:dyDescent="0.3">
      <c r="B1245" s="20" t="s">
        <v>32</v>
      </c>
      <c r="C1245" s="33">
        <f ca="1">IFERROR(C1242*INDEX(INDIRECT($B1230),MATCH($B1231,Regions,0),5)/(7/INDEX(INDIRECT($B1230),MATCH($B1231,Regions,0),7)),0)</f>
        <v>74.285714285714292</v>
      </c>
      <c r="D1245" s="33">
        <f ca="1">IFERROR(D1242*INDEX(INDIRECT($B1230),MATCH($B1231,Regions,0),5)/(7/INDEX(INDIRECT($B1230),MATCH($B1231,Regions,0),7)),0)</f>
        <v>148.57142857142858</v>
      </c>
      <c r="E1245" s="33">
        <f ca="1">IFERROR(E1242*INDEX(INDIRECT($B1230),MATCH($B1231,Regions,0),5)/(7/INDEX(INDIRECT($B1230),MATCH($B1231,Regions,0),7)),0)</f>
        <v>222.85714285714286</v>
      </c>
    </row>
    <row r="1246" spans="2:5" hidden="1" outlineLevel="1" x14ac:dyDescent="0.3">
      <c r="B1246" s="20"/>
      <c r="C1246" s="44"/>
      <c r="D1246" s="44"/>
      <c r="E1246" s="44"/>
    </row>
    <row r="1247" spans="2:5" hidden="1" outlineLevel="1" x14ac:dyDescent="0.3">
      <c r="B1247" s="10" t="s">
        <v>25</v>
      </c>
    </row>
    <row r="1248" spans="2:5" hidden="1" outlineLevel="1" x14ac:dyDescent="0.3">
      <c r="B1248" s="11" t="s">
        <v>110</v>
      </c>
    </row>
    <row r="1249" spans="2:5" hidden="1" outlineLevel="1" x14ac:dyDescent="0.3">
      <c r="B1249" s="11" t="s">
        <v>41</v>
      </c>
    </row>
    <row r="1250" spans="2:5" hidden="1" outlineLevel="1" x14ac:dyDescent="0.3"/>
    <row r="1251" spans="2:5" hidden="1" outlineLevel="1" x14ac:dyDescent="0.3">
      <c r="C1251" s="297" t="s">
        <v>12</v>
      </c>
      <c r="D1251" s="297"/>
      <c r="E1251" s="297"/>
    </row>
    <row r="1252" spans="2:5" ht="28.8" hidden="1" outlineLevel="1" x14ac:dyDescent="0.3">
      <c r="B1252" s="13" t="str">
        <f>B1248&amp;" - "&amp;B1249</f>
        <v>Benign_P2P3 - Ontario</v>
      </c>
      <c r="C1252" s="14" t="str">
        <f>'Data Inputs'!$C$29</f>
        <v>Scenario 1:
+1 day a week</v>
      </c>
      <c r="D1252" s="14" t="str">
        <f>'Data Inputs'!$D$29</f>
        <v>Scenario 2:
+2 days a week</v>
      </c>
      <c r="E1252" s="71" t="str">
        <f>'Data Inputs'!$E$29</f>
        <v>Scenario 3:
+3 days a week</v>
      </c>
    </row>
    <row r="1253" spans="2:5" hidden="1" outlineLevel="1" x14ac:dyDescent="0.3">
      <c r="B1253" s="12" t="s">
        <v>21</v>
      </c>
      <c r="C1253" s="17"/>
      <c r="D1253" s="18"/>
      <c r="E1253" s="19"/>
    </row>
    <row r="1254" spans="2:5" hidden="1" outlineLevel="1" x14ac:dyDescent="0.3">
      <c r="B1254" s="20" t="s">
        <v>13</v>
      </c>
      <c r="C1254" s="21">
        <f ca="1">INDEX(INDIRECT($B1248),MATCH($B1249,Regions,0),1)</f>
        <v>20400.1284089</v>
      </c>
      <c r="D1254" s="21">
        <f ca="1">INDEX(INDIRECT($B1248),MATCH($B1249,Regions,0),1)</f>
        <v>20400.1284089</v>
      </c>
      <c r="E1254" s="21">
        <f ca="1">INDEX(INDIRECT($B1248),MATCH($B1249,Regions,0),1)</f>
        <v>20400.1284089</v>
      </c>
    </row>
    <row r="1255" spans="2:5" hidden="1" outlineLevel="1" x14ac:dyDescent="0.3">
      <c r="B1255" s="20" t="s">
        <v>20</v>
      </c>
      <c r="C1255" s="23">
        <f>INDEX(ScenarioInputs,MATCH($B1249,Regions,0),MATCH(C1252,Scenarios,0))</f>
        <v>1</v>
      </c>
      <c r="D1255" s="23">
        <f>INDEX(ScenarioInputs,MATCH($B1249,Regions,0),MATCH(D1252,Scenarios,0))</f>
        <v>2</v>
      </c>
      <c r="E1255" s="23">
        <f>INDEX(ScenarioInputs,MATCH($B1249,Regions,0),MATCH(E1252,Scenarios,0))</f>
        <v>3</v>
      </c>
    </row>
    <row r="1256" spans="2:5" hidden="1" outlineLevel="1" x14ac:dyDescent="0.3">
      <c r="B1256" s="20" t="s">
        <v>37</v>
      </c>
      <c r="C1256" s="21">
        <f ca="1">ROUNDDOWN(C1255*INDEX(INDIRECT($B1248),MATCH($B1249,Regions,0),9)/(INDEX(INDIRECT($B1248),MATCH($B1249,Regions,0),3)+INDEX(INDIRECT($B1248),MATCH($B1249,Regions,0),2)),0)+IF(MOD(INDEX(INDIRECT($B1248),MATCH($B1249,Regions,0),9),INDEX(INDIRECT($B1248),MATCH($B1249,Regions,0),3)+INDEX(INDIRECT($B1248),MATCH($B1249,Regions,0),2))&lt;Buffer,0,1)</f>
        <v>4</v>
      </c>
      <c r="D1256" s="21">
        <f ca="1">ROUNDDOWN(D1255*INDEX(INDIRECT($B1248),MATCH($B1249,Regions,0),9)/(INDEX(INDIRECT($B1248),MATCH($B1249,Regions,0),3)+INDEX(INDIRECT($B1248),MATCH($B1249,Regions,0),2)),0)+IF(MOD(INDEX(INDIRECT($B1248),MATCH($B1249,Regions,0),9),INDEX(INDIRECT($B1248),MATCH($B1249,Regions,0),3)+INDEX(INDIRECT($B1248),MATCH($B1249,Regions,0),2))&lt;Buffer,0,1)</f>
        <v>9</v>
      </c>
      <c r="E1256" s="21">
        <f ca="1">ROUNDDOWN(E1255*INDEX(INDIRECT($B1248),MATCH($B1249,Regions,0),9)/(INDEX(INDIRECT($B1248),MATCH($B1249,Regions,0),3)+INDEX(INDIRECT($B1248),MATCH($B1249,Regions,0),2)),0)+IF(MOD(INDEX(INDIRECT($B1248),MATCH($B1249,Regions,0),9),INDEX(INDIRECT($B1248),MATCH($B1249,Regions,0),3)+INDEX(INDIRECT($B1248),MATCH($B1249,Regions,0),2))&lt;Buffer,0,1)</f>
        <v>13</v>
      </c>
    </row>
    <row r="1257" spans="2:5" hidden="1" outlineLevel="1" x14ac:dyDescent="0.3">
      <c r="B1257" s="20" t="s">
        <v>43</v>
      </c>
      <c r="C1257" s="21">
        <f ca="1">ROUNDDOWN(INDEX(INDIRECT($B1248),MATCH($B1249,Regions,0),8)*INDEX(INDIRECT($B1248),MATCH($B1249,Regions,0),10),0)</f>
        <v>421</v>
      </c>
      <c r="D1257" s="21">
        <f ca="1">ROUNDDOWN(INDEX(INDIRECT($B1248),MATCH($B1249,Regions,0),8)*INDEX(INDIRECT($B1248),MATCH($B1249,Regions,0),10),0)</f>
        <v>421</v>
      </c>
      <c r="E1257" s="21">
        <f ca="1">ROUNDDOWN(INDEX(INDIRECT($B1248),MATCH($B1249,Regions,0),8)*INDEX(INDIRECT($B1248),MATCH($B1249,Regions,0),10),0)</f>
        <v>421</v>
      </c>
    </row>
    <row r="1258" spans="2:5" hidden="1" outlineLevel="1" x14ac:dyDescent="0.3">
      <c r="B1258" s="26" t="s">
        <v>11</v>
      </c>
      <c r="C1258" s="27">
        <f ca="1">IFERROR(C1254/(C1257*C1256),NA())</f>
        <v>12.114090504097387</v>
      </c>
      <c r="D1258" s="27">
        <f t="shared" ref="D1258:E1258" ca="1" si="191">IFERROR(D1254/(D1257*D1256),NA())</f>
        <v>5.3840402240432832</v>
      </c>
      <c r="E1258" s="27">
        <f t="shared" ca="1" si="191"/>
        <v>3.727412462799196</v>
      </c>
    </row>
    <row r="1259" spans="2:5" hidden="1" outlineLevel="1" x14ac:dyDescent="0.3">
      <c r="B1259" s="12" t="s">
        <v>14</v>
      </c>
      <c r="C1259" s="28"/>
      <c r="D1259" s="29"/>
      <c r="E1259" s="30"/>
    </row>
    <row r="1260" spans="2:5" hidden="1" outlineLevel="1" x14ac:dyDescent="0.3">
      <c r="B1260" s="31" t="s">
        <v>38</v>
      </c>
      <c r="C1260" s="32">
        <f ca="1">IFERROR(C1254/C1258,0)</f>
        <v>1684</v>
      </c>
      <c r="D1260" s="32">
        <f t="shared" ref="D1260:E1260" ca="1" si="192">IFERROR(D1254/D1258,0)</f>
        <v>3789</v>
      </c>
      <c r="E1260" s="32">
        <f t="shared" ca="1" si="192"/>
        <v>5473</v>
      </c>
    </row>
    <row r="1261" spans="2:5" hidden="1" outlineLevel="1" x14ac:dyDescent="0.3">
      <c r="B1261" s="20" t="s">
        <v>30</v>
      </c>
      <c r="C1261" s="33">
        <f ca="1">IF(C1260=0,0,INDEX(INDIRECT($B1248),MATCH($B1249,Regions,0),9)*C1255*C1257)</f>
        <v>3368</v>
      </c>
      <c r="D1261" s="33">
        <f ca="1">IF(D1260=0,0,INDEX(INDIRECT($B1248),MATCH($B1249,Regions,0),9)*D1255*D1257)</f>
        <v>6736</v>
      </c>
      <c r="E1261" s="33">
        <f ca="1">IF(E1260=0,0,INDEX(INDIRECT($B1248),MATCH($B1249,Regions,0),9)*E1255*E1257)</f>
        <v>10104</v>
      </c>
    </row>
    <row r="1262" spans="2:5" hidden="1" outlineLevel="1" x14ac:dyDescent="0.3">
      <c r="B1262" s="20" t="s">
        <v>31</v>
      </c>
      <c r="C1262" s="33">
        <f ca="1">IFERROR(C1260*INDEX(INDIRECT($B1248),MATCH($B1249,Regions,0),4)/(7/INDEX(INDIRECT($B1248),MATCH($B1249,Regions,0),6)),0)</f>
        <v>235.62683692151145</v>
      </c>
      <c r="D1262" s="33">
        <f ca="1">IFERROR(D1260*INDEX(INDIRECT($B1248),MATCH($B1249,Regions,0),4)/(7/INDEX(INDIRECT($B1248),MATCH($B1249,Regions,0),6)),0)</f>
        <v>530.16038307340068</v>
      </c>
      <c r="E1262" s="33">
        <f ca="1">IFERROR(E1260*INDEX(INDIRECT($B1248),MATCH($B1249,Regions,0),4)/(7/INDEX(INDIRECT($B1248),MATCH($B1249,Regions,0),6)),0)</f>
        <v>765.78721999491211</v>
      </c>
    </row>
    <row r="1263" spans="2:5" hidden="1" outlineLevel="1" x14ac:dyDescent="0.3">
      <c r="B1263" s="20" t="s">
        <v>32</v>
      </c>
      <c r="C1263" s="33">
        <f ca="1">IFERROR(C1260*INDEX(INDIRECT($B1248),MATCH($B1249,Regions,0),5)/(7/INDEX(INDIRECT($B1248),MATCH($B1249,Regions,0),7)),0)</f>
        <v>2.2251506450895495</v>
      </c>
      <c r="D1263" s="33">
        <f ca="1">IFERROR(D1260*INDEX(INDIRECT($B1248),MATCH($B1249,Regions,0),5)/(7/INDEX(INDIRECT($B1248),MATCH($B1249,Regions,0),7)),0)</f>
        <v>5.0065889514514863</v>
      </c>
      <c r="E1263" s="33">
        <f ca="1">IFERROR(E1260*INDEX(INDIRECT($B1248),MATCH($B1249,Regions,0),5)/(7/INDEX(INDIRECT($B1248),MATCH($B1249,Regions,0),7)),0)</f>
        <v>7.2317395965410372</v>
      </c>
    </row>
    <row r="1264" spans="2:5" hidden="1" outlineLevel="1" x14ac:dyDescent="0.3">
      <c r="B1264" s="20"/>
      <c r="C1264" s="44"/>
      <c r="D1264" s="44"/>
      <c r="E1264" s="44"/>
    </row>
    <row r="1265" spans="2:5" hidden="1" outlineLevel="1" x14ac:dyDescent="0.3">
      <c r="B1265" s="10" t="s">
        <v>25</v>
      </c>
    </row>
    <row r="1266" spans="2:5" hidden="1" outlineLevel="1" x14ac:dyDescent="0.3">
      <c r="B1266" s="11" t="s">
        <v>111</v>
      </c>
    </row>
    <row r="1267" spans="2:5" hidden="1" outlineLevel="1" x14ac:dyDescent="0.3">
      <c r="B1267" s="11" t="s">
        <v>41</v>
      </c>
    </row>
    <row r="1268" spans="2:5" hidden="1" outlineLevel="1" x14ac:dyDescent="0.3"/>
    <row r="1269" spans="2:5" hidden="1" outlineLevel="1" x14ac:dyDescent="0.3">
      <c r="C1269" s="297" t="s">
        <v>12</v>
      </c>
      <c r="D1269" s="297"/>
      <c r="E1269" s="297"/>
    </row>
    <row r="1270" spans="2:5" ht="28.8" hidden="1" outlineLevel="1" x14ac:dyDescent="0.3">
      <c r="B1270" s="13" t="str">
        <f>B1266&amp;" - "&amp;B1267</f>
        <v>Benign_P4 - Ontario</v>
      </c>
      <c r="C1270" s="14" t="str">
        <f>'Data Inputs'!$C$29</f>
        <v>Scenario 1:
+1 day a week</v>
      </c>
      <c r="D1270" s="14" t="str">
        <f>'Data Inputs'!$D$29</f>
        <v>Scenario 2:
+2 days a week</v>
      </c>
      <c r="E1270" s="71" t="str">
        <f>'Data Inputs'!$E$29</f>
        <v>Scenario 3:
+3 days a week</v>
      </c>
    </row>
    <row r="1271" spans="2:5" hidden="1" outlineLevel="1" x14ac:dyDescent="0.3">
      <c r="B1271" s="12" t="s">
        <v>21</v>
      </c>
      <c r="C1271" s="17"/>
      <c r="D1271" s="18"/>
      <c r="E1271" s="19"/>
    </row>
    <row r="1272" spans="2:5" hidden="1" outlineLevel="1" x14ac:dyDescent="0.3">
      <c r="B1272" s="20" t="s">
        <v>13</v>
      </c>
      <c r="C1272" s="21">
        <f ca="1">INDEX(INDIRECT($B1266),MATCH($B1267,Regions,0),1)</f>
        <v>107872.8603289</v>
      </c>
      <c r="D1272" s="21">
        <f ca="1">INDEX(INDIRECT($B1266),MATCH($B1267,Regions,0),1)</f>
        <v>107872.8603289</v>
      </c>
      <c r="E1272" s="21">
        <f ca="1">INDEX(INDIRECT($B1266),MATCH($B1267,Regions,0),1)</f>
        <v>107872.8603289</v>
      </c>
    </row>
    <row r="1273" spans="2:5" hidden="1" outlineLevel="1" x14ac:dyDescent="0.3">
      <c r="B1273" s="20" t="s">
        <v>20</v>
      </c>
      <c r="C1273" s="23">
        <f>INDEX(ScenarioInputs,MATCH($B1267,Regions,0),MATCH(C1270,Scenarios,0))</f>
        <v>1</v>
      </c>
      <c r="D1273" s="23">
        <f>INDEX(ScenarioInputs,MATCH($B1267,Regions,0),MATCH(D1270,Scenarios,0))</f>
        <v>2</v>
      </c>
      <c r="E1273" s="23">
        <f>INDEX(ScenarioInputs,MATCH($B1267,Regions,0),MATCH(E1270,Scenarios,0))</f>
        <v>3</v>
      </c>
    </row>
    <row r="1274" spans="2:5" hidden="1" outlineLevel="1" x14ac:dyDescent="0.3">
      <c r="B1274" s="20" t="s">
        <v>37</v>
      </c>
      <c r="C1274" s="21">
        <f ca="1">ROUNDDOWN(C1273*INDEX(INDIRECT($B1266),MATCH($B1267,Regions,0),9)/(INDEX(INDIRECT($B1266),MATCH($B1267,Regions,0),3)+INDEX(INDIRECT($B1266),MATCH($B1267,Regions,0),2)),0)+IF(MOD(INDEX(INDIRECT($B1266),MATCH($B1267,Regions,0),9),INDEX(INDIRECT($B1266),MATCH($B1267,Regions,0),3)+INDEX(INDIRECT($B1266),MATCH($B1267,Regions,0),2))&lt;Buffer,0,1)</f>
        <v>5</v>
      </c>
      <c r="D1274" s="21">
        <f ca="1">ROUNDDOWN(D1273*INDEX(INDIRECT($B1266),MATCH($B1267,Regions,0),9)/(INDEX(INDIRECT($B1266),MATCH($B1267,Regions,0),3)+INDEX(INDIRECT($B1266),MATCH($B1267,Regions,0),2)),0)+IF(MOD(INDEX(INDIRECT($B1266),MATCH($B1267,Regions,0),9),INDEX(INDIRECT($B1266),MATCH($B1267,Regions,0),3)+INDEX(INDIRECT($B1266),MATCH($B1267,Regions,0),2))&lt;Buffer,0,1)</f>
        <v>11</v>
      </c>
      <c r="E1274" s="21">
        <f ca="1">ROUNDDOWN(E1273*INDEX(INDIRECT($B1266),MATCH($B1267,Regions,0),9)/(INDEX(INDIRECT($B1266),MATCH($B1267,Regions,0),3)+INDEX(INDIRECT($B1266),MATCH($B1267,Regions,0),2)),0)+IF(MOD(INDEX(INDIRECT($B1266),MATCH($B1267,Regions,0),9),INDEX(INDIRECT($B1266),MATCH($B1267,Regions,0),3)+INDEX(INDIRECT($B1266),MATCH($B1267,Regions,0),2))&lt;Buffer,0,1)</f>
        <v>16</v>
      </c>
    </row>
    <row r="1275" spans="2:5" hidden="1" outlineLevel="1" x14ac:dyDescent="0.3">
      <c r="B1275" s="20" t="s">
        <v>43</v>
      </c>
      <c r="C1275" s="21">
        <f ca="1">ROUNDDOWN(INDEX(INDIRECT($B1266),MATCH($B1267,Regions,0),8)*INDEX(INDIRECT($B1266),MATCH($B1267,Regions,0),10),0)</f>
        <v>421</v>
      </c>
      <c r="D1275" s="21">
        <f ca="1">ROUNDDOWN(INDEX(INDIRECT($B1266),MATCH($B1267,Regions,0),8)*INDEX(INDIRECT($B1266),MATCH($B1267,Regions,0),10),0)</f>
        <v>421</v>
      </c>
      <c r="E1275" s="21">
        <f ca="1">ROUNDDOWN(INDEX(INDIRECT($B1266),MATCH($B1267,Regions,0),8)*INDEX(INDIRECT($B1266),MATCH($B1267,Regions,0),10),0)</f>
        <v>421</v>
      </c>
    </row>
    <row r="1276" spans="2:5" hidden="1" outlineLevel="1" x14ac:dyDescent="0.3">
      <c r="B1276" s="26" t="s">
        <v>11</v>
      </c>
      <c r="C1276" s="27">
        <f ca="1">IFERROR(C1272/(C1275*C1274),NA())</f>
        <v>51.246014408028508</v>
      </c>
      <c r="D1276" s="27">
        <f t="shared" ref="D1276:E1276" ca="1" si="193">IFERROR(D1272/(D1275*D1274),NA())</f>
        <v>23.293642912740228</v>
      </c>
      <c r="E1276" s="27">
        <f t="shared" ca="1" si="193"/>
        <v>16.014379502508909</v>
      </c>
    </row>
    <row r="1277" spans="2:5" hidden="1" outlineLevel="1" x14ac:dyDescent="0.3">
      <c r="B1277" s="12" t="s">
        <v>14</v>
      </c>
      <c r="C1277" s="28"/>
      <c r="D1277" s="29"/>
      <c r="E1277" s="30"/>
    </row>
    <row r="1278" spans="2:5" hidden="1" outlineLevel="1" x14ac:dyDescent="0.3">
      <c r="B1278" s="31" t="s">
        <v>38</v>
      </c>
      <c r="C1278" s="32">
        <f ca="1">IFERROR(C1272/C1276,0)</f>
        <v>2105</v>
      </c>
      <c r="D1278" s="32">
        <f t="shared" ref="D1278:E1278" ca="1" si="194">IFERROR(D1272/D1276,0)</f>
        <v>4631</v>
      </c>
      <c r="E1278" s="32">
        <f t="shared" ca="1" si="194"/>
        <v>6735.9999999999991</v>
      </c>
    </row>
    <row r="1279" spans="2:5" hidden="1" outlineLevel="1" x14ac:dyDescent="0.3">
      <c r="B1279" s="20" t="s">
        <v>30</v>
      </c>
      <c r="C1279" s="33">
        <f ca="1">IF(C1278=0,0,INDEX(INDIRECT($B1266),MATCH($B1267,Regions,0),9)*C1273*C1275)</f>
        <v>3368</v>
      </c>
      <c r="D1279" s="33">
        <f ca="1">IF(D1278=0,0,INDEX(INDIRECT($B1266),MATCH($B1267,Regions,0),9)*D1273*D1275)</f>
        <v>6736</v>
      </c>
      <c r="E1279" s="33">
        <f ca="1">IF(E1278=0,0,INDEX(INDIRECT($B1266),MATCH($B1267,Regions,0),9)*E1273*E1275)</f>
        <v>10104</v>
      </c>
    </row>
    <row r="1280" spans="2:5" hidden="1" outlineLevel="1" x14ac:dyDescent="0.3">
      <c r="B1280" s="20" t="s">
        <v>31</v>
      </c>
      <c r="C1280" s="33">
        <f ca="1">IFERROR(C1278*INDEX(INDIRECT($B1266),MATCH($B1267,Regions,0),4)/(7/INDEX(INDIRECT($B1266),MATCH($B1267,Regions,0),6)),0)</f>
        <v>146.65493784817505</v>
      </c>
      <c r="D1280" s="33">
        <f ca="1">IFERROR(D1278*INDEX(INDIRECT($B1266),MATCH($B1267,Regions,0),4)/(7/INDEX(INDIRECT($B1266),MATCH($B1267,Regions,0),6)),0)</f>
        <v>322.6408632659851</v>
      </c>
      <c r="E1280" s="33">
        <f ca="1">IFERROR(E1278*INDEX(INDIRECT($B1266),MATCH($B1267,Regions,0),4)/(7/INDEX(INDIRECT($B1266),MATCH($B1267,Regions,0),6)),0)</f>
        <v>469.29580111416004</v>
      </c>
    </row>
    <row r="1281" spans="2:5" hidden="1" outlineLevel="1" x14ac:dyDescent="0.3">
      <c r="B1281" s="20" t="s">
        <v>32</v>
      </c>
      <c r="C1281" s="33">
        <f ca="1">IFERROR(C1278*INDEX(INDIRECT($B1266),MATCH($B1267,Regions,0),5)/(7/INDEX(INDIRECT($B1266),MATCH($B1267,Regions,0),7)),0)</f>
        <v>0.22736364766492348</v>
      </c>
      <c r="D1281" s="33">
        <f ca="1">IFERROR(D1278*INDEX(INDIRECT($B1266),MATCH($B1267,Regions,0),5)/(7/INDEX(INDIRECT($B1266),MATCH($B1267,Regions,0),7)),0)</f>
        <v>0.50020002486283166</v>
      </c>
      <c r="E1281" s="33">
        <f ca="1">IFERROR(E1278*INDEX(INDIRECT($B1266),MATCH($B1267,Regions,0),5)/(7/INDEX(INDIRECT($B1266),MATCH($B1267,Regions,0),7)),0)</f>
        <v>0.727563672527755</v>
      </c>
    </row>
    <row r="1282" spans="2:5" hidden="1" outlineLevel="1" x14ac:dyDescent="0.3">
      <c r="B1282" s="20"/>
      <c r="C1282" s="44"/>
      <c r="D1282" s="44"/>
      <c r="E1282" s="44"/>
    </row>
    <row r="1283" spans="2:5" hidden="1" outlineLevel="1" x14ac:dyDescent="0.3">
      <c r="B1283" s="10" t="s">
        <v>25</v>
      </c>
    </row>
    <row r="1284" spans="2:5" hidden="1" outlineLevel="1" x14ac:dyDescent="0.3">
      <c r="B1284" s="11" t="s">
        <v>112</v>
      </c>
    </row>
    <row r="1285" spans="2:5" hidden="1" outlineLevel="1" x14ac:dyDescent="0.3">
      <c r="B1285" s="11" t="s">
        <v>41</v>
      </c>
    </row>
    <row r="1286" spans="2:5" hidden="1" outlineLevel="1" x14ac:dyDescent="0.3"/>
    <row r="1287" spans="2:5" hidden="1" outlineLevel="1" x14ac:dyDescent="0.3">
      <c r="C1287" s="297" t="s">
        <v>12</v>
      </c>
      <c r="D1287" s="297"/>
      <c r="E1287" s="297"/>
    </row>
    <row r="1288" spans="2:5" ht="28.8" hidden="1" outlineLevel="1" x14ac:dyDescent="0.3">
      <c r="B1288" s="13" t="str">
        <f>B1284&amp;" - "&amp;B1285</f>
        <v>Pediatric_P2P3 - Ontario</v>
      </c>
      <c r="C1288" s="14" t="str">
        <f>'Data Inputs'!$C$29</f>
        <v>Scenario 1:
+1 day a week</v>
      </c>
      <c r="D1288" s="14" t="str">
        <f>'Data Inputs'!$D$29</f>
        <v>Scenario 2:
+2 days a week</v>
      </c>
      <c r="E1288" s="71" t="str">
        <f>'Data Inputs'!$E$29</f>
        <v>Scenario 3:
+3 days a week</v>
      </c>
    </row>
    <row r="1289" spans="2:5" hidden="1" outlineLevel="1" x14ac:dyDescent="0.3">
      <c r="B1289" s="12" t="s">
        <v>21</v>
      </c>
      <c r="C1289" s="17"/>
      <c r="D1289" s="18"/>
      <c r="E1289" s="19"/>
    </row>
    <row r="1290" spans="2:5" hidden="1" outlineLevel="1" x14ac:dyDescent="0.3">
      <c r="B1290" s="20" t="s">
        <v>13</v>
      </c>
      <c r="C1290" s="21">
        <f ca="1">INDEX(INDIRECT($B1284),MATCH($B1285,Regions,0),1)</f>
        <v>3151.0545397900005</v>
      </c>
      <c r="D1290" s="21">
        <f ca="1">INDEX(INDIRECT($B1284),MATCH($B1285,Regions,0),1)</f>
        <v>3151.0545397900005</v>
      </c>
      <c r="E1290" s="21">
        <f ca="1">INDEX(INDIRECT($B1284),MATCH($B1285,Regions,0),1)</f>
        <v>3151.0545397900005</v>
      </c>
    </row>
    <row r="1291" spans="2:5" hidden="1" outlineLevel="1" x14ac:dyDescent="0.3">
      <c r="B1291" s="20" t="s">
        <v>20</v>
      </c>
      <c r="C1291" s="23">
        <f>INDEX(ScenarioInputs,MATCH($B1285,Regions,0),MATCH(C1288,Scenarios,0))</f>
        <v>1</v>
      </c>
      <c r="D1291" s="23">
        <f>INDEX(ScenarioInputs,MATCH($B1285,Regions,0),MATCH(D1288,Scenarios,0))</f>
        <v>2</v>
      </c>
      <c r="E1291" s="23">
        <f>INDEX(ScenarioInputs,MATCH($B1285,Regions,0),MATCH(E1288,Scenarios,0))</f>
        <v>3</v>
      </c>
    </row>
    <row r="1292" spans="2:5" hidden="1" outlineLevel="1" x14ac:dyDescent="0.3">
      <c r="B1292" s="20" t="s">
        <v>37</v>
      </c>
      <c r="C1292" s="21">
        <f ca="1">ROUNDDOWN(C1291*INDEX(INDIRECT($B1284),MATCH($B1285,Regions,0),9)/(INDEX(INDIRECT($B1284),MATCH($B1285,Regions,0),3)+INDEX(INDIRECT($B1284),MATCH($B1285,Regions,0),2)),0)+IF(MOD(INDEX(INDIRECT($B1284),MATCH($B1285,Regions,0),9),INDEX(INDIRECT($B1284),MATCH($B1285,Regions,0),3)+INDEX(INDIRECT($B1284),MATCH($B1285,Regions,0),2))&lt;Buffer,0,1)</f>
        <v>4</v>
      </c>
      <c r="D1292" s="21">
        <f ca="1">ROUNDDOWN(D1291*INDEX(INDIRECT($B1284),MATCH($B1285,Regions,0),9)/(INDEX(INDIRECT($B1284),MATCH($B1285,Regions,0),3)+INDEX(INDIRECT($B1284),MATCH($B1285,Regions,0),2)),0)+IF(MOD(INDEX(INDIRECT($B1284),MATCH($B1285,Regions,0),9),INDEX(INDIRECT($B1284),MATCH($B1285,Regions,0),3)+INDEX(INDIRECT($B1284),MATCH($B1285,Regions,0),2))&lt;Buffer,0,1)</f>
        <v>8</v>
      </c>
      <c r="E1292" s="21">
        <f ca="1">ROUNDDOWN(E1291*INDEX(INDIRECT($B1284),MATCH($B1285,Regions,0),9)/(INDEX(INDIRECT($B1284),MATCH($B1285,Regions,0),3)+INDEX(INDIRECT($B1284),MATCH($B1285,Regions,0),2)),0)+IF(MOD(INDEX(INDIRECT($B1284),MATCH($B1285,Regions,0),9),INDEX(INDIRECT($B1284),MATCH($B1285,Regions,0),3)+INDEX(INDIRECT($B1284),MATCH($B1285,Regions,0),2))&lt;Buffer,0,1)</f>
        <v>12</v>
      </c>
    </row>
    <row r="1293" spans="2:5" hidden="1" outlineLevel="1" x14ac:dyDescent="0.3">
      <c r="B1293" s="20" t="s">
        <v>43</v>
      </c>
      <c r="C1293" s="21">
        <f ca="1">ROUNDDOWN(INDEX(INDIRECT($B1284),MATCH($B1285,Regions,0),8)*INDEX(INDIRECT($B1284),MATCH($B1285,Regions,0),10),0)</f>
        <v>311</v>
      </c>
      <c r="D1293" s="21">
        <f ca="1">ROUNDDOWN(INDEX(INDIRECT($B1284),MATCH($B1285,Regions,0),8)*INDEX(INDIRECT($B1284),MATCH($B1285,Regions,0),10),0)</f>
        <v>311</v>
      </c>
      <c r="E1293" s="21">
        <f ca="1">ROUNDDOWN(INDEX(INDIRECT($B1284),MATCH($B1285,Regions,0),8)*INDEX(INDIRECT($B1284),MATCH($B1285,Regions,0),10),0)</f>
        <v>311</v>
      </c>
    </row>
    <row r="1294" spans="2:5" hidden="1" outlineLevel="1" x14ac:dyDescent="0.3">
      <c r="B1294" s="26" t="s">
        <v>11</v>
      </c>
      <c r="C1294" s="27">
        <f ca="1">IFERROR(C1290/(C1293*C1292),NA())</f>
        <v>2.5330020416318333</v>
      </c>
      <c r="D1294" s="27">
        <f t="shared" ref="D1294:E1294" ca="1" si="195">IFERROR(D1290/(D1293*D1292),NA())</f>
        <v>1.2665010208159166</v>
      </c>
      <c r="E1294" s="27">
        <f t="shared" ca="1" si="195"/>
        <v>0.84433401387727769</v>
      </c>
    </row>
    <row r="1295" spans="2:5" hidden="1" outlineLevel="1" x14ac:dyDescent="0.3">
      <c r="B1295" s="12" t="s">
        <v>14</v>
      </c>
      <c r="C1295" s="28"/>
      <c r="D1295" s="29"/>
      <c r="E1295" s="30"/>
    </row>
    <row r="1296" spans="2:5" hidden="1" outlineLevel="1" x14ac:dyDescent="0.3">
      <c r="B1296" s="31" t="s">
        <v>38</v>
      </c>
      <c r="C1296" s="32">
        <f ca="1">IFERROR(C1290/C1294,0)</f>
        <v>1244</v>
      </c>
      <c r="D1296" s="32">
        <f t="shared" ref="D1296:E1296" ca="1" si="196">IFERROR(D1290/D1294,0)</f>
        <v>2488</v>
      </c>
      <c r="E1296" s="32">
        <f t="shared" ca="1" si="196"/>
        <v>3732</v>
      </c>
    </row>
    <row r="1297" spans="2:5" hidden="1" outlineLevel="1" x14ac:dyDescent="0.3">
      <c r="B1297" s="20" t="s">
        <v>30</v>
      </c>
      <c r="C1297" s="33">
        <f ca="1">IF(C1296=0,0,INDEX(INDIRECT($B1284),MATCH($B1285,Regions,0),9)*C1291*C1293)</f>
        <v>2488</v>
      </c>
      <c r="D1297" s="33">
        <f ca="1">IF(D1296=0,0,INDEX(INDIRECT($B1284),MATCH($B1285,Regions,0),9)*D1291*D1293)</f>
        <v>4976</v>
      </c>
      <c r="E1297" s="33">
        <f ca="1">IF(E1296=0,0,INDEX(INDIRECT($B1284),MATCH($B1285,Regions,0),9)*E1291*E1293)</f>
        <v>7464</v>
      </c>
    </row>
    <row r="1298" spans="2:5" hidden="1" outlineLevel="1" x14ac:dyDescent="0.3">
      <c r="B1298" s="20" t="s">
        <v>31</v>
      </c>
      <c r="C1298" s="33">
        <f ca="1">IFERROR(C1296*INDEX(INDIRECT($B1284),MATCH($B1285,Regions,0),4)/(7/INDEX(INDIRECT($B1284),MATCH($B1285,Regions,0),6)),0)</f>
        <v>251.32781118439306</v>
      </c>
      <c r="D1298" s="33">
        <f ca="1">IFERROR(D1296*INDEX(INDIRECT($B1284),MATCH($B1285,Regions,0),4)/(7/INDEX(INDIRECT($B1284),MATCH($B1285,Regions,0),6)),0)</f>
        <v>502.65562236878611</v>
      </c>
      <c r="E1298" s="33">
        <f ca="1">IFERROR(E1296*INDEX(INDIRECT($B1284),MATCH($B1285,Regions,0),4)/(7/INDEX(INDIRECT($B1284),MATCH($B1285,Regions,0),6)),0)</f>
        <v>753.98343355317922</v>
      </c>
    </row>
    <row r="1299" spans="2:5" hidden="1" outlineLevel="1" x14ac:dyDescent="0.3">
      <c r="B1299" s="20" t="s">
        <v>32</v>
      </c>
      <c r="C1299" s="33">
        <f ca="1">IFERROR(C1296*INDEX(INDIRECT($B1284),MATCH($B1285,Regions,0),5)/(7/INDEX(INDIRECT($B1284),MATCH($B1285,Regions,0),7)),0)</f>
        <v>50.381126656801364</v>
      </c>
      <c r="D1299" s="33">
        <f ca="1">IFERROR(D1296*INDEX(INDIRECT($B1284),MATCH($B1285,Regions,0),5)/(7/INDEX(INDIRECT($B1284),MATCH($B1285,Regions,0),7)),0)</f>
        <v>100.76225331360273</v>
      </c>
      <c r="E1299" s="33">
        <f ca="1">IFERROR(E1296*INDEX(INDIRECT($B1284),MATCH($B1285,Regions,0),5)/(7/INDEX(INDIRECT($B1284),MATCH($B1285,Regions,0),7)),0)</f>
        <v>151.14337997040411</v>
      </c>
    </row>
    <row r="1300" spans="2:5" hidden="1" outlineLevel="1" x14ac:dyDescent="0.3">
      <c r="B1300" s="20"/>
      <c r="C1300" s="44"/>
      <c r="D1300" s="44"/>
      <c r="E1300" s="44"/>
    </row>
    <row r="1301" spans="2:5" hidden="1" outlineLevel="1" x14ac:dyDescent="0.3">
      <c r="B1301" s="10" t="s">
        <v>25</v>
      </c>
    </row>
    <row r="1302" spans="2:5" hidden="1" outlineLevel="1" x14ac:dyDescent="0.3">
      <c r="B1302" s="11" t="s">
        <v>113</v>
      </c>
    </row>
    <row r="1303" spans="2:5" hidden="1" outlineLevel="1" x14ac:dyDescent="0.3">
      <c r="B1303" s="11" t="s">
        <v>41</v>
      </c>
    </row>
    <row r="1304" spans="2:5" hidden="1" outlineLevel="1" x14ac:dyDescent="0.3"/>
    <row r="1305" spans="2:5" hidden="1" outlineLevel="1" x14ac:dyDescent="0.3">
      <c r="C1305" s="297" t="s">
        <v>12</v>
      </c>
      <c r="D1305" s="297"/>
      <c r="E1305" s="297"/>
    </row>
    <row r="1306" spans="2:5" ht="28.8" hidden="1" outlineLevel="1" x14ac:dyDescent="0.3">
      <c r="B1306" s="13" t="str">
        <f>B1302&amp;" - "&amp;B1303</f>
        <v>Pediatric_P4 - Ontario</v>
      </c>
      <c r="C1306" s="14" t="str">
        <f>'Data Inputs'!$C$29</f>
        <v>Scenario 1:
+1 day a week</v>
      </c>
      <c r="D1306" s="14" t="str">
        <f>'Data Inputs'!$D$29</f>
        <v>Scenario 2:
+2 days a week</v>
      </c>
      <c r="E1306" s="71" t="str">
        <f>'Data Inputs'!$E$29</f>
        <v>Scenario 3:
+3 days a week</v>
      </c>
    </row>
    <row r="1307" spans="2:5" hidden="1" outlineLevel="1" x14ac:dyDescent="0.3">
      <c r="B1307" s="12" t="s">
        <v>21</v>
      </c>
      <c r="C1307" s="17"/>
      <c r="D1307" s="18"/>
      <c r="E1307" s="19"/>
    </row>
    <row r="1308" spans="2:5" hidden="1" outlineLevel="1" x14ac:dyDescent="0.3">
      <c r="B1308" s="20" t="s">
        <v>13</v>
      </c>
      <c r="C1308" s="21">
        <f ca="1">INDEX(INDIRECT($B1302),MATCH($B1303,Regions,0),1)</f>
        <v>9199.7733137200012</v>
      </c>
      <c r="D1308" s="21">
        <f ca="1">INDEX(INDIRECT($B1302),MATCH($B1303,Regions,0),1)</f>
        <v>9199.7733137200012</v>
      </c>
      <c r="E1308" s="21">
        <f ca="1">INDEX(INDIRECT($B1302),MATCH($B1303,Regions,0),1)</f>
        <v>9199.7733137200012</v>
      </c>
    </row>
    <row r="1309" spans="2:5" hidden="1" outlineLevel="1" x14ac:dyDescent="0.3">
      <c r="B1309" s="20" t="s">
        <v>20</v>
      </c>
      <c r="C1309" s="23">
        <f>INDEX(ScenarioInputs,MATCH($B1303,Regions,0),MATCH(C1306,Scenarios,0))</f>
        <v>1</v>
      </c>
      <c r="D1309" s="23">
        <f>INDEX(ScenarioInputs,MATCH($B1303,Regions,0),MATCH(D1306,Scenarios,0))</f>
        <v>2</v>
      </c>
      <c r="E1309" s="23">
        <f>INDEX(ScenarioInputs,MATCH($B1303,Regions,0),MATCH(E1306,Scenarios,0))</f>
        <v>3</v>
      </c>
    </row>
    <row r="1310" spans="2:5" hidden="1" outlineLevel="1" x14ac:dyDescent="0.3">
      <c r="B1310" s="20" t="s">
        <v>37</v>
      </c>
      <c r="C1310" s="21">
        <f ca="1">ROUNDDOWN(C1309*INDEX(INDIRECT($B1302),MATCH($B1303,Regions,0),9)/(INDEX(INDIRECT($B1302),MATCH($B1303,Regions,0),3)+INDEX(INDIRECT($B1302),MATCH($B1303,Regions,0),2)),0)+IF(MOD(INDEX(INDIRECT($B1302),MATCH($B1303,Regions,0),9),INDEX(INDIRECT($B1302),MATCH($B1303,Regions,0),3)+INDEX(INDIRECT($B1302),MATCH($B1303,Regions,0),2))&lt;Buffer,0,1)</f>
        <v>5</v>
      </c>
      <c r="D1310" s="21">
        <f ca="1">ROUNDDOWN(D1309*INDEX(INDIRECT($B1302),MATCH($B1303,Regions,0),9)/(INDEX(INDIRECT($B1302),MATCH($B1303,Regions,0),3)+INDEX(INDIRECT($B1302),MATCH($B1303,Regions,0),2)),0)+IF(MOD(INDEX(INDIRECT($B1302),MATCH($B1303,Regions,0),9),INDEX(INDIRECT($B1302),MATCH($B1303,Regions,0),3)+INDEX(INDIRECT($B1302),MATCH($B1303,Regions,0),2))&lt;Buffer,0,1)</f>
        <v>11</v>
      </c>
      <c r="E1310" s="21">
        <f ca="1">ROUNDDOWN(E1309*INDEX(INDIRECT($B1302),MATCH($B1303,Regions,0),9)/(INDEX(INDIRECT($B1302),MATCH($B1303,Regions,0),3)+INDEX(INDIRECT($B1302),MATCH($B1303,Regions,0),2)),0)+IF(MOD(INDEX(INDIRECT($B1302),MATCH($B1303,Regions,0),9),INDEX(INDIRECT($B1302),MATCH($B1303,Regions,0),3)+INDEX(INDIRECT($B1302),MATCH($B1303,Regions,0),2))&lt;Buffer,0,1)</f>
        <v>16</v>
      </c>
    </row>
    <row r="1311" spans="2:5" hidden="1" outlineLevel="1" x14ac:dyDescent="0.3">
      <c r="B1311" s="20" t="s">
        <v>43</v>
      </c>
      <c r="C1311" s="21">
        <f ca="1">ROUNDDOWN(INDEX(INDIRECT($B1302),MATCH($B1303,Regions,0),8)*INDEX(INDIRECT($B1302),MATCH($B1303,Regions,0),10),0)</f>
        <v>311</v>
      </c>
      <c r="D1311" s="21">
        <f ca="1">ROUNDDOWN(INDEX(INDIRECT($B1302),MATCH($B1303,Regions,0),8)*INDEX(INDIRECT($B1302),MATCH($B1303,Regions,0),10),0)</f>
        <v>311</v>
      </c>
      <c r="E1311" s="21">
        <f ca="1">ROUNDDOWN(INDEX(INDIRECT($B1302),MATCH($B1303,Regions,0),8)*INDEX(INDIRECT($B1302),MATCH($B1303,Regions,0),10),0)</f>
        <v>311</v>
      </c>
    </row>
    <row r="1312" spans="2:5" hidden="1" outlineLevel="1" x14ac:dyDescent="0.3">
      <c r="B1312" s="26" t="s">
        <v>11</v>
      </c>
      <c r="C1312" s="27">
        <f ca="1">IFERROR(C1308/(C1311*C1310),NA())</f>
        <v>5.9162529348681678</v>
      </c>
      <c r="D1312" s="27">
        <f t="shared" ref="D1312:E1312" ca="1" si="197">IFERROR(D1308/(D1311*D1310),NA())</f>
        <v>2.6892058794855309</v>
      </c>
      <c r="E1312" s="27">
        <f t="shared" ca="1" si="197"/>
        <v>1.8488290421463025</v>
      </c>
    </row>
    <row r="1313" spans="2:5" hidden="1" outlineLevel="1" x14ac:dyDescent="0.3">
      <c r="B1313" s="12" t="s">
        <v>14</v>
      </c>
      <c r="C1313" s="28"/>
      <c r="D1313" s="29"/>
      <c r="E1313" s="30"/>
    </row>
    <row r="1314" spans="2:5" hidden="1" outlineLevel="1" x14ac:dyDescent="0.3">
      <c r="B1314" s="31" t="s">
        <v>38</v>
      </c>
      <c r="C1314" s="32">
        <f ca="1">IFERROR(C1308/C1312,0)</f>
        <v>1555</v>
      </c>
      <c r="D1314" s="32">
        <f t="shared" ref="D1314:E1314" ca="1" si="198">IFERROR(D1308/D1312,0)</f>
        <v>3421</v>
      </c>
      <c r="E1314" s="32">
        <f t="shared" ca="1" si="198"/>
        <v>4976</v>
      </c>
    </row>
    <row r="1315" spans="2:5" hidden="1" outlineLevel="1" x14ac:dyDescent="0.3">
      <c r="B1315" s="20" t="s">
        <v>30</v>
      </c>
      <c r="C1315" s="33">
        <f ca="1">IF(C1314=0,0,INDEX(INDIRECT($B1302),MATCH($B1303,Regions,0),9)*C1309*C1311)</f>
        <v>2488</v>
      </c>
      <c r="D1315" s="33">
        <f ca="1">IF(D1314=0,0,INDEX(INDIRECT($B1302),MATCH($B1303,Regions,0),9)*D1309*D1311)</f>
        <v>4976</v>
      </c>
      <c r="E1315" s="33">
        <f ca="1">IF(E1314=0,0,INDEX(INDIRECT($B1302),MATCH($B1303,Regions,0),9)*E1309*E1311)</f>
        <v>7464</v>
      </c>
    </row>
    <row r="1316" spans="2:5" hidden="1" outlineLevel="1" x14ac:dyDescent="0.3">
      <c r="B1316" s="20" t="s">
        <v>31</v>
      </c>
      <c r="C1316" s="33">
        <f ca="1">IFERROR(C1314*INDEX(INDIRECT($B1302),MATCH($B1303,Regions,0),4)/(7/INDEX(INDIRECT($B1302),MATCH($B1303,Regions,0),6)),0)</f>
        <v>72.16475322941028</v>
      </c>
      <c r="D1316" s="33">
        <f ca="1">IFERROR(D1314*INDEX(INDIRECT($B1302),MATCH($B1303,Regions,0),4)/(7/INDEX(INDIRECT($B1302),MATCH($B1303,Regions,0),6)),0)</f>
        <v>158.76245710470261</v>
      </c>
      <c r="E1316" s="33">
        <f ca="1">IFERROR(E1314*INDEX(INDIRECT($B1302),MATCH($B1303,Regions,0),4)/(7/INDEX(INDIRECT($B1302),MATCH($B1303,Regions,0),6)),0)</f>
        <v>230.92721033411289</v>
      </c>
    </row>
    <row r="1317" spans="2:5" hidden="1" outlineLevel="1" x14ac:dyDescent="0.3">
      <c r="B1317" s="20" t="s">
        <v>32</v>
      </c>
      <c r="C1317" s="33">
        <f ca="1">IFERROR(C1314*INDEX(INDIRECT($B1302),MATCH($B1303,Regions,0),5)/(7/INDEX(INDIRECT($B1302),MATCH($B1303,Regions,0),7)),0)</f>
        <v>1.7700829387901127</v>
      </c>
      <c r="D1317" s="33">
        <f ca="1">IFERROR(D1314*INDEX(INDIRECT($B1302),MATCH($B1303,Regions,0),5)/(7/INDEX(INDIRECT($B1302),MATCH($B1303,Regions,0),7)),0)</f>
        <v>3.8941824653382473</v>
      </c>
      <c r="E1317" s="33">
        <f ca="1">IFERROR(E1314*INDEX(INDIRECT($B1302),MATCH($B1303,Regions,0),5)/(7/INDEX(INDIRECT($B1302),MATCH($B1303,Regions,0),7)),0)</f>
        <v>5.6642654041283595</v>
      </c>
    </row>
    <row r="1318" spans="2:5" hidden="1" outlineLevel="1" x14ac:dyDescent="0.3"/>
    <row r="1319" spans="2:5" collapsed="1" x14ac:dyDescent="0.3"/>
  </sheetData>
  <sheetProtection algorithmName="SHA-512" hashValue="l/MkVEo8y99VpIlRRz8b4cdmn3FotzTNHr/fAkE1vT43vvLgxjsvRERGh9mXrbA7jxtbR+SPfT6Ut1VQQgwXRA==" saltValue="+c/uZr6Musptc/w8UbGfJQ==" spinCount="100000" sheet="1" objects="1" scenarios="1"/>
  <mergeCells count="74">
    <mergeCell ref="C1287:E1287"/>
    <mergeCell ref="C1305:E1305"/>
    <mergeCell ref="C1197:E1197"/>
    <mergeCell ref="C1215:E1215"/>
    <mergeCell ref="C1233:E1233"/>
    <mergeCell ref="C1251:E1251"/>
    <mergeCell ref="C1269:E1269"/>
    <mergeCell ref="C1109:E1109"/>
    <mergeCell ref="C1125:E1125"/>
    <mergeCell ref="C1143:E1143"/>
    <mergeCell ref="C1161:E1161"/>
    <mergeCell ref="C1179:E1179"/>
    <mergeCell ref="C135:E135"/>
    <mergeCell ref="C153:E153"/>
    <mergeCell ref="C171:E171"/>
    <mergeCell ref="C14:E14"/>
    <mergeCell ref="C63:E63"/>
    <mergeCell ref="C81:E81"/>
    <mergeCell ref="C99:E99"/>
    <mergeCell ref="C117:E117"/>
    <mergeCell ref="C47:E47"/>
    <mergeCell ref="C261:E261"/>
    <mergeCell ref="C277:E277"/>
    <mergeCell ref="C295:E295"/>
    <mergeCell ref="C313:E313"/>
    <mergeCell ref="C331:E331"/>
    <mergeCell ref="C349:E349"/>
    <mergeCell ref="C367:E367"/>
    <mergeCell ref="C385:E385"/>
    <mergeCell ref="C472:E472"/>
    <mergeCell ref="C488:E488"/>
    <mergeCell ref="C421:E421"/>
    <mergeCell ref="C439:E439"/>
    <mergeCell ref="C457:E457"/>
    <mergeCell ref="C506:E506"/>
    <mergeCell ref="C524:E524"/>
    <mergeCell ref="C542:E542"/>
    <mergeCell ref="C560:E560"/>
    <mergeCell ref="C578:E578"/>
    <mergeCell ref="C596:E596"/>
    <mergeCell ref="C685:E685"/>
    <mergeCell ref="C701:E701"/>
    <mergeCell ref="C719:E719"/>
    <mergeCell ref="C737:E737"/>
    <mergeCell ref="C614:E614"/>
    <mergeCell ref="C632:E632"/>
    <mergeCell ref="C650:E650"/>
    <mergeCell ref="C668:E668"/>
    <mergeCell ref="C986:E986"/>
    <mergeCell ref="C755:E755"/>
    <mergeCell ref="C773:E773"/>
    <mergeCell ref="C791:E791"/>
    <mergeCell ref="C809:E809"/>
    <mergeCell ref="C898:E898"/>
    <mergeCell ref="C827:E827"/>
    <mergeCell ref="C845:E845"/>
    <mergeCell ref="C863:E863"/>
    <mergeCell ref="C881:E881"/>
    <mergeCell ref="A2:A3"/>
    <mergeCell ref="C1040:E1040"/>
    <mergeCell ref="C1058:E1058"/>
    <mergeCell ref="C1076:E1076"/>
    <mergeCell ref="C1094:E1094"/>
    <mergeCell ref="C189:E189"/>
    <mergeCell ref="C207:E207"/>
    <mergeCell ref="C225:E225"/>
    <mergeCell ref="C243:E243"/>
    <mergeCell ref="C403:E403"/>
    <mergeCell ref="C1004:E1004"/>
    <mergeCell ref="C1022:E1022"/>
    <mergeCell ref="C914:E914"/>
    <mergeCell ref="C932:E932"/>
    <mergeCell ref="C950:E950"/>
    <mergeCell ref="C968:E968"/>
  </mergeCells>
  <conditionalFormatting sqref="B274">
    <cfRule type="duplicateValues" dxfId="80" priority="66"/>
  </conditionalFormatting>
  <conditionalFormatting sqref="B292">
    <cfRule type="duplicateValues" dxfId="79" priority="65"/>
  </conditionalFormatting>
  <conditionalFormatting sqref="B310">
    <cfRule type="duplicateValues" dxfId="78" priority="64"/>
  </conditionalFormatting>
  <conditionalFormatting sqref="B328">
    <cfRule type="duplicateValues" dxfId="77" priority="63"/>
  </conditionalFormatting>
  <conditionalFormatting sqref="B346">
    <cfRule type="duplicateValues" dxfId="76" priority="62"/>
  </conditionalFormatting>
  <conditionalFormatting sqref="B364">
    <cfRule type="duplicateValues" dxfId="75" priority="61"/>
  </conditionalFormatting>
  <conditionalFormatting sqref="B382">
    <cfRule type="duplicateValues" dxfId="74" priority="60"/>
  </conditionalFormatting>
  <conditionalFormatting sqref="B485">
    <cfRule type="duplicateValues" dxfId="73" priority="59"/>
  </conditionalFormatting>
  <conditionalFormatting sqref="B503">
    <cfRule type="duplicateValues" dxfId="72" priority="58"/>
  </conditionalFormatting>
  <conditionalFormatting sqref="B521">
    <cfRule type="duplicateValues" dxfId="71" priority="57"/>
  </conditionalFormatting>
  <conditionalFormatting sqref="B539">
    <cfRule type="duplicateValues" dxfId="70" priority="56"/>
  </conditionalFormatting>
  <conditionalFormatting sqref="B557">
    <cfRule type="duplicateValues" dxfId="69" priority="55"/>
  </conditionalFormatting>
  <conditionalFormatting sqref="B575">
    <cfRule type="duplicateValues" dxfId="68" priority="54"/>
  </conditionalFormatting>
  <conditionalFormatting sqref="B593">
    <cfRule type="duplicateValues" dxfId="67" priority="53"/>
  </conditionalFormatting>
  <conditionalFormatting sqref="B698">
    <cfRule type="duplicateValues" dxfId="66" priority="52"/>
  </conditionalFormatting>
  <conditionalFormatting sqref="B716">
    <cfRule type="duplicateValues" dxfId="65" priority="51"/>
  </conditionalFormatting>
  <conditionalFormatting sqref="B734">
    <cfRule type="duplicateValues" dxfId="64" priority="50"/>
  </conditionalFormatting>
  <conditionalFormatting sqref="B752">
    <cfRule type="duplicateValues" dxfId="63" priority="49"/>
  </conditionalFormatting>
  <conditionalFormatting sqref="B770">
    <cfRule type="duplicateValues" dxfId="62" priority="48"/>
  </conditionalFormatting>
  <conditionalFormatting sqref="B788">
    <cfRule type="duplicateValues" dxfId="61" priority="47"/>
  </conditionalFormatting>
  <conditionalFormatting sqref="B806">
    <cfRule type="duplicateValues" dxfId="60" priority="46"/>
  </conditionalFormatting>
  <conditionalFormatting sqref="B911">
    <cfRule type="duplicateValues" dxfId="59" priority="45"/>
  </conditionalFormatting>
  <conditionalFormatting sqref="B929">
    <cfRule type="duplicateValues" dxfId="58" priority="44"/>
  </conditionalFormatting>
  <conditionalFormatting sqref="B947">
    <cfRule type="duplicateValues" dxfId="57" priority="43"/>
  </conditionalFormatting>
  <conditionalFormatting sqref="B965">
    <cfRule type="duplicateValues" dxfId="56" priority="42"/>
  </conditionalFormatting>
  <conditionalFormatting sqref="B983">
    <cfRule type="duplicateValues" dxfId="55" priority="41"/>
  </conditionalFormatting>
  <conditionalFormatting sqref="B1001">
    <cfRule type="duplicateValues" dxfId="54" priority="40"/>
  </conditionalFormatting>
  <conditionalFormatting sqref="B1019">
    <cfRule type="duplicateValues" dxfId="53" priority="39"/>
  </conditionalFormatting>
  <conditionalFormatting sqref="B60">
    <cfRule type="duplicateValues" dxfId="52" priority="38"/>
  </conditionalFormatting>
  <conditionalFormatting sqref="B78">
    <cfRule type="duplicateValues" dxfId="51" priority="37"/>
  </conditionalFormatting>
  <conditionalFormatting sqref="B96">
    <cfRule type="duplicateValues" dxfId="50" priority="36"/>
  </conditionalFormatting>
  <conditionalFormatting sqref="B114">
    <cfRule type="duplicateValues" dxfId="49" priority="35"/>
  </conditionalFormatting>
  <conditionalFormatting sqref="B132">
    <cfRule type="duplicateValues" dxfId="48" priority="34"/>
  </conditionalFormatting>
  <conditionalFormatting sqref="B150">
    <cfRule type="duplicateValues" dxfId="47" priority="33"/>
  </conditionalFormatting>
  <conditionalFormatting sqref="B168">
    <cfRule type="duplicateValues" dxfId="46" priority="32"/>
  </conditionalFormatting>
  <conditionalFormatting sqref="B186">
    <cfRule type="duplicateValues" dxfId="45" priority="31"/>
  </conditionalFormatting>
  <conditionalFormatting sqref="B204">
    <cfRule type="duplicateValues" dxfId="44" priority="30"/>
  </conditionalFormatting>
  <conditionalFormatting sqref="B222">
    <cfRule type="duplicateValues" dxfId="43" priority="29"/>
  </conditionalFormatting>
  <conditionalFormatting sqref="B240">
    <cfRule type="duplicateValues" dxfId="42" priority="28"/>
  </conditionalFormatting>
  <conditionalFormatting sqref="B400">
    <cfRule type="duplicateValues" dxfId="41" priority="27"/>
  </conditionalFormatting>
  <conditionalFormatting sqref="B418">
    <cfRule type="duplicateValues" dxfId="40" priority="26"/>
  </conditionalFormatting>
  <conditionalFormatting sqref="B436">
    <cfRule type="duplicateValues" dxfId="39" priority="25"/>
  </conditionalFormatting>
  <conditionalFormatting sqref="B454">
    <cfRule type="duplicateValues" dxfId="38" priority="24"/>
  </conditionalFormatting>
  <conditionalFormatting sqref="B611">
    <cfRule type="duplicateValues" dxfId="37" priority="23"/>
  </conditionalFormatting>
  <conditionalFormatting sqref="B629">
    <cfRule type="duplicateValues" dxfId="36" priority="22"/>
  </conditionalFormatting>
  <conditionalFormatting sqref="B647">
    <cfRule type="duplicateValues" dxfId="35" priority="21"/>
  </conditionalFormatting>
  <conditionalFormatting sqref="B665">
    <cfRule type="duplicateValues" dxfId="34" priority="20"/>
  </conditionalFormatting>
  <conditionalFormatting sqref="B824">
    <cfRule type="duplicateValues" dxfId="33" priority="19"/>
  </conditionalFormatting>
  <conditionalFormatting sqref="B842">
    <cfRule type="duplicateValues" dxfId="32" priority="18"/>
  </conditionalFormatting>
  <conditionalFormatting sqref="B860">
    <cfRule type="duplicateValues" dxfId="31" priority="17"/>
  </conditionalFormatting>
  <conditionalFormatting sqref="B878">
    <cfRule type="duplicateValues" dxfId="30" priority="16"/>
  </conditionalFormatting>
  <conditionalFormatting sqref="B1037">
    <cfRule type="duplicateValues" dxfId="29" priority="15"/>
  </conditionalFormatting>
  <conditionalFormatting sqref="B1055">
    <cfRule type="duplicateValues" dxfId="28" priority="14"/>
  </conditionalFormatting>
  <conditionalFormatting sqref="B1073">
    <cfRule type="duplicateValues" dxfId="27" priority="13"/>
  </conditionalFormatting>
  <conditionalFormatting sqref="B1091">
    <cfRule type="duplicateValues" dxfId="26" priority="12"/>
  </conditionalFormatting>
  <conditionalFormatting sqref="B1122">
    <cfRule type="duplicateValues" dxfId="25" priority="11"/>
  </conditionalFormatting>
  <conditionalFormatting sqref="B1140">
    <cfRule type="duplicateValues" dxfId="24" priority="10"/>
  </conditionalFormatting>
  <conditionalFormatting sqref="B1158">
    <cfRule type="duplicateValues" dxfId="23" priority="9"/>
  </conditionalFormatting>
  <conditionalFormatting sqref="B1176">
    <cfRule type="duplicateValues" dxfId="22" priority="8"/>
  </conditionalFormatting>
  <conditionalFormatting sqref="B1194">
    <cfRule type="duplicateValues" dxfId="21" priority="7"/>
  </conditionalFormatting>
  <conditionalFormatting sqref="B1212">
    <cfRule type="duplicateValues" dxfId="20" priority="6"/>
  </conditionalFormatting>
  <conditionalFormatting sqref="B1230">
    <cfRule type="duplicateValues" dxfId="19" priority="5"/>
  </conditionalFormatting>
  <conditionalFormatting sqref="B1248">
    <cfRule type="duplicateValues" dxfId="18" priority="4"/>
  </conditionalFormatting>
  <conditionalFormatting sqref="B1266">
    <cfRule type="duplicateValues" dxfId="17" priority="3"/>
  </conditionalFormatting>
  <conditionalFormatting sqref="B1284">
    <cfRule type="duplicateValues" dxfId="16" priority="2"/>
  </conditionalFormatting>
  <conditionalFormatting sqref="B1302">
    <cfRule type="duplicateValues" dxfId="15" priority="1"/>
  </conditionalFormatting>
  <dataValidations count="3">
    <dataValidation type="list" allowBlank="1" showInputMessage="1" showErrorMessage="1" sqref="B912 B948 B966 B984 B1002 B930 B1020 B275 B365 B293 B311 B329 B347 B383 B486 B558 B576 B504 B522 B540 B594 B699 B753 B771 B789 B717 B735 B807 B61 B79 B97 B115 B133 B151 B169 B187 B205 B223 B241 B401 B419 B437 B455 B612 B630 B648 B666 B825 B843 B861 B879 B1038 B1056 B1074 B1092 B1123 B1141 B1159 B1177 B1195 B1285 B1213 B1231 B1249 B1267 B1303">
      <formula1>Regions</formula1>
    </dataValidation>
    <dataValidation type="list" allowBlank="1" showInputMessage="1" showErrorMessage="1" sqref="B911 B929 B947 B965 B983 B1001 B1019 B274 B292 B310 B328 B346 B364 B382 B485 B503 B521 B539 B557 B575 B593 B698 B716 B734 B752 B770 B788 B806 B60 B78 B96 B114 B132 B150 B168 B186 B204 B222 B240 B400 B418 B436 B454 B611 B629 B647 B665 B824 B842 B860 B878 B1037 B1055 B1073 B1091 B1122 B1140 B1158 B1176 B1194 B1212 B1230 B1248 B1266 B1284 B1302">
      <formula1>procedures</formula1>
    </dataValidation>
    <dataValidation type="list" allowBlank="1" showInputMessage="1" showErrorMessage="1" sqref="B11">
      <formula1>$C$33:$C$38</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sheetPr>
  <dimension ref="A1:R150"/>
  <sheetViews>
    <sheetView showGridLines="0" showRowColHeaders="0" workbookViewId="0">
      <pane ySplit="5" topLeftCell="A6" activePane="bottomLeft" state="frozen"/>
      <selection pane="bottomLeft" activeCell="C40" sqref="C40"/>
    </sheetView>
  </sheetViews>
  <sheetFormatPr defaultColWidth="8.88671875" defaultRowHeight="14.4" outlineLevelRow="1" x14ac:dyDescent="0.3"/>
  <cols>
    <col min="1" max="1" width="8.88671875" style="8" customWidth="1"/>
    <col min="2" max="2" width="24.109375" style="8" customWidth="1"/>
    <col min="3" max="16384" width="8.88671875" style="8"/>
  </cols>
  <sheetData>
    <row r="1" spans="1:18" ht="14.4" customHeight="1" x14ac:dyDescent="0.3"/>
    <row r="2" spans="1:18" ht="14.4" customHeight="1" x14ac:dyDescent="0.35">
      <c r="A2" s="294" t="s">
        <v>340</v>
      </c>
      <c r="B2" s="9" t="str">
        <f>'READ ME'!$C$7</f>
        <v>Backlog Modelling for Surgery in Ontario for Ramp Up Planning (+ PPE Requirements)</v>
      </c>
    </row>
    <row r="3" spans="1:18" ht="14.4" customHeight="1" x14ac:dyDescent="0.3">
      <c r="A3" s="294"/>
      <c r="B3" s="8" t="str">
        <f>'READ ME'!$C$8&amp;", "&amp;'READ ME'!$C$9</f>
        <v>Ontario Health (Cancer Care Ontario), Version 4.0</v>
      </c>
    </row>
    <row r="4" spans="1:18" ht="14.4" customHeight="1" x14ac:dyDescent="0.3"/>
    <row r="5" spans="1:18" s="78" customFormat="1" ht="14.4" customHeight="1" thickBot="1" x14ac:dyDescent="0.35"/>
    <row r="6" spans="1:18" ht="14.4" customHeight="1" thickTop="1" x14ac:dyDescent="0.3"/>
    <row r="7" spans="1:18" x14ac:dyDescent="0.3">
      <c r="B7" s="12" t="s">
        <v>309</v>
      </c>
      <c r="C7" s="12" t="s">
        <v>67</v>
      </c>
      <c r="D7"/>
      <c r="E7"/>
      <c r="F7"/>
      <c r="G7"/>
      <c r="H7"/>
      <c r="I7"/>
      <c r="J7"/>
      <c r="K7"/>
      <c r="L7"/>
      <c r="M7"/>
      <c r="N7"/>
      <c r="O7"/>
      <c r="P7"/>
      <c r="Q7"/>
      <c r="R7"/>
    </row>
    <row r="8" spans="1:18" x14ac:dyDescent="0.3">
      <c r="B8" s="214" t="s">
        <v>9</v>
      </c>
      <c r="C8" s="8" t="s">
        <v>310</v>
      </c>
      <c r="F8"/>
      <c r="G8"/>
      <c r="H8"/>
      <c r="I8"/>
      <c r="J8"/>
      <c r="K8"/>
      <c r="L8"/>
      <c r="M8"/>
      <c r="N8"/>
      <c r="O8"/>
      <c r="P8"/>
      <c r="Q8"/>
      <c r="R8"/>
    </row>
    <row r="9" spans="1:18" x14ac:dyDescent="0.3">
      <c r="B9" s="215" t="s">
        <v>10</v>
      </c>
      <c r="C9" s="8" t="s">
        <v>408</v>
      </c>
      <c r="F9"/>
      <c r="G9"/>
      <c r="H9"/>
      <c r="I9"/>
      <c r="J9"/>
      <c r="K9"/>
      <c r="L9"/>
      <c r="M9"/>
      <c r="N9"/>
      <c r="O9"/>
      <c r="P9"/>
      <c r="Q9"/>
      <c r="R9"/>
    </row>
    <row r="10" spans="1:18" x14ac:dyDescent="0.3">
      <c r="B10" s="216" t="s">
        <v>15</v>
      </c>
      <c r="C10" s="8" t="s">
        <v>311</v>
      </c>
      <c r="I10"/>
      <c r="J10"/>
      <c r="K10"/>
      <c r="L10"/>
      <c r="M10"/>
      <c r="N10"/>
      <c r="O10"/>
      <c r="P10"/>
      <c r="Q10"/>
      <c r="R10"/>
    </row>
    <row r="11" spans="1:18" x14ac:dyDescent="0.3">
      <c r="B11" s="210" t="s">
        <v>86</v>
      </c>
      <c r="C11" s="8" t="s">
        <v>312</v>
      </c>
      <c r="I11"/>
      <c r="J11"/>
      <c r="K11"/>
      <c r="L11"/>
      <c r="M11"/>
      <c r="N11"/>
      <c r="O11"/>
      <c r="P11"/>
      <c r="Q11"/>
      <c r="R11"/>
    </row>
    <row r="12" spans="1:18" x14ac:dyDescent="0.3">
      <c r="B12" s="210" t="s">
        <v>87</v>
      </c>
      <c r="C12" s="8" t="s">
        <v>313</v>
      </c>
      <c r="I12"/>
      <c r="J12"/>
      <c r="K12"/>
      <c r="L12"/>
      <c r="M12"/>
      <c r="N12"/>
      <c r="O12"/>
      <c r="P12"/>
      <c r="Q12"/>
      <c r="R12"/>
    </row>
    <row r="13" spans="1:18" x14ac:dyDescent="0.3">
      <c r="B13" s="210" t="s">
        <v>16</v>
      </c>
      <c r="C13" s="8" t="s">
        <v>314</v>
      </c>
      <c r="I13"/>
      <c r="J13"/>
      <c r="K13"/>
      <c r="L13"/>
      <c r="M13"/>
      <c r="N13"/>
      <c r="O13"/>
      <c r="P13"/>
      <c r="Q13"/>
      <c r="R13"/>
    </row>
    <row r="14" spans="1:18" x14ac:dyDescent="0.3">
      <c r="B14" s="210" t="s">
        <v>17</v>
      </c>
      <c r="C14" s="8" t="s">
        <v>315</v>
      </c>
      <c r="I14"/>
      <c r="J14"/>
      <c r="K14"/>
      <c r="L14"/>
      <c r="M14"/>
      <c r="N14"/>
      <c r="O14"/>
      <c r="P14"/>
      <c r="Q14"/>
      <c r="R14"/>
    </row>
    <row r="15" spans="1:18" x14ac:dyDescent="0.3">
      <c r="B15" s="210" t="s">
        <v>48</v>
      </c>
      <c r="C15" s="8" t="s">
        <v>316</v>
      </c>
      <c r="I15"/>
      <c r="J15"/>
      <c r="K15"/>
      <c r="L15"/>
      <c r="M15"/>
      <c r="N15"/>
      <c r="O15"/>
      <c r="P15"/>
      <c r="Q15"/>
      <c r="R15"/>
    </row>
    <row r="16" spans="1:18" x14ac:dyDescent="0.3">
      <c r="B16" s="210" t="s">
        <v>18</v>
      </c>
      <c r="C16" s="8" t="s">
        <v>317</v>
      </c>
      <c r="I16"/>
      <c r="J16"/>
      <c r="K16"/>
      <c r="L16"/>
      <c r="M16"/>
      <c r="N16"/>
      <c r="O16"/>
      <c r="P16"/>
      <c r="Q16"/>
      <c r="R16"/>
    </row>
    <row r="17" spans="2:18" x14ac:dyDescent="0.3">
      <c r="B17" s="217" t="s">
        <v>39</v>
      </c>
      <c r="C17" s="218" t="s">
        <v>319</v>
      </c>
      <c r="I17"/>
      <c r="J17"/>
      <c r="K17"/>
      <c r="L17"/>
      <c r="M17"/>
      <c r="N17"/>
      <c r="O17"/>
      <c r="P17"/>
      <c r="Q17"/>
      <c r="R17"/>
    </row>
    <row r="18" spans="2:18" x14ac:dyDescent="0.3">
      <c r="B18" s="210" t="s">
        <v>40</v>
      </c>
      <c r="C18" s="8" t="s">
        <v>318</v>
      </c>
      <c r="I18"/>
      <c r="J18"/>
      <c r="K18"/>
      <c r="L18"/>
      <c r="M18"/>
      <c r="N18"/>
      <c r="O18"/>
      <c r="P18"/>
      <c r="Q18"/>
      <c r="R18"/>
    </row>
    <row r="19" spans="2:18" x14ac:dyDescent="0.3">
      <c r="I19"/>
      <c r="J19"/>
      <c r="K19"/>
      <c r="L19"/>
      <c r="M19"/>
      <c r="N19"/>
      <c r="O19"/>
      <c r="P19"/>
      <c r="Q19"/>
      <c r="R19"/>
    </row>
    <row r="20" spans="2:18" x14ac:dyDescent="0.3">
      <c r="I20"/>
      <c r="J20"/>
      <c r="K20"/>
      <c r="L20"/>
      <c r="M20"/>
      <c r="N20"/>
      <c r="O20"/>
      <c r="P20"/>
      <c r="Q20"/>
      <c r="R20"/>
    </row>
    <row r="21" spans="2:18" x14ac:dyDescent="0.3">
      <c r="B21"/>
      <c r="C21"/>
      <c r="D21"/>
      <c r="E21"/>
      <c r="F21"/>
      <c r="G21"/>
      <c r="H21"/>
      <c r="I21"/>
      <c r="J21"/>
      <c r="K21"/>
      <c r="L21"/>
      <c r="M21"/>
      <c r="N21"/>
      <c r="O21"/>
      <c r="P21"/>
      <c r="Q21"/>
      <c r="R21"/>
    </row>
    <row r="22" spans="2:18" x14ac:dyDescent="0.3">
      <c r="B22"/>
      <c r="C22"/>
      <c r="D22"/>
      <c r="E22"/>
      <c r="F22"/>
      <c r="G22"/>
      <c r="H22"/>
      <c r="I22"/>
      <c r="J22"/>
      <c r="K22"/>
      <c r="L22"/>
      <c r="M22"/>
      <c r="N22"/>
      <c r="O22"/>
      <c r="P22"/>
      <c r="Q22"/>
      <c r="R22"/>
    </row>
    <row r="23" spans="2:18" x14ac:dyDescent="0.3">
      <c r="B23"/>
      <c r="C23"/>
      <c r="D23"/>
      <c r="E23"/>
      <c r="F23"/>
      <c r="G23"/>
      <c r="H23"/>
      <c r="I23"/>
      <c r="J23"/>
      <c r="K23"/>
      <c r="L23"/>
      <c r="M23"/>
      <c r="N23"/>
      <c r="O23"/>
      <c r="P23"/>
      <c r="Q23"/>
      <c r="R23"/>
    </row>
    <row r="24" spans="2:18" x14ac:dyDescent="0.3">
      <c r="B24"/>
      <c r="C24"/>
      <c r="D24"/>
      <c r="E24"/>
      <c r="F24"/>
      <c r="G24"/>
      <c r="H24"/>
      <c r="I24"/>
      <c r="J24"/>
      <c r="K24"/>
      <c r="L24"/>
      <c r="M24"/>
      <c r="N24"/>
      <c r="O24"/>
      <c r="P24"/>
      <c r="Q24"/>
      <c r="R24"/>
    </row>
    <row r="25" spans="2:18" x14ac:dyDescent="0.3">
      <c r="B25"/>
      <c r="C25"/>
      <c r="D25"/>
      <c r="E25"/>
      <c r="F25"/>
      <c r="G25"/>
      <c r="H25"/>
      <c r="I25"/>
      <c r="J25"/>
      <c r="K25"/>
      <c r="L25"/>
      <c r="M25"/>
      <c r="N25"/>
      <c r="O25"/>
      <c r="P25"/>
      <c r="Q25"/>
      <c r="R25"/>
    </row>
    <row r="26" spans="2:18" x14ac:dyDescent="0.3">
      <c r="B26"/>
      <c r="C26"/>
      <c r="D26"/>
      <c r="E26"/>
      <c r="F26"/>
      <c r="G26"/>
      <c r="H26"/>
      <c r="I26"/>
      <c r="J26"/>
      <c r="K26"/>
      <c r="L26"/>
      <c r="M26"/>
      <c r="N26"/>
      <c r="O26"/>
      <c r="P26"/>
      <c r="Q26"/>
      <c r="R26"/>
    </row>
    <row r="27" spans="2:18" x14ac:dyDescent="0.3">
      <c r="B27"/>
      <c r="C27"/>
      <c r="D27"/>
      <c r="E27"/>
      <c r="F27"/>
      <c r="G27"/>
      <c r="H27"/>
      <c r="I27"/>
      <c r="J27"/>
      <c r="K27"/>
      <c r="L27"/>
      <c r="M27"/>
      <c r="N27"/>
      <c r="O27"/>
      <c r="P27"/>
      <c r="Q27"/>
      <c r="R27"/>
    </row>
    <row r="28" spans="2:18" x14ac:dyDescent="0.3">
      <c r="B28"/>
      <c r="C28"/>
      <c r="D28"/>
      <c r="E28"/>
      <c r="F28"/>
      <c r="G28"/>
      <c r="H28"/>
      <c r="I28"/>
      <c r="J28"/>
      <c r="K28"/>
      <c r="L28"/>
      <c r="M28"/>
      <c r="N28"/>
      <c r="O28"/>
      <c r="P28"/>
      <c r="Q28"/>
      <c r="R28"/>
    </row>
    <row r="29" spans="2:18" x14ac:dyDescent="0.3">
      <c r="B29"/>
      <c r="C29"/>
      <c r="D29"/>
      <c r="E29"/>
      <c r="F29"/>
      <c r="G29"/>
      <c r="H29"/>
      <c r="I29"/>
      <c r="J29"/>
      <c r="K29"/>
      <c r="L29"/>
      <c r="M29"/>
      <c r="N29"/>
      <c r="O29"/>
      <c r="P29"/>
      <c r="Q29"/>
      <c r="R29"/>
    </row>
    <row r="30" spans="2:18" x14ac:dyDescent="0.3">
      <c r="B30"/>
      <c r="C30"/>
      <c r="D30"/>
      <c r="E30"/>
      <c r="F30"/>
      <c r="G30"/>
      <c r="H30"/>
      <c r="I30"/>
      <c r="J30"/>
      <c r="K30"/>
      <c r="L30"/>
      <c r="M30"/>
      <c r="N30"/>
      <c r="O30"/>
      <c r="P30"/>
      <c r="Q30"/>
      <c r="R30"/>
    </row>
    <row r="31" spans="2:18" x14ac:dyDescent="0.3">
      <c r="B31"/>
      <c r="C31"/>
      <c r="D31"/>
      <c r="E31"/>
      <c r="F31"/>
      <c r="G31"/>
      <c r="H31"/>
      <c r="I31"/>
      <c r="J31"/>
      <c r="K31"/>
      <c r="L31"/>
      <c r="M31"/>
      <c r="N31"/>
      <c r="O31"/>
      <c r="P31"/>
      <c r="Q31"/>
      <c r="R31"/>
    </row>
    <row r="32" spans="2:18" x14ac:dyDescent="0.3">
      <c r="B32"/>
      <c r="C32"/>
      <c r="D32"/>
      <c r="E32"/>
      <c r="F32"/>
      <c r="G32"/>
      <c r="H32"/>
      <c r="I32"/>
      <c r="J32"/>
      <c r="K32"/>
      <c r="L32"/>
      <c r="M32"/>
      <c r="N32"/>
      <c r="O32"/>
      <c r="P32"/>
      <c r="Q32"/>
      <c r="R32"/>
    </row>
    <row r="33" spans="9:18" x14ac:dyDescent="0.3">
      <c r="I33"/>
      <c r="J33"/>
      <c r="K33"/>
      <c r="L33"/>
      <c r="M33"/>
      <c r="N33"/>
      <c r="O33"/>
      <c r="P33"/>
      <c r="Q33"/>
      <c r="R33"/>
    </row>
    <row r="89" spans="2:2" ht="21" x14ac:dyDescent="0.4">
      <c r="B89" s="230" t="s">
        <v>333</v>
      </c>
    </row>
    <row r="147" hidden="1" outlineLevel="1" x14ac:dyDescent="0.3"/>
    <row r="148" hidden="1" outlineLevel="1" x14ac:dyDescent="0.3"/>
    <row r="149" hidden="1" outlineLevel="1" x14ac:dyDescent="0.3"/>
    <row r="150" collapsed="1" x14ac:dyDescent="0.3"/>
  </sheetData>
  <sheetProtection algorithmName="SHA-512" hashValue="LlBYofRE3tVlYZa7fhxr8X1Vni90oRaDEgvU2MAnkjXNSoxbQqljfvNK5aWf1iLK6fB7C+4XdtubMNn5Q3UrPg==" saltValue="qFvsJcw0dnfSAgqCd5e10g==" spinCount="100000" sheet="1" objects="1" scenarios="1"/>
  <mergeCells count="1">
    <mergeCell ref="A2:A3"/>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sheetPr>
  <dimension ref="A2:Q416"/>
  <sheetViews>
    <sheetView showGridLines="0" showRowColHeaders="0" zoomScaleNormal="100" workbookViewId="0">
      <pane ySplit="5" topLeftCell="A6" activePane="bottomLeft" state="frozen"/>
      <selection pane="bottomLeft" activeCell="A6" sqref="A6"/>
    </sheetView>
  </sheetViews>
  <sheetFormatPr defaultRowHeight="14.4" outlineLevelRow="1" x14ac:dyDescent="0.3"/>
  <cols>
    <col min="2" max="2" width="35.44140625" customWidth="1"/>
    <col min="3" max="4" width="10.88671875" customWidth="1"/>
    <col min="5" max="5" width="11.6640625" customWidth="1"/>
  </cols>
  <sheetData>
    <row r="2" spans="1:17" ht="14.4" customHeight="1" x14ac:dyDescent="0.35">
      <c r="A2" s="294" t="s">
        <v>340</v>
      </c>
      <c r="B2" s="9" t="str">
        <f>'READ ME'!$C$7</f>
        <v>Backlog Modelling for Surgery in Ontario for Ramp Up Planning (+ PPE Requirements)</v>
      </c>
    </row>
    <row r="3" spans="1:17" ht="14.4" customHeight="1" x14ac:dyDescent="0.3">
      <c r="A3" s="294"/>
      <c r="B3" s="8" t="str">
        <f>'READ ME'!$C$8&amp;", "&amp;'READ ME'!$C$9</f>
        <v>Ontario Health (Cancer Care Ontario), Version 4.0</v>
      </c>
    </row>
    <row r="4" spans="1:17" x14ac:dyDescent="0.3">
      <c r="A4" s="8"/>
    </row>
    <row r="5" spans="1:17" s="119" customFormat="1" ht="14.4" customHeight="1" thickBot="1" x14ac:dyDescent="0.35">
      <c r="A5" s="78"/>
    </row>
    <row r="6" spans="1:17" ht="14.4" customHeight="1" thickTop="1" x14ac:dyDescent="0.3"/>
    <row r="7" spans="1:17" x14ac:dyDescent="0.3">
      <c r="B7" s="2" t="s">
        <v>72</v>
      </c>
      <c r="C7" s="8"/>
    </row>
    <row r="8" spans="1:17" x14ac:dyDescent="0.3">
      <c r="B8" s="92" t="s">
        <v>71</v>
      </c>
      <c r="C8" s="8" t="s">
        <v>353</v>
      </c>
    </row>
    <row r="9" spans="1:17" x14ac:dyDescent="0.3">
      <c r="B9" s="8"/>
    </row>
    <row r="10" spans="1:17" s="8" customFormat="1" ht="18" x14ac:dyDescent="0.35">
      <c r="B10" s="41" t="s">
        <v>120</v>
      </c>
      <c r="C10" s="116"/>
      <c r="D10" s="192" t="s">
        <v>243</v>
      </c>
      <c r="E10" s="120"/>
      <c r="O10" s="121"/>
    </row>
    <row r="11" spans="1:17" s="8" customFormat="1" x14ac:dyDescent="0.3">
      <c r="B11" s="8" t="s">
        <v>121</v>
      </c>
      <c r="D11" s="8" t="s">
        <v>244</v>
      </c>
      <c r="O11" s="121"/>
    </row>
    <row r="12" spans="1:17" s="8" customFormat="1" x14ac:dyDescent="0.3">
      <c r="O12" s="121"/>
    </row>
    <row r="13" spans="1:17" s="8" customFormat="1" x14ac:dyDescent="0.3">
      <c r="A13" s="122"/>
      <c r="B13" s="12" t="s">
        <v>122</v>
      </c>
      <c r="Q13" s="121"/>
    </row>
    <row r="14" spans="1:17" s="8" customFormat="1" x14ac:dyDescent="0.3">
      <c r="B14" s="192" t="s">
        <v>274</v>
      </c>
    </row>
    <row r="15" spans="1:17" s="8" customFormat="1" x14ac:dyDescent="0.3">
      <c r="B15" s="192" t="s">
        <v>275</v>
      </c>
    </row>
    <row r="16" spans="1:17" s="8" customFormat="1" x14ac:dyDescent="0.3">
      <c r="B16" s="192"/>
    </row>
    <row r="17" spans="1:5" s="8" customFormat="1" ht="43.2" x14ac:dyDescent="0.3">
      <c r="C17" s="202" t="s">
        <v>123</v>
      </c>
      <c r="D17" s="51" t="s">
        <v>365</v>
      </c>
    </row>
    <row r="18" spans="1:5" s="8" customFormat="1" x14ac:dyDescent="0.3">
      <c r="B18" s="118" t="s">
        <v>301</v>
      </c>
      <c r="C18" s="203">
        <f>'Data Inputs'!C68+'Data Inputs'!C77</f>
        <v>5152.167229121771</v>
      </c>
      <c r="D18" s="124">
        <v>600</v>
      </c>
      <c r="E18" s="8" t="s">
        <v>124</v>
      </c>
    </row>
    <row r="19" spans="1:5" s="8" customFormat="1" x14ac:dyDescent="0.3">
      <c r="B19" s="118" t="s">
        <v>300</v>
      </c>
      <c r="C19" s="203">
        <f>'Data Inputs'!C131+'Data Inputs'!C140</f>
        <v>128272.9887378</v>
      </c>
      <c r="D19" s="124">
        <v>10000</v>
      </c>
    </row>
    <row r="20" spans="1:5" s="8" customFormat="1" x14ac:dyDescent="0.3">
      <c r="B20" s="118" t="s">
        <v>242</v>
      </c>
      <c r="C20" s="203">
        <f>'Data Inputs'!C149+'Data Inputs'!C158</f>
        <v>12350.827853510002</v>
      </c>
      <c r="D20" s="124">
        <v>400</v>
      </c>
    </row>
    <row r="21" spans="1:5" s="8" customFormat="1" x14ac:dyDescent="0.3">
      <c r="B21" s="118" t="s">
        <v>125</v>
      </c>
      <c r="C21" s="203">
        <f>'Data Inputs'!C86+'Data Inputs'!C95</f>
        <v>1874.919158816454</v>
      </c>
      <c r="D21" s="124">
        <v>100</v>
      </c>
    </row>
    <row r="22" spans="1:5" s="8" customFormat="1" x14ac:dyDescent="0.3"/>
    <row r="23" spans="1:5" s="8" customFormat="1" x14ac:dyDescent="0.3">
      <c r="A23" s="125"/>
      <c r="B23" s="12" t="s">
        <v>126</v>
      </c>
    </row>
    <row r="24" spans="1:5" s="8" customFormat="1" x14ac:dyDescent="0.3"/>
    <row r="25" spans="1:5" s="8" customFormat="1" x14ac:dyDescent="0.3">
      <c r="B25" s="12" t="s">
        <v>383</v>
      </c>
      <c r="C25" s="2" t="s">
        <v>127</v>
      </c>
      <c r="D25" s="2" t="s">
        <v>128</v>
      </c>
    </row>
    <row r="26" spans="1:5" s="8" customFormat="1" x14ac:dyDescent="0.3">
      <c r="B26" s="12" t="s">
        <v>376</v>
      </c>
      <c r="C26" s="247">
        <v>3</v>
      </c>
      <c r="D26" s="247">
        <v>3</v>
      </c>
      <c r="E26" s="8" t="s">
        <v>377</v>
      </c>
    </row>
    <row r="27" spans="1:5" s="8" customFormat="1" x14ac:dyDescent="0.3">
      <c r="B27" s="12" t="s">
        <v>375</v>
      </c>
      <c r="C27" s="2"/>
      <c r="D27" s="2"/>
    </row>
    <row r="28" spans="1:5" s="8" customFormat="1" x14ac:dyDescent="0.3">
      <c r="B28" s="20" t="s">
        <v>129</v>
      </c>
      <c r="C28" s="98">
        <v>2</v>
      </c>
      <c r="D28" s="98">
        <v>2</v>
      </c>
      <c r="E28" s="8" t="s">
        <v>130</v>
      </c>
    </row>
    <row r="29" spans="1:5" s="8" customFormat="1" x14ac:dyDescent="0.3">
      <c r="B29" s="20" t="s">
        <v>131</v>
      </c>
      <c r="C29" s="98">
        <v>2</v>
      </c>
      <c r="D29" s="98">
        <v>2</v>
      </c>
    </row>
    <row r="30" spans="1:5" s="8" customFormat="1" x14ac:dyDescent="0.3">
      <c r="B30" s="20" t="s">
        <v>132</v>
      </c>
      <c r="C30" s="98">
        <v>1</v>
      </c>
      <c r="D30" s="98">
        <v>1</v>
      </c>
    </row>
    <row r="31" spans="1:5" s="8" customFormat="1" x14ac:dyDescent="0.3">
      <c r="B31" s="20" t="s">
        <v>133</v>
      </c>
      <c r="C31" s="98">
        <v>1</v>
      </c>
      <c r="D31" s="98">
        <v>1</v>
      </c>
    </row>
    <row r="32" spans="1:5" s="8" customFormat="1" x14ac:dyDescent="0.3">
      <c r="B32" s="31" t="s">
        <v>382</v>
      </c>
      <c r="C32" s="126">
        <f>SUM(C28:C31)</f>
        <v>6</v>
      </c>
      <c r="D32" s="126">
        <f>SUM(D28:D31)</f>
        <v>6</v>
      </c>
    </row>
    <row r="33" spans="1:5" s="8" customFormat="1" x14ac:dyDescent="0.3">
      <c r="B33" s="248" t="s">
        <v>378</v>
      </c>
      <c r="C33" s="247">
        <v>2</v>
      </c>
      <c r="D33" s="247">
        <v>2</v>
      </c>
      <c r="E33" s="8" t="s">
        <v>379</v>
      </c>
    </row>
    <row r="34" spans="1:5" s="8" customFormat="1" x14ac:dyDescent="0.3">
      <c r="B34" s="12" t="s">
        <v>380</v>
      </c>
      <c r="C34" s="247">
        <v>3</v>
      </c>
      <c r="D34" s="247">
        <v>3</v>
      </c>
      <c r="E34" s="8" t="s">
        <v>381</v>
      </c>
    </row>
    <row r="35" spans="1:5" s="8" customFormat="1" x14ac:dyDescent="0.3"/>
    <row r="36" spans="1:5" s="8" customFormat="1" x14ac:dyDescent="0.3">
      <c r="B36" s="12" t="s">
        <v>135</v>
      </c>
      <c r="E36" s="8" t="s">
        <v>136</v>
      </c>
    </row>
    <row r="37" spans="1:5" s="8" customFormat="1" x14ac:dyDescent="0.3">
      <c r="B37" s="10" t="s">
        <v>137</v>
      </c>
      <c r="C37" s="2" t="s">
        <v>127</v>
      </c>
      <c r="D37" s="2" t="s">
        <v>128</v>
      </c>
      <c r="E37" s="12" t="s">
        <v>138</v>
      </c>
    </row>
    <row r="38" spans="1:5" s="8" customFormat="1" x14ac:dyDescent="0.3">
      <c r="B38" s="20" t="s">
        <v>139</v>
      </c>
      <c r="C38" s="98">
        <f>C32</f>
        <v>6</v>
      </c>
      <c r="D38" s="98">
        <f>D30+D31+1</f>
        <v>3</v>
      </c>
      <c r="E38" s="8" t="s">
        <v>140</v>
      </c>
    </row>
    <row r="39" spans="1:5" s="8" customFormat="1" x14ac:dyDescent="0.3">
      <c r="B39" s="20" t="s">
        <v>141</v>
      </c>
      <c r="C39" s="98">
        <f>C26+C33+C34</f>
        <v>8</v>
      </c>
      <c r="D39" s="98">
        <f>D28+D29-1+D26+D33+D34</f>
        <v>11</v>
      </c>
      <c r="E39" s="8" t="s">
        <v>142</v>
      </c>
    </row>
    <row r="40" spans="1:5" s="8" customFormat="1" x14ac:dyDescent="0.3">
      <c r="B40" s="20" t="s">
        <v>143</v>
      </c>
      <c r="C40" s="98">
        <f>C$32+C33+C34</f>
        <v>11</v>
      </c>
      <c r="D40" s="98">
        <f>D$32+D33+D34</f>
        <v>11</v>
      </c>
      <c r="E40" s="8" t="s">
        <v>144</v>
      </c>
    </row>
    <row r="41" spans="1:5" s="8" customFormat="1" x14ac:dyDescent="0.3">
      <c r="B41" s="20" t="s">
        <v>145</v>
      </c>
      <c r="C41" s="98">
        <f>C$32</f>
        <v>6</v>
      </c>
      <c r="D41" s="98">
        <f>D$32</f>
        <v>6</v>
      </c>
      <c r="E41" s="8" t="s">
        <v>146</v>
      </c>
    </row>
    <row r="42" spans="1:5" s="8" customFormat="1" x14ac:dyDescent="0.3">
      <c r="B42" s="20" t="s">
        <v>147</v>
      </c>
      <c r="C42" s="98">
        <f>(C31+C30+1)*3+(C28+C29-1)*2+C34</f>
        <v>18</v>
      </c>
      <c r="D42" s="98">
        <f>D38*3+D39-D26-D33</f>
        <v>15</v>
      </c>
      <c r="E42" s="8" t="s">
        <v>148</v>
      </c>
    </row>
    <row r="43" spans="1:5" s="8" customFormat="1" x14ac:dyDescent="0.3">
      <c r="E43" s="8" t="s">
        <v>149</v>
      </c>
    </row>
    <row r="44" spans="1:5" s="8" customFormat="1" x14ac:dyDescent="0.3">
      <c r="E44" s="8" t="s">
        <v>235</v>
      </c>
    </row>
    <row r="45" spans="1:5" s="8" customFormat="1" x14ac:dyDescent="0.3">
      <c r="A45" s="122"/>
      <c r="B45" s="12" t="s">
        <v>150</v>
      </c>
      <c r="D45" s="116"/>
      <c r="E45" s="116"/>
    </row>
    <row r="46" spans="1:5" s="8" customFormat="1" x14ac:dyDescent="0.3">
      <c r="B46" s="61" t="s">
        <v>151</v>
      </c>
      <c r="E46" s="116"/>
    </row>
    <row r="47" spans="1:5" s="8" customFormat="1" x14ac:dyDescent="0.3">
      <c r="B47" s="61" t="s">
        <v>152</v>
      </c>
      <c r="E47" s="116"/>
    </row>
    <row r="48" spans="1:5" s="8" customFormat="1" x14ac:dyDescent="0.3">
      <c r="B48" s="61" t="s">
        <v>153</v>
      </c>
      <c r="E48" s="116"/>
    </row>
    <row r="49" spans="2:6" s="8" customFormat="1" x14ac:dyDescent="0.3">
      <c r="B49" s="61"/>
      <c r="E49" s="116"/>
    </row>
    <row r="50" spans="2:6" s="8" customFormat="1" x14ac:dyDescent="0.3">
      <c r="B50" s="127" t="s">
        <v>302</v>
      </c>
      <c r="E50" s="116"/>
    </row>
    <row r="51" spans="2:6" s="8" customFormat="1" ht="72" x14ac:dyDescent="0.3">
      <c r="B51" s="128"/>
      <c r="C51" s="129" t="s">
        <v>154</v>
      </c>
      <c r="D51" s="123" t="s">
        <v>155</v>
      </c>
      <c r="E51" s="129" t="s">
        <v>156</v>
      </c>
      <c r="F51" s="12" t="s">
        <v>157</v>
      </c>
    </row>
    <row r="52" spans="2:6" s="8" customFormat="1" x14ac:dyDescent="0.3">
      <c r="B52" s="118" t="str">
        <f t="shared" ref="B52:B63" si="0">B128</f>
        <v>Breast</v>
      </c>
      <c r="C52" s="59">
        <f t="shared" ref="C52:C63" si="1">VLOOKUP(B52,$B$127:$P$139,14,0)</f>
        <v>0.24745081143185407</v>
      </c>
      <c r="D52" s="97">
        <v>0.24745081143185407</v>
      </c>
      <c r="E52" s="97"/>
      <c r="F52" s="116"/>
    </row>
    <row r="53" spans="2:6" s="8" customFormat="1" x14ac:dyDescent="0.3">
      <c r="B53" s="118" t="str">
        <f t="shared" si="0"/>
        <v>Endocrine</v>
      </c>
      <c r="C53" s="59">
        <f t="shared" si="1"/>
        <v>4.2797644693379287E-2</v>
      </c>
      <c r="D53" s="97">
        <v>4.2797644693379287E-2</v>
      </c>
      <c r="E53" s="97"/>
      <c r="F53" s="116"/>
    </row>
    <row r="54" spans="2:6" s="8" customFormat="1" x14ac:dyDescent="0.3">
      <c r="B54" s="118" t="str">
        <f t="shared" si="0"/>
        <v>Gastrointestinal</v>
      </c>
      <c r="C54" s="59">
        <f t="shared" si="1"/>
        <v>0.11575470343242855</v>
      </c>
      <c r="D54" s="97">
        <v>0.11575470343242855</v>
      </c>
      <c r="E54" s="130">
        <v>0.35</v>
      </c>
      <c r="F54" s="131" t="s">
        <v>158</v>
      </c>
    </row>
    <row r="55" spans="2:6" s="8" customFormat="1" x14ac:dyDescent="0.3">
      <c r="B55" s="118" t="str">
        <f t="shared" si="0"/>
        <v>Genitourinary</v>
      </c>
      <c r="C55" s="59">
        <f t="shared" si="1"/>
        <v>0.24701996265977308</v>
      </c>
      <c r="D55" s="97">
        <v>0.24701996265977308</v>
      </c>
      <c r="E55" s="97">
        <v>0.1</v>
      </c>
      <c r="F55" s="131" t="s">
        <v>159</v>
      </c>
    </row>
    <row r="56" spans="2:6" s="8" customFormat="1" x14ac:dyDescent="0.3">
      <c r="B56" s="118" t="str">
        <f t="shared" si="0"/>
        <v>Gynaecological</v>
      </c>
      <c r="C56" s="59">
        <f t="shared" si="1"/>
        <v>9.56484274019819E-2</v>
      </c>
      <c r="D56" s="97">
        <v>9.56484274019819E-2</v>
      </c>
      <c r="E56" s="97">
        <v>0.25</v>
      </c>
      <c r="F56" s="131" t="s">
        <v>160</v>
      </c>
    </row>
    <row r="57" spans="2:6" s="8" customFormat="1" x14ac:dyDescent="0.3">
      <c r="B57" s="118" t="str">
        <f t="shared" si="0"/>
        <v>Head and Neck (Excluding Thyroid)</v>
      </c>
      <c r="C57" s="59">
        <f t="shared" si="1"/>
        <v>4.7967829958351284E-2</v>
      </c>
      <c r="D57" s="97">
        <v>4.7967829958351284E-2</v>
      </c>
      <c r="E57" s="97">
        <v>0.8</v>
      </c>
      <c r="F57" s="131" t="s">
        <v>161</v>
      </c>
    </row>
    <row r="58" spans="2:6" s="8" customFormat="1" x14ac:dyDescent="0.3">
      <c r="B58" s="118" t="str">
        <f t="shared" si="0"/>
        <v>Liver and Pancreatic</v>
      </c>
      <c r="C58" s="59">
        <f t="shared" si="1"/>
        <v>3.0015797788309637E-2</v>
      </c>
      <c r="D58" s="97">
        <v>3.0015797788309637E-2</v>
      </c>
      <c r="E58" s="97"/>
      <c r="F58" s="116"/>
    </row>
    <row r="59" spans="2:6" s="8" customFormat="1" x14ac:dyDescent="0.3">
      <c r="B59" s="118" t="str">
        <f t="shared" si="0"/>
        <v>Lung</v>
      </c>
      <c r="C59" s="59">
        <f t="shared" si="1"/>
        <v>6.175499066494327E-2</v>
      </c>
      <c r="D59" s="97">
        <v>6.175499066494327E-2</v>
      </c>
      <c r="E59" s="97">
        <v>0.85</v>
      </c>
      <c r="F59" s="131" t="s">
        <v>162</v>
      </c>
    </row>
    <row r="60" spans="2:6" s="8" customFormat="1" x14ac:dyDescent="0.3">
      <c r="B60" s="118" t="str">
        <f t="shared" si="0"/>
        <v>Bone, Joint and Muscle</v>
      </c>
      <c r="C60" s="59">
        <f t="shared" si="1"/>
        <v>2.1255206089329313E-2</v>
      </c>
      <c r="D60" s="97">
        <v>2.1255206089329313E-2</v>
      </c>
      <c r="E60" s="97"/>
      <c r="F60" s="116"/>
    </row>
    <row r="61" spans="2:6" s="8" customFormat="1" x14ac:dyDescent="0.3">
      <c r="B61" s="118" t="str">
        <f t="shared" si="0"/>
        <v>Neurological</v>
      </c>
      <c r="C61" s="59">
        <f t="shared" si="1"/>
        <v>2.6999856383742641E-2</v>
      </c>
      <c r="D61" s="97">
        <v>2.6999856383742641E-2</v>
      </c>
      <c r="E61" s="132"/>
      <c r="F61" s="116"/>
    </row>
    <row r="62" spans="2:6" s="8" customFormat="1" x14ac:dyDescent="0.3">
      <c r="B62" s="118" t="str">
        <f t="shared" si="0"/>
        <v>Ophthalmic</v>
      </c>
      <c r="C62" s="59">
        <f t="shared" si="1"/>
        <v>5.3138015223323284E-3</v>
      </c>
      <c r="D62" s="97">
        <v>5.3138015223323284E-3</v>
      </c>
      <c r="E62" s="97"/>
      <c r="F62" s="116"/>
    </row>
    <row r="63" spans="2:6" s="8" customFormat="1" x14ac:dyDescent="0.3">
      <c r="B63" s="118" t="str">
        <f t="shared" si="0"/>
        <v>Prostate</v>
      </c>
      <c r="C63" s="59">
        <f t="shared" si="1"/>
        <v>5.8020967973574609E-2</v>
      </c>
      <c r="D63" s="97">
        <v>5.8020967973574609E-2</v>
      </c>
      <c r="E63" s="97"/>
      <c r="F63" s="116"/>
    </row>
    <row r="64" spans="2:6" s="8" customFormat="1" x14ac:dyDescent="0.3">
      <c r="C64" s="133"/>
      <c r="D64" s="133">
        <f>SUM(D52:D63)</f>
        <v>0.99999999999999989</v>
      </c>
      <c r="E64" s="8" t="s">
        <v>163</v>
      </c>
      <c r="F64" s="116"/>
    </row>
    <row r="65" spans="2:9" s="8" customFormat="1" x14ac:dyDescent="0.3">
      <c r="B65" s="72" t="s">
        <v>303</v>
      </c>
    </row>
    <row r="66" spans="2:9" s="8" customFormat="1" ht="86.4" x14ac:dyDescent="0.3">
      <c r="C66" s="129" t="s">
        <v>164</v>
      </c>
      <c r="D66" s="123" t="s">
        <v>165</v>
      </c>
      <c r="E66" s="129" t="s">
        <v>156</v>
      </c>
      <c r="I66" s="131"/>
    </row>
    <row r="67" spans="2:9" s="8" customFormat="1" x14ac:dyDescent="0.3">
      <c r="B67" s="118" t="str">
        <f t="shared" ref="B67:B76" si="2">B151</f>
        <v>General Surgery</v>
      </c>
      <c r="C67" s="60">
        <f t="shared" ref="C67:C76" si="3">VLOOKUP(B67,$B$149:$P$160,14,0)</f>
        <v>0.14897925395754003</v>
      </c>
      <c r="D67" s="134">
        <v>0.14897925395754003</v>
      </c>
      <c r="E67" s="130">
        <v>0.15</v>
      </c>
      <c r="F67" s="8" t="s">
        <v>166</v>
      </c>
    </row>
    <row r="68" spans="2:9" s="8" customFormat="1" x14ac:dyDescent="0.3">
      <c r="B68" s="118" t="str">
        <f t="shared" si="2"/>
        <v>Gynaecologic Surgery</v>
      </c>
      <c r="C68" s="60">
        <f t="shared" si="3"/>
        <v>0.10761452350326664</v>
      </c>
      <c r="D68" s="134">
        <v>0.10761452350326664</v>
      </c>
      <c r="E68" s="130">
        <v>0.5</v>
      </c>
      <c r="F68" s="8" t="s">
        <v>167</v>
      </c>
    </row>
    <row r="69" spans="2:9" s="8" customFormat="1" x14ac:dyDescent="0.3">
      <c r="B69" s="118" t="str">
        <f t="shared" si="2"/>
        <v>Orthopaedic Surgery</v>
      </c>
      <c r="C69" s="60">
        <f t="shared" si="3"/>
        <v>0.20692553584391438</v>
      </c>
      <c r="D69" s="134">
        <v>0.20692553584391438</v>
      </c>
      <c r="E69" s="130"/>
      <c r="F69" s="116"/>
    </row>
    <row r="70" spans="2:9" s="8" customFormat="1" x14ac:dyDescent="0.3">
      <c r="B70" s="118" t="str">
        <f t="shared" si="2"/>
        <v>Neurosurgery</v>
      </c>
      <c r="C70" s="60">
        <f t="shared" si="3"/>
        <v>1.3372218896855618E-2</v>
      </c>
      <c r="D70" s="134">
        <v>1.3372218896855618E-2</v>
      </c>
      <c r="E70" s="130">
        <v>0.1</v>
      </c>
      <c r="F70" s="8" t="s">
        <v>168</v>
      </c>
    </row>
    <row r="71" spans="2:9" s="8" customFormat="1" x14ac:dyDescent="0.3">
      <c r="B71" s="118" t="str">
        <f t="shared" si="2"/>
        <v>Oral and Maxillofacial Surgery and Dentistry</v>
      </c>
      <c r="C71" s="60">
        <f t="shared" si="3"/>
        <v>1.7676799836986282E-2</v>
      </c>
      <c r="D71" s="134">
        <v>1.7676799836986282E-2</v>
      </c>
      <c r="E71" s="130">
        <v>1</v>
      </c>
      <c r="F71" s="131" t="s">
        <v>169</v>
      </c>
    </row>
    <row r="72" spans="2:9" s="8" customFormat="1" x14ac:dyDescent="0.3">
      <c r="B72" s="118" t="str">
        <f t="shared" si="2"/>
        <v>Otolaryngic Surgery</v>
      </c>
      <c r="C72" s="60">
        <f t="shared" si="3"/>
        <v>5.0012098674240009E-2</v>
      </c>
      <c r="D72" s="134">
        <v>5.0012098674240009E-2</v>
      </c>
      <c r="E72" s="130">
        <v>0.8</v>
      </c>
      <c r="F72" s="131" t="s">
        <v>170</v>
      </c>
    </row>
    <row r="73" spans="2:9" s="8" customFormat="1" x14ac:dyDescent="0.3">
      <c r="B73" s="118" t="str">
        <f t="shared" si="2"/>
        <v>Plastic and Reconstructive Surgery</v>
      </c>
      <c r="C73" s="60">
        <f t="shared" si="3"/>
        <v>4.9731918849734463E-2</v>
      </c>
      <c r="D73" s="134">
        <v>4.9731918849734463E-2</v>
      </c>
      <c r="E73" s="130"/>
      <c r="F73" s="131"/>
    </row>
    <row r="74" spans="2:9" s="8" customFormat="1" x14ac:dyDescent="0.3">
      <c r="B74" s="118" t="str">
        <f t="shared" si="2"/>
        <v>Thoracic Surgery</v>
      </c>
      <c r="C74" s="60">
        <f t="shared" si="3"/>
        <v>3.5277186994561965E-3</v>
      </c>
      <c r="D74" s="134">
        <v>3.5277186994561965E-3</v>
      </c>
      <c r="E74" s="130">
        <v>0.85</v>
      </c>
      <c r="F74" s="131" t="s">
        <v>171</v>
      </c>
    </row>
    <row r="75" spans="2:9" s="8" customFormat="1" x14ac:dyDescent="0.3">
      <c r="B75" s="118" t="str">
        <f t="shared" si="2"/>
        <v>Urologic Surgery</v>
      </c>
      <c r="C75" s="60">
        <f t="shared" si="3"/>
        <v>7.8615911666942595E-2</v>
      </c>
      <c r="D75" s="134">
        <v>7.8615911666942595E-2</v>
      </c>
      <c r="E75" s="130"/>
      <c r="F75" s="131"/>
    </row>
    <row r="76" spans="2:9" s="8" customFormat="1" x14ac:dyDescent="0.3">
      <c r="B76" s="118" t="str">
        <f t="shared" si="2"/>
        <v>Vascular Surgery</v>
      </c>
      <c r="C76" s="60">
        <f t="shared" si="3"/>
        <v>2.097528049821067E-2</v>
      </c>
      <c r="D76" s="134">
        <v>2.097528049821067E-2</v>
      </c>
      <c r="E76" s="130"/>
      <c r="F76" s="116"/>
    </row>
    <row r="77" spans="2:9" s="8" customFormat="1" x14ac:dyDescent="0.3">
      <c r="B77" s="118" t="str">
        <f>B150</f>
        <v>Ophthalmic Surgery</v>
      </c>
      <c r="C77" s="60">
        <f>O150</f>
        <v>0.30256873957285313</v>
      </c>
      <c r="D77" s="134">
        <v>0.30256873957285313</v>
      </c>
      <c r="E77"/>
      <c r="F77" s="131" t="s">
        <v>172</v>
      </c>
    </row>
    <row r="78" spans="2:9" s="8" customFormat="1" x14ac:dyDescent="0.3">
      <c r="C78" s="133"/>
      <c r="D78" s="133">
        <f>SUM(D67:D77)</f>
        <v>1</v>
      </c>
      <c r="E78" s="8" t="s">
        <v>163</v>
      </c>
    </row>
    <row r="79" spans="2:9" s="8" customFormat="1" x14ac:dyDescent="0.3">
      <c r="B79" s="72" t="str">
        <f>B150</f>
        <v>Ophthalmic Surgery</v>
      </c>
    </row>
    <row r="80" spans="2:9" s="8" customFormat="1" x14ac:dyDescent="0.3">
      <c r="B80" s="118" t="s">
        <v>173</v>
      </c>
      <c r="C80" s="60">
        <f>IF('PPE Outputs'!D10='PPE Inputs'!C17,C77,D77)</f>
        <v>0.30256873957285313</v>
      </c>
      <c r="E80" s="116"/>
    </row>
    <row r="81" spans="2:5" s="8" customFormat="1" x14ac:dyDescent="0.3">
      <c r="B81" s="118" t="s">
        <v>174</v>
      </c>
      <c r="C81" s="135">
        <v>1.6423592355377215E-2</v>
      </c>
      <c r="D81" s="8" t="s">
        <v>175</v>
      </c>
      <c r="E81" s="116"/>
    </row>
    <row r="82" spans="2:5" s="8" customFormat="1" x14ac:dyDescent="0.3">
      <c r="B82" s="118" t="s">
        <v>176</v>
      </c>
      <c r="C82" s="136">
        <f>C80*C81</f>
        <v>4.9692656382248302E-3</v>
      </c>
      <c r="E82" s="116"/>
    </row>
    <row r="83" spans="2:5" s="8" customFormat="1" x14ac:dyDescent="0.3">
      <c r="B83" s="118"/>
      <c r="C83" s="137"/>
      <c r="E83" s="116"/>
    </row>
    <row r="84" spans="2:5" s="8" customFormat="1" x14ac:dyDescent="0.3">
      <c r="B84" s="138" t="s">
        <v>383</v>
      </c>
      <c r="C84" s="139" t="s">
        <v>127</v>
      </c>
      <c r="D84" s="139" t="s">
        <v>128</v>
      </c>
      <c r="E84" s="131" t="s">
        <v>177</v>
      </c>
    </row>
    <row r="85" spans="2:5" s="8" customFormat="1" x14ac:dyDescent="0.3">
      <c r="B85" s="249" t="s">
        <v>376</v>
      </c>
      <c r="C85" s="247">
        <v>3</v>
      </c>
      <c r="D85" s="247">
        <v>3</v>
      </c>
      <c r="E85" s="8" t="s">
        <v>377</v>
      </c>
    </row>
    <row r="86" spans="2:5" s="8" customFormat="1" x14ac:dyDescent="0.3">
      <c r="B86" s="249" t="s">
        <v>375</v>
      </c>
      <c r="C86" s="2"/>
      <c r="D86" s="2"/>
    </row>
    <row r="87" spans="2:5" s="8" customFormat="1" x14ac:dyDescent="0.3">
      <c r="B87" s="250" t="s">
        <v>129</v>
      </c>
      <c r="C87" s="141">
        <v>2</v>
      </c>
      <c r="D87" s="141">
        <v>2</v>
      </c>
      <c r="E87" s="131" t="s">
        <v>178</v>
      </c>
    </row>
    <row r="88" spans="2:5" s="8" customFormat="1" x14ac:dyDescent="0.3">
      <c r="B88" s="250" t="s">
        <v>131</v>
      </c>
      <c r="C88" s="141">
        <v>2</v>
      </c>
      <c r="D88" s="141">
        <v>2</v>
      </c>
      <c r="E88" s="116"/>
    </row>
    <row r="89" spans="2:5" s="8" customFormat="1" x14ac:dyDescent="0.3">
      <c r="B89" s="250" t="s">
        <v>132</v>
      </c>
      <c r="C89" s="141">
        <v>1</v>
      </c>
      <c r="D89" s="141">
        <v>1</v>
      </c>
      <c r="E89" s="116"/>
    </row>
    <row r="90" spans="2:5" s="8" customFormat="1" x14ac:dyDescent="0.3">
      <c r="B90" s="250" t="s">
        <v>133</v>
      </c>
      <c r="C90" s="141">
        <v>0</v>
      </c>
      <c r="D90" s="141">
        <v>0</v>
      </c>
      <c r="E90" s="116"/>
    </row>
    <row r="91" spans="2:5" s="8" customFormat="1" x14ac:dyDescent="0.3">
      <c r="B91" s="251" t="s">
        <v>134</v>
      </c>
      <c r="C91" s="252">
        <v>5</v>
      </c>
      <c r="D91" s="252">
        <v>5</v>
      </c>
      <c r="E91" s="116"/>
    </row>
    <row r="92" spans="2:5" s="8" customFormat="1" x14ac:dyDescent="0.3">
      <c r="B92" s="249" t="s">
        <v>378</v>
      </c>
      <c r="C92" s="247">
        <v>2</v>
      </c>
      <c r="D92" s="247">
        <v>2</v>
      </c>
      <c r="E92" s="8" t="s">
        <v>379</v>
      </c>
    </row>
    <row r="93" spans="2:5" s="8" customFormat="1" x14ac:dyDescent="0.3">
      <c r="B93" s="249" t="s">
        <v>380</v>
      </c>
      <c r="C93" s="247">
        <v>3</v>
      </c>
      <c r="D93" s="247">
        <v>3</v>
      </c>
      <c r="E93" s="8" t="s">
        <v>381</v>
      </c>
    </row>
    <row r="94" spans="2:5" s="8" customFormat="1" x14ac:dyDescent="0.3">
      <c r="B94" s="142"/>
      <c r="C94" s="143"/>
      <c r="D94" s="143"/>
      <c r="E94" s="116"/>
    </row>
    <row r="95" spans="2:5" s="8" customFormat="1" x14ac:dyDescent="0.3">
      <c r="B95" s="138" t="s">
        <v>135</v>
      </c>
      <c r="C95" s="143"/>
      <c r="D95" s="143"/>
      <c r="E95" s="116"/>
    </row>
    <row r="96" spans="2:5" s="8" customFormat="1" x14ac:dyDescent="0.3">
      <c r="B96" s="144" t="s">
        <v>137</v>
      </c>
      <c r="C96" s="139" t="s">
        <v>127</v>
      </c>
      <c r="D96" s="139" t="s">
        <v>128</v>
      </c>
      <c r="E96" s="116"/>
    </row>
    <row r="97" spans="1:5" s="8" customFormat="1" x14ac:dyDescent="0.3">
      <c r="B97" s="140" t="s">
        <v>139</v>
      </c>
      <c r="C97" s="141">
        <f>C91</f>
        <v>5</v>
      </c>
      <c r="D97" s="141">
        <v>0</v>
      </c>
      <c r="E97" s="116"/>
    </row>
    <row r="98" spans="1:5" s="8" customFormat="1" x14ac:dyDescent="0.3">
      <c r="B98" s="140" t="s">
        <v>141</v>
      </c>
      <c r="C98" s="141">
        <f>C93+C92+C85</f>
        <v>8</v>
      </c>
      <c r="D98" s="141">
        <f>D91+D85+D92+D93</f>
        <v>13</v>
      </c>
      <c r="E98" s="116"/>
    </row>
    <row r="99" spans="1:5" s="8" customFormat="1" x14ac:dyDescent="0.3">
      <c r="B99" s="140" t="s">
        <v>143</v>
      </c>
      <c r="C99" s="141">
        <f>C91+C92+C93</f>
        <v>10</v>
      </c>
      <c r="D99" s="141">
        <f>3+D92+D93</f>
        <v>8</v>
      </c>
      <c r="E99" s="131" t="s">
        <v>179</v>
      </c>
    </row>
    <row r="100" spans="1:5" s="8" customFormat="1" x14ac:dyDescent="0.3">
      <c r="B100" s="140" t="s">
        <v>145</v>
      </c>
      <c r="C100" s="141">
        <v>5</v>
      </c>
      <c r="D100" s="141">
        <v>5</v>
      </c>
      <c r="E100" s="116"/>
    </row>
    <row r="101" spans="1:5" s="8" customFormat="1" x14ac:dyDescent="0.3">
      <c r="B101" s="140" t="s">
        <v>147</v>
      </c>
      <c r="C101" s="98">
        <f>(C90+C89+1)*3+(C87+C88-1)*2+C93</f>
        <v>15</v>
      </c>
      <c r="D101" s="247">
        <f>D89*3+D98-D85-D92-D89</f>
        <v>10</v>
      </c>
      <c r="E101" s="8" t="s">
        <v>180</v>
      </c>
    </row>
    <row r="102" spans="1:5" s="8" customFormat="1" x14ac:dyDescent="0.3">
      <c r="B102" s="118"/>
      <c r="C102" s="137"/>
      <c r="E102" s="8" t="s">
        <v>181</v>
      </c>
    </row>
    <row r="103" spans="1:5" s="8" customFormat="1" x14ac:dyDescent="0.3">
      <c r="A103" s="122"/>
      <c r="B103" s="72" t="s">
        <v>304</v>
      </c>
      <c r="C103" s="137"/>
      <c r="E103" s="116"/>
    </row>
    <row r="104" spans="1:5" s="8" customFormat="1" x14ac:dyDescent="0.3">
      <c r="B104" s="118"/>
      <c r="C104" s="134">
        <f>AVERAGE(C110,C111)</f>
        <v>0.15908533337778574</v>
      </c>
      <c r="D104" s="8" t="s">
        <v>182</v>
      </c>
      <c r="E104" s="116"/>
    </row>
    <row r="105" spans="1:5" s="8" customFormat="1" x14ac:dyDescent="0.3">
      <c r="E105" s="116"/>
    </row>
    <row r="106" spans="1:5" s="8" customFormat="1" x14ac:dyDescent="0.3">
      <c r="A106" s="122"/>
      <c r="B106" s="72" t="s">
        <v>183</v>
      </c>
      <c r="E106" s="116"/>
    </row>
    <row r="107" spans="1:5" s="8" customFormat="1" x14ac:dyDescent="0.3">
      <c r="B107" s="118"/>
      <c r="C107" s="145">
        <v>0.05</v>
      </c>
      <c r="D107" s="3" t="s">
        <v>184</v>
      </c>
      <c r="E107" s="116"/>
    </row>
    <row r="108" spans="1:5" s="8" customFormat="1" x14ac:dyDescent="0.3">
      <c r="E108" s="116"/>
    </row>
    <row r="109" spans="1:5" s="8" customFormat="1" x14ac:dyDescent="0.3">
      <c r="A109" s="122"/>
      <c r="B109" s="72" t="s">
        <v>176</v>
      </c>
      <c r="E109" s="116"/>
    </row>
    <row r="110" spans="1:5" s="8" customFormat="1" x14ac:dyDescent="0.3">
      <c r="B110" s="118" t="s">
        <v>301</v>
      </c>
      <c r="C110" s="146">
        <f>SUMPRODUCT(IF('PPE Outputs'!D10='PPE Inputs'!$C$17,C52:C63,D52:D63),E52:E63)</f>
        <v>0.17999425534970559</v>
      </c>
      <c r="E110" s="116"/>
    </row>
    <row r="111" spans="1:5" s="8" customFormat="1" x14ac:dyDescent="0.3">
      <c r="B111" s="118" t="s">
        <v>300</v>
      </c>
      <c r="C111" s="146">
        <f>SUMPRODUCT(IF('PPE Outputs'!D10='PPE Inputs'!$C$17,C67:C76,D67:D76),E67:E76)</f>
        <v>0.13817641140586592</v>
      </c>
      <c r="D111" s="8" t="s">
        <v>185</v>
      </c>
      <c r="E111" s="116"/>
    </row>
    <row r="112" spans="1:5" s="8" customFormat="1" x14ac:dyDescent="0.3">
      <c r="B112" s="118" t="s">
        <v>242</v>
      </c>
      <c r="C112" s="146">
        <f>C104</f>
        <v>0.15908533337778574</v>
      </c>
    </row>
    <row r="113" spans="1:16" s="8" customFormat="1" x14ac:dyDescent="0.3">
      <c r="B113" s="118" t="s">
        <v>125</v>
      </c>
      <c r="C113" s="146">
        <f>C107</f>
        <v>0.05</v>
      </c>
    </row>
    <row r="114" spans="1:16" s="8" customFormat="1" x14ac:dyDescent="0.3"/>
    <row r="115" spans="1:16" s="8" customFormat="1" x14ac:dyDescent="0.3">
      <c r="A115" s="122"/>
      <c r="B115" s="12" t="s">
        <v>186</v>
      </c>
      <c r="C115" s="147">
        <v>0.1</v>
      </c>
      <c r="D115" s="8" t="s">
        <v>187</v>
      </c>
    </row>
    <row r="116" spans="1:16" s="8" customFormat="1" x14ac:dyDescent="0.3"/>
    <row r="117" spans="1:16" s="8" customFormat="1" x14ac:dyDescent="0.3"/>
    <row r="118" spans="1:16" s="8" customFormat="1" hidden="1" outlineLevel="1" x14ac:dyDescent="0.3">
      <c r="B118" s="12" t="s">
        <v>188</v>
      </c>
    </row>
    <row r="119" spans="1:16" s="8" customFormat="1" hidden="1" outlineLevel="1" x14ac:dyDescent="0.3"/>
    <row r="120" spans="1:16" s="8" customFormat="1" hidden="1" outlineLevel="1" x14ac:dyDescent="0.3"/>
    <row r="121" spans="1:16" s="8" customFormat="1" hidden="1" outlineLevel="1" x14ac:dyDescent="0.3"/>
    <row r="122" spans="1:16" s="8" customFormat="1" hidden="1" outlineLevel="1" x14ac:dyDescent="0.3"/>
    <row r="123" spans="1:16" s="8" customFormat="1" ht="51.6" hidden="1" outlineLevel="1" x14ac:dyDescent="0.3">
      <c r="B123" s="148"/>
    </row>
    <row r="124" spans="1:16" s="8" customFormat="1" ht="18.600000000000001" hidden="1" outlineLevel="1" thickBot="1" x14ac:dyDescent="0.35">
      <c r="B124" s="149"/>
    </row>
    <row r="125" spans="1:16" s="8" customFormat="1" ht="14.4" hidden="1" customHeight="1" outlineLevel="1" x14ac:dyDescent="0.3">
      <c r="B125" s="301" t="s">
        <v>189</v>
      </c>
      <c r="C125" s="301" t="s">
        <v>190</v>
      </c>
      <c r="D125" s="301" t="s">
        <v>191</v>
      </c>
      <c r="E125" s="301" t="s">
        <v>192</v>
      </c>
      <c r="F125" s="301" t="s">
        <v>193</v>
      </c>
      <c r="G125" s="301" t="s">
        <v>194</v>
      </c>
      <c r="H125" s="301" t="s">
        <v>195</v>
      </c>
      <c r="I125" s="301" t="s">
        <v>196</v>
      </c>
      <c r="J125" s="301" t="s">
        <v>197</v>
      </c>
      <c r="K125" s="301" t="s">
        <v>198</v>
      </c>
      <c r="L125" s="301" t="s">
        <v>199</v>
      </c>
      <c r="M125" s="301" t="s">
        <v>200</v>
      </c>
      <c r="N125" s="150" t="s">
        <v>201</v>
      </c>
      <c r="O125" s="303" t="s">
        <v>202</v>
      </c>
      <c r="P125" s="304"/>
    </row>
    <row r="126" spans="1:16" s="8" customFormat="1" ht="14.4" hidden="1" customHeight="1" outlineLevel="1" thickBot="1" x14ac:dyDescent="0.35">
      <c r="B126" s="302"/>
      <c r="C126" s="302"/>
      <c r="D126" s="302"/>
      <c r="E126" s="302"/>
      <c r="F126" s="302"/>
      <c r="G126" s="302"/>
      <c r="H126" s="302"/>
      <c r="I126" s="302"/>
      <c r="J126" s="302"/>
      <c r="K126" s="302"/>
      <c r="L126" s="302"/>
      <c r="M126" s="302"/>
      <c r="N126" s="151" t="s">
        <v>203</v>
      </c>
      <c r="O126" s="8">
        <v>2019</v>
      </c>
      <c r="P126" s="8">
        <v>2020</v>
      </c>
    </row>
    <row r="127" spans="1:16" s="8" customFormat="1" ht="14.4" hidden="1" customHeight="1" outlineLevel="1" thickTop="1" thickBot="1" x14ac:dyDescent="0.35">
      <c r="B127" s="152" t="s">
        <v>204</v>
      </c>
      <c r="C127" s="153">
        <v>263</v>
      </c>
      <c r="D127" s="154">
        <v>357</v>
      </c>
      <c r="E127" s="155">
        <v>0.36</v>
      </c>
      <c r="F127" s="153">
        <v>4084</v>
      </c>
      <c r="G127" s="153">
        <v>3091</v>
      </c>
      <c r="H127" s="155">
        <v>-0.24</v>
      </c>
      <c r="I127" s="153">
        <v>2616</v>
      </c>
      <c r="J127" s="153">
        <v>1168</v>
      </c>
      <c r="K127" s="155">
        <v>-0.55000000000000004</v>
      </c>
      <c r="L127" s="153">
        <v>6963</v>
      </c>
      <c r="M127" s="153">
        <v>4616</v>
      </c>
      <c r="N127" s="155">
        <v>-0.34</v>
      </c>
    </row>
    <row r="128" spans="1:16" s="8" customFormat="1" ht="14.4" hidden="1" customHeight="1" outlineLevel="1" thickTop="1" thickBot="1" x14ac:dyDescent="0.35">
      <c r="B128" s="156" t="s">
        <v>205</v>
      </c>
      <c r="C128" s="157">
        <v>44</v>
      </c>
      <c r="D128" s="157">
        <v>70</v>
      </c>
      <c r="E128" s="158">
        <v>0.59</v>
      </c>
      <c r="F128" s="159">
        <v>1389</v>
      </c>
      <c r="G128" s="159">
        <v>1095</v>
      </c>
      <c r="H128" s="158">
        <v>-0.21</v>
      </c>
      <c r="I128" s="157">
        <v>290</v>
      </c>
      <c r="J128" s="157">
        <v>184</v>
      </c>
      <c r="K128" s="158">
        <v>-0.37</v>
      </c>
      <c r="L128" s="159">
        <v>1723</v>
      </c>
      <c r="M128" s="159">
        <v>1349</v>
      </c>
      <c r="N128" s="158">
        <v>-0.22</v>
      </c>
      <c r="O128" s="160">
        <f t="shared" ref="O128:P139" si="4">L128/L$127</f>
        <v>0.24745081143185407</v>
      </c>
      <c r="P128" s="160">
        <f t="shared" si="4"/>
        <v>0.29224436741767762</v>
      </c>
    </row>
    <row r="129" spans="2:16" s="8" customFormat="1" ht="14.4" hidden="1" customHeight="1" outlineLevel="1" thickBot="1" x14ac:dyDescent="0.35">
      <c r="B129" s="161" t="s">
        <v>206</v>
      </c>
      <c r="C129" s="162">
        <v>5</v>
      </c>
      <c r="D129" s="162">
        <v>5</v>
      </c>
      <c r="E129" s="163">
        <v>0</v>
      </c>
      <c r="F129" s="162">
        <v>50</v>
      </c>
      <c r="G129" s="162">
        <v>19</v>
      </c>
      <c r="H129" s="163">
        <v>-0.62</v>
      </c>
      <c r="I129" s="162">
        <v>243</v>
      </c>
      <c r="J129" s="162">
        <v>87</v>
      </c>
      <c r="K129" s="163">
        <v>-0.64</v>
      </c>
      <c r="L129" s="162">
        <v>298</v>
      </c>
      <c r="M129" s="162">
        <v>111</v>
      </c>
      <c r="N129" s="163">
        <v>-0.63</v>
      </c>
      <c r="O129" s="160">
        <f t="shared" si="4"/>
        <v>4.2797644693379287E-2</v>
      </c>
      <c r="P129" s="160">
        <f t="shared" si="4"/>
        <v>2.4046793760831887E-2</v>
      </c>
    </row>
    <row r="130" spans="2:16" s="8" customFormat="1" ht="14.4" hidden="1" customHeight="1" outlineLevel="1" thickBot="1" x14ac:dyDescent="0.35">
      <c r="B130" s="164" t="s">
        <v>207</v>
      </c>
      <c r="C130" s="165">
        <v>52</v>
      </c>
      <c r="D130" s="165">
        <v>63</v>
      </c>
      <c r="E130" s="166">
        <v>0.21</v>
      </c>
      <c r="F130" s="165">
        <v>538</v>
      </c>
      <c r="G130" s="165">
        <v>485</v>
      </c>
      <c r="H130" s="166">
        <v>-0.1</v>
      </c>
      <c r="I130" s="165">
        <v>216</v>
      </c>
      <c r="J130" s="165">
        <v>128</v>
      </c>
      <c r="K130" s="166">
        <v>-0.41</v>
      </c>
      <c r="L130" s="165">
        <v>806</v>
      </c>
      <c r="M130" s="165">
        <v>676</v>
      </c>
      <c r="N130" s="166">
        <v>-0.16</v>
      </c>
      <c r="O130" s="160">
        <f t="shared" si="4"/>
        <v>0.11575470343242855</v>
      </c>
      <c r="P130" s="160">
        <f t="shared" si="4"/>
        <v>0.14644714038128251</v>
      </c>
    </row>
    <row r="131" spans="2:16" s="8" customFormat="1" ht="14.4" hidden="1" customHeight="1" outlineLevel="1" thickBot="1" x14ac:dyDescent="0.35">
      <c r="B131" s="167" t="s">
        <v>208</v>
      </c>
      <c r="C131" s="168">
        <v>66</v>
      </c>
      <c r="D131" s="168">
        <v>73</v>
      </c>
      <c r="E131" s="169">
        <v>0.11</v>
      </c>
      <c r="F131" s="168">
        <v>571</v>
      </c>
      <c r="G131" s="168">
        <v>406</v>
      </c>
      <c r="H131" s="169">
        <v>-0.28999999999999998</v>
      </c>
      <c r="I131" s="170">
        <v>1083</v>
      </c>
      <c r="J131" s="168">
        <v>447</v>
      </c>
      <c r="K131" s="169">
        <v>-0.59</v>
      </c>
      <c r="L131" s="170">
        <v>1720</v>
      </c>
      <c r="M131" s="168">
        <v>926</v>
      </c>
      <c r="N131" s="169">
        <v>-0.46</v>
      </c>
      <c r="O131" s="160">
        <f t="shared" si="4"/>
        <v>0.24701996265977308</v>
      </c>
      <c r="P131" s="160">
        <f t="shared" si="4"/>
        <v>0.20060658578856153</v>
      </c>
    </row>
    <row r="132" spans="2:16" s="8" customFormat="1" ht="14.4" hidden="1" customHeight="1" outlineLevel="1" thickBot="1" x14ac:dyDescent="0.35">
      <c r="B132" s="164" t="s">
        <v>209</v>
      </c>
      <c r="C132" s="165">
        <v>29</v>
      </c>
      <c r="D132" s="165">
        <v>33</v>
      </c>
      <c r="E132" s="166">
        <v>0.14000000000000001</v>
      </c>
      <c r="F132" s="165">
        <v>477</v>
      </c>
      <c r="G132" s="165">
        <v>378</v>
      </c>
      <c r="H132" s="166">
        <v>-0.21</v>
      </c>
      <c r="I132" s="165">
        <v>160</v>
      </c>
      <c r="J132" s="165">
        <v>56</v>
      </c>
      <c r="K132" s="166">
        <v>-0.65</v>
      </c>
      <c r="L132" s="165">
        <v>666</v>
      </c>
      <c r="M132" s="165">
        <v>467</v>
      </c>
      <c r="N132" s="166">
        <v>-0.3</v>
      </c>
      <c r="O132" s="160">
        <f t="shared" si="4"/>
        <v>9.56484274019819E-2</v>
      </c>
      <c r="P132" s="160">
        <f t="shared" si="4"/>
        <v>0.10116984402079723</v>
      </c>
    </row>
    <row r="133" spans="2:16" s="8" customFormat="1" ht="14.4" hidden="1" customHeight="1" outlineLevel="1" thickBot="1" x14ac:dyDescent="0.35">
      <c r="B133" s="161" t="s">
        <v>210</v>
      </c>
      <c r="C133" s="162">
        <v>8</v>
      </c>
      <c r="D133" s="162">
        <v>22</v>
      </c>
      <c r="E133" s="163">
        <v>1.75</v>
      </c>
      <c r="F133" s="162">
        <v>203</v>
      </c>
      <c r="G133" s="162">
        <v>138</v>
      </c>
      <c r="H133" s="163">
        <v>-0.32</v>
      </c>
      <c r="I133" s="162">
        <v>123</v>
      </c>
      <c r="J133" s="162">
        <v>74</v>
      </c>
      <c r="K133" s="163">
        <v>-0.4</v>
      </c>
      <c r="L133" s="162">
        <v>334</v>
      </c>
      <c r="M133" s="162">
        <v>234</v>
      </c>
      <c r="N133" s="163">
        <v>-0.3</v>
      </c>
      <c r="O133" s="160">
        <f t="shared" si="4"/>
        <v>4.7967829958351284E-2</v>
      </c>
      <c r="P133" s="160">
        <f t="shared" si="4"/>
        <v>5.0693240901213174E-2</v>
      </c>
    </row>
    <row r="134" spans="2:16" s="8" customFormat="1" ht="14.4" hidden="1" customHeight="1" outlineLevel="1" thickBot="1" x14ac:dyDescent="0.35">
      <c r="B134" s="171" t="s">
        <v>211</v>
      </c>
      <c r="C134" s="172">
        <v>5</v>
      </c>
      <c r="D134" s="172">
        <v>4</v>
      </c>
      <c r="E134" s="173">
        <v>-0.2</v>
      </c>
      <c r="F134" s="172">
        <v>156</v>
      </c>
      <c r="G134" s="172">
        <v>138</v>
      </c>
      <c r="H134" s="173">
        <v>-0.12</v>
      </c>
      <c r="I134" s="172">
        <v>48</v>
      </c>
      <c r="J134" s="172">
        <v>28</v>
      </c>
      <c r="K134" s="173">
        <v>-0.42</v>
      </c>
      <c r="L134" s="172">
        <v>209</v>
      </c>
      <c r="M134" s="172">
        <v>170</v>
      </c>
      <c r="N134" s="173">
        <v>-0.19</v>
      </c>
      <c r="O134" s="160">
        <f t="shared" si="4"/>
        <v>3.0015797788309637E-2</v>
      </c>
      <c r="P134" s="160">
        <f t="shared" si="4"/>
        <v>3.6828422876949742E-2</v>
      </c>
    </row>
    <row r="135" spans="2:16" s="8" customFormat="1" ht="14.4" hidden="1" customHeight="1" outlineLevel="1" thickBot="1" x14ac:dyDescent="0.35">
      <c r="B135" s="161" t="s">
        <v>212</v>
      </c>
      <c r="C135" s="162">
        <v>2</v>
      </c>
      <c r="D135" s="162">
        <v>26</v>
      </c>
      <c r="E135" s="163">
        <v>12</v>
      </c>
      <c r="F135" s="162">
        <v>409</v>
      </c>
      <c r="G135" s="162">
        <v>246</v>
      </c>
      <c r="H135" s="163">
        <v>-0.4</v>
      </c>
      <c r="I135" s="162">
        <v>19</v>
      </c>
      <c r="J135" s="162">
        <v>21</v>
      </c>
      <c r="K135" s="163">
        <v>0.11</v>
      </c>
      <c r="L135" s="162">
        <v>430</v>
      </c>
      <c r="M135" s="162">
        <v>293</v>
      </c>
      <c r="N135" s="163">
        <v>-0.32</v>
      </c>
      <c r="O135" s="160">
        <f t="shared" si="4"/>
        <v>6.175499066494327E-2</v>
      </c>
      <c r="P135" s="160">
        <f t="shared" si="4"/>
        <v>6.3474870017331028E-2</v>
      </c>
    </row>
    <row r="136" spans="2:16" s="8" customFormat="1" ht="14.4" hidden="1" customHeight="1" outlineLevel="1" thickBot="1" x14ac:dyDescent="0.35">
      <c r="B136" s="171" t="s">
        <v>213</v>
      </c>
      <c r="C136" s="172">
        <v>4</v>
      </c>
      <c r="D136" s="172">
        <v>5</v>
      </c>
      <c r="E136" s="173">
        <v>0.25</v>
      </c>
      <c r="F136" s="172">
        <v>99</v>
      </c>
      <c r="G136" s="172">
        <v>80</v>
      </c>
      <c r="H136" s="173">
        <v>-0.19</v>
      </c>
      <c r="I136" s="172">
        <v>45</v>
      </c>
      <c r="J136" s="172">
        <v>16</v>
      </c>
      <c r="K136" s="173">
        <v>-0.64</v>
      </c>
      <c r="L136" s="172">
        <v>148</v>
      </c>
      <c r="M136" s="172">
        <v>101</v>
      </c>
      <c r="N136" s="173">
        <v>-0.32</v>
      </c>
      <c r="O136" s="160">
        <f t="shared" si="4"/>
        <v>2.1255206089329313E-2</v>
      </c>
      <c r="P136" s="160">
        <f t="shared" si="4"/>
        <v>2.1880415944540727E-2</v>
      </c>
    </row>
    <row r="137" spans="2:16" s="8" customFormat="1" ht="14.4" hidden="1" customHeight="1" outlineLevel="1" thickBot="1" x14ac:dyDescent="0.35">
      <c r="B137" s="161" t="s">
        <v>214</v>
      </c>
      <c r="C137" s="162">
        <v>43</v>
      </c>
      <c r="D137" s="162">
        <v>47</v>
      </c>
      <c r="E137" s="163">
        <v>0.09</v>
      </c>
      <c r="F137" s="162">
        <v>107</v>
      </c>
      <c r="G137" s="162">
        <v>49</v>
      </c>
      <c r="H137" s="163">
        <v>-0.54</v>
      </c>
      <c r="I137" s="162">
        <v>38</v>
      </c>
      <c r="J137" s="162">
        <v>5</v>
      </c>
      <c r="K137" s="163">
        <v>-0.87</v>
      </c>
      <c r="L137" s="162">
        <v>188</v>
      </c>
      <c r="M137" s="162">
        <v>101</v>
      </c>
      <c r="N137" s="163">
        <v>-0.46</v>
      </c>
      <c r="O137" s="160">
        <f t="shared" si="4"/>
        <v>2.6999856383742641E-2</v>
      </c>
      <c r="P137" s="160">
        <f t="shared" si="4"/>
        <v>2.1880415944540727E-2</v>
      </c>
    </row>
    <row r="138" spans="2:16" s="8" customFormat="1" ht="14.4" hidden="1" customHeight="1" outlineLevel="1" thickBot="1" x14ac:dyDescent="0.35">
      <c r="B138" s="164" t="s">
        <v>215</v>
      </c>
      <c r="C138" s="174"/>
      <c r="D138" s="174"/>
      <c r="E138" s="172"/>
      <c r="F138" s="165">
        <v>20</v>
      </c>
      <c r="G138" s="165">
        <v>23</v>
      </c>
      <c r="H138" s="166">
        <v>0.15</v>
      </c>
      <c r="I138" s="165">
        <v>17</v>
      </c>
      <c r="J138" s="165">
        <v>7</v>
      </c>
      <c r="K138" s="166">
        <v>-0.59</v>
      </c>
      <c r="L138" s="165">
        <v>37</v>
      </c>
      <c r="M138" s="165">
        <v>30</v>
      </c>
      <c r="N138" s="166">
        <v>-0.19</v>
      </c>
      <c r="O138" s="160">
        <f t="shared" si="4"/>
        <v>5.3138015223323284E-3</v>
      </c>
      <c r="P138" s="160">
        <f t="shared" si="4"/>
        <v>6.4991334488734833E-3</v>
      </c>
    </row>
    <row r="139" spans="2:16" s="8" customFormat="1" ht="14.4" hidden="1" customHeight="1" outlineLevel="1" thickBot="1" x14ac:dyDescent="0.35">
      <c r="B139" s="161" t="s">
        <v>216</v>
      </c>
      <c r="C139" s="162">
        <v>5</v>
      </c>
      <c r="D139" s="162">
        <v>9</v>
      </c>
      <c r="E139" s="163">
        <v>0.8</v>
      </c>
      <c r="F139" s="162">
        <v>65</v>
      </c>
      <c r="G139" s="162">
        <v>34</v>
      </c>
      <c r="H139" s="163">
        <v>-0.48</v>
      </c>
      <c r="I139" s="162">
        <v>334</v>
      </c>
      <c r="J139" s="162">
        <v>115</v>
      </c>
      <c r="K139" s="163">
        <v>-0.66</v>
      </c>
      <c r="L139" s="162">
        <v>404</v>
      </c>
      <c r="M139" s="162">
        <v>158</v>
      </c>
      <c r="N139" s="163">
        <v>-0.61</v>
      </c>
      <c r="O139" s="160">
        <f t="shared" si="4"/>
        <v>5.8020967973574609E-2</v>
      </c>
      <c r="P139" s="160">
        <f t="shared" si="4"/>
        <v>3.4228769497400349E-2</v>
      </c>
    </row>
    <row r="140" spans="2:16" s="8" customFormat="1" ht="14.4" hidden="1" customHeight="1" outlineLevel="1" x14ac:dyDescent="0.3"/>
    <row r="141" spans="2:16" s="8" customFormat="1" ht="14.4" hidden="1" customHeight="1" outlineLevel="1" x14ac:dyDescent="0.3"/>
    <row r="142" spans="2:16" s="8" customFormat="1" ht="14.4" hidden="1" customHeight="1" outlineLevel="1" x14ac:dyDescent="0.3"/>
    <row r="143" spans="2:16" s="8" customFormat="1" ht="14.4" hidden="1" customHeight="1" outlineLevel="1" x14ac:dyDescent="0.3"/>
    <row r="144" spans="2:16" s="8" customFormat="1" ht="14.4" hidden="1" customHeight="1" outlineLevel="1" x14ac:dyDescent="0.3"/>
    <row r="145" spans="2:16" s="8" customFormat="1" ht="14.4" hidden="1" customHeight="1" outlineLevel="1" x14ac:dyDescent="0.3"/>
    <row r="146" spans="2:16" s="8" customFormat="1" ht="14.4" hidden="1" customHeight="1" outlineLevel="1" thickBot="1" x14ac:dyDescent="0.35"/>
    <row r="147" spans="2:16" s="8" customFormat="1" ht="14.4" hidden="1" customHeight="1" outlineLevel="1" x14ac:dyDescent="0.3">
      <c r="B147" s="301" t="s">
        <v>189</v>
      </c>
      <c r="C147" s="301" t="s">
        <v>190</v>
      </c>
      <c r="D147" s="301" t="s">
        <v>191</v>
      </c>
      <c r="E147" s="301" t="s">
        <v>192</v>
      </c>
      <c r="F147" s="301" t="s">
        <v>193</v>
      </c>
      <c r="G147" s="301" t="s">
        <v>194</v>
      </c>
      <c r="H147" s="301" t="s">
        <v>195</v>
      </c>
      <c r="I147" s="301" t="s">
        <v>196</v>
      </c>
      <c r="J147" s="301" t="s">
        <v>197</v>
      </c>
      <c r="K147" s="301" t="s">
        <v>198</v>
      </c>
      <c r="L147" s="301" t="s">
        <v>199</v>
      </c>
      <c r="M147" s="301" t="s">
        <v>200</v>
      </c>
      <c r="N147" s="150" t="s">
        <v>201</v>
      </c>
      <c r="O147" s="303" t="s">
        <v>202</v>
      </c>
      <c r="P147" s="304"/>
    </row>
    <row r="148" spans="2:16" s="8" customFormat="1" ht="14.4" hidden="1" customHeight="1" outlineLevel="1" thickBot="1" x14ac:dyDescent="0.35">
      <c r="B148" s="302"/>
      <c r="C148" s="302"/>
      <c r="D148" s="302"/>
      <c r="E148" s="302"/>
      <c r="F148" s="302"/>
      <c r="G148" s="302"/>
      <c r="H148" s="302"/>
      <c r="I148" s="302"/>
      <c r="J148" s="302"/>
      <c r="K148" s="302"/>
      <c r="L148" s="302"/>
      <c r="M148" s="302"/>
      <c r="N148" s="151" t="s">
        <v>203</v>
      </c>
      <c r="O148" s="8">
        <v>2019</v>
      </c>
      <c r="P148" s="8">
        <v>2020</v>
      </c>
    </row>
    <row r="149" spans="2:16" s="8" customFormat="1" ht="14.4" hidden="1" customHeight="1" outlineLevel="1" thickTop="1" thickBot="1" x14ac:dyDescent="0.35">
      <c r="B149" s="152" t="s">
        <v>217</v>
      </c>
      <c r="C149" s="153">
        <v>2354</v>
      </c>
      <c r="D149" s="154">
        <v>936</v>
      </c>
      <c r="E149" s="155">
        <v>-0.6</v>
      </c>
      <c r="F149" s="153">
        <v>13767</v>
      </c>
      <c r="G149" s="153">
        <v>1656</v>
      </c>
      <c r="H149" s="155">
        <v>-0.88</v>
      </c>
      <c r="I149" s="153">
        <v>62400</v>
      </c>
      <c r="J149" s="153">
        <v>2663</v>
      </c>
      <c r="K149" s="155">
        <v>-0.96</v>
      </c>
      <c r="L149" s="153">
        <v>78521</v>
      </c>
      <c r="M149" s="153">
        <v>5255</v>
      </c>
      <c r="N149" s="155">
        <v>-0.93</v>
      </c>
    </row>
    <row r="150" spans="2:16" s="8" customFormat="1" ht="14.4" hidden="1" customHeight="1" outlineLevel="1" thickBot="1" x14ac:dyDescent="0.35">
      <c r="B150" s="167" t="s">
        <v>218</v>
      </c>
      <c r="C150" s="175">
        <v>299</v>
      </c>
      <c r="D150" s="175">
        <v>190</v>
      </c>
      <c r="E150" s="176">
        <v>-0.36</v>
      </c>
      <c r="F150" s="177">
        <v>2122</v>
      </c>
      <c r="G150" s="175">
        <v>208</v>
      </c>
      <c r="H150" s="176">
        <v>-0.9</v>
      </c>
      <c r="I150" s="177">
        <v>21337</v>
      </c>
      <c r="J150" s="175">
        <v>492</v>
      </c>
      <c r="K150" s="176">
        <v>-0.98</v>
      </c>
      <c r="L150" s="177">
        <v>23758</v>
      </c>
      <c r="M150" s="175">
        <v>890</v>
      </c>
      <c r="N150" s="176">
        <v>-0.96</v>
      </c>
      <c r="O150" s="160">
        <f t="shared" ref="O150:P160" si="5">L150/L$149</f>
        <v>0.30256873957285313</v>
      </c>
      <c r="P150" s="160">
        <f t="shared" si="5"/>
        <v>0.16936251189343482</v>
      </c>
    </row>
    <row r="151" spans="2:16" s="8" customFormat="1" ht="14.4" hidden="1" customHeight="1" outlineLevel="1" thickBot="1" x14ac:dyDescent="0.35">
      <c r="B151" s="164" t="s">
        <v>219</v>
      </c>
      <c r="C151" s="178">
        <v>277</v>
      </c>
      <c r="D151" s="178">
        <v>110</v>
      </c>
      <c r="E151" s="179">
        <v>-0.6</v>
      </c>
      <c r="F151" s="180">
        <v>3023</v>
      </c>
      <c r="G151" s="178">
        <v>332</v>
      </c>
      <c r="H151" s="179">
        <v>-0.89</v>
      </c>
      <c r="I151" s="180">
        <v>8398</v>
      </c>
      <c r="J151" s="178">
        <v>453</v>
      </c>
      <c r="K151" s="179">
        <v>-0.95</v>
      </c>
      <c r="L151" s="180">
        <v>11698</v>
      </c>
      <c r="M151" s="178">
        <v>895</v>
      </c>
      <c r="N151" s="179">
        <v>-0.92</v>
      </c>
      <c r="O151" s="160">
        <f t="shared" si="5"/>
        <v>0.14897925395754003</v>
      </c>
      <c r="P151" s="160">
        <f t="shared" si="5"/>
        <v>0.17031398667935299</v>
      </c>
    </row>
    <row r="152" spans="2:16" s="8" customFormat="1" ht="14.4" hidden="1" customHeight="1" outlineLevel="1" thickBot="1" x14ac:dyDescent="0.35">
      <c r="B152" s="161" t="s">
        <v>220</v>
      </c>
      <c r="C152" s="181">
        <v>266</v>
      </c>
      <c r="D152" s="181">
        <v>72</v>
      </c>
      <c r="E152" s="182">
        <v>-0.73</v>
      </c>
      <c r="F152" s="183">
        <v>1749</v>
      </c>
      <c r="G152" s="181">
        <v>191</v>
      </c>
      <c r="H152" s="182">
        <v>-0.89</v>
      </c>
      <c r="I152" s="183">
        <v>6435</v>
      </c>
      <c r="J152" s="181">
        <v>315</v>
      </c>
      <c r="K152" s="182">
        <v>-0.95</v>
      </c>
      <c r="L152" s="183">
        <v>8450</v>
      </c>
      <c r="M152" s="181">
        <v>578</v>
      </c>
      <c r="N152" s="182">
        <v>-0.93</v>
      </c>
      <c r="O152" s="160">
        <f t="shared" si="5"/>
        <v>0.10761452350326664</v>
      </c>
      <c r="P152" s="160">
        <f t="shared" si="5"/>
        <v>0.10999048525214082</v>
      </c>
    </row>
    <row r="153" spans="2:16" s="8" customFormat="1" ht="14.4" hidden="1" customHeight="1" outlineLevel="1" thickBot="1" x14ac:dyDescent="0.35">
      <c r="B153" s="171" t="s">
        <v>221</v>
      </c>
      <c r="C153" s="184">
        <v>592</v>
      </c>
      <c r="D153" s="184">
        <v>139</v>
      </c>
      <c r="E153" s="185">
        <v>-0.77</v>
      </c>
      <c r="F153" s="186">
        <v>2989</v>
      </c>
      <c r="G153" s="184">
        <v>191</v>
      </c>
      <c r="H153" s="185">
        <v>-0.94</v>
      </c>
      <c r="I153" s="186">
        <v>12667</v>
      </c>
      <c r="J153" s="184">
        <v>445</v>
      </c>
      <c r="K153" s="185">
        <v>-0.96</v>
      </c>
      <c r="L153" s="186">
        <v>16248</v>
      </c>
      <c r="M153" s="184">
        <v>775</v>
      </c>
      <c r="N153" s="185">
        <v>-0.95</v>
      </c>
      <c r="O153" s="160">
        <f t="shared" si="5"/>
        <v>0.20692553584391438</v>
      </c>
      <c r="P153" s="160">
        <f t="shared" si="5"/>
        <v>0.14747859181731685</v>
      </c>
    </row>
    <row r="154" spans="2:16" s="8" customFormat="1" ht="14.4" hidden="1" customHeight="1" outlineLevel="1" thickBot="1" x14ac:dyDescent="0.35">
      <c r="B154" s="167" t="s">
        <v>222</v>
      </c>
      <c r="C154" s="175">
        <v>116</v>
      </c>
      <c r="D154" s="175">
        <v>65</v>
      </c>
      <c r="E154" s="176">
        <v>-0.44</v>
      </c>
      <c r="F154" s="175">
        <v>349</v>
      </c>
      <c r="G154" s="175">
        <v>79</v>
      </c>
      <c r="H154" s="176">
        <v>-0.77</v>
      </c>
      <c r="I154" s="175">
        <v>585</v>
      </c>
      <c r="J154" s="175">
        <v>69</v>
      </c>
      <c r="K154" s="176">
        <v>-0.88</v>
      </c>
      <c r="L154" s="177">
        <v>1050</v>
      </c>
      <c r="M154" s="175">
        <v>213</v>
      </c>
      <c r="N154" s="176">
        <v>-0.8</v>
      </c>
      <c r="O154" s="160">
        <f t="shared" si="5"/>
        <v>1.3372218896855618E-2</v>
      </c>
      <c r="P154" s="160">
        <f t="shared" si="5"/>
        <v>4.0532825880114177E-2</v>
      </c>
    </row>
    <row r="155" spans="2:16" s="8" customFormat="1" ht="14.4" hidden="1" customHeight="1" outlineLevel="1" thickBot="1" x14ac:dyDescent="0.35">
      <c r="B155" s="171" t="s">
        <v>223</v>
      </c>
      <c r="C155" s="184">
        <v>12</v>
      </c>
      <c r="D155" s="184">
        <v>3</v>
      </c>
      <c r="E155" s="185">
        <v>-0.75</v>
      </c>
      <c r="F155" s="184">
        <v>356</v>
      </c>
      <c r="G155" s="184">
        <v>1</v>
      </c>
      <c r="H155" s="185">
        <v>-1</v>
      </c>
      <c r="I155" s="186">
        <v>1020</v>
      </c>
      <c r="J155" s="184">
        <v>17</v>
      </c>
      <c r="K155" s="185">
        <v>-0.98</v>
      </c>
      <c r="L155" s="186">
        <v>1388</v>
      </c>
      <c r="M155" s="184">
        <v>21</v>
      </c>
      <c r="N155" s="185">
        <v>-0.98</v>
      </c>
      <c r="O155" s="160">
        <f t="shared" si="5"/>
        <v>1.7676799836986282E-2</v>
      </c>
      <c r="P155" s="160">
        <f t="shared" si="5"/>
        <v>3.9961941008563274E-3</v>
      </c>
    </row>
    <row r="156" spans="2:16" s="8" customFormat="1" ht="14.4" hidden="1" customHeight="1" outlineLevel="1" thickBot="1" x14ac:dyDescent="0.35">
      <c r="B156" s="161" t="s">
        <v>224</v>
      </c>
      <c r="C156" s="181">
        <v>86</v>
      </c>
      <c r="D156" s="181">
        <v>24</v>
      </c>
      <c r="E156" s="182">
        <v>-0.72</v>
      </c>
      <c r="F156" s="181">
        <v>362</v>
      </c>
      <c r="G156" s="181">
        <v>28</v>
      </c>
      <c r="H156" s="182">
        <v>-0.92</v>
      </c>
      <c r="I156" s="183">
        <v>3479</v>
      </c>
      <c r="J156" s="181">
        <v>109</v>
      </c>
      <c r="K156" s="182">
        <v>-0.97</v>
      </c>
      <c r="L156" s="183">
        <v>3927</v>
      </c>
      <c r="M156" s="181">
        <v>161</v>
      </c>
      <c r="N156" s="182">
        <v>-0.96</v>
      </c>
      <c r="O156" s="160">
        <f t="shared" si="5"/>
        <v>5.0012098674240009E-2</v>
      </c>
      <c r="P156" s="160">
        <f t="shared" si="5"/>
        <v>3.0637488106565178E-2</v>
      </c>
    </row>
    <row r="157" spans="2:16" s="8" customFormat="1" ht="14.4" hidden="1" customHeight="1" outlineLevel="1" thickBot="1" x14ac:dyDescent="0.35">
      <c r="B157" s="171" t="s">
        <v>225</v>
      </c>
      <c r="C157" s="184">
        <v>194</v>
      </c>
      <c r="D157" s="184">
        <v>44</v>
      </c>
      <c r="E157" s="185">
        <v>-0.77</v>
      </c>
      <c r="F157" s="184">
        <v>614</v>
      </c>
      <c r="G157" s="184">
        <v>87</v>
      </c>
      <c r="H157" s="185">
        <v>-0.86</v>
      </c>
      <c r="I157" s="186">
        <v>3097</v>
      </c>
      <c r="J157" s="184">
        <v>108</v>
      </c>
      <c r="K157" s="185">
        <v>-0.97</v>
      </c>
      <c r="L157" s="186">
        <v>3905</v>
      </c>
      <c r="M157" s="184">
        <v>239</v>
      </c>
      <c r="N157" s="185">
        <v>-0.94</v>
      </c>
      <c r="O157" s="160">
        <f t="shared" si="5"/>
        <v>4.9731918849734463E-2</v>
      </c>
      <c r="P157" s="160">
        <f t="shared" si="5"/>
        <v>4.5480494766888681E-2</v>
      </c>
    </row>
    <row r="158" spans="2:16" s="8" customFormat="1" ht="14.4" hidden="1" customHeight="1" outlineLevel="1" thickBot="1" x14ac:dyDescent="0.35">
      <c r="B158" s="161" t="s">
        <v>226</v>
      </c>
      <c r="C158" s="181">
        <v>10</v>
      </c>
      <c r="D158" s="181">
        <v>15</v>
      </c>
      <c r="E158" s="182">
        <v>0.5</v>
      </c>
      <c r="F158" s="181">
        <v>135</v>
      </c>
      <c r="G158" s="181">
        <v>24</v>
      </c>
      <c r="H158" s="182">
        <v>-0.82</v>
      </c>
      <c r="I158" s="181">
        <v>132</v>
      </c>
      <c r="J158" s="181">
        <v>8</v>
      </c>
      <c r="K158" s="182">
        <v>-0.94</v>
      </c>
      <c r="L158" s="181">
        <v>277</v>
      </c>
      <c r="M158" s="181">
        <v>47</v>
      </c>
      <c r="N158" s="182">
        <v>-0.83</v>
      </c>
      <c r="O158" s="160">
        <f t="shared" si="5"/>
        <v>3.5277186994561965E-3</v>
      </c>
      <c r="P158" s="160">
        <f t="shared" si="5"/>
        <v>8.9438629876308282E-3</v>
      </c>
    </row>
    <row r="159" spans="2:16" s="8" customFormat="1" ht="14.4" hidden="1" customHeight="1" outlineLevel="1" thickBot="1" x14ac:dyDescent="0.35">
      <c r="B159" s="164" t="s">
        <v>227</v>
      </c>
      <c r="C159" s="178">
        <v>276</v>
      </c>
      <c r="D159" s="178">
        <v>132</v>
      </c>
      <c r="E159" s="179">
        <v>-0.52</v>
      </c>
      <c r="F159" s="180">
        <v>1360</v>
      </c>
      <c r="G159" s="178">
        <v>320</v>
      </c>
      <c r="H159" s="179">
        <v>-0.76</v>
      </c>
      <c r="I159" s="180">
        <v>4537</v>
      </c>
      <c r="J159" s="178">
        <v>528</v>
      </c>
      <c r="K159" s="179">
        <v>-0.88</v>
      </c>
      <c r="L159" s="180">
        <v>6173</v>
      </c>
      <c r="M159" s="178">
        <v>980</v>
      </c>
      <c r="N159" s="179">
        <v>-0.84</v>
      </c>
      <c r="O159" s="160">
        <f t="shared" si="5"/>
        <v>7.8615911666942595E-2</v>
      </c>
      <c r="P159" s="160">
        <f t="shared" si="5"/>
        <v>0.18648905803996194</v>
      </c>
    </row>
    <row r="160" spans="2:16" s="8" customFormat="1" ht="14.4" hidden="1" customHeight="1" outlineLevel="1" thickBot="1" x14ac:dyDescent="0.35">
      <c r="B160" s="167" t="s">
        <v>228</v>
      </c>
      <c r="C160" s="175">
        <v>226</v>
      </c>
      <c r="D160" s="175">
        <v>142</v>
      </c>
      <c r="E160" s="176">
        <v>-0.37</v>
      </c>
      <c r="F160" s="175">
        <v>708</v>
      </c>
      <c r="G160" s="175">
        <v>195</v>
      </c>
      <c r="H160" s="176">
        <v>-0.72</v>
      </c>
      <c r="I160" s="175">
        <v>713</v>
      </c>
      <c r="J160" s="175">
        <v>119</v>
      </c>
      <c r="K160" s="176">
        <v>-0.83</v>
      </c>
      <c r="L160" s="177">
        <v>1647</v>
      </c>
      <c r="M160" s="175">
        <v>456</v>
      </c>
      <c r="N160" s="176">
        <v>-0.72</v>
      </c>
      <c r="O160" s="160">
        <f t="shared" si="5"/>
        <v>2.097528049821067E-2</v>
      </c>
      <c r="P160" s="160">
        <f t="shared" si="5"/>
        <v>8.6774500475737398E-2</v>
      </c>
    </row>
    <row r="161" spans="15:16" s="8" customFormat="1" hidden="1" outlineLevel="1" x14ac:dyDescent="0.3">
      <c r="O161" s="160"/>
      <c r="P161" s="160"/>
    </row>
    <row r="162" spans="15:16" s="8" customFormat="1" hidden="1" outlineLevel="1" x14ac:dyDescent="0.3"/>
    <row r="163" spans="15:16" s="8" customFormat="1" collapsed="1" x14ac:dyDescent="0.3"/>
    <row r="164" spans="15:16" s="8" customFormat="1" x14ac:dyDescent="0.3"/>
    <row r="165" spans="15:16" s="8" customFormat="1" x14ac:dyDescent="0.3"/>
    <row r="166" spans="15:16" s="8" customFormat="1" x14ac:dyDescent="0.3"/>
    <row r="167" spans="15:16" s="8" customFormat="1" x14ac:dyDescent="0.3"/>
    <row r="168" spans="15:16" s="8" customFormat="1" x14ac:dyDescent="0.3"/>
    <row r="169" spans="15:16" s="8" customFormat="1" x14ac:dyDescent="0.3"/>
    <row r="170" spans="15:16" s="8" customFormat="1" x14ac:dyDescent="0.3"/>
    <row r="171" spans="15:16" s="8" customFormat="1" x14ac:dyDescent="0.3"/>
    <row r="172" spans="15:16" s="8" customFormat="1" x14ac:dyDescent="0.3"/>
    <row r="173" spans="15:16" s="8" customFormat="1" x14ac:dyDescent="0.3"/>
    <row r="174" spans="15:16" s="8" customFormat="1" x14ac:dyDescent="0.3"/>
    <row r="175" spans="15:16" s="8" customFormat="1" x14ac:dyDescent="0.3"/>
    <row r="176" spans="15:16" s="8" customFormat="1" x14ac:dyDescent="0.3"/>
    <row r="177" s="8" customFormat="1" x14ac:dyDescent="0.3"/>
    <row r="178" s="8" customFormat="1" x14ac:dyDescent="0.3"/>
    <row r="179" s="8" customFormat="1" x14ac:dyDescent="0.3"/>
    <row r="180" s="8" customFormat="1" x14ac:dyDescent="0.3"/>
    <row r="181" s="8" customFormat="1" x14ac:dyDescent="0.3"/>
    <row r="182" s="8" customFormat="1" x14ac:dyDescent="0.3"/>
    <row r="183" s="8" customFormat="1" x14ac:dyDescent="0.3"/>
    <row r="184" s="8" customFormat="1" x14ac:dyDescent="0.3"/>
    <row r="185" s="8" customFormat="1" x14ac:dyDescent="0.3"/>
    <row r="186" s="8" customFormat="1" x14ac:dyDescent="0.3"/>
    <row r="187" s="8" customFormat="1" x14ac:dyDescent="0.3"/>
    <row r="188" s="8" customFormat="1" x14ac:dyDescent="0.3"/>
    <row r="189" s="8" customFormat="1" x14ac:dyDescent="0.3"/>
    <row r="190" s="8" customFormat="1" x14ac:dyDescent="0.3"/>
    <row r="191" s="8" customFormat="1" x14ac:dyDescent="0.3"/>
    <row r="192" s="8" customFormat="1" x14ac:dyDescent="0.3"/>
    <row r="193" s="8" customFormat="1" x14ac:dyDescent="0.3"/>
    <row r="194" s="8" customFormat="1" x14ac:dyDescent="0.3"/>
    <row r="195" s="8" customFormat="1" x14ac:dyDescent="0.3"/>
    <row r="196" s="8" customFormat="1" x14ac:dyDescent="0.3"/>
    <row r="197" s="8" customFormat="1" x14ac:dyDescent="0.3"/>
    <row r="198" s="8" customFormat="1" x14ac:dyDescent="0.3"/>
    <row r="199" s="8" customFormat="1" x14ac:dyDescent="0.3"/>
    <row r="200" s="8" customFormat="1" x14ac:dyDescent="0.3"/>
    <row r="201" s="8" customFormat="1" x14ac:dyDescent="0.3"/>
    <row r="202" s="8" customFormat="1" x14ac:dyDescent="0.3"/>
    <row r="203" s="8" customFormat="1" x14ac:dyDescent="0.3"/>
    <row r="204" s="8" customFormat="1" x14ac:dyDescent="0.3"/>
    <row r="205" s="8" customFormat="1" x14ac:dyDescent="0.3"/>
    <row r="206" s="8" customFormat="1" x14ac:dyDescent="0.3"/>
    <row r="207" s="8" customFormat="1" x14ac:dyDescent="0.3"/>
    <row r="208" s="8" customFormat="1" x14ac:dyDescent="0.3"/>
    <row r="209" s="8" customFormat="1" x14ac:dyDescent="0.3"/>
    <row r="210" s="8" customFormat="1" x14ac:dyDescent="0.3"/>
    <row r="211" s="8" customFormat="1" x14ac:dyDescent="0.3"/>
    <row r="212" s="8" customFormat="1" x14ac:dyDescent="0.3"/>
    <row r="213" s="8" customFormat="1" x14ac:dyDescent="0.3"/>
    <row r="214" s="8" customFormat="1" x14ac:dyDescent="0.3"/>
    <row r="215" s="8" customFormat="1" x14ac:dyDescent="0.3"/>
    <row r="216" s="8" customFormat="1" x14ac:dyDescent="0.3"/>
    <row r="217" s="8" customFormat="1" x14ac:dyDescent="0.3"/>
    <row r="218" s="8" customFormat="1" x14ac:dyDescent="0.3"/>
    <row r="219" s="8" customFormat="1" x14ac:dyDescent="0.3"/>
    <row r="220" s="8" customFormat="1" x14ac:dyDescent="0.3"/>
    <row r="221" s="8" customFormat="1" x14ac:dyDescent="0.3"/>
    <row r="222" s="8" customFormat="1" x14ac:dyDescent="0.3"/>
    <row r="223" s="8" customFormat="1" x14ac:dyDescent="0.3"/>
    <row r="224" s="8" customFormat="1" x14ac:dyDescent="0.3"/>
    <row r="225" s="8" customFormat="1" x14ac:dyDescent="0.3"/>
    <row r="226" s="8" customFormat="1" x14ac:dyDescent="0.3"/>
    <row r="227" s="8" customFormat="1" x14ac:dyDescent="0.3"/>
    <row r="228" s="8" customFormat="1" x14ac:dyDescent="0.3"/>
    <row r="229" s="8" customFormat="1" x14ac:dyDescent="0.3"/>
    <row r="230" s="8" customFormat="1" x14ac:dyDescent="0.3"/>
    <row r="231" s="8" customFormat="1" x14ac:dyDescent="0.3"/>
    <row r="232" s="8" customFormat="1" x14ac:dyDescent="0.3"/>
    <row r="233" s="8" customFormat="1" x14ac:dyDescent="0.3"/>
    <row r="234" s="8" customFormat="1" x14ac:dyDescent="0.3"/>
    <row r="235" s="8" customFormat="1" x14ac:dyDescent="0.3"/>
    <row r="236" s="8" customFormat="1" x14ac:dyDescent="0.3"/>
    <row r="237" s="8" customFormat="1" x14ac:dyDescent="0.3"/>
    <row r="238" s="8" customFormat="1" x14ac:dyDescent="0.3"/>
    <row r="239" s="8" customFormat="1" x14ac:dyDescent="0.3"/>
    <row r="240" s="8" customFormat="1" x14ac:dyDescent="0.3"/>
    <row r="241" s="8" customFormat="1" x14ac:dyDescent="0.3"/>
    <row r="242" s="8" customFormat="1" x14ac:dyDescent="0.3"/>
    <row r="243" s="8" customFormat="1" x14ac:dyDescent="0.3"/>
    <row r="244" s="8" customFormat="1" x14ac:dyDescent="0.3"/>
    <row r="245" s="8" customFormat="1" x14ac:dyDescent="0.3"/>
    <row r="246" s="8" customFormat="1" x14ac:dyDescent="0.3"/>
    <row r="247" s="8" customFormat="1" x14ac:dyDescent="0.3"/>
    <row r="248" s="8" customFormat="1" x14ac:dyDescent="0.3"/>
    <row r="249" s="8" customFormat="1" x14ac:dyDescent="0.3"/>
    <row r="250" s="8" customFormat="1" x14ac:dyDescent="0.3"/>
    <row r="251" s="8" customFormat="1" x14ac:dyDescent="0.3"/>
    <row r="252" s="8" customFormat="1" x14ac:dyDescent="0.3"/>
    <row r="253" s="8" customFormat="1" x14ac:dyDescent="0.3"/>
    <row r="254" s="8" customFormat="1" x14ac:dyDescent="0.3"/>
    <row r="255" s="8" customFormat="1" x14ac:dyDescent="0.3"/>
    <row r="256" s="8" customFormat="1" x14ac:dyDescent="0.3"/>
    <row r="257" s="8" customFormat="1" x14ac:dyDescent="0.3"/>
    <row r="258" s="8" customFormat="1" x14ac:dyDescent="0.3"/>
    <row r="259" s="8" customFormat="1" x14ac:dyDescent="0.3"/>
    <row r="260" s="8" customFormat="1" x14ac:dyDescent="0.3"/>
    <row r="261" s="8" customFormat="1" x14ac:dyDescent="0.3"/>
    <row r="262" s="8" customFormat="1" x14ac:dyDescent="0.3"/>
    <row r="263" s="8" customFormat="1" x14ac:dyDescent="0.3"/>
    <row r="264" s="8" customFormat="1" x14ac:dyDescent="0.3"/>
    <row r="265" s="8" customFormat="1" x14ac:dyDescent="0.3"/>
    <row r="266" s="8" customFormat="1" x14ac:dyDescent="0.3"/>
    <row r="267" s="8" customFormat="1" x14ac:dyDescent="0.3"/>
    <row r="268" s="8" customFormat="1" x14ac:dyDescent="0.3"/>
    <row r="269" s="8" customFormat="1" x14ac:dyDescent="0.3"/>
    <row r="270" s="8" customFormat="1" x14ac:dyDescent="0.3"/>
    <row r="271" s="8" customFormat="1" x14ac:dyDescent="0.3"/>
    <row r="272" s="8" customFormat="1" x14ac:dyDescent="0.3"/>
    <row r="273" s="8" customFormat="1" x14ac:dyDescent="0.3"/>
    <row r="274" s="8" customFormat="1" x14ac:dyDescent="0.3"/>
    <row r="275" s="8" customFormat="1" x14ac:dyDescent="0.3"/>
    <row r="276" s="8" customFormat="1" x14ac:dyDescent="0.3"/>
    <row r="277" s="8" customFormat="1" x14ac:dyDescent="0.3"/>
    <row r="278" s="8" customFormat="1" x14ac:dyDescent="0.3"/>
    <row r="279" s="8" customFormat="1" x14ac:dyDescent="0.3"/>
    <row r="280" s="8" customFormat="1" x14ac:dyDescent="0.3"/>
    <row r="281" s="8" customFormat="1" x14ac:dyDescent="0.3"/>
    <row r="282" s="8" customFormat="1" x14ac:dyDescent="0.3"/>
    <row r="283" s="8" customFormat="1" x14ac:dyDescent="0.3"/>
    <row r="284" s="8" customFormat="1" x14ac:dyDescent="0.3"/>
    <row r="285" s="8" customFormat="1" x14ac:dyDescent="0.3"/>
    <row r="286" s="8" customFormat="1" x14ac:dyDescent="0.3"/>
    <row r="287" s="8" customFormat="1" x14ac:dyDescent="0.3"/>
    <row r="288" s="8" customFormat="1" x14ac:dyDescent="0.3"/>
    <row r="289" s="8" customFormat="1" x14ac:dyDescent="0.3"/>
    <row r="290" s="8" customFormat="1" x14ac:dyDescent="0.3"/>
    <row r="291" s="8" customFormat="1" x14ac:dyDescent="0.3"/>
    <row r="292" s="8" customFormat="1" x14ac:dyDescent="0.3"/>
    <row r="293" s="8" customFormat="1" x14ac:dyDescent="0.3"/>
    <row r="294" s="8" customFormat="1" x14ac:dyDescent="0.3"/>
    <row r="295" s="8" customFormat="1" x14ac:dyDescent="0.3"/>
    <row r="296" s="8" customFormat="1" x14ac:dyDescent="0.3"/>
    <row r="297" s="8" customFormat="1" x14ac:dyDescent="0.3"/>
    <row r="298" s="8" customFormat="1" x14ac:dyDescent="0.3"/>
    <row r="299" s="8" customFormat="1" x14ac:dyDescent="0.3"/>
    <row r="300" s="8" customFormat="1" x14ac:dyDescent="0.3"/>
    <row r="301" s="8" customFormat="1" x14ac:dyDescent="0.3"/>
    <row r="302" s="8" customFormat="1" x14ac:dyDescent="0.3"/>
    <row r="303" s="8" customFormat="1" x14ac:dyDescent="0.3"/>
    <row r="304" s="8" customFormat="1" x14ac:dyDescent="0.3"/>
    <row r="305" s="8" customFormat="1" x14ac:dyDescent="0.3"/>
    <row r="306" s="8" customFormat="1" x14ac:dyDescent="0.3"/>
    <row r="307" s="8" customFormat="1" x14ac:dyDescent="0.3"/>
    <row r="308" s="8" customFormat="1" x14ac:dyDescent="0.3"/>
    <row r="309" s="8" customFormat="1" x14ac:dyDescent="0.3"/>
    <row r="310" s="8" customFormat="1" x14ac:dyDescent="0.3"/>
    <row r="311" s="8" customFormat="1" x14ac:dyDescent="0.3"/>
    <row r="312" s="8" customFormat="1" x14ac:dyDescent="0.3"/>
    <row r="313" s="8" customFormat="1" x14ac:dyDescent="0.3"/>
    <row r="314" s="8" customFormat="1" x14ac:dyDescent="0.3"/>
    <row r="315" s="8" customFormat="1" x14ac:dyDescent="0.3"/>
    <row r="316" s="8" customFormat="1" x14ac:dyDescent="0.3"/>
    <row r="317" s="8" customFormat="1" x14ac:dyDescent="0.3"/>
    <row r="318" s="8" customFormat="1" x14ac:dyDescent="0.3"/>
    <row r="319" s="8" customFormat="1" x14ac:dyDescent="0.3"/>
    <row r="320" s="8" customFormat="1" x14ac:dyDescent="0.3"/>
    <row r="321" s="8" customFormat="1" x14ac:dyDescent="0.3"/>
    <row r="322" s="8" customFormat="1" x14ac:dyDescent="0.3"/>
    <row r="323" s="8" customFormat="1" x14ac:dyDescent="0.3"/>
    <row r="324" s="8" customFormat="1" x14ac:dyDescent="0.3"/>
    <row r="325" s="8" customFormat="1" x14ac:dyDescent="0.3"/>
    <row r="326" s="8" customFormat="1" x14ac:dyDescent="0.3"/>
    <row r="327" s="8" customFormat="1" x14ac:dyDescent="0.3"/>
    <row r="328" s="8" customFormat="1" x14ac:dyDescent="0.3"/>
    <row r="329" s="8" customFormat="1" x14ac:dyDescent="0.3"/>
    <row r="330" s="8" customFormat="1" x14ac:dyDescent="0.3"/>
    <row r="331" s="8" customFormat="1" x14ac:dyDescent="0.3"/>
    <row r="332" s="8" customFormat="1" x14ac:dyDescent="0.3"/>
    <row r="333" s="8" customFormat="1" x14ac:dyDescent="0.3"/>
    <row r="334" s="8" customFormat="1" x14ac:dyDescent="0.3"/>
    <row r="335" s="8" customFormat="1" x14ac:dyDescent="0.3"/>
    <row r="336" s="8" customFormat="1" x14ac:dyDescent="0.3"/>
    <row r="337" s="8" customFormat="1" x14ac:dyDescent="0.3"/>
    <row r="338" s="8" customFormat="1" x14ac:dyDescent="0.3"/>
    <row r="339" s="8" customFormat="1" x14ac:dyDescent="0.3"/>
    <row r="340" s="8" customFormat="1" x14ac:dyDescent="0.3"/>
    <row r="341" s="8" customFormat="1" x14ac:dyDescent="0.3"/>
    <row r="342" s="8" customFormat="1" x14ac:dyDescent="0.3"/>
    <row r="343" s="8" customFormat="1" x14ac:dyDescent="0.3"/>
    <row r="344" s="8" customFormat="1" x14ac:dyDescent="0.3"/>
    <row r="345" s="8" customFormat="1" x14ac:dyDescent="0.3"/>
    <row r="346" s="8" customFormat="1" x14ac:dyDescent="0.3"/>
    <row r="347" s="8" customFormat="1" x14ac:dyDescent="0.3"/>
    <row r="348" s="8" customFormat="1" x14ac:dyDescent="0.3"/>
    <row r="349" s="8" customFormat="1" x14ac:dyDescent="0.3"/>
    <row r="350" s="8" customFormat="1" x14ac:dyDescent="0.3"/>
    <row r="351" s="8" customFormat="1" x14ac:dyDescent="0.3"/>
    <row r="352" s="8" customFormat="1" x14ac:dyDescent="0.3"/>
    <row r="353" s="8" customFormat="1" x14ac:dyDescent="0.3"/>
    <row r="354" s="8" customFormat="1" x14ac:dyDescent="0.3"/>
    <row r="355" s="8" customFormat="1" x14ac:dyDescent="0.3"/>
    <row r="356" s="8" customFormat="1" x14ac:dyDescent="0.3"/>
    <row r="357" s="8" customFormat="1" x14ac:dyDescent="0.3"/>
    <row r="358" s="8" customFormat="1" x14ac:dyDescent="0.3"/>
    <row r="359" s="8" customFormat="1" x14ac:dyDescent="0.3"/>
    <row r="360" s="8" customFormat="1" x14ac:dyDescent="0.3"/>
    <row r="361" s="8" customFormat="1" x14ac:dyDescent="0.3"/>
    <row r="362" s="8" customFormat="1" x14ac:dyDescent="0.3"/>
    <row r="363" s="8" customFormat="1" x14ac:dyDescent="0.3"/>
    <row r="364" s="8" customFormat="1" x14ac:dyDescent="0.3"/>
    <row r="365" s="8" customFormat="1" x14ac:dyDescent="0.3"/>
    <row r="366" s="8" customFormat="1" x14ac:dyDescent="0.3"/>
    <row r="367" s="8" customFormat="1" x14ac:dyDescent="0.3"/>
    <row r="368" s="8" customFormat="1" x14ac:dyDescent="0.3"/>
    <row r="369" s="8" customFormat="1" x14ac:dyDescent="0.3"/>
    <row r="370" s="8" customFormat="1" x14ac:dyDescent="0.3"/>
    <row r="371" s="8" customFormat="1" x14ac:dyDescent="0.3"/>
    <row r="372" s="8" customFormat="1" x14ac:dyDescent="0.3"/>
    <row r="373" s="8" customFormat="1" x14ac:dyDescent="0.3"/>
    <row r="374" s="8" customFormat="1" x14ac:dyDescent="0.3"/>
    <row r="375" s="8" customFormat="1" x14ac:dyDescent="0.3"/>
    <row r="376" s="8" customFormat="1" x14ac:dyDescent="0.3"/>
    <row r="377" s="8" customFormat="1" x14ac:dyDescent="0.3"/>
    <row r="378" s="8" customFormat="1" x14ac:dyDescent="0.3"/>
    <row r="379" s="8" customFormat="1" x14ac:dyDescent="0.3"/>
    <row r="380" s="8" customFormat="1" x14ac:dyDescent="0.3"/>
    <row r="381" s="8" customFormat="1" x14ac:dyDescent="0.3"/>
    <row r="382" s="8" customFormat="1" x14ac:dyDescent="0.3"/>
    <row r="383" s="8" customFormat="1" x14ac:dyDescent="0.3"/>
    <row r="384" s="8" customFormat="1" x14ac:dyDescent="0.3"/>
    <row r="385" s="8" customFormat="1" x14ac:dyDescent="0.3"/>
    <row r="386" s="8" customFormat="1" x14ac:dyDescent="0.3"/>
    <row r="387" s="8" customFormat="1" x14ac:dyDescent="0.3"/>
    <row r="388" s="8" customFormat="1" x14ac:dyDescent="0.3"/>
    <row r="389" s="8" customFormat="1" x14ac:dyDescent="0.3"/>
    <row r="390" s="8" customFormat="1" x14ac:dyDescent="0.3"/>
    <row r="391" s="8" customFormat="1" x14ac:dyDescent="0.3"/>
    <row r="392" s="8" customFormat="1" x14ac:dyDescent="0.3"/>
    <row r="393" s="8" customFormat="1" x14ac:dyDescent="0.3"/>
    <row r="394" s="8" customFormat="1" x14ac:dyDescent="0.3"/>
    <row r="395" s="8" customFormat="1" x14ac:dyDescent="0.3"/>
    <row r="396" s="8" customFormat="1" x14ac:dyDescent="0.3"/>
    <row r="397" s="8" customFormat="1" x14ac:dyDescent="0.3"/>
    <row r="398" s="8" customFormat="1" x14ac:dyDescent="0.3"/>
    <row r="399" s="8" customFormat="1" x14ac:dyDescent="0.3"/>
    <row r="400" s="8" customFormat="1" x14ac:dyDescent="0.3"/>
    <row r="401" s="8" customFormat="1" x14ac:dyDescent="0.3"/>
    <row r="402" s="8" customFormat="1" x14ac:dyDescent="0.3"/>
    <row r="403" s="8" customFormat="1" x14ac:dyDescent="0.3"/>
    <row r="404" s="8" customFormat="1" x14ac:dyDescent="0.3"/>
    <row r="405" s="8" customFormat="1" x14ac:dyDescent="0.3"/>
    <row r="406" s="8" customFormat="1" x14ac:dyDescent="0.3"/>
    <row r="407" s="8" customFormat="1" x14ac:dyDescent="0.3"/>
    <row r="408" s="8" customFormat="1" x14ac:dyDescent="0.3"/>
    <row r="409" s="8" customFormat="1" x14ac:dyDescent="0.3"/>
    <row r="410" s="8" customFormat="1" x14ac:dyDescent="0.3"/>
    <row r="411" s="8" customFormat="1" x14ac:dyDescent="0.3"/>
    <row r="412" s="8" customFormat="1" x14ac:dyDescent="0.3"/>
    <row r="413" s="8" customFormat="1" x14ac:dyDescent="0.3"/>
    <row r="414" s="8" customFormat="1" x14ac:dyDescent="0.3"/>
    <row r="415" s="8" customFormat="1" x14ac:dyDescent="0.3"/>
    <row r="416" s="8" customFormat="1" x14ac:dyDescent="0.3"/>
  </sheetData>
  <sheetProtection algorithmName="SHA-512" hashValue="KcOcSncpG7JQTVPLRjqGVku7flAx0zKah9AOJPamGg/8AVjV9dpW0xoxK8H/oozLAr2t9ZG+vX+MSRdKBkyESA==" saltValue="m/d0aPUYHpPHzOds94deKA==" spinCount="100000" sheet="1" objects="1" scenarios="1"/>
  <mergeCells count="27">
    <mergeCell ref="G125:G126"/>
    <mergeCell ref="B125:B126"/>
    <mergeCell ref="C125:C126"/>
    <mergeCell ref="D125:D126"/>
    <mergeCell ref="E125:E126"/>
    <mergeCell ref="F125:F126"/>
    <mergeCell ref="I147:I148"/>
    <mergeCell ref="J147:J148"/>
    <mergeCell ref="H125:H126"/>
    <mergeCell ref="I125:I126"/>
    <mergeCell ref="J125:J126"/>
    <mergeCell ref="A2:A3"/>
    <mergeCell ref="K147:K148"/>
    <mergeCell ref="L147:L148"/>
    <mergeCell ref="M147:M148"/>
    <mergeCell ref="O147:P147"/>
    <mergeCell ref="O125:P125"/>
    <mergeCell ref="K125:K126"/>
    <mergeCell ref="L125:L126"/>
    <mergeCell ref="M125:M126"/>
    <mergeCell ref="B147:B148"/>
    <mergeCell ref="C147:C148"/>
    <mergeCell ref="D147:D148"/>
    <mergeCell ref="E147:E148"/>
    <mergeCell ref="F147:F148"/>
    <mergeCell ref="G147:G148"/>
    <mergeCell ref="H147:H148"/>
  </mergeCells>
  <conditionalFormatting sqref="C25:D25 C27:D27">
    <cfRule type="duplicateValues" dxfId="14" priority="7"/>
  </conditionalFormatting>
  <conditionalFormatting sqref="C37:D37">
    <cfRule type="duplicateValues" dxfId="13" priority="6"/>
  </conditionalFormatting>
  <conditionalFormatting sqref="D64">
    <cfRule type="expression" dxfId="12" priority="5">
      <formula>D64&lt;&gt;1</formula>
    </cfRule>
  </conditionalFormatting>
  <conditionalFormatting sqref="D78">
    <cfRule type="expression" dxfId="11" priority="4">
      <formula>D78&lt;&gt;1</formula>
    </cfRule>
  </conditionalFormatting>
  <conditionalFormatting sqref="E64">
    <cfRule type="expression" dxfId="10" priority="3">
      <formula>D64=1</formula>
    </cfRule>
  </conditionalFormatting>
  <conditionalFormatting sqref="E78">
    <cfRule type="expression" dxfId="9" priority="2">
      <formula>D78=1</formula>
    </cfRule>
  </conditionalFormatting>
  <conditionalFormatting sqref="C86:D86">
    <cfRule type="duplicateValues" dxfId="8" priority="1"/>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3"/>
  </sheetPr>
  <dimension ref="A1:S78"/>
  <sheetViews>
    <sheetView showGridLines="0" showRowColHeaders="0" zoomScaleNormal="100" workbookViewId="0">
      <pane ySplit="5" topLeftCell="A6" activePane="bottomLeft" state="frozen"/>
      <selection pane="bottomLeft" activeCell="A9" sqref="A9"/>
    </sheetView>
  </sheetViews>
  <sheetFormatPr defaultColWidth="8.88671875" defaultRowHeight="14.4" outlineLevelRow="1" x14ac:dyDescent="0.3"/>
  <cols>
    <col min="1" max="1" width="8.88671875" style="8" customWidth="1"/>
    <col min="2" max="2" width="42.6640625" style="8" customWidth="1"/>
    <col min="3" max="5" width="15.33203125" style="8" customWidth="1"/>
    <col min="6" max="9" width="8.88671875" style="8"/>
    <col min="10" max="10" width="9.6640625" style="8" customWidth="1"/>
    <col min="11" max="16" width="8.88671875" style="8"/>
    <col min="17" max="18" width="20.6640625" style="8" customWidth="1"/>
    <col min="19" max="19" width="11" style="8" customWidth="1"/>
    <col min="20" max="20" width="10.33203125" style="8" customWidth="1"/>
    <col min="21" max="21" width="8.88671875" style="8"/>
    <col min="22" max="22" width="34.109375" style="8" bestFit="1" customWidth="1"/>
    <col min="23" max="16384" width="8.88671875" style="8"/>
  </cols>
  <sheetData>
    <row r="1" spans="1:15" ht="14.4" customHeight="1" x14ac:dyDescent="0.3"/>
    <row r="2" spans="1:15" ht="14.4" customHeight="1" x14ac:dyDescent="0.35">
      <c r="A2" s="294" t="s">
        <v>340</v>
      </c>
      <c r="B2" s="9" t="str">
        <f>'READ ME'!$C$7</f>
        <v>Backlog Modelling for Surgery in Ontario for Ramp Up Planning (+ PPE Requirements)</v>
      </c>
    </row>
    <row r="3" spans="1:15" ht="14.4" customHeight="1" x14ac:dyDescent="0.3">
      <c r="A3" s="294"/>
      <c r="B3" s="8" t="str">
        <f>'READ ME'!$C$8&amp;", "&amp;'READ ME'!$C$9</f>
        <v>Ontario Health (Cancer Care Ontario), Version 4.0</v>
      </c>
    </row>
    <row r="4" spans="1:15" ht="14.4" customHeight="1" x14ac:dyDescent="0.3"/>
    <row r="5" spans="1:15" s="78" customFormat="1" ht="14.4" customHeight="1" thickBot="1" x14ac:dyDescent="0.35"/>
    <row r="6" spans="1:15" s="42" customFormat="1" ht="14.4" customHeight="1" thickTop="1" x14ac:dyDescent="0.3"/>
    <row r="7" spans="1:15" s="42" customFormat="1" ht="14.4" customHeight="1" x14ac:dyDescent="0.3"/>
    <row r="8" spans="1:15" s="42" customFormat="1" ht="14.4" customHeight="1" x14ac:dyDescent="0.3">
      <c r="C8" s="8" t="s">
        <v>353</v>
      </c>
    </row>
    <row r="9" spans="1:15" s="42" customFormat="1" ht="14.4" customHeight="1" x14ac:dyDescent="0.3"/>
    <row r="10" spans="1:15" s="42" customFormat="1" ht="15" customHeight="1" x14ac:dyDescent="0.3">
      <c r="B10" s="45" t="s">
        <v>356</v>
      </c>
      <c r="D10" s="305" t="s">
        <v>123</v>
      </c>
      <c r="E10" s="305"/>
    </row>
    <row r="11" spans="1:15" x14ac:dyDescent="0.3">
      <c r="B11" s="8" t="s">
        <v>241</v>
      </c>
    </row>
    <row r="12" spans="1:15" x14ac:dyDescent="0.3">
      <c r="B12" s="192" t="s">
        <v>243</v>
      </c>
    </row>
    <row r="13" spans="1:15" x14ac:dyDescent="0.3">
      <c r="B13" s="8" t="s">
        <v>244</v>
      </c>
    </row>
    <row r="14" spans="1:15" x14ac:dyDescent="0.3">
      <c r="B14" s="8" t="s">
        <v>299</v>
      </c>
      <c r="C14" s="228"/>
    </row>
    <row r="15" spans="1:15" x14ac:dyDescent="0.3">
      <c r="B15" s="192" t="s">
        <v>275</v>
      </c>
      <c r="O15" s="121"/>
    </row>
    <row r="16" spans="1:15" x14ac:dyDescent="0.3">
      <c r="O16" s="121"/>
    </row>
    <row r="17" spans="2:15" x14ac:dyDescent="0.3">
      <c r="B17" s="187" t="str">
        <f>'PPE Inputs'!B110</f>
        <v>Cancer</v>
      </c>
      <c r="C17" s="188" t="s">
        <v>127</v>
      </c>
      <c r="D17" s="188" t="s">
        <v>128</v>
      </c>
      <c r="E17" s="188" t="s">
        <v>229</v>
      </c>
      <c r="O17" s="121"/>
    </row>
    <row r="18" spans="2:15" x14ac:dyDescent="0.3">
      <c r="B18" s="8" t="s">
        <v>230</v>
      </c>
      <c r="C18" s="21">
        <f>VLOOKUP($B17,'PPE Inputs'!$B$18:$F$21,IF($D$10='PPE Inputs'!$C$17,2,3),0)*VLOOKUP($B17,'PPE Inputs'!$B$110:$C$113,2,0)</f>
        <v>927.36050384292912</v>
      </c>
      <c r="D18" s="21">
        <f>VLOOKUP($B17,'PPE Inputs'!$B$18:$F$21,IF($D$10='PPE Inputs'!$C$17,2,3),0)*(1-VLOOKUP($B17,'PPE Inputs'!$B$110:$C$113,2,0))</f>
        <v>4224.8067252788414</v>
      </c>
      <c r="E18" s="189">
        <f>SUM(C18:D18)</f>
        <v>5152.167229121771</v>
      </c>
      <c r="O18" s="121"/>
    </row>
    <row r="19" spans="2:15" x14ac:dyDescent="0.3">
      <c r="B19" s="12" t="s">
        <v>231</v>
      </c>
      <c r="E19" s="12"/>
      <c r="O19" s="121"/>
    </row>
    <row r="20" spans="2:15" x14ac:dyDescent="0.3">
      <c r="B20" s="20" t="s">
        <v>139</v>
      </c>
      <c r="C20" s="21">
        <f>C$18*'PPE Inputs'!C38*(1+'PPE Inputs'!$C$115)</f>
        <v>6120.5793253633328</v>
      </c>
      <c r="D20" s="21">
        <f>D$18*'PPE Inputs'!D38*(1+'PPE Inputs'!$C$115)</f>
        <v>13941.862193420176</v>
      </c>
      <c r="E20" s="189">
        <f>SUM(C20:D20)</f>
        <v>20062.441518783511</v>
      </c>
      <c r="O20" s="121"/>
    </row>
    <row r="21" spans="2:15" x14ac:dyDescent="0.3">
      <c r="B21" s="20" t="s">
        <v>141</v>
      </c>
      <c r="C21" s="21">
        <f>C$18*'PPE Inputs'!C39*(1+'PPE Inputs'!$C$115)</f>
        <v>8160.7724338177768</v>
      </c>
      <c r="D21" s="21">
        <f>D$18*'PPE Inputs'!D39*(1+'PPE Inputs'!$C$115)</f>
        <v>51120.161375873984</v>
      </c>
      <c r="E21" s="189">
        <f>SUM(C21:D21)</f>
        <v>59280.933809691764</v>
      </c>
      <c r="O21" s="121"/>
    </row>
    <row r="22" spans="2:15" x14ac:dyDescent="0.3">
      <c r="B22" s="20" t="s">
        <v>143</v>
      </c>
      <c r="C22" s="21">
        <f>C$18*'PPE Inputs'!C40*(1+'PPE Inputs'!$C$115)</f>
        <v>11221.062096499443</v>
      </c>
      <c r="D22" s="21">
        <f>D$18*'PPE Inputs'!D40*(1+'PPE Inputs'!$C$115)</f>
        <v>51120.161375873984</v>
      </c>
      <c r="E22" s="189">
        <f>SUM(C22:D22)</f>
        <v>62341.223472373429</v>
      </c>
      <c r="O22" s="121"/>
    </row>
    <row r="23" spans="2:15" x14ac:dyDescent="0.3">
      <c r="B23" s="20" t="s">
        <v>145</v>
      </c>
      <c r="C23" s="21">
        <f>C$18*'PPE Inputs'!C41*(1+'PPE Inputs'!$C$115)</f>
        <v>6120.5793253633328</v>
      </c>
      <c r="D23" s="21">
        <f>D$18*'PPE Inputs'!D41*(1+'PPE Inputs'!$C$115)</f>
        <v>27883.724386840353</v>
      </c>
      <c r="E23" s="189">
        <f>SUM(C23:D23)</f>
        <v>34004.303712203684</v>
      </c>
      <c r="O23" s="121"/>
    </row>
    <row r="24" spans="2:15" x14ac:dyDescent="0.3">
      <c r="B24" s="20" t="s">
        <v>147</v>
      </c>
      <c r="C24" s="21">
        <f>C$18*'PPE Inputs'!C42*(1+'PPE Inputs'!$C$115)</f>
        <v>18361.737976089997</v>
      </c>
      <c r="D24" s="21">
        <f>D$18*'PPE Inputs'!D42*(1+'PPE Inputs'!$C$115)</f>
        <v>69709.310967100886</v>
      </c>
      <c r="E24" s="189">
        <f>SUM(C24:D24)</f>
        <v>88071.048943190879</v>
      </c>
      <c r="O24" s="121"/>
    </row>
    <row r="25" spans="2:15" x14ac:dyDescent="0.3">
      <c r="O25" s="121"/>
    </row>
    <row r="26" spans="2:15" x14ac:dyDescent="0.3">
      <c r="B26" s="187" t="str">
        <f>'PPE Inputs'!B111</f>
        <v>Benign</v>
      </c>
      <c r="C26" s="188" t="s">
        <v>127</v>
      </c>
      <c r="D26" s="188" t="s">
        <v>128</v>
      </c>
      <c r="E26" s="188" t="s">
        <v>229</v>
      </c>
      <c r="O26" s="121"/>
    </row>
    <row r="27" spans="2:15" x14ac:dyDescent="0.3">
      <c r="B27" s="8" t="s">
        <v>230</v>
      </c>
      <c r="C27" s="21">
        <f>VLOOKUP($B26,'PPE Inputs'!$B$18:$F$21,IF($D$10='PPE Inputs'!$C$17,2,3),0)*VLOOKUP($B26,'PPE Inputs'!$B$110:$C$113,2,0)</f>
        <v>17724.301264094258</v>
      </c>
      <c r="D27" s="21">
        <f>VLOOKUP($B26,'PPE Inputs'!$B$18:$F$21,IF($D$10='PPE Inputs'!$C$17,2,3),0)*(1-VLOOKUP($B26,'PPE Inputs'!$B$110:$C$113,2,0))</f>
        <v>110548.68747370574</v>
      </c>
      <c r="E27" s="189">
        <f>SUM(C27:D27)</f>
        <v>128272.9887378</v>
      </c>
      <c r="O27" s="121"/>
    </row>
    <row r="28" spans="2:15" x14ac:dyDescent="0.3">
      <c r="B28" s="12" t="s">
        <v>231</v>
      </c>
      <c r="E28" s="12"/>
      <c r="O28" s="121"/>
    </row>
    <row r="29" spans="2:15" x14ac:dyDescent="0.3">
      <c r="B29" s="20" t="s">
        <v>139</v>
      </c>
      <c r="C29" s="21">
        <f>$E$27*(VLOOKUP($B$26,'PPE Inputs'!$B$110:$C$112,2,0)*'PPE Inputs'!C38+'PPE Inputs'!$C$82*'PPE Inputs'!C97)*(1+'PPE Inputs'!$C$115)</f>
        <v>120486.21239688146</v>
      </c>
      <c r="D29" s="21">
        <f>$E$27*((1-VLOOKUP($B$26,'PPE Inputs'!$B$110:$C$112,2,0))*'PPE Inputs'!D38+(1-'PPE Inputs'!$C$82)*'PPE Inputs'!D97)*(1+'PPE Inputs'!$C$115)</f>
        <v>364810.66866322898</v>
      </c>
      <c r="E29" s="189">
        <f>SUM(C29:D29)</f>
        <v>485296.88106011041</v>
      </c>
      <c r="O29" s="121"/>
    </row>
    <row r="30" spans="2:15" x14ac:dyDescent="0.3">
      <c r="B30" s="20" t="s">
        <v>141</v>
      </c>
      <c r="C30" s="21">
        <f>$E$27*(VLOOKUP($B$26,'PPE Inputs'!$B$110:$C$112,2,0)*'PPE Inputs'!C39+'PPE Inputs'!$C$82*'PPE Inputs'!C98)*(1+'PPE Inputs'!$C$115)</f>
        <v>161583.16961020441</v>
      </c>
      <c r="D30" s="21">
        <f>$E$27*((1-VLOOKUP($B$26,'PPE Inputs'!$B$110:$C$112,2,0))*'PPE Inputs'!D39+(1-'PPE Inputs'!$C$82)*'PPE Inputs'!D98)*(1+'PPE Inputs'!$C$115)</f>
        <v>3162827.7148423456</v>
      </c>
      <c r="E30" s="189">
        <f>SUM(C30:D30)</f>
        <v>3324410.8844525497</v>
      </c>
      <c r="O30" s="121"/>
    </row>
    <row r="31" spans="2:15" x14ac:dyDescent="0.3">
      <c r="B31" s="20" t="s">
        <v>143</v>
      </c>
      <c r="C31" s="21">
        <f>$E$27*(VLOOKUP($B$26,'PPE Inputs'!$B$110:$C$112,2,0)*'PPE Inputs'!C40+'PPE Inputs'!$C$82*'PPE Inputs'!C99)*(1+'PPE Inputs'!$C$115)</f>
        <v>221475.69340325921</v>
      </c>
      <c r="D31" s="21">
        <f>$E$27*((1-VLOOKUP($B$26,'PPE Inputs'!$B$110:$C$112,2,0))*'PPE Inputs'!D40+(1-'PPE Inputs'!$C$82)*'PPE Inputs'!D99)*(1+'PPE Inputs'!$C$115)</f>
        <v>2460832.1008383045</v>
      </c>
      <c r="E31" s="189">
        <f>SUM(C31:D31)</f>
        <v>2682307.7942415639</v>
      </c>
      <c r="O31" s="121"/>
    </row>
    <row r="32" spans="2:15" x14ac:dyDescent="0.3">
      <c r="B32" s="20" t="s">
        <v>145</v>
      </c>
      <c r="C32" s="21">
        <f>$E$27*(VLOOKUP($B$26,'PPE Inputs'!$B$110:$C$112,2,0)*'PPE Inputs'!C41+'PPE Inputs'!$C$82*'PPE Inputs'!C100)*(1+'PPE Inputs'!$C$115)</f>
        <v>120486.21239688146</v>
      </c>
      <c r="D32" s="21">
        <f>$E$27*((1-VLOOKUP($B$26,'PPE Inputs'!$B$110:$C$112,2,0))*'PPE Inputs'!D41+(1-'PPE Inputs'!$C$82)*'PPE Inputs'!D100)*(1+'PPE Inputs'!$C$115)</f>
        <v>1431616.9513304986</v>
      </c>
      <c r="E32" s="189">
        <f>SUM(C32:D32)</f>
        <v>1552103.1637273801</v>
      </c>
      <c r="O32" s="121"/>
    </row>
    <row r="33" spans="2:15" x14ac:dyDescent="0.3">
      <c r="B33" s="20" t="s">
        <v>147</v>
      </c>
      <c r="C33" s="21">
        <f>$E$27*(VLOOKUP($B$26,'PPE Inputs'!$B$110:$C$112,2,0)*'PPE Inputs'!C42+'PPE Inputs'!$C$82*'PPE Inputs'!C101)*(1+'PPE Inputs'!$C$115)</f>
        <v>361458.6371906444</v>
      </c>
      <c r="D33" s="21">
        <f>$E$27*((1-VLOOKUP($B$26,'PPE Inputs'!$B$110:$C$112,2,0))*'PPE Inputs'!D42+(1-'PPE Inputs'!$C$82)*'PPE Inputs'!D101)*(1+'PPE Inputs'!$C$115)</f>
        <v>3228044.5713242264</v>
      </c>
      <c r="E33" s="189">
        <f>SUM(C33:D33)</f>
        <v>3589503.2085148711</v>
      </c>
      <c r="O33" s="121"/>
    </row>
    <row r="34" spans="2:15" x14ac:dyDescent="0.3">
      <c r="K34" s="8" t="str">
        <f>B17</f>
        <v>Cancer</v>
      </c>
      <c r="L34" s="8" t="str">
        <f>B26</f>
        <v>Benign</v>
      </c>
      <c r="M34" s="8" t="s">
        <v>242</v>
      </c>
      <c r="N34" s="8" t="s">
        <v>125</v>
      </c>
      <c r="O34" s="8" t="s">
        <v>229</v>
      </c>
    </row>
    <row r="35" spans="2:15" x14ac:dyDescent="0.3">
      <c r="B35" s="187" t="str">
        <f>'PPE Inputs'!B112</f>
        <v>Pediatric</v>
      </c>
      <c r="C35" s="188" t="s">
        <v>127</v>
      </c>
      <c r="D35" s="188" t="s">
        <v>128</v>
      </c>
      <c r="E35" s="188" t="s">
        <v>229</v>
      </c>
      <c r="J35" s="20" t="s">
        <v>139</v>
      </c>
      <c r="K35" s="24">
        <f>E20</f>
        <v>20062.441518783511</v>
      </c>
      <c r="L35" s="24">
        <f>E29</f>
        <v>485296.88106011041</v>
      </c>
      <c r="M35" s="24">
        <f>E38</f>
        <v>47241.68928625503</v>
      </c>
      <c r="N35" s="24">
        <f>E47</f>
        <v>6496.5948852990132</v>
      </c>
      <c r="O35" s="24">
        <f>SUM(K35:N35)</f>
        <v>559097.60675044789</v>
      </c>
    </row>
    <row r="36" spans="2:15" x14ac:dyDescent="0.3">
      <c r="B36" s="8" t="s">
        <v>230</v>
      </c>
      <c r="C36" s="21">
        <f>VLOOKUP($B35,'PPE Inputs'!$B$18:$F$21,IF($D$10='PPE Inputs'!$C$17,2,3),0)*VLOOKUP($B35,'PPE Inputs'!$B$110:$C$113,2,0)</f>
        <v>1964.8355665672805</v>
      </c>
      <c r="D36" s="21">
        <f>VLOOKUP($B35,'PPE Inputs'!$B$18:$F$21,IF($D$10='PPE Inputs'!$C$17,2,3),0)*(1-VLOOKUP($B35,'PPE Inputs'!$B$110:$C$113,2,0))</f>
        <v>10385.992286942721</v>
      </c>
      <c r="E36" s="189">
        <f>SUM(C36:D36)</f>
        <v>12350.827853510002</v>
      </c>
      <c r="J36" s="20" t="s">
        <v>141</v>
      </c>
      <c r="K36" s="24">
        <f>E21</f>
        <v>59280.933809691764</v>
      </c>
      <c r="L36" s="24">
        <f>E30</f>
        <v>3324410.8844525497</v>
      </c>
      <c r="M36" s="24">
        <f>E39</f>
        <v>142961.05965779899</v>
      </c>
      <c r="N36" s="24">
        <f>E48</f>
        <v>22377.160160474381</v>
      </c>
      <c r="O36" s="24">
        <f>SUM(K36:N36)</f>
        <v>3549030.0380805149</v>
      </c>
    </row>
    <row r="37" spans="2:15" x14ac:dyDescent="0.3">
      <c r="B37" s="12" t="s">
        <v>231</v>
      </c>
      <c r="E37" s="12"/>
      <c r="J37" s="20" t="s">
        <v>143</v>
      </c>
      <c r="K37" s="24">
        <f>E22</f>
        <v>62341.223472373429</v>
      </c>
      <c r="L37" s="24">
        <f>E31</f>
        <v>2682307.7942415639</v>
      </c>
      <c r="M37" s="24">
        <f>E40</f>
        <v>149445.01702747104</v>
      </c>
      <c r="N37" s="24">
        <f>E49</f>
        <v>22686.521821679096</v>
      </c>
      <c r="O37" s="24">
        <f>SUM(K37:N37)</f>
        <v>2916780.5565630877</v>
      </c>
    </row>
    <row r="38" spans="2:15" x14ac:dyDescent="0.3">
      <c r="B38" s="20" t="s">
        <v>139</v>
      </c>
      <c r="C38" s="21">
        <f>C$36*'PPE Inputs'!C38*(1+'PPE Inputs'!$C$115)</f>
        <v>12967.914739344051</v>
      </c>
      <c r="D38" s="21">
        <f>D$36*'PPE Inputs'!D38*(1+'PPE Inputs'!$C$115)</f>
        <v>34273.77454691098</v>
      </c>
      <c r="E38" s="189">
        <f>SUM(C38:D38)</f>
        <v>47241.68928625503</v>
      </c>
      <c r="J38" s="20" t="s">
        <v>145</v>
      </c>
      <c r="K38" s="24">
        <f>E23</f>
        <v>34004.303712203684</v>
      </c>
      <c r="L38" s="24">
        <f>E32</f>
        <v>1552103.1637273801</v>
      </c>
      <c r="M38" s="24">
        <f>E41</f>
        <v>81515.46383316601</v>
      </c>
      <c r="N38" s="24">
        <f>E50</f>
        <v>12374.466448188597</v>
      </c>
      <c r="O38" s="24">
        <f>SUM(K38:N38)</f>
        <v>1679997.3977209383</v>
      </c>
    </row>
    <row r="39" spans="2:15" x14ac:dyDescent="0.3">
      <c r="B39" s="20" t="s">
        <v>141</v>
      </c>
      <c r="C39" s="21">
        <f>C$36*'PPE Inputs'!C39*(1+'PPE Inputs'!$C$115)</f>
        <v>17290.55298579207</v>
      </c>
      <c r="D39" s="21">
        <f>D$36*'PPE Inputs'!D39*(1+'PPE Inputs'!$C$115)</f>
        <v>125670.50667200693</v>
      </c>
      <c r="E39" s="189">
        <f>SUM(C39:D39)</f>
        <v>142961.05965779899</v>
      </c>
      <c r="J39" s="20" t="s">
        <v>147</v>
      </c>
      <c r="K39" s="24">
        <f>E24</f>
        <v>88071.048943190879</v>
      </c>
      <c r="L39" s="24">
        <f>E33</f>
        <v>3589503.2085148711</v>
      </c>
      <c r="M39" s="24">
        <f>E42</f>
        <v>210272.61695258706</v>
      </c>
      <c r="N39" s="24">
        <f>E51</f>
        <v>31245.527781676206</v>
      </c>
      <c r="O39" s="24">
        <f>SUM(K39:N39)</f>
        <v>3919092.4021923249</v>
      </c>
    </row>
    <row r="40" spans="2:15" x14ac:dyDescent="0.3">
      <c r="B40" s="20" t="s">
        <v>143</v>
      </c>
      <c r="C40" s="21">
        <f>C$36*'PPE Inputs'!C40*(1+'PPE Inputs'!$C$115)</f>
        <v>23774.510355464095</v>
      </c>
      <c r="D40" s="21">
        <f>D$36*'PPE Inputs'!D40*(1+'PPE Inputs'!$C$115)</f>
        <v>125670.50667200693</v>
      </c>
      <c r="E40" s="189">
        <f>SUM(C40:D40)</f>
        <v>149445.01702747104</v>
      </c>
      <c r="O40" s="121"/>
    </row>
    <row r="41" spans="2:15" x14ac:dyDescent="0.3">
      <c r="B41" s="20" t="s">
        <v>145</v>
      </c>
      <c r="C41" s="21">
        <f>C$36*'PPE Inputs'!C41*(1+'PPE Inputs'!$C$115)</f>
        <v>12967.914739344051</v>
      </c>
      <c r="D41" s="21">
        <f>D$36*'PPE Inputs'!D41*(1+'PPE Inputs'!$C$115)</f>
        <v>68547.549093821959</v>
      </c>
      <c r="E41" s="189">
        <f>SUM(C41:D41)</f>
        <v>81515.46383316601</v>
      </c>
      <c r="J41" s="118" t="str">
        <f>B26</f>
        <v>Benign</v>
      </c>
      <c r="K41" s="24">
        <f>E27</f>
        <v>128272.9887378</v>
      </c>
      <c r="M41" s="8" t="s">
        <v>232</v>
      </c>
      <c r="O41" s="121"/>
    </row>
    <row r="42" spans="2:15" x14ac:dyDescent="0.3">
      <c r="B42" s="20" t="s">
        <v>147</v>
      </c>
      <c r="C42" s="21">
        <f>C$36*'PPE Inputs'!C42*(1+'PPE Inputs'!$C$115)</f>
        <v>38903.74421803216</v>
      </c>
      <c r="D42" s="21">
        <f>D$36*'PPE Inputs'!D42*(1+'PPE Inputs'!$C$115)</f>
        <v>171368.8727345549</v>
      </c>
      <c r="E42" s="189">
        <f>SUM(C42:D42)</f>
        <v>210272.61695258706</v>
      </c>
      <c r="I42" s="76"/>
      <c r="J42" s="253" t="str">
        <f>B35</f>
        <v>Pediatric</v>
      </c>
      <c r="K42" s="195">
        <f>E36</f>
        <v>12350.827853510002</v>
      </c>
      <c r="L42" s="76"/>
      <c r="M42" s="76" t="str">
        <f>"Estimated Backlog Size by Surgery Type - "&amp;D10&amp;CHAR(10)&amp;"(Mar 15 to "&amp;TEXT('Data Inputs'!D48-1,"MMM D, YYYY")&amp;", with ramp up starting "&amp;TEXT('Data Inputs'!D46,"MMM D, YYYY")&amp;")"</f>
        <v>Estimated Backlog Size by Surgery Type - Provincial Backlog Estimates
(Mar 15 to Jun 13, 2020, with ramp up starting Jun 14, 2020)</v>
      </c>
      <c r="O42" s="121"/>
    </row>
    <row r="43" spans="2:15" x14ac:dyDescent="0.3">
      <c r="B43" s="20"/>
      <c r="C43" s="116"/>
      <c r="D43" s="116"/>
      <c r="E43" s="120"/>
      <c r="I43" s="76"/>
      <c r="J43" s="253" t="str">
        <f>B17</f>
        <v>Cancer</v>
      </c>
      <c r="K43" s="195">
        <f>E18</f>
        <v>5152.167229121771</v>
      </c>
      <c r="L43" s="76"/>
      <c r="M43" s="76" t="str">
        <f>"Total PPE Requirements - "&amp;D10&amp;CHAR(10)&amp;"(Mar 15 to "&amp;TEXT('Data Inputs'!D48-1,"MMM D, YYYY")&amp;", with ramp up starting "&amp;TEXT('Data Inputs'!D46,"MMM D, YYYY")&amp;")"</f>
        <v>Total PPE Requirements - Provincial Backlog Estimates
(Mar 15 to Jun 13, 2020, with ramp up starting Jun 14, 2020)</v>
      </c>
      <c r="O43" s="121"/>
    </row>
    <row r="44" spans="2:15" x14ac:dyDescent="0.3">
      <c r="B44" s="187" t="str">
        <f>'PPE Inputs'!B21</f>
        <v>Vascular</v>
      </c>
      <c r="C44" s="188" t="s">
        <v>127</v>
      </c>
      <c r="D44" s="188" t="s">
        <v>128</v>
      </c>
      <c r="E44" s="188" t="s">
        <v>229</v>
      </c>
      <c r="I44" s="76"/>
      <c r="J44" s="253" t="str">
        <f>B44</f>
        <v>Vascular</v>
      </c>
      <c r="K44" s="195">
        <f>E45</f>
        <v>1874.919158816454</v>
      </c>
      <c r="L44" s="76"/>
      <c r="M44" s="76"/>
      <c r="O44" s="121"/>
    </row>
    <row r="45" spans="2:15" x14ac:dyDescent="0.3">
      <c r="B45" s="8" t="s">
        <v>230</v>
      </c>
      <c r="C45" s="21">
        <f>VLOOKUP($B44,'PPE Inputs'!$B$18:$F$21,IF($D$10='PPE Inputs'!$C$17,2,3),0)*VLOOKUP($B44,'PPE Inputs'!$B$110:$C$113,2,0)</f>
        <v>93.745957940822706</v>
      </c>
      <c r="D45" s="21">
        <f>VLOOKUP($B44,'PPE Inputs'!$B$18:$F$21,IF($D$10='PPE Inputs'!$C$17,2,3),0)*(1-VLOOKUP($B44,'PPE Inputs'!$B$110:$C$113,2,0))</f>
        <v>1781.1732008756312</v>
      </c>
      <c r="E45" s="189">
        <f>SUM(C45:D45)</f>
        <v>1874.919158816454</v>
      </c>
      <c r="I45" s="76"/>
      <c r="J45" s="76"/>
      <c r="K45" s="76"/>
      <c r="L45" s="76"/>
      <c r="M45" s="76"/>
      <c r="O45" s="121"/>
    </row>
    <row r="46" spans="2:15" x14ac:dyDescent="0.3">
      <c r="B46" s="12" t="s">
        <v>231</v>
      </c>
      <c r="E46" s="12"/>
      <c r="I46" s="76"/>
      <c r="J46" s="76"/>
      <c r="K46" s="76" t="s">
        <v>229</v>
      </c>
      <c r="L46" s="76"/>
      <c r="M46" s="76"/>
      <c r="O46" s="121"/>
    </row>
    <row r="47" spans="2:15" x14ac:dyDescent="0.3">
      <c r="B47" s="20" t="s">
        <v>139</v>
      </c>
      <c r="C47" s="21">
        <f>C$45*'PPE Inputs'!C38*(1+'PPE Inputs'!$C$115)</f>
        <v>618.72332240943001</v>
      </c>
      <c r="D47" s="21">
        <f>D$45*'PPE Inputs'!D38*(1+'PPE Inputs'!$C$115)</f>
        <v>5877.8715628895834</v>
      </c>
      <c r="E47" s="189">
        <f>SUM(C47:D47)</f>
        <v>6496.5948852990132</v>
      </c>
      <c r="I47" s="76"/>
      <c r="J47" s="254" t="s">
        <v>139</v>
      </c>
      <c r="K47" s="195">
        <f>VLOOKUP(J47,$B$54:$C$58,2,0)</f>
        <v>559097.60675044789</v>
      </c>
      <c r="L47" s="76"/>
      <c r="M47" s="76"/>
      <c r="O47" s="121"/>
    </row>
    <row r="48" spans="2:15" x14ac:dyDescent="0.3">
      <c r="B48" s="20" t="s">
        <v>141</v>
      </c>
      <c r="C48" s="21">
        <f>C$45*'PPE Inputs'!C39*(1+'PPE Inputs'!$C$115)</f>
        <v>824.9644298792399</v>
      </c>
      <c r="D48" s="21">
        <f>D$45*'PPE Inputs'!D39*(1+'PPE Inputs'!$C$115)</f>
        <v>21552.19573059514</v>
      </c>
      <c r="E48" s="189">
        <f>SUM(C48:D48)</f>
        <v>22377.160160474381</v>
      </c>
      <c r="I48" s="76"/>
      <c r="J48" s="254" t="s">
        <v>145</v>
      </c>
      <c r="K48" s="195">
        <f>VLOOKUP(J48,$B$54:$C$58,2,0)</f>
        <v>1679997.3977209383</v>
      </c>
      <c r="L48" s="76"/>
      <c r="M48" s="76"/>
      <c r="O48" s="121"/>
    </row>
    <row r="49" spans="2:19" x14ac:dyDescent="0.3">
      <c r="B49" s="20" t="s">
        <v>143</v>
      </c>
      <c r="C49" s="21">
        <f>C$45*'PPE Inputs'!C40*(1+'PPE Inputs'!$C$115)</f>
        <v>1134.3260910839549</v>
      </c>
      <c r="D49" s="21">
        <f>D$45*'PPE Inputs'!D40*(1+'PPE Inputs'!$C$115)</f>
        <v>21552.19573059514</v>
      </c>
      <c r="E49" s="189">
        <f>SUM(C49:D49)</f>
        <v>22686.521821679096</v>
      </c>
      <c r="I49" s="76"/>
      <c r="J49" s="254" t="s">
        <v>143</v>
      </c>
      <c r="K49" s="195">
        <f>VLOOKUP(J49,$B$54:$C$58,2,0)</f>
        <v>2916780.5565630877</v>
      </c>
      <c r="L49" s="76"/>
      <c r="M49" s="76"/>
      <c r="O49" s="121"/>
    </row>
    <row r="50" spans="2:19" x14ac:dyDescent="0.3">
      <c r="B50" s="20" t="s">
        <v>145</v>
      </c>
      <c r="C50" s="21">
        <f>C$45*'PPE Inputs'!C41*(1+'PPE Inputs'!$C$115)</f>
        <v>618.72332240943001</v>
      </c>
      <c r="D50" s="21">
        <f>D$45*'PPE Inputs'!D41*(1+'PPE Inputs'!$C$115)</f>
        <v>11755.743125779167</v>
      </c>
      <c r="E50" s="189">
        <f>SUM(C50:D50)</f>
        <v>12374.466448188597</v>
      </c>
      <c r="I50" s="76"/>
      <c r="J50" s="254" t="s">
        <v>141</v>
      </c>
      <c r="K50" s="195">
        <f>VLOOKUP(J50,$B$54:$C$58,2,0)</f>
        <v>3549030.0380805149</v>
      </c>
      <c r="L50" s="76"/>
      <c r="M50" s="76"/>
      <c r="O50" s="121"/>
    </row>
    <row r="51" spans="2:19" x14ac:dyDescent="0.3">
      <c r="B51" s="20" t="s">
        <v>147</v>
      </c>
      <c r="C51" s="21">
        <f>C$45*'PPE Inputs'!C42*(1+'PPE Inputs'!$C$115)</f>
        <v>1856.1699672282896</v>
      </c>
      <c r="D51" s="21">
        <f>D$45*'PPE Inputs'!D42*(1+'PPE Inputs'!$C$115)</f>
        <v>29389.357814447918</v>
      </c>
      <c r="E51" s="189">
        <f>SUM(C51:D51)</f>
        <v>31245.527781676206</v>
      </c>
      <c r="I51" s="76"/>
      <c r="J51" s="254" t="s">
        <v>147</v>
      </c>
      <c r="K51" s="195">
        <f>VLOOKUP(J51,$B$54:$C$58,2,0)</f>
        <v>3919092.4021923249</v>
      </c>
      <c r="L51" s="76"/>
      <c r="M51" s="76"/>
      <c r="O51" s="20"/>
      <c r="P51" s="20"/>
      <c r="Q51" s="20"/>
      <c r="R51" s="20"/>
      <c r="S51" s="20"/>
    </row>
    <row r="52" spans="2:19" x14ac:dyDescent="0.3">
      <c r="B52" s="20"/>
      <c r="C52" s="116"/>
      <c r="D52" s="116"/>
      <c r="E52" s="120"/>
      <c r="I52" s="76"/>
      <c r="J52" s="76"/>
      <c r="K52" s="76"/>
      <c r="L52" s="76"/>
      <c r="M52" s="76"/>
      <c r="O52" s="24"/>
      <c r="P52" s="24"/>
      <c r="Q52" s="24"/>
      <c r="R52" s="24"/>
      <c r="S52" s="24"/>
    </row>
    <row r="53" spans="2:19" x14ac:dyDescent="0.3">
      <c r="B53" s="187" t="s">
        <v>325</v>
      </c>
      <c r="C53" s="190"/>
      <c r="D53" s="190"/>
      <c r="E53" s="191"/>
      <c r="O53" s="24"/>
      <c r="P53" s="24"/>
      <c r="Q53" s="24"/>
      <c r="R53" s="24"/>
      <c r="S53" s="24"/>
    </row>
    <row r="54" spans="2:19" x14ac:dyDescent="0.3">
      <c r="B54" s="20" t="s">
        <v>139</v>
      </c>
      <c r="C54" s="189">
        <f>E20+E29+E38+E47</f>
        <v>559097.60675044789</v>
      </c>
      <c r="D54" s="116"/>
      <c r="E54" s="120"/>
      <c r="O54" s="24"/>
      <c r="P54" s="24"/>
      <c r="Q54" s="24"/>
      <c r="R54" s="24"/>
      <c r="S54" s="24"/>
    </row>
    <row r="55" spans="2:19" x14ac:dyDescent="0.3">
      <c r="B55" s="20" t="s">
        <v>141</v>
      </c>
      <c r="C55" s="189">
        <f>E21+E30+E39+E48</f>
        <v>3549030.0380805149</v>
      </c>
      <c r="D55" s="116"/>
      <c r="E55" s="120"/>
      <c r="O55" s="24"/>
      <c r="P55" s="24"/>
      <c r="Q55" s="24"/>
      <c r="R55" s="24"/>
      <c r="S55" s="24"/>
    </row>
    <row r="56" spans="2:19" x14ac:dyDescent="0.3">
      <c r="B56" s="20" t="s">
        <v>143</v>
      </c>
      <c r="C56" s="189">
        <f>E22+E31+E40+E49</f>
        <v>2916780.5565630877</v>
      </c>
      <c r="D56" s="116"/>
      <c r="E56" s="120"/>
      <c r="O56" s="121"/>
    </row>
    <row r="57" spans="2:19" x14ac:dyDescent="0.3">
      <c r="B57" s="20" t="s">
        <v>145</v>
      </c>
      <c r="C57" s="189">
        <f>E23+E32+E41+E50</f>
        <v>1679997.3977209383</v>
      </c>
      <c r="D57" s="116"/>
      <c r="E57" s="120"/>
      <c r="O57" s="121"/>
    </row>
    <row r="58" spans="2:19" x14ac:dyDescent="0.3">
      <c r="B58" s="20" t="s">
        <v>147</v>
      </c>
      <c r="C58" s="189">
        <f>E24+E33+E42+E51</f>
        <v>3919092.4021923249</v>
      </c>
      <c r="D58" s="116"/>
      <c r="E58" s="120"/>
    </row>
    <row r="69" spans="4:5" x14ac:dyDescent="0.3">
      <c r="D69" s="116"/>
      <c r="E69" s="120"/>
    </row>
    <row r="71" spans="4:5" ht="27" hidden="1" customHeight="1" outlineLevel="1" x14ac:dyDescent="0.3"/>
    <row r="72" spans="4:5" hidden="1" outlineLevel="1" x14ac:dyDescent="0.3"/>
    <row r="73" spans="4:5" hidden="1" outlineLevel="1" x14ac:dyDescent="0.3"/>
    <row r="74" spans="4:5" hidden="1" outlineLevel="1" x14ac:dyDescent="0.3"/>
    <row r="75" spans="4:5" hidden="1" outlineLevel="1" x14ac:dyDescent="0.3"/>
    <row r="76" spans="4:5" hidden="1" outlineLevel="1" x14ac:dyDescent="0.3"/>
    <row r="77" spans="4:5" hidden="1" outlineLevel="1" x14ac:dyDescent="0.3"/>
    <row r="78" spans="4:5" collapsed="1" x14ac:dyDescent="0.3"/>
  </sheetData>
  <sheetProtection algorithmName="SHA-512" hashValue="OCtpn10HsWOS4pjgio42mJCk1NR7L3T3OWMbKtZZHz2s8DZOK4iQykJlMn6A8zbbe/e736Ie9NxP9Ium5GW+ug==" saltValue="9aXIS2GZ8qhlsuKiclQ11w==" spinCount="100000" sheet="1" objects="1" scenarios="1"/>
  <sortState ref="J47:K51">
    <sortCondition ref="K47:K51"/>
  </sortState>
  <mergeCells count="2">
    <mergeCell ref="D10:E10"/>
    <mergeCell ref="A2:A3"/>
  </mergeCells>
  <conditionalFormatting sqref="C17:D17">
    <cfRule type="duplicateValues" dxfId="7" priority="5"/>
  </conditionalFormatting>
  <conditionalFormatting sqref="C26:D26">
    <cfRule type="duplicateValues" dxfId="6" priority="4"/>
  </conditionalFormatting>
  <conditionalFormatting sqref="C35:D35">
    <cfRule type="duplicateValues" dxfId="5" priority="3"/>
  </conditionalFormatting>
  <conditionalFormatting sqref="C44:D44">
    <cfRule type="duplicateValues" dxfId="4" priority="2"/>
  </conditionalFormatting>
  <conditionalFormatting sqref="B11">
    <cfRule type="expression" dxfId="3" priority="57">
      <formula>$D$10&lt;&gt;"Site Specific Backlog Estimates"</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'PPE Inputs'!$C$17:$D$17</xm:f>
          </x14:formula1>
          <xm:sqref>D10:E10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47012B896257D4CB23E05259C214179" ma:contentTypeVersion="8" ma:contentTypeDescription="Create a new document." ma:contentTypeScope="" ma:versionID="c5d63788a9a2ec9e1fc11f38b1c47491">
  <xsd:schema xmlns:xsd="http://www.w3.org/2001/XMLSchema" xmlns:xs="http://www.w3.org/2001/XMLSchema" xmlns:p="http://schemas.microsoft.com/office/2006/metadata/properties" xmlns:ns2="5236dfbb-ae34-4a2c-96dd-37eeb5c69263" targetNamespace="http://schemas.microsoft.com/office/2006/metadata/properties" ma:root="true" ma:fieldsID="4bb2fffe6029a81566c7e9fc9db9cf65" ns2:_="">
    <xsd:import namespace="5236dfbb-ae34-4a2c-96dd-37eeb5c6926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36dfbb-ae34-4a2c-96dd-37eeb5c692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76E3F28-56D6-4C40-9B60-3781357B74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36dfbb-ae34-4a2c-96dd-37eeb5c692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760D977-1DEF-423C-8F34-AE21B7BB500C}">
  <ds:schemaRefs>
    <ds:schemaRef ds:uri="5236dfbb-ae34-4a2c-96dd-37eeb5c69263"/>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B4B45935-2840-47C8-B5A2-DB426B1DA46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40</vt:i4>
      </vt:variant>
    </vt:vector>
  </HeadingPairs>
  <TitlesOfParts>
    <vt:vector size="48" baseType="lpstr">
      <vt:lpstr>Cover Page</vt:lpstr>
      <vt:lpstr>Data Inputs</vt:lpstr>
      <vt:lpstr>Custom Graphics</vt:lpstr>
      <vt:lpstr>Ontario Graphics</vt:lpstr>
      <vt:lpstr>Regional Graphics</vt:lpstr>
      <vt:lpstr>Documentation</vt:lpstr>
      <vt:lpstr>PPE Inputs</vt:lpstr>
      <vt:lpstr>PPE Outputs</vt:lpstr>
      <vt:lpstr>Benign_P2P3</vt:lpstr>
      <vt:lpstr>Benign_P4</vt:lpstr>
      <vt:lpstr>Buffer</vt:lpstr>
      <vt:lpstr>Cancer_P2P3</vt:lpstr>
      <vt:lpstr>Cancer_P4</vt:lpstr>
      <vt:lpstr>Cardiac_CABG</vt:lpstr>
      <vt:lpstr>Cardiac_Valve</vt:lpstr>
      <vt:lpstr>Central</vt:lpstr>
      <vt:lpstr>Coverpage</vt:lpstr>
      <vt:lpstr>Custom</vt:lpstr>
      <vt:lpstr>Custom_RegionName</vt:lpstr>
      <vt:lpstr>customgraphics</vt:lpstr>
      <vt:lpstr>Datainputs</vt:lpstr>
      <vt:lpstr>East</vt:lpstr>
      <vt:lpstr>LivingDonor</vt:lpstr>
      <vt:lpstr>methodology</vt:lpstr>
      <vt:lpstr>North</vt:lpstr>
      <vt:lpstr>Ontario</vt:lpstr>
      <vt:lpstr>Ontariographics</vt:lpstr>
      <vt:lpstr>Pediatric_P2P3</vt:lpstr>
      <vt:lpstr>Pediatric_P4</vt:lpstr>
      <vt:lpstr>PPEInputs</vt:lpstr>
      <vt:lpstr>PPEOutputs</vt:lpstr>
      <vt:lpstr>procedures</vt:lpstr>
      <vt:lpstr>ProcedureSelection</vt:lpstr>
      <vt:lpstr>regionalgraphics</vt:lpstr>
      <vt:lpstr>Regions</vt:lpstr>
      <vt:lpstr>RegionSelection</vt:lpstr>
      <vt:lpstr>Scenario1</vt:lpstr>
      <vt:lpstr>Scenario2</vt:lpstr>
      <vt:lpstr>Scenario3</vt:lpstr>
      <vt:lpstr>ScenarioInputs</vt:lpstr>
      <vt:lpstr>Scenarios</vt:lpstr>
      <vt:lpstr>ScenariosCustom</vt:lpstr>
      <vt:lpstr>Toronto</vt:lpstr>
      <vt:lpstr>Transplant</vt:lpstr>
      <vt:lpstr>uptake</vt:lpstr>
      <vt:lpstr>Vascular_P2P3</vt:lpstr>
      <vt:lpstr>Vascular_P4</vt:lpstr>
      <vt:lpstr>West</vt:lpstr>
    </vt:vector>
  </TitlesOfParts>
  <Manager/>
  <Company>Cancer Care Ontario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Vahid, Saba</dc:creator>
  <cp:keywords/>
  <dc:description/>
  <cp:lastModifiedBy>Wang, Jonathan</cp:lastModifiedBy>
  <cp:revision/>
  <cp:lastPrinted>2020-05-14T20:48:25Z</cp:lastPrinted>
  <dcterms:created xsi:type="dcterms:W3CDTF">2020-04-04T19:04:51Z</dcterms:created>
  <dcterms:modified xsi:type="dcterms:W3CDTF">2020-08-18T17:49:21Z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0x010100647012B896257D4CB23E05259C214179</vt:lpwstr>
  </property>
</Properties>
</file>