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autoCompressPictures="0" defaultThemeVersion="124226"/>
  <mc:AlternateContent xmlns:mc="http://schemas.openxmlformats.org/markup-compatibility/2006">
    <mc:Choice Requires="x15">
      <x15ac:absPath xmlns:x15ac="http://schemas.microsoft.com/office/spreadsheetml/2010/11/ac" url="C:\Users\lyjoy\Desktop\"/>
    </mc:Choice>
  </mc:AlternateContent>
  <xr:revisionPtr revIDLastSave="0" documentId="13_ncr:1_{96689548-A8EE-45A4-983D-A93A25C3F464}" xr6:coauthVersionLast="47" xr6:coauthVersionMax="47" xr10:uidLastSave="{00000000-0000-0000-0000-000000000000}"/>
  <bookViews>
    <workbookView xWindow="-98" yWindow="-98" windowWidth="21795" windowHeight="12975" tabRatio="832" firstSheet="3" activeTab="3" xr2:uid="{00000000-000D-0000-FFFF-FFFF00000000}"/>
  </bookViews>
  <sheets>
    <sheet name="Cover Sheet" sheetId="5" state="hidden" r:id="rId1"/>
    <sheet name="问题清单" sheetId="24" r:id="rId2"/>
    <sheet name="Prod check" sheetId="27" r:id="rId3"/>
    <sheet name="Rate sheet" sheetId="19" r:id="rId4"/>
    <sheet name="P&amp;L Sheet" sheetId="23" r:id="rId5"/>
    <sheet name="Cost Allocation" sheetId="22" r:id="rId6"/>
    <sheet name="Volume" sheetId="10" r:id="rId7"/>
    <sheet name="第二轮数据" sheetId="25" r:id="rId8"/>
    <sheet name="Layout " sheetId="20" r:id="rId9"/>
    <sheet name="Parameter" sheetId="15" r:id="rId10"/>
    <sheet name="Process" sheetId="16" r:id="rId11"/>
    <sheet name="MHE&amp;INV list" sheetId="11" r:id="rId12"/>
    <sheet name="Startup" sheetId="26" r:id="rId13"/>
    <sheet name="Sankey Flowchart" sheetId="17"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_1Schubmaststap" localSheetId="6">'[1]master data equipment'!#REF!</definedName>
    <definedName name="_2Schubmaststap" localSheetId="13">'[2]master data equipment'!#REF!</definedName>
    <definedName name="_2Schubmaststap" localSheetId="6">'[1]master data equipment'!#REF!</definedName>
    <definedName name="_2Schubmaststap">'[1]master data equipment'!#REF!</definedName>
    <definedName name="_DAT10">'[3]AfA + Zinsen'!#REF!</definedName>
    <definedName name="_DAT11">'[3]AfA + Zinsen'!#REF!</definedName>
    <definedName name="_DAT12">'[3]AfA + Zinsen'!#REF!</definedName>
    <definedName name="_DAT14">'[3]AfA + Zinsen'!#REF!</definedName>
    <definedName name="_DAT16">'[3]AfA + Zinsen'!#REF!</definedName>
    <definedName name="_DAT17">'[3]AfA + Zinsen'!#REF!</definedName>
    <definedName name="_DAT18">'[3]AfA + Zinsen'!#REF!</definedName>
    <definedName name="_DAT19">'[3]AfA + Zinsen'!#REF!</definedName>
    <definedName name="_DAT20">'[3]AfA + Zinsen'!#REF!</definedName>
    <definedName name="_DAT21">'[3]AfA + Zinsen'!#REF!</definedName>
    <definedName name="_DAT7">'[3]AfA + Zinsen'!#REF!</definedName>
    <definedName name="_DAT8">'[3]AfA + Zinsen'!#REF!</definedName>
    <definedName name="_DAT9">'[3]AfA + Zinsen'!#REF!</definedName>
    <definedName name="_dlr" localSheetId="8">[4]Allg!$G$3</definedName>
    <definedName name="_dlr">[5]Allg!$G$3</definedName>
    <definedName name="_eur1">#REF!</definedName>
    <definedName name="_xlnm._FilterDatabase" localSheetId="10" hidden="1">Process!$A$1:$AF$164</definedName>
    <definedName name="_Key000" hidden="1">#REF!</definedName>
    <definedName name="_Key1" localSheetId="13" hidden="1">#REF!</definedName>
    <definedName name="_Key1" localSheetId="6" hidden="1">#REF!</definedName>
    <definedName name="_Key1" hidden="1">#REF!</definedName>
    <definedName name="_Key2" localSheetId="8" hidden="1">'[6]HPS Slit Coil (Centralia)'!#REF!</definedName>
    <definedName name="_Key2" hidden="1">'[7]HPS Slit Coil (Centralia)'!#REF!</definedName>
    <definedName name="_Order1" hidden="1">0</definedName>
    <definedName name="_Order2" hidden="1">0</definedName>
    <definedName name="_Parse_Out" localSheetId="8" hidden="1">'[6]HPS Slit Coil (Centralia)'!#REF!</definedName>
    <definedName name="_Parse_Out" hidden="1">'[7]HPS Slit Coil (Centralia)'!#REF!</definedName>
    <definedName name="_Sort" localSheetId="13" hidden="1">#REF!</definedName>
    <definedName name="_Sort" localSheetId="6" hidden="1">#REF!</definedName>
    <definedName name="_Sort" hidden="1">#REF!</definedName>
    <definedName name="_Sort000" hidden="1">#REF!</definedName>
    <definedName name="_ts1">#REF!</definedName>
    <definedName name="A_SEC_VPL_TEIL_STAT_020806">#REF!</definedName>
    <definedName name="Abladebereiche">#REF!</definedName>
    <definedName name="Ablage">#REF!</definedName>
    <definedName name="Add_Zeile">#REF!</definedName>
    <definedName name="Additional_Packaging">'[8]basic data packaging'!$B$8:$B$116</definedName>
    <definedName name="AL35M7_01">[9]Thailand!#REF!</definedName>
    <definedName name="AL35M7_02">[9]Thailand!#REF!</definedName>
    <definedName name="AL35M7_03">[9]Thailand!#REF!</definedName>
    <definedName name="AL35M7_04">[9]Thailand!#REF!</definedName>
    <definedName name="AL35M7_05">[9]Thailand!#REF!</definedName>
    <definedName name="AL35M7_06">[9]Thailand!#REF!</definedName>
    <definedName name="AL35M7_07">[9]Thailand!#REF!</definedName>
    <definedName name="AL35M7_08">[9]Thailand!#REF!</definedName>
    <definedName name="AL35M7_09">[9]Thailand!#REF!</definedName>
    <definedName name="AL35M7_10">[9]Thailand!#REF!</definedName>
    <definedName name="AL35M7_11">[9]Thailand!#REF!</definedName>
    <definedName name="AL35M7_12">[9]Thailand!#REF!</definedName>
    <definedName name="AL35M7_Gesamt">[9]Thailand!#REF!</definedName>
    <definedName name="Anlauf6" localSheetId="13">[10]Kalkulationsbasis!$S$196</definedName>
    <definedName name="Anlauf6">[11]Kalkulationsbasis!$S$196</definedName>
    <definedName name="Arbeitsbereich">#REF!</definedName>
    <definedName name="Arbeitstage_Februar" localSheetId="8">[12]Eing_BASIS!$D$8</definedName>
    <definedName name="Arbeitstage_Februar">[13]Eing_BASIS!$D$8</definedName>
    <definedName name="Arbeitstage_Januar" localSheetId="8">[12]Eing_BASIS!$C$8</definedName>
    <definedName name="Arbeitstage_Januar">[13]Eing_BASIS!$C$8</definedName>
    <definedName name="Arbeitstage_März" localSheetId="8">[12]Eing_BASIS!$E$8</definedName>
    <definedName name="Arbeitstage_März">[13]Eing_BASIS!$E$8</definedName>
    <definedName name="asdasd" hidden="1">#REF!</definedName>
    <definedName name="asdfasdf" hidden="1">#REF!</definedName>
    <definedName name="AT_Jahr">[14]Parameter!$B$4</definedName>
    <definedName name="ATL_Basis_SAM_Fertig">#REF!</definedName>
    <definedName name="Ausführender">#REF!</definedName>
    <definedName name="Ausgangsdaten" localSheetId="8">[15]Ergebnis!$E$3:$AK$6</definedName>
    <definedName name="Ausgangsdaten">[16]Ergebnis!$E$3:$AK$6</definedName>
    <definedName name="Ausgangsregionen" localSheetId="8">[15]Ergebnis!$E$3:$E$6</definedName>
    <definedName name="Ausgangsregionen">[16]Ergebnis!$E$3:$E$6</definedName>
    <definedName name="Ausschuß" localSheetId="13">#REF!</definedName>
    <definedName name="Ausschuß">#REF!</definedName>
    <definedName name="Basic">#REF!</definedName>
    <definedName name="Basisjahr">#REF!</definedName>
    <definedName name="Bearbeitungsstand" localSheetId="8">[17]Basic_Units!$S$3:$S$6</definedName>
    <definedName name="Bearbeitungsstand">[18]Basic_Units!$S$3:$S$6</definedName>
    <definedName name="Behaelter">#REF!</definedName>
    <definedName name="Behälter_Gewicht" localSheetId="8">[19]Dropdown!$C$23:$C$27</definedName>
    <definedName name="Behälter_Gewicht">[20]Dropdown!$C$23:$C$27</definedName>
    <definedName name="bert">'[21]All parts that have demand'!#REF!</definedName>
    <definedName name="BHols">#REF!</definedName>
    <definedName name="Breakdown_Neu" localSheetId="8" hidden="1">{"fixkosten",#N/A,FALSE,"Gesamt"}</definedName>
    <definedName name="Breakdown_Neu" hidden="1">{"fixkosten",#N/A,FALSE,"Gesamt"}</definedName>
    <definedName name="Breaks">#REF!</definedName>
    <definedName name="CN_AB">#REF!</definedName>
    <definedName name="CN_AN">#REF!</definedName>
    <definedName name="Cost_Categories">"A    Associate;C    Consumable;E    Equipment;M    Material Handling Equipment;S    Service (incl. Financial)"</definedName>
    <definedName name="Ct">#REF!</definedName>
    <definedName name="currency" localSheetId="8">[15]Recherche!$B$6</definedName>
    <definedName name="currency">[16]Recherche!$B$6</definedName>
    <definedName name="d">#REF!</definedName>
    <definedName name="ddd">#REF!</definedName>
    <definedName name="dddd" localSheetId="8" hidden="1">{"fixkosten",#N/A,FALSE,"Gesamt"}</definedName>
    <definedName name="dddd" hidden="1">{"fixkosten",#N/A,FALSE,"Gesamt"}</definedName>
    <definedName name="DE_AB">#REF!</definedName>
    <definedName name="DE_AN">#REF!</definedName>
    <definedName name="Dekon">#REF!</definedName>
    <definedName name="DekonVQ">#REF!</definedName>
    <definedName name="Dokumentart">#REF!</definedName>
    <definedName name="Dokumentkategorie">#REF!</definedName>
    <definedName name="DownT">#REF!</definedName>
    <definedName name="elektr_bf">[22]vorn!$G$304</definedName>
    <definedName name="elektr_fa">[22]vorn!$G$288</definedName>
    <definedName name="elektr_fd">[22]hinten!$G$179</definedName>
    <definedName name="Empfang">#REF!</definedName>
    <definedName name="EmpfDekon">#REF!</definedName>
    <definedName name="EmpfWerke">#REF!</definedName>
    <definedName name="ES_AB">#REF!</definedName>
    <definedName name="ESchlepper" localSheetId="8">[19]Dropdown!$G$3:$G$113</definedName>
    <definedName name="ESchlepper">[20]Dropdown!$G$3:$G$113</definedName>
    <definedName name="Etiketten" localSheetId="8">[23]Dropdown!$C$31:$C$33</definedName>
    <definedName name="Etiketten">[24]Dropdown!$C$31:$C$33</definedName>
    <definedName name="eur" localSheetId="8">'[25]I_Paint (EUR)'!#REF!</definedName>
    <definedName name="eur">'[26]I_Paint (EUR)'!#REF!</definedName>
    <definedName name="EUR_FORM">'[27]I_Paint (EUR)'!#REF!</definedName>
    <definedName name="Fahrstrecke" localSheetId="8">[19]Dropdown!$L$3:$L$103</definedName>
    <definedName name="Fahrstrecke">[20]Dropdown!$L$3:$L$103</definedName>
    <definedName name="fff" localSheetId="8" hidden="1">{"fixkosten",#N/A,FALSE,"Gesamt"}</definedName>
    <definedName name="fff" hidden="1">{"fixkosten",#N/A,FALSE,"Gesamt"}</definedName>
    <definedName name="fhj" hidden="1">#REF!</definedName>
    <definedName name="Flächeneinheiten" localSheetId="8">[15]Stammdaten!$D$2:$D$5</definedName>
    <definedName name="Flächeneinheiten">[16]Stammdaten!$D$2:$D$5</definedName>
    <definedName name="FlächenFaktoren" localSheetId="8">[15]Stammdaten!$D$2:$E$5</definedName>
    <definedName name="FlächenFaktoren">[16]Stammdaten!$D$2:$E$5</definedName>
    <definedName name="Flächenkosten">[16]!Table4[[Landesteil]:[LW]]</definedName>
    <definedName name="Flächenregion">[16]!Table4[Landesteil]</definedName>
    <definedName name="flächensatz6" localSheetId="13">[10]Datenblatt!$O$39</definedName>
    <definedName name="flächensatz6">[11]Datenblatt!$O$39</definedName>
    <definedName name="Flächenumrechnungen" localSheetId="8">[28]Flächenumrechnungen!$A$1:$B$6</definedName>
    <definedName name="Flächenumrechnungen">[29]Flächenumrechnungen!$A$1:$B$6</definedName>
    <definedName name="FLT">[30]LISTE!$B$4:$B$5</definedName>
    <definedName name="Fracht_cbm">#REF!</definedName>
    <definedName name="Fracht_el_Antr_BF">[22]vorn!$I$309</definedName>
    <definedName name="Fracht_el_Antr_FA">[22]vorn!$I$293</definedName>
    <definedName name="Fracht_el_Antr_hi">[22]hinten!$I$184</definedName>
    <definedName name="Fracht_el_Kabelb_BF">[22]vorn!$I$213</definedName>
    <definedName name="Fracht_el_Kabelb_FA">[22]vorn!$I$203</definedName>
    <definedName name="Fracht_el_Kabelb_hi">[22]hinten!$I$150</definedName>
    <definedName name="Fracht_el_Schloß_hi">[22]hinten!$I$132</definedName>
    <definedName name="Fracht_el_Schloß_vo">[22]vorn!$I$184</definedName>
    <definedName name="Fracht_el_sT_hi">[22]hinten!$I$86</definedName>
    <definedName name="Fracht_GPFS_BF2">[22]vorn!$I$174</definedName>
    <definedName name="Fracht_GPFS_BF4">[22]vorn!$I$127</definedName>
    <definedName name="Fracht_GPFS_Fa2">[22]vorn!$I$150</definedName>
    <definedName name="Fracht_GPFS_FA4">[22]vorn!$I$105</definedName>
    <definedName name="Fracht_Grundteile_hi">[22]hinten!$I$52</definedName>
    <definedName name="Fracht_Grundteile_vo">[22]vorn!$I$81</definedName>
    <definedName name="Fracht_LAW_2t">[22]vorn!$I$379</definedName>
    <definedName name="Fracht_LAW_4t">[22]vorn!$I$353</definedName>
    <definedName name="Fracht_ma_Antr_hi">[22]hinten!$I$197</definedName>
    <definedName name="Fracht_ma_Antr_vo">[22]vorn!$I$326</definedName>
    <definedName name="Fracht_ma_basis_Kabelb_BF">[22]vorn!$I$251</definedName>
    <definedName name="Fracht_ma_basis_Kabelb_hi">[22]hinten!$I$169</definedName>
    <definedName name="Fracht_ma_Kabelb_BF">[22]vorn!$I$232</definedName>
    <definedName name="Fracht_ma_Kabelb_FA">[22]vorn!$I$222</definedName>
    <definedName name="Fracht_ma_Schloß_hi">[22]hinten!$I$141</definedName>
    <definedName name="Fracht_ma_Schloß_vo">[22]vorn!$I$193</definedName>
    <definedName name="Fracht_ma_sT_hi">[22]hinten!$I$123</definedName>
    <definedName name="Fracht_mit_LS">[22]vorn!$I$267</definedName>
    <definedName name="Fracht_Sidepad">[22]vorn!$I$392</definedName>
    <definedName name="fred">'[21]All parts that have demand'!#REF!</definedName>
    <definedName name="fredd">'[21]All parts that have demand'!#REF!</definedName>
    <definedName name="Freigaben_mit_Lieferanten_4_2_02">#REF!</definedName>
    <definedName name="Freigaben_mit_Lieferanten_neu">#REF!</definedName>
    <definedName name="FTEGross">#REF!</definedName>
    <definedName name="FTEnet">#REF!</definedName>
    <definedName name="gelb" localSheetId="8">[28]Daten!$B$3</definedName>
    <definedName name="gelb">[29]Daten!$B$3</definedName>
    <definedName name="Geräte" localSheetId="13">'[2]master data equipment'!#REF!</definedName>
    <definedName name="Geräte" localSheetId="6">'[1]master data equipment'!#REF!</definedName>
    <definedName name="Geräte">'[1]master data equipment'!#REF!</definedName>
    <definedName name="gesamtfläche6" localSheetId="13">[10]Datenblatt!$O$40</definedName>
    <definedName name="gesamtfläche6">[11]Datenblatt!$O$40</definedName>
    <definedName name="Gewicht_Behälter" localSheetId="8">[31]Dropdown!$C$21:$C$25</definedName>
    <definedName name="Gewicht_Behälter">[32]Dropdown!$C$21:$C$25</definedName>
    <definedName name="GrossFactor">#REF!</definedName>
    <definedName name="GTAI_Niveaus" localSheetId="8">'[28]GTAI Niveaus Basis'!$A$2:$P$98</definedName>
    <definedName name="GTAI_Niveaus">'[29]GTAI Niveaus Basis'!$A$2:$P$98</definedName>
    <definedName name="GTAI_Niveaus_jmh" localSheetId="8">'[28]GTAI Niveaus j,m,h'!$B$2:$V$98</definedName>
    <definedName name="GTAI_Niveaus_jmh">'[29]GTAI Niveaus j,m,h'!$B$2:$V$98</definedName>
    <definedName name="GTAI_Niveaus_jmh_1" localSheetId="8">'[28]GTAI Niveaus j,m,h'!$A$2:$W$98</definedName>
    <definedName name="GTAI_Niveaus_jmh_1">'[29]GTAI Niveaus j,m,h'!$A$2:$W$98</definedName>
    <definedName name="hallo" localSheetId="0" hidden="1">{"fixkosten",#N/A,FALSE,"Gesamt"}</definedName>
    <definedName name="hallo" localSheetId="8" hidden="1">{"fixkosten",#N/A,FALSE,"Gesamt"}</definedName>
    <definedName name="hallo" localSheetId="13" hidden="1">{"fixkosten",#N/A,FALSE,"Gesamt"}</definedName>
    <definedName name="hallo" localSheetId="6" hidden="1">{"fixkosten",#N/A,FALSE,"Gesamt"}</definedName>
    <definedName name="hallo" hidden="1">{"fixkosten",#N/A,FALSE,"Gesamt"}</definedName>
    <definedName name="hello" localSheetId="8" hidden="1">{"fixkosten",#N/A,FALSE,"Gesamt"}</definedName>
    <definedName name="hello" hidden="1">{"fixkosten",#N/A,FALSE,"Gesamt"}</definedName>
    <definedName name="Höhe">[30]LISTE!$B$35:$B$39</definedName>
    <definedName name="Hols">#REF!</definedName>
    <definedName name="HTML_CodePage" hidden="1">1252</definedName>
    <definedName name="HTML_Control" localSheetId="8" hidden="1">{"'Tabelle1'!$A$1:$N$104"}</definedName>
    <definedName name="HTML_Control" hidden="1">{"'Tabelle1'!$A$1:$N$104"}</definedName>
    <definedName name="HTML_Description" hidden="1">""</definedName>
    <definedName name="HTML_Email" hidden="1">""</definedName>
    <definedName name="HTML_Header" hidden="1">"Tabelle1"</definedName>
    <definedName name="HTML_LastUpdate" hidden="1">"14.04.99"</definedName>
    <definedName name="HTML_LineAfter" hidden="1">FALSE</definedName>
    <definedName name="HTML_LineBefore" hidden="1">FALSE</definedName>
    <definedName name="HTML_Name" hidden="1">"Alexander A. W. Scheibeler"</definedName>
    <definedName name="HTML_OBDlg2" hidden="1">TRUE</definedName>
    <definedName name="HTML_OBDlg3" hidden="1">TRUE</definedName>
    <definedName name="HTML_OBDlg4" hidden="1">TRUE</definedName>
    <definedName name="HTML_OS" hidden="1">0</definedName>
    <definedName name="HTML_PathFile" hidden="1">"A:\MeinHTML.htm"</definedName>
    <definedName name="HTML_PathTemplate" hidden="1">"C:\ISO9000_2000\HTMLTemp.htm"</definedName>
    <definedName name="HTML_Title" hidden="1">"ISO9000_2000"</definedName>
    <definedName name="IN_AB">#REF!</definedName>
    <definedName name="IN_AN">#REF!</definedName>
    <definedName name="Inner_Packaging_One_Way" localSheetId="8">[17]Basic_Data_Packaging!$B$131:$B$147</definedName>
    <definedName name="Inner_Packaging_One_Way">[18]Basic_Data_Packaging!$B$131:$B$147</definedName>
    <definedName name="Inner_Packaging_Returnables" localSheetId="8">[17]Basic_Data_Packaging!$B$151:$B$189</definedName>
    <definedName name="Inner_Packaging_Returnables">[18]Basic_Data_Packaging!$B$151:$B$189</definedName>
    <definedName name="InterestMethodologies">[16]!Table6[Methodologies]</definedName>
    <definedName name="ISO_Codes" localSheetId="8">[17]Basic_Units!$N$3:$N$243</definedName>
    <definedName name="ISO_Codes">[18]Basic_Units!$N$3:$N$243</definedName>
    <definedName name="ISOCodes">[16]!Table1[ISO Codes]</definedName>
    <definedName name="JA">[30]LISTE!$B$8:$B$10</definedName>
    <definedName name="JA_NEIN">#REF!</definedName>
    <definedName name="Jahr">#REF!</definedName>
    <definedName name="Jahre" localSheetId="8">[15]Lohnnebenkosten!$J$6:$J$12</definedName>
    <definedName name="Jahre">[16]Lohnnebenkosten!$J$6:$J$12</definedName>
    <definedName name="janein">#REF!</definedName>
    <definedName name="Kabelbaum" localSheetId="13">#REF!</definedName>
    <definedName name="Kabelbaum">#REF!</definedName>
    <definedName name="Kabelbaum_fd" localSheetId="13">#REF!</definedName>
    <definedName name="Kabelbaum_fd">#REF!</definedName>
    <definedName name="Kabelbaum_man." localSheetId="13">#REF!</definedName>
    <definedName name="Kabelbaum_man.">#REF!</definedName>
    <definedName name="Kmh" localSheetId="8">[19]Dropdown!$I$3:$I$27</definedName>
    <definedName name="Kmh">[20]Dropdown!$I$3:$I$27</definedName>
    <definedName name="KR_AB">#REF!</definedName>
    <definedName name="Kreuz">#REF!</definedName>
    <definedName name="Kurse">[16]!Table2[[Wechselkurse]:[Kurs]]</definedName>
    <definedName name="Lagerkonzept">'[8]basic data sequence'!$A$4:$A$35</definedName>
    <definedName name="Lagerkosten" localSheetId="13">#REF!</definedName>
    <definedName name="Lagerkosten">#REF!</definedName>
    <definedName name="Länder1" localSheetId="8">'[28]GTAI Haupt Basis'!$C$2:$D$29</definedName>
    <definedName name="Länder1">'[29]GTAI Haupt Basis'!$C$2:$D$29</definedName>
    <definedName name="Länder2" localSheetId="8">'[28]Regionen Basis'!$C$2:$D$254</definedName>
    <definedName name="Länder2">'[29]Regionen Basis'!$C$2:$D$254</definedName>
    <definedName name="Lautsprecher" localSheetId="13">#REF!</definedName>
    <definedName name="Lautsprecher">#REF!</definedName>
    <definedName name="Leicht">[30]LISTE!$D$3:$D$5</definedName>
    <definedName name="Liste">#REF!</definedName>
    <definedName name="Liste1">#REF!</definedName>
    <definedName name="LKZ_AB">#REF!</definedName>
    <definedName name="LKZ_AN">#REF!</definedName>
    <definedName name="LKZ_Luft_AB">#REF!</definedName>
    <definedName name="LKZ_Luft_AN">#REF!</definedName>
    <definedName name="LohnsteigerungenI" localSheetId="8">[15]Lohnnebenkosten!$J$15:$K$21</definedName>
    <definedName name="LohnsteigerungenI">[16]Lohnnebenkosten!$J$15:$K$21</definedName>
    <definedName name="LohnsteigerungenV" localSheetId="8">[15]Lohnnebenkosten!$J$6:$K$12</definedName>
    <definedName name="LohnsteigerungenV">[16]Lohnnebenkosten!$J$6:$K$12</definedName>
    <definedName name="Luftfracht">#REF!</definedName>
    <definedName name="matrix">#REF!</definedName>
    <definedName name="menge6" localSheetId="13">[10]Datenblatt!$O$18</definedName>
    <definedName name="menge6">[11]Datenblatt!$O$18</definedName>
    <definedName name="MK_el_Antr_hi">[22]hinten!$H$184</definedName>
    <definedName name="MK_el_Antrieb_BF">[22]vorn!$H$309</definedName>
    <definedName name="MK_el_Antrieb_FA">[22]vorn!$H$293</definedName>
    <definedName name="MK_el_Kabelb_BF">[22]vorn!$H$213</definedName>
    <definedName name="MK_el_Kabelb_FA">[22]vorn!$H$203</definedName>
    <definedName name="MK_el_Kabelb_hi">[22]hinten!$H$150</definedName>
    <definedName name="MK_el_Schloß_Beifahrer">[33]vorn!$H$114</definedName>
    <definedName name="MK_el_Schloß_Fahrer">[33]vorn!$H$105</definedName>
    <definedName name="MK_el_Schloß_hi">[22]hinten!$H$132</definedName>
    <definedName name="MK_el_Schloß_vo">[22]vorn!$H$184</definedName>
    <definedName name="MK_el_sT_hi">[22]hinten!$H$86</definedName>
    <definedName name="MK_GPFS_BF2">[22]vorn!$H$174</definedName>
    <definedName name="MK_GPFS_BF4">[22]vorn!$H$127</definedName>
    <definedName name="MK_GPFS_FA2">[22]vorn!$H$150</definedName>
    <definedName name="MK_GPFS_FA4">[22]vorn!$H$105</definedName>
    <definedName name="MK_Grundteil">[22]vorn!$H$81</definedName>
    <definedName name="MK_Grundteile_hi">[22]hinten!$H$52</definedName>
    <definedName name="MK_LAW_2tg">[22]vorn!$H$379</definedName>
    <definedName name="MK_LAW_4tg">[22]vorn!$H$353</definedName>
    <definedName name="MK_LAW_mit_LS">[22]vorn!$H$267</definedName>
    <definedName name="MK_LAW_Sidepad">[22]vorn!$H$392</definedName>
    <definedName name="MK_ma_Antr_hi">[22]hinten!$H$197</definedName>
    <definedName name="MK_ma_Antrieb_vo">[22]vorn!$H$326</definedName>
    <definedName name="MK_ma_basis_Kabelb_BF">[22]vorn!$H$251</definedName>
    <definedName name="MK_ma_basis_Kabelb_hi">[22]hinten!$H$169</definedName>
    <definedName name="MK_ma_Kabelb_BF">[22]vorn!$H$232</definedName>
    <definedName name="MK_ma_Kabelb_Fa">[22]vorn!$H$222</definedName>
    <definedName name="MK_ma_Schloß_hi">[22]hinten!$H$141</definedName>
    <definedName name="MK_ma_Schloß_vo">[22]vorn!$H$193</definedName>
    <definedName name="MK_ma_sT_hi">[22]hinten!$H$123</definedName>
    <definedName name="MK_Schalterblock_Beifahrer">[33]vorn!$H$256</definedName>
    <definedName name="MK_Schalterblock_Fahrer">[33]vorn!$H$243</definedName>
    <definedName name="mot_fa">[22]vorn!$G$284</definedName>
    <definedName name="mot_fd">[22]hinten!$G$175</definedName>
    <definedName name="MX_AB">#REF!</definedName>
    <definedName name="MY_AB">#REF!</definedName>
    <definedName name="Niv">#REF!</definedName>
    <definedName name="Niveau">#REF!</definedName>
    <definedName name="Niveau2">#REF!</definedName>
    <definedName name="Outer_Packaging_One_Way" localSheetId="8">[17]Basic_Data_Packaging!$B$194:$B$212</definedName>
    <definedName name="Outer_Packaging_One_Way">[18]Basic_Data_Packaging!$B$194:$B$212</definedName>
    <definedName name="Outer_Packaging_Returnables" localSheetId="8">[17]Basic_Data_Packaging!$B$216:$B$265</definedName>
    <definedName name="Outer_Packaging_Returnables">[18]Basic_Data_Packaging!$B$216:$B$265</definedName>
    <definedName name="OverT">#REF!</definedName>
    <definedName name="paul">'[21]All parts that have demand'!#REF!</definedName>
    <definedName name="Pay_Grades_Blue" localSheetId="8">'[34]2.1_Process_times'!$D$560:$D$569</definedName>
    <definedName name="Pay_Grades_Blue">'[35]2.1_Process_times'!$D$560:$D$569</definedName>
    <definedName name="Pfeil9">"Gerader Verbinder 39,Gerade Verbindung mit Pfeil 38"</definedName>
    <definedName name="Pivot" localSheetId="8">[28]Pivot!$A$1:$E$864</definedName>
    <definedName name="Pivot">[29]Pivot!$A$1:$E$864</definedName>
    <definedName name="Preisblatt" hidden="1">#REF!</definedName>
    <definedName name="ProdT">#REF!</definedName>
    <definedName name="projekt" localSheetId="8">[4]Allg!$E$7</definedName>
    <definedName name="projekt">[5]Allg!$E$7</definedName>
    <definedName name="Prozessbeteiligte" localSheetId="8">[17]Basic_Units!$Q$3:$Q$14</definedName>
    <definedName name="Prozessbeteiligte">[18]Basic_Units!$Q$3:$Q$14</definedName>
    <definedName name="Prozessnummer">#REF!</definedName>
    <definedName name="QuellWährung">[16]!Table2[Wechselkurse]</definedName>
    <definedName name="Risiko">#REF!</definedName>
    <definedName name="rot" localSheetId="8">[28]Daten!$B$2</definedName>
    <definedName name="rot">[29]Daten!$B$2</definedName>
    <definedName name="RU_AB">#REF!</definedName>
    <definedName name="RU_AN">#REF!</definedName>
    <definedName name="Schubmaststapler" localSheetId="13">#REF!</definedName>
    <definedName name="Schubmaststapler" localSheetId="6">#REF!</definedName>
    <definedName name="Schubmaststapler">#REF!</definedName>
    <definedName name="Seetarife">#REF!</definedName>
    <definedName name="Setzteil" localSheetId="13">#REF!</definedName>
    <definedName name="Setzteil">#REF!</definedName>
    <definedName name="Sick">#REF!</definedName>
    <definedName name="sid">'[21]All parts that have demand'!#REF!</definedName>
    <definedName name="Stabil">[30]LISTE!$B$31:$B$33</definedName>
    <definedName name="Staplerarten">#REF!</definedName>
    <definedName name="status_neu" localSheetId="8">[4]Allg!$E$8</definedName>
    <definedName name="status_neu">[5]Allg!$E$8</definedName>
    <definedName name="t">#REF!</definedName>
    <definedName name="TC" localSheetId="8">[36]Budget!#REF!</definedName>
    <definedName name="TC">[37]Budget!#REF!</definedName>
    <definedName name="Teil_Breite">'[38]Line-Rechner'!$G$6</definedName>
    <definedName name="Teil_Höhe">'[38]Line-Rechner'!$H$6</definedName>
    <definedName name="Teil_Länge">'[38]Line-Rechner'!$F$6</definedName>
    <definedName name="TEST">[39]Allg!$G$3</definedName>
    <definedName name="TESTFORMEL">#REF!</definedName>
    <definedName name="TH_AB">#REF!</definedName>
    <definedName name="Träger_Breite">'[38]Line-Rechner'!$G$7</definedName>
    <definedName name="Träger_Höhe">'[38]Line-Rechner'!$H$7</definedName>
    <definedName name="Träger_Länge">'[38]Line-Rechner'!$F$7</definedName>
    <definedName name="Transportkonzept" localSheetId="8">[17]Basic_Units!$J$4:$J$11</definedName>
    <definedName name="Transportkonzept">[18]Basic_Units!$J$4:$J$11</definedName>
    <definedName name="Transportmittel">'[40]basic data transport'!$A$14:$A$29</definedName>
    <definedName name="TS_el_Fa" localSheetId="13">#REF!</definedName>
    <definedName name="TS_el_Fa">#REF!</definedName>
    <definedName name="TS_el_fd" localSheetId="13">#REF!</definedName>
    <definedName name="TS_el_fd">#REF!</definedName>
    <definedName name="TS_LG">#REF!</definedName>
    <definedName name="TS_Man_Fa" localSheetId="13">#REF!</definedName>
    <definedName name="TS_Man_Fa">#REF!</definedName>
    <definedName name="TS_man_Fd" localSheetId="13">#REF!</definedName>
    <definedName name="TS_man_Fd">#REF!</definedName>
    <definedName name="TSG_BF">[33]vorn!$H$202</definedName>
    <definedName name="TSG_FA">[33]vorn!$H$186</definedName>
    <definedName name="TTC">#REF!</definedName>
    <definedName name="twm">#REF!</definedName>
    <definedName name="typ_of_transport" localSheetId="8">[17]Basic_Units!$H$3:$H$5</definedName>
    <definedName name="typ_of_transport">[18]Basic_Units!$H$3:$H$5</definedName>
    <definedName name="Umsatz">[41]Prices!$H$93</definedName>
    <definedName name="ungefähr">[30]LISTE!$D$7:$D$9</definedName>
    <definedName name="US_AB">#REF!</definedName>
    <definedName name="v">'[2]master data equipment'!#REF!</definedName>
    <definedName name="Verbau">#REF!</definedName>
    <definedName name="Verpack">#REF!</definedName>
    <definedName name="Verschiffung">#REF!</definedName>
    <definedName name="volume" localSheetId="8">[4]Allg!$E$9</definedName>
    <definedName name="volume">[5]Allg!$E$9</definedName>
    <definedName name="Währungen" localSheetId="8">[28]Währungen!$A$1:$C$50</definedName>
    <definedName name="Währungen">[29]Währungen!$A$1:$C$50</definedName>
    <definedName name="wrn.fixkosten." localSheetId="0" hidden="1">{"fixkosten",#N/A,FALSE,"Gesamt"}</definedName>
    <definedName name="wrn.fixkosten." localSheetId="8" hidden="1">{"fixkosten",#N/A,FALSE,"Gesamt"}</definedName>
    <definedName name="wrn.fixkosten." localSheetId="13" hidden="1">{"fixkosten",#N/A,FALSE,"Gesamt"}</definedName>
    <definedName name="wrn.fixkosten." localSheetId="6" hidden="1">{"fixkosten",#N/A,FALSE,"Gesamt"}</definedName>
    <definedName name="wrn.fixkosten." hidden="1">{"fixkosten",#N/A,FALSE,"Gesamt"}</definedName>
    <definedName name="ZA_AB">#REF!</definedName>
    <definedName name="ZA_AN">#REF!</definedName>
    <definedName name="Zinssatz_Energie" localSheetId="8">'[28]Zinssatz &amp; Energie'!$A$3:$T$67</definedName>
    <definedName name="Zinssatz_Energie">'[29]Zinssatz &amp; Energie'!$A$3:$T$67</definedName>
    <definedName name="Zoll_el_Antr_BF">[22]vorn!$J$309</definedName>
    <definedName name="Zoll_el_Antr_FA">[22]vorn!$J$293</definedName>
    <definedName name="Zoll_el_Antr_hi">[22]hinten!$J$184</definedName>
    <definedName name="Zoll_el_Kabelb_BF">[22]vorn!$J$213</definedName>
    <definedName name="Zoll_el_Kabelb_FA">[22]vorn!$J$203</definedName>
    <definedName name="Zoll_el_Kabelb_hi">[22]hinten!$J$150</definedName>
    <definedName name="Zoll_el_Schloß_hi">[22]hinten!$J$132</definedName>
    <definedName name="Zoll_el_Schloß_vo">[22]vorn!$J$184</definedName>
    <definedName name="Zoll_el_sT_hi">[22]hinten!$J$86</definedName>
    <definedName name="Zoll_GPFS_BF2">[22]vorn!$J$174</definedName>
    <definedName name="Zoll_GPFS_BF4">[22]vorn!$J$127</definedName>
    <definedName name="Zoll_GPFS_FA2">[22]vorn!$J$150</definedName>
    <definedName name="Zoll_GPFS_FA4">[22]vorn!$J$105</definedName>
    <definedName name="Zoll_Grundteile_hi">[22]hinten!$J$52</definedName>
    <definedName name="Zoll_Grundteile_vo">[22]vorn!$J$81</definedName>
    <definedName name="Zoll_LAW_2t">[22]vorn!$J$379</definedName>
    <definedName name="Zoll_LAW_4t">[22]vorn!$J$353</definedName>
    <definedName name="Zoll_ma_Antr_hi">[22]hinten!$J$197</definedName>
    <definedName name="Zoll_ma_Antr_vo">[22]vorn!$J$326</definedName>
    <definedName name="Zoll_ma_basis_Kabelb_BF">[22]vorn!$J$251</definedName>
    <definedName name="Zoll_ma_basis_Kabelb_hi">[22]hinten!$J$169</definedName>
    <definedName name="Zoll_ma_Kabelb_BF">[22]vorn!$J$232</definedName>
    <definedName name="Zoll_ma_Kabelb_FA">[22]vorn!$J$222</definedName>
    <definedName name="Zoll_ma_Schloß_hi">[22]hinten!$J$141</definedName>
    <definedName name="Zoll_ma_Schloß_vo">[22]vorn!$J$193</definedName>
    <definedName name="Zoll_ma_sT_hi">[22]hinten!$J$123</definedName>
    <definedName name="Zoll_mit_LS">[22]vorn!$J$267</definedName>
    <definedName name="Zoll_Sidepad">[22]vorn!$J$392</definedName>
    <definedName name="ZR_kurz" localSheetId="8">[19]Dropdown!$F$2:$F$33</definedName>
    <definedName name="ZR_kurz">[20]Dropdown!$F$2:$F$33</definedName>
    <definedName name="ZR_lang" localSheetId="8">[19]Dropdown!$F$2:$F$113</definedName>
    <definedName name="ZR_lang">[20]Dropdown!$F$2:$F$113</definedName>
    <definedName name="ZR_mittel">#REF!</definedName>
    <definedName name="zrkurz" localSheetId="8">[19]Dropdown!$F$3:$F$33</definedName>
    <definedName name="zrkurz">[20]Dropdown!$F$3:$F$33</definedName>
    <definedName name="zrlang" localSheetId="8">[19]Dropdown!$F$3:$F$103</definedName>
    <definedName name="zrlang">[20]Dropdown!$F$3:$F$103</definedName>
    <definedName name="Zugriffsbeschränkung">#REF!</definedName>
    <definedName name="Zustand">#REF!</definedName>
  </definedNames>
  <calcPr calcId="191029"/>
  <pivotCaches>
    <pivotCache cacheId="10" r:id="rId5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26" l="1"/>
  <c r="D2" i="26"/>
  <c r="O55" i="19"/>
  <c r="O56" i="19"/>
  <c r="D38" i="11"/>
  <c r="G16" i="27"/>
  <c r="G18" i="27"/>
  <c r="G17" i="27"/>
  <c r="F38" i="27" l="1"/>
  <c r="F43" i="27"/>
  <c r="F32" i="27"/>
  <c r="F26" i="27"/>
  <c r="C9" i="27"/>
  <c r="C13" i="27"/>
  <c r="C12" i="27"/>
  <c r="B11" i="27"/>
  <c r="C10" i="27"/>
  <c r="M12" i="27"/>
  <c r="N12" i="27" s="1"/>
  <c r="M10" i="27"/>
  <c r="N10" i="27" s="1"/>
  <c r="I12" i="27"/>
  <c r="I9" i="27"/>
  <c r="D15" i="27"/>
  <c r="C14" i="27" l="1"/>
  <c r="F49" i="27"/>
  <c r="I15" i="27"/>
  <c r="C11" i="27"/>
  <c r="C15" i="27" s="1"/>
  <c r="H53" i="15"/>
  <c r="H52" i="15"/>
  <c r="H55" i="15"/>
  <c r="H49" i="15"/>
  <c r="R54" i="15"/>
  <c r="A60" i="16"/>
  <c r="H82" i="15"/>
  <c r="H80" i="15"/>
  <c r="H85" i="15"/>
  <c r="M35" i="11"/>
  <c r="M33" i="11"/>
  <c r="M28" i="11"/>
  <c r="M23" i="11"/>
  <c r="M20" i="11"/>
  <c r="K30" i="11"/>
  <c r="O53" i="19"/>
  <c r="C54" i="19"/>
  <c r="C53" i="19"/>
  <c r="F29" i="26"/>
  <c r="F28" i="26"/>
  <c r="D27" i="26"/>
  <c r="F27" i="26" s="1"/>
  <c r="H27" i="26" s="1"/>
  <c r="M158" i="16"/>
  <c r="M156" i="16"/>
  <c r="D24" i="26" s="1"/>
  <c r="D26" i="26" s="1"/>
  <c r="D22" i="26"/>
  <c r="F22" i="26" s="1"/>
  <c r="H22" i="26" s="1"/>
  <c r="C25" i="26"/>
  <c r="C26" i="26" s="1"/>
  <c r="C23" i="26"/>
  <c r="C24" i="26"/>
  <c r="D6" i="26"/>
  <c r="D7" i="26"/>
  <c r="D8" i="26"/>
  <c r="D9" i="26"/>
  <c r="D10" i="26"/>
  <c r="D11" i="26"/>
  <c r="D12" i="26"/>
  <c r="D13" i="26"/>
  <c r="D14" i="26"/>
  <c r="D15" i="26"/>
  <c r="D16" i="26"/>
  <c r="D5" i="26"/>
  <c r="B16" i="26"/>
  <c r="B6" i="26"/>
  <c r="B7" i="26"/>
  <c r="B8" i="26"/>
  <c r="B9" i="26"/>
  <c r="B10" i="26"/>
  <c r="B11" i="26"/>
  <c r="B12" i="26"/>
  <c r="B13" i="26"/>
  <c r="G28" i="26" s="1"/>
  <c r="B14" i="26"/>
  <c r="G29" i="26" s="1"/>
  <c r="B15" i="26"/>
  <c r="G30" i="26" s="1"/>
  <c r="B5" i="26"/>
  <c r="D40" i="11"/>
  <c r="D36" i="11"/>
  <c r="D26" i="11"/>
  <c r="D23" i="26" l="1"/>
  <c r="D25" i="26" s="1"/>
  <c r="F25" i="26" s="1"/>
  <c r="H25" i="26" s="1"/>
  <c r="H29" i="26"/>
  <c r="H28" i="26"/>
  <c r="F26" i="26"/>
  <c r="H26" i="26" s="1"/>
  <c r="F24" i="26"/>
  <c r="H24" i="26" s="1"/>
  <c r="F23" i="26"/>
  <c r="H23" i="26" s="1"/>
  <c r="R62" i="15"/>
  <c r="R88" i="15" s="1"/>
  <c r="G69" i="10" l="1"/>
  <c r="G67" i="10" s="1"/>
  <c r="I41" i="16"/>
  <c r="I14" i="16"/>
  <c r="E14" i="16"/>
  <c r="A14" i="16"/>
  <c r="H67" i="15"/>
  <c r="H66" i="15"/>
  <c r="H63" i="15"/>
  <c r="H59" i="15"/>
  <c r="H51" i="15"/>
  <c r="T15" i="22"/>
  <c r="M122" i="16"/>
  <c r="A120" i="16"/>
  <c r="T16" i="22" l="1"/>
  <c r="H64" i="15"/>
  <c r="H65" i="15" s="1"/>
  <c r="P150" i="16"/>
  <c r="A150" i="16"/>
  <c r="P72" i="16"/>
  <c r="A72" i="16"/>
  <c r="K29" i="16"/>
  <c r="L29" i="16" s="1"/>
  <c r="N29" i="16" s="1"/>
  <c r="A29" i="16"/>
  <c r="M18" i="23"/>
  <c r="M17" i="23"/>
  <c r="M16" i="23"/>
  <c r="J26" i="10"/>
  <c r="F61" i="16" s="1"/>
  <c r="R39" i="15"/>
  <c r="E24" i="25"/>
  <c r="E23" i="25"/>
  <c r="E33" i="25" s="1"/>
  <c r="E30" i="25"/>
  <c r="E28" i="25"/>
  <c r="D19" i="25"/>
  <c r="C57" i="10"/>
  <c r="C56" i="10" s="1"/>
  <c r="D57" i="10"/>
  <c r="D56" i="10" s="1"/>
  <c r="E57" i="10"/>
  <c r="E56" i="10" s="1"/>
  <c r="F57" i="10"/>
  <c r="F56" i="10" s="1"/>
  <c r="B57" i="10"/>
  <c r="F124" i="16"/>
  <c r="C8" i="10"/>
  <c r="C7" i="10" s="1"/>
  <c r="D8" i="10"/>
  <c r="D7" i="10" s="1"/>
  <c r="E8" i="10"/>
  <c r="E7" i="10" s="1"/>
  <c r="E6" i="10" s="1"/>
  <c r="F8" i="10"/>
  <c r="F7" i="10" s="1"/>
  <c r="B8" i="10"/>
  <c r="R47" i="15" s="1"/>
  <c r="E29" i="25" l="1"/>
  <c r="E32" i="25" s="1"/>
  <c r="B7" i="10"/>
  <c r="B6" i="10" s="1"/>
  <c r="T11" i="22"/>
  <c r="D6" i="10"/>
  <c r="D5" i="10" s="1"/>
  <c r="C6" i="10"/>
  <c r="C5" i="10" s="1"/>
  <c r="E5" i="10"/>
  <c r="F6" i="10"/>
  <c r="F5" i="10" s="1"/>
  <c r="T10" i="22"/>
  <c r="R84" i="15"/>
  <c r="D40" i="25"/>
  <c r="R113" i="15" s="1"/>
  <c r="D39" i="25"/>
  <c r="D38" i="25"/>
  <c r="D37" i="25"/>
  <c r="R110" i="15" s="1"/>
  <c r="B69" i="10"/>
  <c r="B67" i="10" s="1"/>
  <c r="J67" i="10" s="1"/>
  <c r="E69" i="10"/>
  <c r="G53" i="10"/>
  <c r="F53" i="10" s="1"/>
  <c r="E36" i="10"/>
  <c r="B36" i="10"/>
  <c r="R38" i="15"/>
  <c r="L46" i="23"/>
  <c r="K46" i="23"/>
  <c r="J46" i="23"/>
  <c r="L44" i="23"/>
  <c r="K44" i="23"/>
  <c r="J44" i="23"/>
  <c r="M43" i="23"/>
  <c r="M42" i="23"/>
  <c r="M41" i="23"/>
  <c r="M40" i="23"/>
  <c r="M39" i="23"/>
  <c r="M37" i="23"/>
  <c r="M36" i="23"/>
  <c r="M35" i="23"/>
  <c r="M34" i="23"/>
  <c r="M33" i="23"/>
  <c r="M31" i="23"/>
  <c r="B5" i="10" l="1"/>
  <c r="H23" i="23"/>
  <c r="I23" i="23"/>
  <c r="H24" i="23"/>
  <c r="I24" i="23"/>
  <c r="B14" i="23"/>
  <c r="B13" i="23"/>
  <c r="B12" i="23"/>
  <c r="B11" i="23"/>
  <c r="B10" i="23"/>
  <c r="B9" i="23"/>
  <c r="B8" i="23"/>
  <c r="B7" i="23"/>
  <c r="B6" i="23"/>
  <c r="B5" i="23"/>
  <c r="I32" i="23"/>
  <c r="H32" i="23"/>
  <c r="G32" i="23"/>
  <c r="F32" i="23"/>
  <c r="E32" i="23"/>
  <c r="D32" i="23"/>
  <c r="H22" i="23" l="1"/>
  <c r="H44" i="23" s="1"/>
  <c r="I22" i="23"/>
  <c r="I44" i="23" s="1"/>
  <c r="I19" i="23"/>
  <c r="C32" i="23"/>
  <c r="M32" i="23" s="1"/>
  <c r="H19" i="23"/>
  <c r="I45" i="23" l="1"/>
  <c r="I46" i="23" s="1"/>
  <c r="H45" i="23"/>
  <c r="H46" i="23" s="1"/>
  <c r="D9" i="22" l="1"/>
  <c r="D10" i="22"/>
  <c r="D11" i="22"/>
  <c r="D12" i="22"/>
  <c r="D13" i="22"/>
  <c r="D14" i="22"/>
  <c r="D15" i="22"/>
  <c r="D16" i="22"/>
  <c r="D17" i="22"/>
  <c r="D7" i="22"/>
  <c r="T13" i="22"/>
  <c r="T9" i="22"/>
  <c r="T7" i="22"/>
  <c r="K11" i="11"/>
  <c r="L11" i="11"/>
  <c r="M11" i="11"/>
  <c r="N11" i="11"/>
  <c r="O11" i="11"/>
  <c r="K12" i="11"/>
  <c r="L12" i="11"/>
  <c r="M12" i="11"/>
  <c r="N12" i="11"/>
  <c r="O12" i="11"/>
  <c r="K15" i="11"/>
  <c r="L15" i="11"/>
  <c r="M15" i="11"/>
  <c r="N15" i="11"/>
  <c r="O15" i="11"/>
  <c r="K16" i="11"/>
  <c r="L16" i="11"/>
  <c r="M16" i="11"/>
  <c r="N16" i="11"/>
  <c r="O16" i="11"/>
  <c r="K17" i="11"/>
  <c r="L17" i="11"/>
  <c r="M17" i="11"/>
  <c r="N17" i="11"/>
  <c r="O17" i="11"/>
  <c r="K18" i="11"/>
  <c r="L18" i="11"/>
  <c r="M18" i="11"/>
  <c r="N18" i="11"/>
  <c r="O18" i="11"/>
  <c r="K19" i="11"/>
  <c r="L19" i="11"/>
  <c r="M19" i="11"/>
  <c r="N19" i="11"/>
  <c r="O19" i="11"/>
  <c r="K20" i="11"/>
  <c r="K23" i="11"/>
  <c r="K25" i="11"/>
  <c r="K26" i="11"/>
  <c r="K28" i="11"/>
  <c r="K29" i="11"/>
  <c r="K31" i="11"/>
  <c r="K33" i="11"/>
  <c r="K34" i="11"/>
  <c r="K35" i="11"/>
  <c r="K36" i="11"/>
  <c r="K38" i="11"/>
  <c r="K39" i="11"/>
  <c r="K40" i="11"/>
  <c r="K41" i="11"/>
  <c r="K45" i="11"/>
  <c r="K47" i="11"/>
  <c r="K48" i="11"/>
  <c r="K49" i="11"/>
  <c r="K50" i="11"/>
  <c r="K51" i="11"/>
  <c r="K52" i="11"/>
  <c r="L52" i="11"/>
  <c r="M52" i="11"/>
  <c r="N52" i="11"/>
  <c r="O52" i="11"/>
  <c r="K53" i="11"/>
  <c r="L53" i="11"/>
  <c r="M53" i="11"/>
  <c r="N53" i="11"/>
  <c r="O53" i="11"/>
  <c r="D18" i="22" l="1"/>
  <c r="A3" i="16" l="1"/>
  <c r="A4" i="16"/>
  <c r="A5" i="16"/>
  <c r="A6" i="16"/>
  <c r="A7" i="16"/>
  <c r="A8" i="16"/>
  <c r="A9" i="16"/>
  <c r="A10" i="16"/>
  <c r="A11" i="16"/>
  <c r="A12" i="16"/>
  <c r="A13" i="16"/>
  <c r="A15" i="16"/>
  <c r="A16" i="16"/>
  <c r="A17" i="16"/>
  <c r="A18" i="16"/>
  <c r="A19" i="16"/>
  <c r="A20" i="16"/>
  <c r="A21" i="16"/>
  <c r="A22" i="16"/>
  <c r="A23" i="16"/>
  <c r="A24" i="16"/>
  <c r="A25" i="16"/>
  <c r="A26" i="16"/>
  <c r="A27" i="16"/>
  <c r="A28"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1" i="16"/>
  <c r="A62" i="16"/>
  <c r="A63" i="16"/>
  <c r="A64" i="16"/>
  <c r="A65" i="16"/>
  <c r="A66" i="16"/>
  <c r="A67" i="16"/>
  <c r="A68" i="16"/>
  <c r="A69" i="16"/>
  <c r="A70" i="16"/>
  <c r="A71"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1" i="16"/>
  <c r="A152" i="16"/>
  <c r="A153" i="16"/>
  <c r="A154" i="16"/>
  <c r="A155" i="16"/>
  <c r="A156" i="16"/>
  <c r="A157" i="16"/>
  <c r="A158" i="16"/>
  <c r="A159" i="16"/>
  <c r="A160" i="16"/>
  <c r="A161" i="16"/>
  <c r="A162" i="16"/>
  <c r="A163" i="16"/>
  <c r="A164" i="16"/>
  <c r="A2" i="16"/>
  <c r="C19" i="11"/>
  <c r="C18" i="11"/>
  <c r="C17" i="11"/>
  <c r="C16" i="11"/>
  <c r="C15" i="11"/>
  <c r="C13" i="11"/>
  <c r="C14" i="11"/>
  <c r="E11" i="11"/>
  <c r="E12" i="11"/>
  <c r="E5" i="11"/>
  <c r="F122" i="15"/>
  <c r="K5" i="11" l="1"/>
  <c r="P22" i="15"/>
  <c r="V22" i="15" s="1"/>
  <c r="W22" i="15" s="1"/>
  <c r="X22" i="15" s="1"/>
  <c r="Y22" i="15" s="1"/>
  <c r="Z22" i="15" s="1"/>
  <c r="P21" i="15"/>
  <c r="P20" i="15"/>
  <c r="V20" i="15" s="1"/>
  <c r="W20" i="15" s="1"/>
  <c r="X20" i="15" s="1"/>
  <c r="Y20" i="15" s="1"/>
  <c r="Z20" i="15" s="1"/>
  <c r="P19" i="15"/>
  <c r="V19" i="15" s="1"/>
  <c r="W19" i="15" s="1"/>
  <c r="X19" i="15" s="1"/>
  <c r="Y19" i="15" s="1"/>
  <c r="Z19" i="15" s="1"/>
  <c r="S11" i="15"/>
  <c r="P11" i="15" s="1"/>
  <c r="S18" i="15"/>
  <c r="P18" i="15" s="1"/>
  <c r="S17" i="15"/>
  <c r="P17" i="15" s="1"/>
  <c r="S16" i="15"/>
  <c r="P16" i="15" s="1"/>
  <c r="S15" i="15"/>
  <c r="P15" i="15" s="1"/>
  <c r="S14" i="15"/>
  <c r="P14" i="15" s="1"/>
  <c r="S13" i="15"/>
  <c r="P13" i="15" s="1"/>
  <c r="S12" i="15"/>
  <c r="P12" i="15" s="1"/>
  <c r="K164" i="16"/>
  <c r="I164" i="16"/>
  <c r="K163" i="16"/>
  <c r="I163" i="16"/>
  <c r="K162" i="16"/>
  <c r="I162" i="16"/>
  <c r="K161" i="16"/>
  <c r="I161" i="16"/>
  <c r="T112" i="15"/>
  <c r="R109" i="15"/>
  <c r="F154" i="16" s="1"/>
  <c r="F122" i="16"/>
  <c r="F121" i="16" s="1"/>
  <c r="AB150" i="16" l="1"/>
  <c r="AB72" i="16"/>
  <c r="F157" i="16"/>
  <c r="F158" i="16" s="1"/>
  <c r="F159" i="16"/>
  <c r="F160" i="16" s="1"/>
  <c r="F161" i="16"/>
  <c r="F162" i="16" s="1"/>
  <c r="F163" i="16"/>
  <c r="F164" i="16" s="1"/>
  <c r="F155" i="16"/>
  <c r="F156" i="16" s="1"/>
  <c r="F152" i="16"/>
  <c r="F153" i="16" s="1"/>
  <c r="L164" i="16"/>
  <c r="N164" i="16" s="1"/>
  <c r="L163" i="16"/>
  <c r="N163" i="16" s="1"/>
  <c r="L161" i="16"/>
  <c r="N161" i="16" s="1"/>
  <c r="L162" i="16"/>
  <c r="N162" i="16" s="1"/>
  <c r="P162" i="16" l="1"/>
  <c r="AB162" i="16" s="1"/>
  <c r="P161" i="16"/>
  <c r="AB161" i="16" s="1"/>
  <c r="P163" i="16"/>
  <c r="AB163" i="16" s="1"/>
  <c r="P164" i="16"/>
  <c r="AB164" i="16" s="1"/>
  <c r="I13" i="16" l="1"/>
  <c r="I15" i="16"/>
  <c r="I17" i="16"/>
  <c r="I18" i="16"/>
  <c r="I19" i="16"/>
  <c r="I20" i="16"/>
  <c r="I21" i="16"/>
  <c r="I22" i="16"/>
  <c r="I23" i="16"/>
  <c r="I24" i="16"/>
  <c r="I25" i="16"/>
  <c r="I26" i="16"/>
  <c r="I27" i="16"/>
  <c r="I28" i="16"/>
  <c r="I30" i="16"/>
  <c r="I33" i="16"/>
  <c r="I35" i="16"/>
  <c r="I36" i="16"/>
  <c r="I37" i="16"/>
  <c r="I38" i="16"/>
  <c r="I42" i="16"/>
  <c r="I43" i="16"/>
  <c r="I45" i="16"/>
  <c r="I49" i="16"/>
  <c r="I50" i="16"/>
  <c r="I52" i="16"/>
  <c r="I53" i="16"/>
  <c r="I54" i="16"/>
  <c r="I57" i="16"/>
  <c r="I58" i="16"/>
  <c r="I59" i="16"/>
  <c r="I61" i="16"/>
  <c r="I62" i="16"/>
  <c r="I63" i="16"/>
  <c r="I64" i="16"/>
  <c r="I65" i="16"/>
  <c r="I68" i="16"/>
  <c r="I69" i="16"/>
  <c r="I70" i="16"/>
  <c r="I71" i="16"/>
  <c r="I73" i="16"/>
  <c r="I74" i="16"/>
  <c r="I75" i="16"/>
  <c r="I76" i="16"/>
  <c r="I79" i="16"/>
  <c r="I80" i="16"/>
  <c r="I81" i="16"/>
  <c r="I83" i="16"/>
  <c r="I84" i="16"/>
  <c r="I88" i="16"/>
  <c r="I89" i="16"/>
  <c r="I90" i="16"/>
  <c r="I92" i="16"/>
  <c r="I93" i="16"/>
  <c r="I96" i="16"/>
  <c r="I97" i="16"/>
  <c r="I98" i="16"/>
  <c r="I101" i="16"/>
  <c r="I105" i="16"/>
  <c r="I106" i="16"/>
  <c r="I107" i="16"/>
  <c r="I111" i="16"/>
  <c r="I112" i="16"/>
  <c r="I113" i="16"/>
  <c r="I116" i="16"/>
  <c r="I117" i="16"/>
  <c r="I118" i="16"/>
  <c r="I119"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51" i="16"/>
  <c r="I152" i="16"/>
  <c r="I153" i="16"/>
  <c r="I154" i="16"/>
  <c r="I155" i="16"/>
  <c r="I156" i="16"/>
  <c r="I157" i="16"/>
  <c r="I158" i="16"/>
  <c r="I159" i="16"/>
  <c r="I160" i="16"/>
  <c r="I3" i="16"/>
  <c r="I4" i="16"/>
  <c r="I5" i="16"/>
  <c r="I6" i="16"/>
  <c r="I7" i="16"/>
  <c r="I8" i="16"/>
  <c r="I9" i="16"/>
  <c r="I11" i="16"/>
  <c r="I2" i="16"/>
  <c r="I66" i="16"/>
  <c r="K70" i="16"/>
  <c r="F70" i="16"/>
  <c r="F71" i="16" s="1"/>
  <c r="P71" i="16" s="1"/>
  <c r="M25" i="16"/>
  <c r="M62" i="16"/>
  <c r="K61" i="16"/>
  <c r="K62" i="16"/>
  <c r="K63" i="16"/>
  <c r="F63" i="16"/>
  <c r="F26" i="16"/>
  <c r="F62" i="16"/>
  <c r="F24" i="16"/>
  <c r="G62" i="16"/>
  <c r="E63" i="16"/>
  <c r="K26" i="16"/>
  <c r="K25" i="16"/>
  <c r="K24" i="16"/>
  <c r="G25" i="16"/>
  <c r="M124" i="16"/>
  <c r="F123" i="16"/>
  <c r="K123" i="16"/>
  <c r="B122" i="16"/>
  <c r="K94" i="16"/>
  <c r="K95" i="16"/>
  <c r="K96" i="16"/>
  <c r="K97" i="16"/>
  <c r="K98" i="16"/>
  <c r="K101" i="16"/>
  <c r="K109" i="16"/>
  <c r="K110" i="16"/>
  <c r="K102" i="16"/>
  <c r="K103" i="16"/>
  <c r="K104" i="16"/>
  <c r="K105" i="16"/>
  <c r="K106" i="16"/>
  <c r="K107" i="16"/>
  <c r="K108" i="16"/>
  <c r="K114" i="16"/>
  <c r="K115" i="16"/>
  <c r="K121" i="16"/>
  <c r="K122"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51" i="16"/>
  <c r="K152" i="16"/>
  <c r="K153" i="16"/>
  <c r="K154" i="16"/>
  <c r="K155" i="16"/>
  <c r="K156" i="16"/>
  <c r="K157" i="16"/>
  <c r="K158" i="16"/>
  <c r="K77" i="16"/>
  <c r="K67" i="16"/>
  <c r="K66" i="16"/>
  <c r="K56" i="16"/>
  <c r="K55" i="16"/>
  <c r="K52" i="16"/>
  <c r="K34" i="16"/>
  <c r="AB71" i="16" l="1"/>
  <c r="L70" i="16"/>
  <c r="N70" i="16" s="1"/>
  <c r="P70" i="16" s="1"/>
  <c r="L63" i="16"/>
  <c r="N63" i="16" s="1"/>
  <c r="P63" i="16" s="1"/>
  <c r="L61" i="16"/>
  <c r="N61" i="16" s="1"/>
  <c r="P61" i="16" s="1"/>
  <c r="L62" i="16"/>
  <c r="N62" i="16" s="1"/>
  <c r="P62" i="16" s="1"/>
  <c r="L124" i="16"/>
  <c r="N124" i="16" s="1"/>
  <c r="P124" i="16" s="1"/>
  <c r="L122" i="16"/>
  <c r="N122" i="16" s="1"/>
  <c r="P122" i="16" s="1"/>
  <c r="L24" i="16"/>
  <c r="N24" i="16" s="1"/>
  <c r="P24" i="16" s="1"/>
  <c r="L25" i="16"/>
  <c r="N25" i="16" s="1"/>
  <c r="L26" i="16"/>
  <c r="N26" i="16" s="1"/>
  <c r="P26" i="16" s="1"/>
  <c r="L123" i="16"/>
  <c r="N123" i="16" s="1"/>
  <c r="P123" i="16" s="1"/>
  <c r="L52" i="16"/>
  <c r="N52" i="16" s="1"/>
  <c r="AB124" i="16" l="1"/>
  <c r="AB122" i="16"/>
  <c r="AB123" i="16"/>
  <c r="AB62" i="16"/>
  <c r="AB26" i="16"/>
  <c r="AB24" i="16"/>
  <c r="AB61" i="16"/>
  <c r="AB63" i="16"/>
  <c r="AB70" i="16"/>
  <c r="F23" i="16"/>
  <c r="G13" i="16"/>
  <c r="R43" i="15"/>
  <c r="F25" i="16"/>
  <c r="P25" i="16" s="1"/>
  <c r="R98" i="15"/>
  <c r="E35" i="15"/>
  <c r="H35" i="15" s="1"/>
  <c r="E33" i="15"/>
  <c r="H33" i="15" s="1"/>
  <c r="E38" i="15"/>
  <c r="E39" i="15"/>
  <c r="E37" i="15"/>
  <c r="E36" i="15"/>
  <c r="F24" i="10"/>
  <c r="F25" i="10" s="1"/>
  <c r="R34" i="15"/>
  <c r="H14" i="10"/>
  <c r="H23" i="10"/>
  <c r="F3" i="16" s="1"/>
  <c r="R78" i="15"/>
  <c r="R70" i="15"/>
  <c r="L101" i="16"/>
  <c r="N101" i="16" s="1"/>
  <c r="K78" i="16"/>
  <c r="R35" i="15" l="1"/>
  <c r="T35" i="15" s="1"/>
  <c r="T38" i="15" s="1"/>
  <c r="F17" i="16" s="1"/>
  <c r="H26" i="10"/>
  <c r="I26" i="10" s="1"/>
  <c r="AB25" i="16"/>
  <c r="I102" i="16"/>
  <c r="L102" i="16" s="1"/>
  <c r="N102" i="16" s="1"/>
  <c r="I94" i="16"/>
  <c r="L94" i="16" s="1"/>
  <c r="N94" i="16" s="1"/>
  <c r="I47" i="16"/>
  <c r="F26" i="10"/>
  <c r="F32" i="10" s="1"/>
  <c r="G32" i="10" s="1"/>
  <c r="L96" i="16"/>
  <c r="N96" i="16" s="1"/>
  <c r="L97" i="16"/>
  <c r="N97" i="16" s="1"/>
  <c r="L98" i="16"/>
  <c r="L105" i="16"/>
  <c r="L106" i="16"/>
  <c r="L107" i="16"/>
  <c r="L121" i="16"/>
  <c r="N121" i="16" s="1"/>
  <c r="P121" i="16" s="1"/>
  <c r="L151" i="16"/>
  <c r="N151" i="16" s="1"/>
  <c r="P151" i="16" s="1"/>
  <c r="L152" i="16"/>
  <c r="N152" i="16" s="1"/>
  <c r="P152" i="16" s="1"/>
  <c r="L153" i="16"/>
  <c r="N153" i="16" s="1"/>
  <c r="P153" i="16" s="1"/>
  <c r="L154" i="16"/>
  <c r="N154" i="16" s="1"/>
  <c r="P154" i="16" s="1"/>
  <c r="L155" i="16"/>
  <c r="N155" i="16" s="1"/>
  <c r="P155" i="16" s="1"/>
  <c r="L156" i="16"/>
  <c r="N156" i="16" s="1"/>
  <c r="P156" i="16" s="1"/>
  <c r="L157" i="16"/>
  <c r="N157" i="16" s="1"/>
  <c r="P157" i="16" s="1"/>
  <c r="L158" i="16"/>
  <c r="N158" i="16" s="1"/>
  <c r="P158" i="16" s="1"/>
  <c r="L125" i="16"/>
  <c r="N125" i="16" s="1"/>
  <c r="L126" i="16"/>
  <c r="N126" i="16" s="1"/>
  <c r="L127" i="16"/>
  <c r="N127" i="16" s="1"/>
  <c r="L128" i="16"/>
  <c r="N128" i="16" s="1"/>
  <c r="L129" i="16"/>
  <c r="N129" i="16" s="1"/>
  <c r="L130" i="16"/>
  <c r="N130" i="16" s="1"/>
  <c r="L131" i="16"/>
  <c r="N131" i="16" s="1"/>
  <c r="L132" i="16"/>
  <c r="N132" i="16" s="1"/>
  <c r="L133" i="16"/>
  <c r="N133" i="16" s="1"/>
  <c r="L134" i="16"/>
  <c r="N134" i="16" s="1"/>
  <c r="L135" i="16"/>
  <c r="N135" i="16" s="1"/>
  <c r="L136" i="16"/>
  <c r="N136" i="16" s="1"/>
  <c r="L137" i="16"/>
  <c r="N137" i="16" s="1"/>
  <c r="L138" i="16"/>
  <c r="N138" i="16" s="1"/>
  <c r="L139" i="16"/>
  <c r="N139" i="16" s="1"/>
  <c r="L140" i="16"/>
  <c r="N140" i="16" s="1"/>
  <c r="L141" i="16"/>
  <c r="N141" i="16" s="1"/>
  <c r="L142" i="16"/>
  <c r="N142" i="16" s="1"/>
  <c r="L143" i="16"/>
  <c r="N143" i="16" s="1"/>
  <c r="L144" i="16"/>
  <c r="N144" i="16" s="1"/>
  <c r="L145" i="16"/>
  <c r="N145" i="16" s="1"/>
  <c r="L146" i="16"/>
  <c r="N146" i="16" s="1"/>
  <c r="K2" i="16"/>
  <c r="F17" i="15"/>
  <c r="F14" i="15"/>
  <c r="F13" i="15"/>
  <c r="K73" i="16"/>
  <c r="K92" i="16"/>
  <c r="K100" i="16"/>
  <c r="K17" i="16"/>
  <c r="K18" i="16"/>
  <c r="K19" i="16"/>
  <c r="K21" i="16"/>
  <c r="K22" i="16"/>
  <c r="K23" i="16"/>
  <c r="K20" i="16"/>
  <c r="K27" i="16"/>
  <c r="K3" i="16"/>
  <c r="K4" i="16"/>
  <c r="K5" i="16"/>
  <c r="K6" i="16"/>
  <c r="K7" i="16"/>
  <c r="K8" i="16"/>
  <c r="J19" i="15"/>
  <c r="J20" i="15" s="1"/>
  <c r="J5" i="15"/>
  <c r="E34" i="15" s="1"/>
  <c r="E5" i="15"/>
  <c r="K23" i="15"/>
  <c r="K9" i="15"/>
  <c r="F27" i="15"/>
  <c r="F22" i="15"/>
  <c r="F21" i="15"/>
  <c r="F19" i="15"/>
  <c r="F18" i="15"/>
  <c r="J68" i="10"/>
  <c r="F69" i="10"/>
  <c r="J69" i="10" s="1"/>
  <c r="G55" i="10"/>
  <c r="J37" i="10"/>
  <c r="O30" i="20"/>
  <c r="A44" i="10"/>
  <c r="A45" i="10"/>
  <c r="A43" i="10"/>
  <c r="AB154" i="16" l="1"/>
  <c r="AB152" i="16"/>
  <c r="AB151" i="16"/>
  <c r="AB153" i="16"/>
  <c r="U18" i="15"/>
  <c r="AB121" i="16"/>
  <c r="T39" i="15"/>
  <c r="F9" i="16"/>
  <c r="F10" i="16" s="1"/>
  <c r="AB157" i="16"/>
  <c r="AB155" i="16"/>
  <c r="AB158" i="16"/>
  <c r="AB156" i="16"/>
  <c r="H34" i="15"/>
  <c r="E6" i="15"/>
  <c r="E2" i="15"/>
  <c r="J6" i="15"/>
  <c r="E32" i="15"/>
  <c r="F34" i="15" s="1"/>
  <c r="J38" i="10"/>
  <c r="I10" i="16"/>
  <c r="L73" i="16"/>
  <c r="L8" i="16"/>
  <c r="N8" i="16" s="1"/>
  <c r="L7" i="16"/>
  <c r="N7" i="16" s="1"/>
  <c r="L5" i="16"/>
  <c r="N5" i="16" s="1"/>
  <c r="L6" i="16"/>
  <c r="N6" i="16" s="1"/>
  <c r="L4" i="16"/>
  <c r="N4" i="16" s="1"/>
  <c r="L3" i="16"/>
  <c r="N3" i="16" s="1"/>
  <c r="P3" i="16" s="1"/>
  <c r="L2" i="16"/>
  <c r="L27" i="16"/>
  <c r="N27" i="16" s="1"/>
  <c r="L20" i="16"/>
  <c r="N20" i="16" s="1"/>
  <c r="L22" i="16"/>
  <c r="N22" i="16" s="1"/>
  <c r="L18" i="16"/>
  <c r="N18" i="16" s="1"/>
  <c r="L17" i="16"/>
  <c r="N17" i="16" s="1"/>
  <c r="P17" i="16" s="1"/>
  <c r="L23" i="16"/>
  <c r="N23" i="16" s="1"/>
  <c r="P23" i="16" s="1"/>
  <c r="L21" i="16"/>
  <c r="N21" i="16" s="1"/>
  <c r="L19" i="16"/>
  <c r="N19" i="16" s="1"/>
  <c r="L92" i="16"/>
  <c r="N92" i="16" s="1"/>
  <c r="F11" i="16" l="1"/>
  <c r="AB3" i="16"/>
  <c r="AB23" i="16"/>
  <c r="AB17" i="16"/>
  <c r="H32" i="15"/>
  <c r="I34" i="15" s="1"/>
  <c r="F35" i="15"/>
  <c r="F33" i="15"/>
  <c r="F32" i="15"/>
  <c r="F36" i="15"/>
  <c r="F37" i="15"/>
  <c r="F39" i="15"/>
  <c r="F38" i="15"/>
  <c r="I16" i="16"/>
  <c r="I12" i="16"/>
  <c r="H69" i="15"/>
  <c r="L66" i="16"/>
  <c r="N66" i="16" s="1"/>
  <c r="I99" i="16" l="1"/>
  <c r="I109" i="16"/>
  <c r="L109" i="16" s="1"/>
  <c r="N109" i="16" s="1"/>
  <c r="I100" i="16"/>
  <c r="L100" i="16" s="1"/>
  <c r="N100" i="16" s="1"/>
  <c r="I110" i="16"/>
  <c r="L110" i="16" s="1"/>
  <c r="N110" i="16" s="1"/>
  <c r="I91" i="16"/>
  <c r="I85" i="16"/>
  <c r="I39" i="16"/>
  <c r="I44" i="16"/>
  <c r="I148" i="16"/>
  <c r="I149" i="16"/>
  <c r="I147" i="16"/>
  <c r="I104" i="16"/>
  <c r="L104" i="16" s="1"/>
  <c r="I108" i="16"/>
  <c r="L108" i="16" s="1"/>
  <c r="I32" i="16"/>
  <c r="I82" i="16"/>
  <c r="I40" i="16"/>
  <c r="I86" i="16"/>
  <c r="I67" i="16"/>
  <c r="L67" i="16" s="1"/>
  <c r="N67" i="16" s="1"/>
  <c r="I55" i="16"/>
  <c r="L55" i="16" s="1"/>
  <c r="N55" i="16" s="1"/>
  <c r="I114" i="16"/>
  <c r="L114" i="16" s="1"/>
  <c r="N114" i="16" s="1"/>
  <c r="I56" i="16"/>
  <c r="L56" i="16" s="1"/>
  <c r="N56" i="16" s="1"/>
  <c r="I115" i="16"/>
  <c r="L115" i="16" s="1"/>
  <c r="N115" i="16" s="1"/>
  <c r="I31" i="16"/>
  <c r="I77" i="16"/>
  <c r="L77" i="16" s="1"/>
  <c r="N77" i="16" s="1"/>
  <c r="I34" i="16"/>
  <c r="L34" i="16" s="1"/>
  <c r="N34" i="16" s="1"/>
  <c r="I78" i="16"/>
  <c r="L78" i="16" s="1"/>
  <c r="N78" i="16" s="1"/>
  <c r="I33" i="15"/>
  <c r="I35" i="15"/>
  <c r="I51" i="16" l="1"/>
  <c r="I46" i="16"/>
  <c r="I87" i="16"/>
  <c r="I103" i="16"/>
  <c r="L103" i="16" s="1"/>
  <c r="N103" i="16" s="1"/>
  <c r="I95" i="16"/>
  <c r="L95" i="16" s="1"/>
  <c r="N95" i="16" s="1"/>
  <c r="I48" i="16"/>
  <c r="J36" i="10"/>
  <c r="M111" i="16" l="1"/>
  <c r="N106" i="16"/>
  <c r="N105" i="16"/>
  <c r="M98" i="16"/>
  <c r="N98" i="16" s="1"/>
  <c r="M73" i="16"/>
  <c r="N73" i="16" s="1"/>
  <c r="P73" i="16" s="1"/>
  <c r="M68" i="16"/>
  <c r="E12" i="16"/>
  <c r="U11" i="15" l="1"/>
  <c r="AB73" i="16"/>
  <c r="M107" i="16"/>
  <c r="N107" i="16" s="1"/>
  <c r="N108" i="16"/>
  <c r="M2" i="16" l="1"/>
  <c r="N2" i="16" s="1"/>
  <c r="P2" i="16" s="1"/>
  <c r="AM43" i="17"/>
  <c r="AM32" i="17"/>
  <c r="C9" i="17"/>
  <c r="AH54" i="17" l="1"/>
  <c r="X30" i="17"/>
  <c r="AB2" i="16"/>
  <c r="AO23" i="17"/>
  <c r="AD41" i="17"/>
  <c r="AG41" i="17"/>
  <c r="R55" i="17"/>
  <c r="AW23" i="17"/>
  <c r="AS32" i="17"/>
  <c r="AJ41" i="17"/>
  <c r="Z55" i="17"/>
  <c r="M63" i="17"/>
  <c r="AT66" i="17"/>
  <c r="AA30" i="17"/>
  <c r="M13" i="17"/>
  <c r="AD30" i="17"/>
  <c r="BB13" i="17"/>
  <c r="L28" i="17"/>
  <c r="R29" i="17" s="1"/>
  <c r="AG30" i="17"/>
  <c r="T23" i="17"/>
  <c r="R26" i="17"/>
  <c r="AJ30" i="17"/>
  <c r="X41" i="17"/>
  <c r="AE54" i="17"/>
  <c r="Z56" i="17"/>
  <c r="M29" i="17"/>
  <c r="AA41" i="17"/>
  <c r="Z36" i="17" l="1"/>
  <c r="X40" i="17" s="1"/>
  <c r="X42" i="17" s="1"/>
  <c r="X43" i="17" s="1"/>
  <c r="M28" i="17"/>
  <c r="R30" i="17"/>
  <c r="S29" i="17" s="1"/>
  <c r="R34" i="17"/>
  <c r="L27" i="17"/>
  <c r="M72" i="17"/>
  <c r="AG51" i="17" s="1"/>
  <c r="AF51" i="17"/>
  <c r="AH53" i="17" s="1"/>
  <c r="L72" i="17"/>
  <c r="AE55" i="17"/>
  <c r="Z26" i="17"/>
  <c r="AA40" i="17"/>
  <c r="AA42" i="17" s="1"/>
  <c r="AA43" i="17" s="1"/>
  <c r="Z52" i="17"/>
  <c r="AA56" i="17" s="1"/>
  <c r="AH55" i="17"/>
  <c r="AH56" i="17" s="1"/>
  <c r="AJ40" i="17"/>
  <c r="AJ42" i="17" s="1"/>
  <c r="AJ43" i="17" s="1"/>
  <c r="Z24" i="17" l="1"/>
  <c r="AA55" i="17"/>
  <c r="M27" i="17"/>
  <c r="S55" i="17"/>
  <c r="AU66" i="17" s="1"/>
  <c r="AE53" i="17"/>
  <c r="AM40" i="17"/>
  <c r="AT32" i="17"/>
  <c r="AG40" i="17"/>
  <c r="AG42" i="17" s="1"/>
  <c r="AG43" i="17" s="1"/>
  <c r="AD40" i="17"/>
  <c r="AD42" i="17" s="1"/>
  <c r="AD43" i="17" s="1"/>
  <c r="L73" i="17"/>
  <c r="AE56" i="17"/>
  <c r="S26" i="17"/>
  <c r="AA25" i="17"/>
  <c r="Z53" i="17"/>
  <c r="Z54" i="17" s="1"/>
  <c r="AA52" i="17"/>
  <c r="S30" i="17"/>
  <c r="Z23" i="17" l="1"/>
  <c r="AD29" i="17"/>
  <c r="X29" i="17"/>
  <c r="X31" i="17" s="1"/>
  <c r="X32" i="17" s="1"/>
  <c r="AB24" i="17"/>
  <c r="AM29" i="17"/>
  <c r="AJ29" i="17"/>
  <c r="AJ31" i="17" s="1"/>
  <c r="AJ32" i="17" s="1"/>
  <c r="AB23" i="17"/>
  <c r="AD31" i="17"/>
  <c r="AD32" i="17" s="1"/>
  <c r="AA29" i="17"/>
  <c r="AA31" i="17" s="1"/>
  <c r="AG29" i="17"/>
  <c r="AG31" i="17" s="1"/>
  <c r="AG32" i="17" s="1"/>
  <c r="BA26" i="17"/>
  <c r="BB26" i="17" s="1"/>
  <c r="AU32" i="17"/>
  <c r="AV32" i="17" s="1"/>
  <c r="AA32" i="17" l="1"/>
  <c r="J122" i="15" l="1"/>
  <c r="E122" i="15"/>
  <c r="D122" i="15"/>
  <c r="K14" i="16" l="1"/>
  <c r="L14" i="16" s="1"/>
  <c r="N14" i="16" s="1"/>
  <c r="K72" i="16"/>
  <c r="L72" i="16" s="1"/>
  <c r="K150" i="16"/>
  <c r="L150" i="16" s="1"/>
  <c r="K159" i="16"/>
  <c r="L159" i="16" s="1"/>
  <c r="N159" i="16" s="1"/>
  <c r="P159" i="16" s="1"/>
  <c r="K160" i="16"/>
  <c r="L160" i="16" s="1"/>
  <c r="N160" i="16" s="1"/>
  <c r="P160" i="16" s="1"/>
  <c r="K48" i="16"/>
  <c r="L48" i="16" s="1"/>
  <c r="N48" i="16" s="1"/>
  <c r="K47" i="16"/>
  <c r="L47" i="16" s="1"/>
  <c r="N47" i="16" s="1"/>
  <c r="K111" i="16"/>
  <c r="L111" i="16" s="1"/>
  <c r="N111" i="16" s="1"/>
  <c r="K10" i="16"/>
  <c r="L10" i="16" s="1"/>
  <c r="N10" i="16" s="1"/>
  <c r="P10" i="16" s="1"/>
  <c r="K116" i="16"/>
  <c r="L116" i="16" s="1"/>
  <c r="N116" i="16" s="1"/>
  <c r="K117" i="16"/>
  <c r="L117" i="16" s="1"/>
  <c r="N117" i="16" s="1"/>
  <c r="K89" i="16"/>
  <c r="L89" i="16" s="1"/>
  <c r="N89" i="16" s="1"/>
  <c r="K118" i="16"/>
  <c r="L118" i="16" s="1"/>
  <c r="N118" i="16" s="1"/>
  <c r="K41" i="16"/>
  <c r="L41" i="16" s="1"/>
  <c r="N41" i="16" s="1"/>
  <c r="K88" i="16"/>
  <c r="L88" i="16" s="1"/>
  <c r="N88" i="16" s="1"/>
  <c r="K40" i="16"/>
  <c r="L40" i="16" s="1"/>
  <c r="N40" i="16" s="1"/>
  <c r="K71" i="16"/>
  <c r="L71" i="16" s="1"/>
  <c r="K119" i="16"/>
  <c r="L119" i="16" s="1"/>
  <c r="N119" i="16" s="1"/>
  <c r="K86" i="16"/>
  <c r="L86" i="16" s="1"/>
  <c r="N86" i="16" s="1"/>
  <c r="K87" i="16"/>
  <c r="L87" i="16" s="1"/>
  <c r="N87" i="16" s="1"/>
  <c r="K147" i="16"/>
  <c r="L147" i="16" s="1"/>
  <c r="N147" i="16" s="1"/>
  <c r="K148" i="16"/>
  <c r="L148" i="16" s="1"/>
  <c r="N148" i="16" s="1"/>
  <c r="K149" i="16"/>
  <c r="L149" i="16" s="1"/>
  <c r="N149" i="16" s="1"/>
  <c r="K113" i="16"/>
  <c r="L113" i="16" s="1"/>
  <c r="N113" i="16" s="1"/>
  <c r="K112" i="16"/>
  <c r="L112" i="16" s="1"/>
  <c r="N112" i="16" s="1"/>
  <c r="K13" i="16"/>
  <c r="L13" i="16" s="1"/>
  <c r="N13" i="16" s="1"/>
  <c r="K84" i="16"/>
  <c r="L84" i="16" s="1"/>
  <c r="N84" i="16" s="1"/>
  <c r="K90" i="16"/>
  <c r="L90" i="16" s="1"/>
  <c r="N90" i="16" s="1"/>
  <c r="K15" i="16"/>
  <c r="L15" i="16" s="1"/>
  <c r="N15" i="16" s="1"/>
  <c r="K44" i="16"/>
  <c r="L44" i="16" s="1"/>
  <c r="N44" i="16" s="1"/>
  <c r="K59" i="16"/>
  <c r="L59" i="16" s="1"/>
  <c r="N59" i="16" s="1"/>
  <c r="K12" i="16"/>
  <c r="L12" i="16" s="1"/>
  <c r="N12" i="16" s="1"/>
  <c r="K85" i="16"/>
  <c r="L85" i="16" s="1"/>
  <c r="N85" i="16" s="1"/>
  <c r="K53" i="16"/>
  <c r="L53" i="16" s="1"/>
  <c r="N53" i="16" s="1"/>
  <c r="K54" i="16"/>
  <c r="L54" i="16" s="1"/>
  <c r="N54" i="16" s="1"/>
  <c r="K57" i="16"/>
  <c r="L57" i="16" s="1"/>
  <c r="N57" i="16" s="1"/>
  <c r="K91" i="16"/>
  <c r="L91" i="16" s="1"/>
  <c r="N91" i="16" s="1"/>
  <c r="K58" i="16"/>
  <c r="L58" i="16" s="1"/>
  <c r="N58" i="16" s="1"/>
  <c r="K9" i="16"/>
  <c r="L9" i="16" s="1"/>
  <c r="N9" i="16" s="1"/>
  <c r="P9" i="16" s="1"/>
  <c r="K38" i="16"/>
  <c r="L38" i="16" s="1"/>
  <c r="N38" i="16" s="1"/>
  <c r="K39" i="16"/>
  <c r="L39" i="16" s="1"/>
  <c r="N39" i="16" s="1"/>
  <c r="K11" i="16"/>
  <c r="L11" i="16" s="1"/>
  <c r="N11" i="16" s="1"/>
  <c r="P11" i="16" s="1"/>
  <c r="K42" i="16"/>
  <c r="L42" i="16" s="1"/>
  <c r="N42" i="16" s="1"/>
  <c r="K43" i="16"/>
  <c r="L43" i="16" s="1"/>
  <c r="N43" i="16" s="1"/>
  <c r="K16" i="16"/>
  <c r="L16" i="16" s="1"/>
  <c r="N16" i="16" s="1"/>
  <c r="K45" i="16"/>
  <c r="L45" i="16" s="1"/>
  <c r="N45" i="16" s="1"/>
  <c r="K46" i="16"/>
  <c r="L46" i="16" s="1"/>
  <c r="N46" i="16" s="1"/>
  <c r="K49" i="16"/>
  <c r="L49" i="16" s="1"/>
  <c r="N49" i="16" s="1"/>
  <c r="K50" i="16"/>
  <c r="L50" i="16" s="1"/>
  <c r="N50" i="16" s="1"/>
  <c r="K51" i="16"/>
  <c r="L51" i="16" s="1"/>
  <c r="N51" i="16" s="1"/>
  <c r="K93" i="16"/>
  <c r="L93" i="16" s="1"/>
  <c r="N93" i="16" s="1"/>
  <c r="K99" i="16"/>
  <c r="L99" i="16" s="1"/>
  <c r="N99" i="16" s="1"/>
  <c r="K79" i="16"/>
  <c r="L79" i="16" s="1"/>
  <c r="N79" i="16" s="1"/>
  <c r="K80" i="16"/>
  <c r="L80" i="16" s="1"/>
  <c r="N80" i="16" s="1"/>
  <c r="K81" i="16"/>
  <c r="L81" i="16" s="1"/>
  <c r="N81" i="16" s="1"/>
  <c r="K82" i="16"/>
  <c r="K83" i="16"/>
  <c r="L83" i="16" s="1"/>
  <c r="N83" i="16" s="1"/>
  <c r="K32" i="16"/>
  <c r="L32" i="16" s="1"/>
  <c r="N32" i="16" s="1"/>
  <c r="K35" i="16"/>
  <c r="L35" i="16" s="1"/>
  <c r="N35" i="16" s="1"/>
  <c r="K65" i="16"/>
  <c r="L65" i="16" s="1"/>
  <c r="N65" i="16" s="1"/>
  <c r="K36" i="16"/>
  <c r="L36" i="16" s="1"/>
  <c r="N36" i="16" s="1"/>
  <c r="K74" i="16"/>
  <c r="L74" i="16" s="1"/>
  <c r="N74" i="16" s="1"/>
  <c r="K76" i="16"/>
  <c r="L76" i="16" s="1"/>
  <c r="N76" i="16" s="1"/>
  <c r="K28" i="16"/>
  <c r="L28" i="16" s="1"/>
  <c r="N28" i="16" s="1"/>
  <c r="K30" i="16"/>
  <c r="L30" i="16" s="1"/>
  <c r="N30" i="16" s="1"/>
  <c r="K31" i="16"/>
  <c r="L31" i="16" s="1"/>
  <c r="N31" i="16" s="1"/>
  <c r="K64" i="16"/>
  <c r="L64" i="16" s="1"/>
  <c r="N64" i="16" s="1"/>
  <c r="K33" i="16"/>
  <c r="L33" i="16" s="1"/>
  <c r="N33" i="16" s="1"/>
  <c r="K68" i="16"/>
  <c r="L68" i="16" s="1"/>
  <c r="N68" i="16" s="1"/>
  <c r="K69" i="16"/>
  <c r="L69" i="16" s="1"/>
  <c r="N69" i="16" s="1"/>
  <c r="K37" i="16"/>
  <c r="K75" i="16"/>
  <c r="L75" i="16" s="1"/>
  <c r="N75" i="16" s="1"/>
  <c r="N104" i="16"/>
  <c r="U13" i="15" l="1"/>
  <c r="AB11" i="16"/>
  <c r="AB10" i="16"/>
  <c r="AB160" i="16"/>
  <c r="AB9" i="16"/>
  <c r="AB159" i="16"/>
  <c r="L37" i="16"/>
  <c r="L82" i="16"/>
  <c r="N82" i="16" l="1"/>
  <c r="N37" i="16"/>
  <c r="E53" i="10" l="1"/>
  <c r="E54" i="10"/>
  <c r="F54" i="10"/>
  <c r="E55" i="10"/>
  <c r="F55" i="10"/>
  <c r="C55" i="10" l="1"/>
  <c r="D55" i="10"/>
  <c r="C54" i="10"/>
  <c r="D54" i="10"/>
  <c r="C53" i="10"/>
  <c r="D53" i="10"/>
  <c r="B45" i="10" l="1"/>
  <c r="C45" i="10"/>
  <c r="H45" i="10"/>
  <c r="D45" i="10"/>
  <c r="I45" i="10"/>
  <c r="E45" i="10"/>
  <c r="G45" i="10"/>
  <c r="F45" i="10"/>
  <c r="E44" i="10" l="1"/>
  <c r="C44" i="10"/>
  <c r="D44" i="10"/>
  <c r="B44" i="10"/>
  <c r="I44" i="10"/>
  <c r="H44" i="10"/>
  <c r="G44" i="10"/>
  <c r="F44" i="10"/>
  <c r="F4" i="16" l="1"/>
  <c r="P4" i="16" s="1"/>
  <c r="AB4" i="16" l="1"/>
  <c r="F5" i="16"/>
  <c r="P5" i="16" s="1"/>
  <c r="AB5" i="16" l="1"/>
  <c r="F6" i="16"/>
  <c r="P6" i="16" s="1"/>
  <c r="AB6" i="16" l="1"/>
  <c r="F7" i="16"/>
  <c r="P7" i="16" s="1"/>
  <c r="AB7" i="16" l="1"/>
  <c r="F8" i="16"/>
  <c r="P8" i="16" s="1"/>
  <c r="AB8" i="16" l="1"/>
  <c r="C43" i="10" l="1"/>
  <c r="C46" i="10" s="1"/>
  <c r="F43" i="10"/>
  <c r="F46" i="10" s="1"/>
  <c r="E43" i="10"/>
  <c r="E46" i="10" s="1"/>
  <c r="I43" i="10"/>
  <c r="I46" i="10" s="1"/>
  <c r="G43" i="10"/>
  <c r="G46" i="10" s="1"/>
  <c r="H43" i="10"/>
  <c r="H46" i="10" s="1"/>
  <c r="T12" i="22"/>
  <c r="B11" i="10"/>
  <c r="R33" i="15" s="1"/>
  <c r="D43" i="10"/>
  <c r="D46" i="10" s="1"/>
  <c r="B43" i="10"/>
  <c r="B46" i="10" s="1"/>
  <c r="J46" i="10" l="1"/>
  <c r="D47" i="10" s="1"/>
  <c r="R27" i="15"/>
  <c r="R28" i="15" s="1"/>
  <c r="R40" i="15" l="1"/>
  <c r="R44" i="15"/>
  <c r="F29" i="16"/>
  <c r="P29" i="16" s="1"/>
  <c r="E47" i="10"/>
  <c r="G47" i="10"/>
  <c r="I47" i="10"/>
  <c r="C47" i="10"/>
  <c r="F12" i="16"/>
  <c r="F47" i="10"/>
  <c r="R41" i="15" s="1"/>
  <c r="F20" i="16" s="1"/>
  <c r="P20" i="16" s="1"/>
  <c r="H47" i="10"/>
  <c r="B47" i="10"/>
  <c r="B48" i="10" l="1"/>
  <c r="AB29" i="16"/>
  <c r="F14" i="16"/>
  <c r="P14" i="16" s="1"/>
  <c r="F13" i="16"/>
  <c r="P13" i="16" s="1"/>
  <c r="H48" i="10"/>
  <c r="AB20" i="16"/>
  <c r="F18" i="16"/>
  <c r="P18" i="16" s="1"/>
  <c r="F56" i="16"/>
  <c r="F53" i="16"/>
  <c r="E48" i="10"/>
  <c r="R50" i="15" s="1"/>
  <c r="C48" i="10"/>
  <c r="F15" i="16"/>
  <c r="P12" i="16"/>
  <c r="I48" i="10"/>
  <c r="G48" i="10"/>
  <c r="R57" i="15" s="1"/>
  <c r="D48" i="10"/>
  <c r="AB14" i="16" l="1"/>
  <c r="R64" i="15"/>
  <c r="AB12" i="16"/>
  <c r="AB13" i="16"/>
  <c r="P15" i="16"/>
  <c r="F27" i="16"/>
  <c r="P27" i="16" s="1"/>
  <c r="F16" i="16"/>
  <c r="P16" i="16" s="1"/>
  <c r="F22" i="16"/>
  <c r="P22" i="16" s="1"/>
  <c r="F21" i="16"/>
  <c r="P21" i="16" s="1"/>
  <c r="F48" i="16"/>
  <c r="F45" i="16"/>
  <c r="F38" i="16"/>
  <c r="F39" i="16"/>
  <c r="F41" i="16"/>
  <c r="F34" i="16"/>
  <c r="F28" i="16"/>
  <c r="P28" i="16" s="1"/>
  <c r="G9" i="27" s="1"/>
  <c r="K9" i="27" s="1"/>
  <c r="F30" i="16"/>
  <c r="F54" i="16"/>
  <c r="F59" i="16"/>
  <c r="P59" i="16" s="1"/>
  <c r="P53" i="16"/>
  <c r="P56" i="16"/>
  <c r="F57" i="16"/>
  <c r="P57" i="16" s="1"/>
  <c r="F58" i="16"/>
  <c r="P58" i="16" s="1"/>
  <c r="AB18" i="16"/>
  <c r="F19" i="16"/>
  <c r="P19" i="16" s="1"/>
  <c r="L9" i="27" l="1"/>
  <c r="AB22" i="16"/>
  <c r="U12" i="15"/>
  <c r="AB19" i="16"/>
  <c r="P54" i="16"/>
  <c r="F55" i="16"/>
  <c r="P55" i="16" s="1"/>
  <c r="F43" i="16"/>
  <c r="P43" i="16" s="1"/>
  <c r="F42" i="16"/>
  <c r="P42" i="16" s="1"/>
  <c r="P41" i="16"/>
  <c r="F31" i="16"/>
  <c r="P31" i="16" s="1"/>
  <c r="F37" i="16"/>
  <c r="P37" i="16" s="1"/>
  <c r="F32" i="16"/>
  <c r="P30" i="16"/>
  <c r="P38" i="16"/>
  <c r="F44" i="16"/>
  <c r="P44" i="16" s="1"/>
  <c r="AB57" i="16"/>
  <c r="AB58" i="16"/>
  <c r="AB59" i="16"/>
  <c r="AB28" i="16"/>
  <c r="P34" i="16"/>
  <c r="F36" i="16"/>
  <c r="P36" i="16" s="1"/>
  <c r="F35" i="16"/>
  <c r="P35" i="16" s="1"/>
  <c r="P39" i="16"/>
  <c r="F40" i="16"/>
  <c r="P40" i="16" s="1"/>
  <c r="P45" i="16"/>
  <c r="F46" i="16"/>
  <c r="P48" i="16"/>
  <c r="AB21" i="16"/>
  <c r="AB16" i="16"/>
  <c r="AB27" i="16"/>
  <c r="AB15" i="16"/>
  <c r="AB56" i="16"/>
  <c r="AB53" i="16"/>
  <c r="F64" i="16"/>
  <c r="F67" i="16"/>
  <c r="AB31" i="16" l="1"/>
  <c r="AB30" i="16"/>
  <c r="AB37" i="16"/>
  <c r="AB55" i="16"/>
  <c r="AB40" i="16"/>
  <c r="P32" i="16"/>
  <c r="F33" i="16"/>
  <c r="P33" i="16" s="1"/>
  <c r="AB41" i="16"/>
  <c r="AB42" i="16"/>
  <c r="AB39" i="16"/>
  <c r="AB43" i="16"/>
  <c r="P64" i="16"/>
  <c r="F65" i="16"/>
  <c r="F69" i="16"/>
  <c r="P69" i="16" s="1"/>
  <c r="AB35" i="16"/>
  <c r="AB36" i="16"/>
  <c r="AB54" i="16"/>
  <c r="AB34" i="16"/>
  <c r="AB44" i="16"/>
  <c r="AB38" i="16"/>
  <c r="AB48" i="16"/>
  <c r="P46" i="16"/>
  <c r="F51" i="16"/>
  <c r="P51" i="16" s="1"/>
  <c r="F47" i="16"/>
  <c r="P47" i="16" s="1"/>
  <c r="F49" i="16"/>
  <c r="AB45" i="16"/>
  <c r="P67" i="16"/>
  <c r="F68" i="16"/>
  <c r="P68" i="16" s="1"/>
  <c r="AB32" i="16" l="1"/>
  <c r="AB47" i="16"/>
  <c r="AB51" i="16"/>
  <c r="AB33" i="16"/>
  <c r="AB68" i="16"/>
  <c r="AB67" i="16"/>
  <c r="AB64" i="16"/>
  <c r="F50" i="16"/>
  <c r="P50" i="16" s="1"/>
  <c r="P49" i="16"/>
  <c r="F52" i="16"/>
  <c r="P52" i="16" s="1"/>
  <c r="AB46" i="16"/>
  <c r="AB69" i="16"/>
  <c r="P65" i="16"/>
  <c r="F66" i="16"/>
  <c r="P66" i="16" s="1"/>
  <c r="G10" i="27" l="1"/>
  <c r="G11" i="27"/>
  <c r="K10" i="27"/>
  <c r="AB50" i="16"/>
  <c r="AB52" i="16"/>
  <c r="AB49" i="16"/>
  <c r="AB66" i="16"/>
  <c r="AB65" i="16"/>
  <c r="L10" i="27" l="1"/>
  <c r="K11" i="27"/>
  <c r="L11" i="27" s="1"/>
  <c r="Z6" i="15"/>
  <c r="F11" i="10"/>
  <c r="D11" i="10"/>
  <c r="X6" i="15"/>
  <c r="C11" i="10"/>
  <c r="E11" i="10"/>
  <c r="Y6" i="15"/>
  <c r="B56" i="10"/>
  <c r="B55" i="10" l="1"/>
  <c r="G75" i="10" s="1"/>
  <c r="T14" i="22"/>
  <c r="B53" i="10"/>
  <c r="E75" i="10"/>
  <c r="W6" i="15"/>
  <c r="F33" i="11" s="1"/>
  <c r="F41" i="11"/>
  <c r="L41" i="11" s="1"/>
  <c r="H73" i="10"/>
  <c r="R29" i="15"/>
  <c r="R30" i="15" s="1"/>
  <c r="I73" i="10"/>
  <c r="F73" i="10"/>
  <c r="H75" i="10"/>
  <c r="D75" i="10"/>
  <c r="I75" i="10"/>
  <c r="W8" i="15"/>
  <c r="G73" i="10"/>
  <c r="B54" i="10"/>
  <c r="F53" i="11"/>
  <c r="G53" i="11" s="1"/>
  <c r="H53" i="11" s="1"/>
  <c r="I53" i="11" s="1"/>
  <c r="E73" i="10"/>
  <c r="D73" i="10"/>
  <c r="F48" i="11" l="1"/>
  <c r="F40" i="11"/>
  <c r="F12" i="11"/>
  <c r="G12" i="11" s="1"/>
  <c r="H12" i="11" s="1"/>
  <c r="I12" i="11" s="1"/>
  <c r="X72" i="16"/>
  <c r="X150" i="16"/>
  <c r="X124" i="16"/>
  <c r="X122" i="16"/>
  <c r="X123" i="16"/>
  <c r="X153" i="16"/>
  <c r="X152" i="16"/>
  <c r="X154" i="16"/>
  <c r="X121" i="16"/>
  <c r="X151" i="16"/>
  <c r="X73" i="16"/>
  <c r="X29" i="16"/>
  <c r="X14" i="16"/>
  <c r="X31" i="16"/>
  <c r="X30" i="16"/>
  <c r="X32" i="16"/>
  <c r="F31" i="11"/>
  <c r="G31" i="11" s="1"/>
  <c r="G41" i="11"/>
  <c r="F35" i="11"/>
  <c r="G35" i="11" s="1"/>
  <c r="H35" i="11" s="1"/>
  <c r="I35" i="11" s="1"/>
  <c r="F29" i="11"/>
  <c r="F18" i="11"/>
  <c r="G18" i="11" s="1"/>
  <c r="H18" i="11" s="1"/>
  <c r="I18" i="11" s="1"/>
  <c r="F51" i="11"/>
  <c r="F20" i="11"/>
  <c r="F37" i="11"/>
  <c r="G37" i="11" s="1"/>
  <c r="H37" i="11" s="1"/>
  <c r="I37" i="11" s="1"/>
  <c r="F25" i="11"/>
  <c r="G25" i="11" s="1"/>
  <c r="H25" i="11" s="1"/>
  <c r="I25" i="11" s="1"/>
  <c r="F28" i="11"/>
  <c r="F39" i="11"/>
  <c r="F34" i="11"/>
  <c r="F38" i="11"/>
  <c r="G38" i="11" s="1"/>
  <c r="C75" i="10"/>
  <c r="F15" i="11"/>
  <c r="G15" i="11" s="1"/>
  <c r="H15" i="11" s="1"/>
  <c r="I15" i="11" s="1"/>
  <c r="B75" i="10"/>
  <c r="F47" i="11"/>
  <c r="L47" i="11" s="1"/>
  <c r="F75" i="10"/>
  <c r="F16" i="11"/>
  <c r="G16" i="11" s="1"/>
  <c r="H16" i="11" s="1"/>
  <c r="I16" i="11" s="1"/>
  <c r="F49" i="11"/>
  <c r="G49" i="11" s="1"/>
  <c r="F5" i="11"/>
  <c r="L5" i="11" s="1"/>
  <c r="G51" i="11"/>
  <c r="L51" i="11"/>
  <c r="L49" i="11"/>
  <c r="G48" i="11"/>
  <c r="L48" i="11"/>
  <c r="F52" i="11"/>
  <c r="G52" i="11" s="1"/>
  <c r="H52" i="11" s="1"/>
  <c r="I52" i="11" s="1"/>
  <c r="F23" i="11"/>
  <c r="F17" i="11"/>
  <c r="G17" i="11" s="1"/>
  <c r="H17" i="11" s="1"/>
  <c r="I17" i="11" s="1"/>
  <c r="F30" i="11"/>
  <c r="F19" i="11"/>
  <c r="G19" i="11" s="1"/>
  <c r="H19" i="11" s="1"/>
  <c r="I19" i="11" s="1"/>
  <c r="F36" i="11"/>
  <c r="G36" i="11" s="1"/>
  <c r="F11" i="11"/>
  <c r="G11" i="11" s="1"/>
  <c r="H11" i="11" s="1"/>
  <c r="I11" i="11" s="1"/>
  <c r="F45" i="11"/>
  <c r="L45" i="11" s="1"/>
  <c r="F50" i="11"/>
  <c r="F26" i="11"/>
  <c r="C73" i="10"/>
  <c r="B73" i="10"/>
  <c r="G26" i="11"/>
  <c r="H26" i="11" s="1"/>
  <c r="I26" i="11" s="1"/>
  <c r="G34" i="11"/>
  <c r="L34" i="11"/>
  <c r="G47" i="11"/>
  <c r="L33" i="11"/>
  <c r="G33" i="11"/>
  <c r="H33" i="11" s="1"/>
  <c r="I33" i="11" s="1"/>
  <c r="X19" i="16"/>
  <c r="X155" i="16"/>
  <c r="X59" i="16"/>
  <c r="X49" i="16"/>
  <c r="X40" i="16"/>
  <c r="X12" i="16"/>
  <c r="X8" i="15"/>
  <c r="Y8" i="15" s="1"/>
  <c r="Z8" i="15" s="1"/>
  <c r="X34" i="16"/>
  <c r="X10" i="16"/>
  <c r="X62" i="16"/>
  <c r="X45" i="16"/>
  <c r="X20" i="16"/>
  <c r="X68" i="16"/>
  <c r="X28" i="16"/>
  <c r="X157" i="16"/>
  <c r="X161" i="16"/>
  <c r="X33" i="16"/>
  <c r="X69" i="16"/>
  <c r="X17" i="16"/>
  <c r="X162" i="16"/>
  <c r="X48" i="16"/>
  <c r="X9" i="16"/>
  <c r="X5" i="16"/>
  <c r="X156" i="16"/>
  <c r="X54" i="16"/>
  <c r="X67" i="16"/>
  <c r="X15" i="16"/>
  <c r="X57" i="16"/>
  <c r="X37" i="16"/>
  <c r="X3" i="16"/>
  <c r="X16" i="16"/>
  <c r="X18" i="16"/>
  <c r="X35" i="16"/>
  <c r="X6" i="16"/>
  <c r="X52" i="16"/>
  <c r="X23" i="16"/>
  <c r="X51" i="16"/>
  <c r="X65" i="16"/>
  <c r="X11" i="16"/>
  <c r="X66" i="16"/>
  <c r="X71" i="16"/>
  <c r="X46" i="16"/>
  <c r="X47" i="16"/>
  <c r="X56" i="16"/>
  <c r="X158" i="16"/>
  <c r="X50" i="16"/>
  <c r="X64" i="16"/>
  <c r="X43" i="16"/>
  <c r="X61" i="16"/>
  <c r="X160" i="16"/>
  <c r="X44" i="16"/>
  <c r="X70" i="16"/>
  <c r="X22" i="16"/>
  <c r="X24" i="16"/>
  <c r="X164" i="16"/>
  <c r="X21" i="16"/>
  <c r="X159" i="16"/>
  <c r="X42" i="16"/>
  <c r="X8" i="16"/>
  <c r="X26" i="16"/>
  <c r="X4" i="16"/>
  <c r="X7" i="16"/>
  <c r="X38" i="16"/>
  <c r="X2" i="16"/>
  <c r="X53" i="16"/>
  <c r="X58" i="16"/>
  <c r="X36" i="16"/>
  <c r="X63" i="16"/>
  <c r="X41" i="16"/>
  <c r="X27" i="16"/>
  <c r="X25" i="16"/>
  <c r="X163" i="16"/>
  <c r="X13" i="16"/>
  <c r="X39" i="16"/>
  <c r="X55" i="16"/>
  <c r="B74" i="10"/>
  <c r="D74" i="10"/>
  <c r="D76" i="10" s="1"/>
  <c r="C74" i="10"/>
  <c r="H74" i="10"/>
  <c r="H76" i="10" s="1"/>
  <c r="E74" i="10"/>
  <c r="E76" i="10" s="1"/>
  <c r="I74" i="10"/>
  <c r="I76" i="10" s="1"/>
  <c r="F74" i="10"/>
  <c r="F76" i="10" s="1"/>
  <c r="G74" i="10"/>
  <c r="G76" i="10" s="1"/>
  <c r="L40" i="11"/>
  <c r="G40" i="11"/>
  <c r="L38" i="11"/>
  <c r="G30" i="11"/>
  <c r="H30" i="11" s="1"/>
  <c r="I30" i="11" s="1"/>
  <c r="G45" i="11"/>
  <c r="G28" i="11"/>
  <c r="H28" i="11" s="1"/>
  <c r="I28" i="11" s="1"/>
  <c r="L28" i="11"/>
  <c r="H41" i="11"/>
  <c r="M41" i="11"/>
  <c r="L39" i="11"/>
  <c r="G39" i="11"/>
  <c r="G5" i="11" l="1"/>
  <c r="M5" i="11" s="1"/>
  <c r="Y32" i="16"/>
  <c r="AC32" i="16"/>
  <c r="Y30" i="16"/>
  <c r="AC30" i="16"/>
  <c r="AC31" i="16"/>
  <c r="Y31" i="16"/>
  <c r="L35" i="11"/>
  <c r="Y14" i="16"/>
  <c r="AC14" i="16"/>
  <c r="Y29" i="16"/>
  <c r="AC29" i="16"/>
  <c r="AC73" i="16"/>
  <c r="Y73" i="16"/>
  <c r="AC151" i="16"/>
  <c r="Y151" i="16"/>
  <c r="AC121" i="16"/>
  <c r="Y121" i="16"/>
  <c r="AC154" i="16"/>
  <c r="Y154" i="16"/>
  <c r="AC152" i="16"/>
  <c r="Y152" i="16"/>
  <c r="AC153" i="16"/>
  <c r="Y153" i="16"/>
  <c r="AC123" i="16"/>
  <c r="Y123" i="16"/>
  <c r="Y122" i="16"/>
  <c r="AC122" i="16"/>
  <c r="AC124" i="16"/>
  <c r="Y124" i="16"/>
  <c r="Y150" i="16"/>
  <c r="AC150" i="16"/>
  <c r="L20" i="11"/>
  <c r="G20" i="11"/>
  <c r="H20" i="11" s="1"/>
  <c r="I20" i="11" s="1"/>
  <c r="Y72" i="16"/>
  <c r="AC72" i="16"/>
  <c r="L31" i="11"/>
  <c r="L29" i="11"/>
  <c r="G29" i="11"/>
  <c r="L36" i="11"/>
  <c r="H51" i="11"/>
  <c r="M51" i="11"/>
  <c r="G50" i="11"/>
  <c r="L50" i="11"/>
  <c r="H49" i="11"/>
  <c r="M49" i="11"/>
  <c r="H48" i="11"/>
  <c r="C76" i="10"/>
  <c r="J76" i="10" s="1"/>
  <c r="B76" i="10"/>
  <c r="G23" i="11"/>
  <c r="H23" i="11" s="1"/>
  <c r="I23" i="11" s="1"/>
  <c r="L23" i="11"/>
  <c r="Y4" i="16"/>
  <c r="AC4" i="16"/>
  <c r="AC67" i="16"/>
  <c r="Y67" i="16"/>
  <c r="Y26" i="16"/>
  <c r="AC26" i="16"/>
  <c r="AC5" i="16"/>
  <c r="Y5" i="16"/>
  <c r="Y42" i="16"/>
  <c r="AC42" i="16"/>
  <c r="Y47" i="16"/>
  <c r="AC47" i="16"/>
  <c r="AC9" i="16"/>
  <c r="Y9" i="16"/>
  <c r="Y71" i="16"/>
  <c r="AC71" i="16"/>
  <c r="Y40" i="16"/>
  <c r="AC40" i="16"/>
  <c r="AC59" i="16"/>
  <c r="Y59" i="16"/>
  <c r="Y21" i="16"/>
  <c r="AC21" i="16"/>
  <c r="Y164" i="16"/>
  <c r="AC164" i="16"/>
  <c r="H31" i="11"/>
  <c r="M31" i="11"/>
  <c r="Y55" i="16"/>
  <c r="AC55" i="16"/>
  <c r="H39" i="11"/>
  <c r="M39" i="11"/>
  <c r="AC56" i="16"/>
  <c r="Y56" i="16"/>
  <c r="Y46" i="16"/>
  <c r="AC46" i="16"/>
  <c r="AC19" i="16"/>
  <c r="Y19" i="16"/>
  <c r="Y68" i="16"/>
  <c r="AC68" i="16"/>
  <c r="Y54" i="16"/>
  <c r="AC54" i="16"/>
  <c r="AC155" i="16"/>
  <c r="Y155" i="16"/>
  <c r="AC24" i="16"/>
  <c r="Y24" i="16"/>
  <c r="Y69" i="16"/>
  <c r="AC69" i="16"/>
  <c r="Y52" i="16"/>
  <c r="AC52" i="16"/>
  <c r="M47" i="11"/>
  <c r="H47" i="11"/>
  <c r="Y156" i="16"/>
  <c r="AC156" i="16"/>
  <c r="Y49" i="16"/>
  <c r="AC49" i="16"/>
  <c r="Y162" i="16"/>
  <c r="AC162" i="16"/>
  <c r="AC22" i="16"/>
  <c r="Y22" i="16"/>
  <c r="Y41" i="16"/>
  <c r="AC41" i="16"/>
  <c r="Y35" i="16"/>
  <c r="AC35" i="16"/>
  <c r="Y63" i="16"/>
  <c r="AC63" i="16"/>
  <c r="Y18" i="16"/>
  <c r="AC18" i="16"/>
  <c r="Y62" i="16"/>
  <c r="AC62" i="16"/>
  <c r="AC17" i="16"/>
  <c r="Y17" i="16"/>
  <c r="Y13" i="16"/>
  <c r="AC13" i="16"/>
  <c r="Y70" i="16"/>
  <c r="AC70" i="16"/>
  <c r="AC51" i="16"/>
  <c r="Y51" i="16"/>
  <c r="AC33" i="16"/>
  <c r="Y33" i="16"/>
  <c r="AC160" i="16"/>
  <c r="Y160" i="16"/>
  <c r="Y20" i="16"/>
  <c r="AC20" i="16"/>
  <c r="H40" i="11"/>
  <c r="M40" i="11"/>
  <c r="Y53" i="16"/>
  <c r="AC53" i="16"/>
  <c r="Y43" i="16"/>
  <c r="AC43" i="16"/>
  <c r="Y3" i="16"/>
  <c r="AC3" i="16"/>
  <c r="AC10" i="16"/>
  <c r="Y10" i="16"/>
  <c r="M34" i="11"/>
  <c r="H34" i="11"/>
  <c r="Y12" i="16"/>
  <c r="AC12" i="16"/>
  <c r="Y11" i="16"/>
  <c r="AC11" i="16"/>
  <c r="Y2" i="16"/>
  <c r="AC2" i="16"/>
  <c r="Y37" i="16"/>
  <c r="AC37" i="16"/>
  <c r="Y48" i="16"/>
  <c r="AC48" i="16"/>
  <c r="H45" i="11"/>
  <c r="M45" i="11"/>
  <c r="Y163" i="16"/>
  <c r="AC163" i="16"/>
  <c r="Y23" i="16"/>
  <c r="AC23" i="16"/>
  <c r="AC25" i="16"/>
  <c r="Y25" i="16"/>
  <c r="AC44" i="16"/>
  <c r="Y44" i="16"/>
  <c r="Y157" i="16"/>
  <c r="AC157" i="16"/>
  <c r="Y27" i="16"/>
  <c r="AC27" i="16"/>
  <c r="AC6" i="16"/>
  <c r="Y6" i="16"/>
  <c r="Y28" i="16"/>
  <c r="AC28" i="16"/>
  <c r="Y8" i="16"/>
  <c r="AC8" i="16"/>
  <c r="I41" i="11"/>
  <c r="O41" i="11" s="1"/>
  <c r="N41" i="11"/>
  <c r="Y159" i="16"/>
  <c r="AC159" i="16"/>
  <c r="Y66" i="16"/>
  <c r="AC66" i="16"/>
  <c r="AC39" i="16"/>
  <c r="Y39" i="16"/>
  <c r="Y65" i="16"/>
  <c r="AC65" i="16"/>
  <c r="Y161" i="16"/>
  <c r="AC161" i="16"/>
  <c r="M38" i="11"/>
  <c r="H38" i="11"/>
  <c r="Y36" i="16"/>
  <c r="AC36" i="16"/>
  <c r="Y45" i="16"/>
  <c r="AC45" i="16"/>
  <c r="Y58" i="16"/>
  <c r="AC58" i="16"/>
  <c r="Y61" i="16"/>
  <c r="AC61" i="16"/>
  <c r="Y16" i="16"/>
  <c r="AC16" i="16"/>
  <c r="Y64" i="16"/>
  <c r="AC64" i="16"/>
  <c r="H36" i="11"/>
  <c r="M36" i="11"/>
  <c r="Y38" i="16"/>
  <c r="AC38" i="16"/>
  <c r="Y50" i="16"/>
  <c r="AC50" i="16"/>
  <c r="Y57" i="16"/>
  <c r="AC57" i="16"/>
  <c r="AC34" i="16"/>
  <c r="Y34" i="16"/>
  <c r="AC7" i="16"/>
  <c r="Y7" i="16"/>
  <c r="AC158" i="16"/>
  <c r="Y158" i="16"/>
  <c r="Y15" i="16"/>
  <c r="AC15" i="16"/>
  <c r="H5" i="11" l="1"/>
  <c r="I5" i="11" s="1"/>
  <c r="O5" i="11" s="1"/>
  <c r="AD154" i="16"/>
  <c r="Z154" i="16"/>
  <c r="AD73" i="16"/>
  <c r="Z73" i="16"/>
  <c r="Z72" i="16"/>
  <c r="AD72" i="16"/>
  <c r="Z29" i="16"/>
  <c r="AD29" i="16"/>
  <c r="Z150" i="16"/>
  <c r="AD150" i="16"/>
  <c r="AD14" i="16"/>
  <c r="Z14" i="16"/>
  <c r="AD121" i="16"/>
  <c r="Z121" i="16"/>
  <c r="AD124" i="16"/>
  <c r="Z124" i="16"/>
  <c r="AD31" i="16"/>
  <c r="Z31" i="16"/>
  <c r="Z152" i="16"/>
  <c r="AD152" i="16"/>
  <c r="M29" i="11"/>
  <c r="H29" i="11"/>
  <c r="Z151" i="16"/>
  <c r="AD151" i="16"/>
  <c r="Z122" i="16"/>
  <c r="AD122" i="16"/>
  <c r="AD123" i="16"/>
  <c r="Z123" i="16"/>
  <c r="AD30" i="16"/>
  <c r="Z30" i="16"/>
  <c r="Z153" i="16"/>
  <c r="AD153" i="16"/>
  <c r="AD32" i="16"/>
  <c r="Z32" i="16"/>
  <c r="G77" i="10"/>
  <c r="R75" i="15" s="1"/>
  <c r="F92" i="16" s="1"/>
  <c r="E77" i="10"/>
  <c r="R67" i="15" s="1"/>
  <c r="F78" i="16" s="1"/>
  <c r="P78" i="16" s="1"/>
  <c r="I51" i="11"/>
  <c r="H50" i="11"/>
  <c r="M50" i="11"/>
  <c r="I49" i="11"/>
  <c r="I48" i="11"/>
  <c r="N38" i="11"/>
  <c r="I38" i="11"/>
  <c r="O38" i="11" s="1"/>
  <c r="Z28" i="16"/>
  <c r="AD28" i="16"/>
  <c r="Z43" i="16"/>
  <c r="AD43" i="16"/>
  <c r="AD50" i="16"/>
  <c r="Z50" i="16"/>
  <c r="AD69" i="16"/>
  <c r="Z69" i="16"/>
  <c r="AD20" i="16"/>
  <c r="Z20" i="16"/>
  <c r="I36" i="11"/>
  <c r="O36" i="11" s="1"/>
  <c r="N36" i="11"/>
  <c r="AD157" i="16"/>
  <c r="Z157" i="16"/>
  <c r="AD11" i="16"/>
  <c r="Z11" i="16"/>
  <c r="AD41" i="16"/>
  <c r="Z41" i="16"/>
  <c r="AD155" i="16"/>
  <c r="Z155" i="16"/>
  <c r="Z47" i="16"/>
  <c r="AD47" i="16"/>
  <c r="N31" i="11"/>
  <c r="I31" i="11"/>
  <c r="O31" i="11" s="1"/>
  <c r="AD26" i="16"/>
  <c r="Z26" i="16"/>
  <c r="AD9" i="16"/>
  <c r="Z9" i="16"/>
  <c r="AD57" i="16"/>
  <c r="Z57" i="16"/>
  <c r="Z6" i="16"/>
  <c r="AD6" i="16"/>
  <c r="AD56" i="16"/>
  <c r="Z56" i="16"/>
  <c r="AD161" i="16"/>
  <c r="Z161" i="16"/>
  <c r="Z67" i="16"/>
  <c r="AD67" i="16"/>
  <c r="AD24" i="16"/>
  <c r="Z24" i="16"/>
  <c r="B77" i="10"/>
  <c r="R87" i="15" s="1"/>
  <c r="Z54" i="16"/>
  <c r="AD54" i="16"/>
  <c r="AD164" i="16"/>
  <c r="Z164" i="16"/>
  <c r="Z36" i="16"/>
  <c r="AD36" i="16"/>
  <c r="AD46" i="16"/>
  <c r="Z46" i="16"/>
  <c r="Z52" i="16"/>
  <c r="AD52" i="16"/>
  <c r="AD2" i="16"/>
  <c r="Z2" i="16"/>
  <c r="AD63" i="16"/>
  <c r="Z63" i="16"/>
  <c r="AD65" i="16"/>
  <c r="Z65" i="16"/>
  <c r="AD160" i="16"/>
  <c r="Z160" i="16"/>
  <c r="AD68" i="16"/>
  <c r="Z68" i="16"/>
  <c r="AD21" i="16"/>
  <c r="Z21" i="16"/>
  <c r="AD4" i="16"/>
  <c r="Z4" i="16"/>
  <c r="AD17" i="16"/>
  <c r="Z17" i="16"/>
  <c r="Z48" i="16"/>
  <c r="AD48" i="16"/>
  <c r="AD37" i="16"/>
  <c r="Z37" i="16"/>
  <c r="Z38" i="16"/>
  <c r="AD38" i="16"/>
  <c r="Z5" i="16"/>
  <c r="AD5" i="16"/>
  <c r="AD12" i="16"/>
  <c r="Z12" i="16"/>
  <c r="C77" i="10"/>
  <c r="Z23" i="16"/>
  <c r="AD23" i="16"/>
  <c r="AD162" i="16"/>
  <c r="Z162" i="16"/>
  <c r="Z59" i="16"/>
  <c r="AD59" i="16"/>
  <c r="D77" i="10"/>
  <c r="AD71" i="16"/>
  <c r="Z71" i="16"/>
  <c r="Z64" i="16"/>
  <c r="AD64" i="16"/>
  <c r="Z22" i="16"/>
  <c r="AD22" i="16"/>
  <c r="AD58" i="16"/>
  <c r="Z58" i="16"/>
  <c r="N34" i="11"/>
  <c r="I34" i="11"/>
  <c r="O34" i="11" s="1"/>
  <c r="I77" i="10"/>
  <c r="N47" i="11"/>
  <c r="I47" i="11"/>
  <c r="O47" i="11" s="1"/>
  <c r="Z53" i="16"/>
  <c r="AD53" i="16"/>
  <c r="I40" i="11"/>
  <c r="O40" i="11" s="1"/>
  <c r="N40" i="11"/>
  <c r="I39" i="11"/>
  <c r="O39" i="11" s="1"/>
  <c r="N39" i="11"/>
  <c r="AD27" i="16"/>
  <c r="Z27" i="16"/>
  <c r="AD66" i="16"/>
  <c r="Z66" i="16"/>
  <c r="Z44" i="16"/>
  <c r="AD44" i="16"/>
  <c r="Z33" i="16"/>
  <c r="AD33" i="16"/>
  <c r="Z49" i="16"/>
  <c r="AD49" i="16"/>
  <c r="F77" i="10"/>
  <c r="Z34" i="16"/>
  <c r="AD34" i="16"/>
  <c r="Z3" i="16"/>
  <c r="AD3" i="16"/>
  <c r="AD18" i="16"/>
  <c r="Z18" i="16"/>
  <c r="Z40" i="16"/>
  <c r="AD40" i="16"/>
  <c r="H77" i="10"/>
  <c r="Z62" i="16"/>
  <c r="AD62" i="16"/>
  <c r="AD42" i="16"/>
  <c r="Z42" i="16"/>
  <c r="AD39" i="16"/>
  <c r="Z39" i="16"/>
  <c r="Z35" i="16"/>
  <c r="AD35" i="16"/>
  <c r="AD55" i="16"/>
  <c r="Z55" i="16"/>
  <c r="AD16" i="16"/>
  <c r="Z16" i="16"/>
  <c r="Z25" i="16"/>
  <c r="AD25" i="16"/>
  <c r="AD61" i="16"/>
  <c r="Z61" i="16"/>
  <c r="AD159" i="16"/>
  <c r="Z159" i="16"/>
  <c r="Z51" i="16"/>
  <c r="AD51" i="16"/>
  <c r="Z15" i="16"/>
  <c r="AD15" i="16"/>
  <c r="Z158" i="16"/>
  <c r="AD158" i="16"/>
  <c r="AD163" i="16"/>
  <c r="Z163" i="16"/>
  <c r="AD70" i="16"/>
  <c r="Z70" i="16"/>
  <c r="AD45" i="16"/>
  <c r="Z45" i="16"/>
  <c r="AD10" i="16"/>
  <c r="Z10" i="16"/>
  <c r="Z7" i="16"/>
  <c r="AD7" i="16"/>
  <c r="AD8" i="16"/>
  <c r="Z8" i="16"/>
  <c r="N45" i="11"/>
  <c r="I45" i="11"/>
  <c r="O45" i="11" s="1"/>
  <c r="Z13" i="16"/>
  <c r="AD13" i="16"/>
  <c r="AD156" i="16"/>
  <c r="Z156" i="16"/>
  <c r="AD19" i="16"/>
  <c r="Z19" i="16"/>
  <c r="N5" i="11" l="1"/>
  <c r="AE152" i="16"/>
  <c r="AA152" i="16"/>
  <c r="AF152" i="16" s="1"/>
  <c r="AE31" i="16"/>
  <c r="AA31" i="16"/>
  <c r="AF31" i="16" s="1"/>
  <c r="AE32" i="16"/>
  <c r="AA32" i="16"/>
  <c r="AF32" i="16" s="1"/>
  <c r="AE14" i="16"/>
  <c r="AA14" i="16"/>
  <c r="AF14" i="16" s="1"/>
  <c r="AA121" i="16"/>
  <c r="AF121" i="16" s="1"/>
  <c r="AE121" i="16"/>
  <c r="AA153" i="16"/>
  <c r="AF153" i="16" s="1"/>
  <c r="AE153" i="16"/>
  <c r="AA150" i="16"/>
  <c r="AF150" i="16" s="1"/>
  <c r="AE150" i="16"/>
  <c r="F75" i="16"/>
  <c r="AA29" i="16"/>
  <c r="AF29" i="16" s="1"/>
  <c r="AE29" i="16"/>
  <c r="F97" i="16"/>
  <c r="P97" i="16" s="1"/>
  <c r="X97" i="16" s="1"/>
  <c r="R81" i="15"/>
  <c r="AE123" i="16"/>
  <c r="AA123" i="16"/>
  <c r="AF123" i="16" s="1"/>
  <c r="F79" i="16"/>
  <c r="P79" i="16" s="1"/>
  <c r="R90" i="15"/>
  <c r="F81" i="16"/>
  <c r="P81" i="16" s="1"/>
  <c r="X81" i="16" s="1"/>
  <c r="F103" i="16"/>
  <c r="AA72" i="16"/>
  <c r="AF72" i="16" s="1"/>
  <c r="AE72" i="16"/>
  <c r="I29" i="11"/>
  <c r="O29" i="11" s="1"/>
  <c r="N29" i="11"/>
  <c r="AA124" i="16"/>
  <c r="AF124" i="16" s="1"/>
  <c r="AE124" i="16"/>
  <c r="F96" i="16"/>
  <c r="P96" i="16" s="1"/>
  <c r="AB96" i="16" s="1"/>
  <c r="AE73" i="16"/>
  <c r="AA73" i="16"/>
  <c r="AF73" i="16" s="1"/>
  <c r="F98" i="16"/>
  <c r="P98" i="16" s="1"/>
  <c r="X98" i="16" s="1"/>
  <c r="AA122" i="16"/>
  <c r="AF122" i="16" s="1"/>
  <c r="AE122" i="16"/>
  <c r="AE154" i="16"/>
  <c r="AA154" i="16"/>
  <c r="AF154" i="16" s="1"/>
  <c r="AE30" i="16"/>
  <c r="AA30" i="16"/>
  <c r="AF30" i="16" s="1"/>
  <c r="F95" i="16"/>
  <c r="P95" i="16" s="1"/>
  <c r="X95" i="16" s="1"/>
  <c r="AE151" i="16"/>
  <c r="AA151" i="16"/>
  <c r="AF151" i="16" s="1"/>
  <c r="I50" i="11"/>
  <c r="F30" i="23"/>
  <c r="G30" i="23"/>
  <c r="AB78" i="16"/>
  <c r="X78" i="16"/>
  <c r="AA25" i="16"/>
  <c r="AF25" i="16" s="1"/>
  <c r="AE25" i="16"/>
  <c r="AA71" i="16"/>
  <c r="AF71" i="16" s="1"/>
  <c r="AE71" i="16"/>
  <c r="AE38" i="16"/>
  <c r="AA38" i="16"/>
  <c r="AF38" i="16" s="1"/>
  <c r="AA2" i="16"/>
  <c r="AF2" i="16" s="1"/>
  <c r="AE2" i="16"/>
  <c r="AA6" i="16"/>
  <c r="AF6" i="16" s="1"/>
  <c r="AE6" i="16"/>
  <c r="AE18" i="16"/>
  <c r="AA18" i="16"/>
  <c r="AF18" i="16" s="1"/>
  <c r="AE46" i="16"/>
  <c r="AA46" i="16"/>
  <c r="AF46" i="16" s="1"/>
  <c r="AE4" i="16"/>
  <c r="AA4" i="16"/>
  <c r="AF4" i="16" s="1"/>
  <c r="AE47" i="16"/>
  <c r="AA47" i="16"/>
  <c r="AF47" i="16" s="1"/>
  <c r="AE59" i="16"/>
  <c r="AA59" i="16"/>
  <c r="AF59" i="16" s="1"/>
  <c r="AA49" i="16"/>
  <c r="AF49" i="16" s="1"/>
  <c r="AE49" i="16"/>
  <c r="AA68" i="16"/>
  <c r="AF68" i="16" s="1"/>
  <c r="AE68" i="16"/>
  <c r="AA54" i="16"/>
  <c r="AF54" i="16" s="1"/>
  <c r="AE54" i="16"/>
  <c r="AE155" i="16"/>
  <c r="AA155" i="16"/>
  <c r="AF155" i="16" s="1"/>
  <c r="F115" i="16"/>
  <c r="F112" i="16"/>
  <c r="AA69" i="16"/>
  <c r="AF69" i="16" s="1"/>
  <c r="AE69" i="16"/>
  <c r="AA35" i="16"/>
  <c r="AF35" i="16" s="1"/>
  <c r="AE35" i="16"/>
  <c r="AE24" i="16"/>
  <c r="AA24" i="16"/>
  <c r="AF24" i="16" s="1"/>
  <c r="AA41" i="16"/>
  <c r="AF41" i="16" s="1"/>
  <c r="AE41" i="16"/>
  <c r="AE39" i="16"/>
  <c r="AA39" i="16"/>
  <c r="AF39" i="16" s="1"/>
  <c r="AE43" i="16"/>
  <c r="AA43" i="16"/>
  <c r="AF43" i="16" s="1"/>
  <c r="AE52" i="16"/>
  <c r="AA52" i="16"/>
  <c r="AF52" i="16" s="1"/>
  <c r="AA163" i="16"/>
  <c r="AF163" i="16" s="1"/>
  <c r="AE163" i="16"/>
  <c r="AA42" i="16"/>
  <c r="AF42" i="16" s="1"/>
  <c r="AE42" i="16"/>
  <c r="AE19" i="16"/>
  <c r="AA19" i="16"/>
  <c r="AF19" i="16" s="1"/>
  <c r="AA62" i="16"/>
  <c r="AF62" i="16" s="1"/>
  <c r="AE62" i="16"/>
  <c r="AA33" i="16"/>
  <c r="AF33" i="16" s="1"/>
  <c r="AE33" i="16"/>
  <c r="AA23" i="16"/>
  <c r="AF23" i="16" s="1"/>
  <c r="AE23" i="16"/>
  <c r="F76" i="16"/>
  <c r="P76" i="16" s="1"/>
  <c r="F74" i="16"/>
  <c r="P75" i="16"/>
  <c r="AA13" i="16"/>
  <c r="AF13" i="16" s="1"/>
  <c r="AE13" i="16"/>
  <c r="AA51" i="16"/>
  <c r="AF51" i="16" s="1"/>
  <c r="AE51" i="16"/>
  <c r="AE44" i="16"/>
  <c r="AA44" i="16"/>
  <c r="AF44" i="16" s="1"/>
  <c r="AE12" i="16"/>
  <c r="AA12" i="16"/>
  <c r="AF12" i="16" s="1"/>
  <c r="AA160" i="16"/>
  <c r="AF160" i="16" s="1"/>
  <c r="AE160" i="16"/>
  <c r="AE11" i="16"/>
  <c r="AA11" i="16"/>
  <c r="AF11" i="16" s="1"/>
  <c r="P103" i="16"/>
  <c r="F104" i="16"/>
  <c r="F105" i="16" s="1"/>
  <c r="AE20" i="16"/>
  <c r="AA20" i="16"/>
  <c r="AF20" i="16" s="1"/>
  <c r="AA57" i="16"/>
  <c r="AF57" i="16" s="1"/>
  <c r="AE57" i="16"/>
  <c r="AE55" i="16"/>
  <c r="AA55" i="16"/>
  <c r="AF55" i="16" s="1"/>
  <c r="AA53" i="16"/>
  <c r="AF53" i="16" s="1"/>
  <c r="AE53" i="16"/>
  <c r="AA36" i="16"/>
  <c r="AF36" i="16" s="1"/>
  <c r="AE36" i="16"/>
  <c r="AE58" i="16"/>
  <c r="AA58" i="16"/>
  <c r="AF58" i="16" s="1"/>
  <c r="AA15" i="16"/>
  <c r="AF15" i="16" s="1"/>
  <c r="AE15" i="16"/>
  <c r="AA67" i="16"/>
  <c r="AF67" i="16" s="1"/>
  <c r="AE67" i="16"/>
  <c r="AA37" i="16"/>
  <c r="AF37" i="16" s="1"/>
  <c r="AE37" i="16"/>
  <c r="AA50" i="16"/>
  <c r="AF50" i="16" s="1"/>
  <c r="AE50" i="16"/>
  <c r="AA21" i="16"/>
  <c r="AF21" i="16" s="1"/>
  <c r="AE21" i="16"/>
  <c r="AE65" i="16"/>
  <c r="AA65" i="16"/>
  <c r="AF65" i="16" s="1"/>
  <c r="AA161" i="16"/>
  <c r="AF161" i="16" s="1"/>
  <c r="AE161" i="16"/>
  <c r="AA157" i="16"/>
  <c r="AF157" i="16" s="1"/>
  <c r="AE157" i="16"/>
  <c r="AE40" i="16"/>
  <c r="AA40" i="16"/>
  <c r="AF40" i="16" s="1"/>
  <c r="AA64" i="16"/>
  <c r="AF64" i="16" s="1"/>
  <c r="AE64" i="16"/>
  <c r="AE16" i="16"/>
  <c r="AA16" i="16"/>
  <c r="AF16" i="16" s="1"/>
  <c r="AE7" i="16"/>
  <c r="AA7" i="16"/>
  <c r="AF7" i="16" s="1"/>
  <c r="AE48" i="16"/>
  <c r="AA48" i="16"/>
  <c r="AF48" i="16" s="1"/>
  <c r="AE17" i="16"/>
  <c r="AA17" i="16"/>
  <c r="AF17" i="16" s="1"/>
  <c r="AA26" i="16"/>
  <c r="AF26" i="16" s="1"/>
  <c r="AE26" i="16"/>
  <c r="AA28" i="16"/>
  <c r="AF28" i="16" s="1"/>
  <c r="AE28" i="16"/>
  <c r="AE10" i="16"/>
  <c r="AA10" i="16"/>
  <c r="AF10" i="16" s="1"/>
  <c r="AE9" i="16"/>
  <c r="AA9" i="16"/>
  <c r="AF9" i="16" s="1"/>
  <c r="AE45" i="16"/>
  <c r="AA45" i="16"/>
  <c r="AF45" i="16" s="1"/>
  <c r="AE3" i="16"/>
  <c r="AA3" i="16"/>
  <c r="AF3" i="16" s="1"/>
  <c r="AE70" i="16"/>
  <c r="AA70" i="16"/>
  <c r="AF70" i="16" s="1"/>
  <c r="AA34" i="16"/>
  <c r="AF34" i="16" s="1"/>
  <c r="AE34" i="16"/>
  <c r="AE162" i="16"/>
  <c r="AA162" i="16"/>
  <c r="AF162" i="16" s="1"/>
  <c r="AA164" i="16"/>
  <c r="AF164" i="16" s="1"/>
  <c r="AE164" i="16"/>
  <c r="AA158" i="16"/>
  <c r="AF158" i="16" s="1"/>
  <c r="AE158" i="16"/>
  <c r="AE156" i="16"/>
  <c r="AA156" i="16"/>
  <c r="AF156" i="16" s="1"/>
  <c r="R72" i="15"/>
  <c r="R101" i="15"/>
  <c r="AE159" i="16"/>
  <c r="AA159" i="16"/>
  <c r="AF159" i="16" s="1"/>
  <c r="AE66" i="16"/>
  <c r="AA66" i="16"/>
  <c r="AF66" i="16" s="1"/>
  <c r="AE8" i="16"/>
  <c r="AA8" i="16"/>
  <c r="AF8" i="16" s="1"/>
  <c r="AE61" i="16"/>
  <c r="AA61" i="16"/>
  <c r="AF61" i="16" s="1"/>
  <c r="AE27" i="16"/>
  <c r="AA27" i="16"/>
  <c r="AF27" i="16" s="1"/>
  <c r="AE22" i="16"/>
  <c r="AA22" i="16"/>
  <c r="AF22" i="16" s="1"/>
  <c r="AA5" i="16"/>
  <c r="AF5" i="16" s="1"/>
  <c r="AE5" i="16"/>
  <c r="AE63" i="16"/>
  <c r="AA63" i="16"/>
  <c r="AF63" i="16" s="1"/>
  <c r="AA56" i="16"/>
  <c r="AF56" i="16" s="1"/>
  <c r="AE56" i="16"/>
  <c r="F93" i="16"/>
  <c r="P92" i="16"/>
  <c r="AB81" i="16" l="1"/>
  <c r="X96" i="16"/>
  <c r="AC96" i="16" s="1"/>
  <c r="F111" i="16"/>
  <c r="P111" i="16" s="1"/>
  <c r="AB97" i="16"/>
  <c r="AB95" i="16"/>
  <c r="F80" i="16"/>
  <c r="P80" i="16" s="1"/>
  <c r="X80" i="16" s="1"/>
  <c r="AB98" i="16"/>
  <c r="AB80" i="16"/>
  <c r="AC97" i="16"/>
  <c r="Y97" i="16"/>
  <c r="X75" i="16"/>
  <c r="AB75" i="16"/>
  <c r="AC78" i="16"/>
  <c r="Y78" i="16"/>
  <c r="Y81" i="16"/>
  <c r="AC81" i="16"/>
  <c r="X92" i="16"/>
  <c r="AB92" i="16"/>
  <c r="X76" i="16"/>
  <c r="AB76" i="16"/>
  <c r="Y95" i="16"/>
  <c r="AC95" i="16"/>
  <c r="AC98" i="16"/>
  <c r="Y98" i="16"/>
  <c r="X79" i="16"/>
  <c r="AB79" i="16"/>
  <c r="X103" i="16"/>
  <c r="AB103" i="16"/>
  <c r="F113" i="16"/>
  <c r="P112" i="16"/>
  <c r="F118" i="16"/>
  <c r="P118" i="16" s="1"/>
  <c r="F117" i="16"/>
  <c r="P117" i="16" s="1"/>
  <c r="F116" i="16"/>
  <c r="P116" i="16" s="1"/>
  <c r="P115" i="16"/>
  <c r="F107" i="16"/>
  <c r="P104" i="16"/>
  <c r="F94" i="16"/>
  <c r="P94" i="16" s="1"/>
  <c r="P93" i="16"/>
  <c r="F99" i="16"/>
  <c r="P99" i="16" s="1"/>
  <c r="F100" i="16"/>
  <c r="P100" i="16" s="1"/>
  <c r="R92" i="15"/>
  <c r="R102" i="15"/>
  <c r="F141" i="16" s="1"/>
  <c r="R97" i="15"/>
  <c r="F82" i="16"/>
  <c r="P74" i="16"/>
  <c r="F77" i="16"/>
  <c r="P77" i="16" s="1"/>
  <c r="F101" i="16"/>
  <c r="F84" i="16"/>
  <c r="F87" i="16"/>
  <c r="Y96" i="16" l="1"/>
  <c r="AD96" i="16" s="1"/>
  <c r="X111" i="16"/>
  <c r="AB111" i="16"/>
  <c r="E4" i="11"/>
  <c r="E10" i="11"/>
  <c r="F10" i="11" s="1"/>
  <c r="AB100" i="16"/>
  <c r="X100" i="16"/>
  <c r="X99" i="16"/>
  <c r="AB99" i="16"/>
  <c r="AC76" i="16"/>
  <c r="Y76" i="16"/>
  <c r="AC75" i="16"/>
  <c r="Y75" i="16"/>
  <c r="Y92" i="16"/>
  <c r="AC92" i="16"/>
  <c r="Z81" i="16"/>
  <c r="AD81" i="16"/>
  <c r="Z97" i="16"/>
  <c r="AD97" i="16"/>
  <c r="Z95" i="16"/>
  <c r="AD95" i="16"/>
  <c r="AB116" i="16"/>
  <c r="X116" i="16"/>
  <c r="AD78" i="16"/>
  <c r="Z78" i="16"/>
  <c r="X118" i="16"/>
  <c r="AB118" i="16"/>
  <c r="X74" i="16"/>
  <c r="AB74" i="16"/>
  <c r="X93" i="16"/>
  <c r="AB93" i="16"/>
  <c r="AB94" i="16"/>
  <c r="X94" i="16"/>
  <c r="AB104" i="16"/>
  <c r="X104" i="16"/>
  <c r="AB112" i="16"/>
  <c r="X112" i="16"/>
  <c r="X77" i="16"/>
  <c r="AB77" i="16"/>
  <c r="Y80" i="16"/>
  <c r="AC80" i="16"/>
  <c r="AC79" i="16"/>
  <c r="Y79" i="16"/>
  <c r="Z98" i="16"/>
  <c r="AD98" i="16"/>
  <c r="X115" i="16"/>
  <c r="AB115" i="16"/>
  <c r="X117" i="16"/>
  <c r="AB117" i="16"/>
  <c r="Y103" i="16"/>
  <c r="AC103" i="16"/>
  <c r="F125" i="16"/>
  <c r="P125" i="16" s="1"/>
  <c r="F127" i="16"/>
  <c r="F126" i="16"/>
  <c r="P105" i="16"/>
  <c r="F106" i="16"/>
  <c r="P106" i="16" s="1"/>
  <c r="F142" i="16"/>
  <c r="P141" i="16"/>
  <c r="F108" i="16"/>
  <c r="P108" i="16" s="1"/>
  <c r="P107" i="16"/>
  <c r="F109" i="16"/>
  <c r="P101" i="16"/>
  <c r="P87" i="16"/>
  <c r="F89" i="16"/>
  <c r="P89" i="16" s="1"/>
  <c r="F90" i="16"/>
  <c r="P90" i="16" s="1"/>
  <c r="F88" i="16"/>
  <c r="P88" i="16" s="1"/>
  <c r="F91" i="16"/>
  <c r="P91" i="16" s="1"/>
  <c r="F86" i="16"/>
  <c r="P86" i="16" s="1"/>
  <c r="F85" i="16"/>
  <c r="P85" i="16" s="1"/>
  <c r="P84" i="16"/>
  <c r="F119" i="16"/>
  <c r="P119" i="16" s="1"/>
  <c r="P113" i="16"/>
  <c r="F114" i="16"/>
  <c r="P114" i="16" s="1"/>
  <c r="F83" i="16"/>
  <c r="P83" i="16" s="1"/>
  <c r="P82" i="16"/>
  <c r="F133" i="16"/>
  <c r="P133" i="16" s="1"/>
  <c r="F134" i="16"/>
  <c r="F135" i="16"/>
  <c r="P135" i="16" s="1"/>
  <c r="Z96" i="16" l="1"/>
  <c r="AE96" i="16" s="1"/>
  <c r="F4" i="11"/>
  <c r="K4" i="11"/>
  <c r="L22" i="22" s="1"/>
  <c r="AC111" i="16"/>
  <c r="Y111" i="16"/>
  <c r="K10" i="11"/>
  <c r="K22" i="22" s="1"/>
  <c r="AA98" i="16"/>
  <c r="AF98" i="16" s="1"/>
  <c r="AE98" i="16"/>
  <c r="AD79" i="16"/>
  <c r="Z79" i="16"/>
  <c r="Y116" i="16"/>
  <c r="AC116" i="16"/>
  <c r="Y77" i="16"/>
  <c r="AC77" i="16"/>
  <c r="AB133" i="16"/>
  <c r="X133" i="16"/>
  <c r="AD92" i="16"/>
  <c r="Z92" i="16"/>
  <c r="U17" i="15"/>
  <c r="X119" i="16"/>
  <c r="AB119" i="16"/>
  <c r="X125" i="16"/>
  <c r="AB125" i="16"/>
  <c r="AC93" i="16"/>
  <c r="Y93" i="16"/>
  <c r="X85" i="16"/>
  <c r="AB85" i="16"/>
  <c r="X101" i="16"/>
  <c r="AB101" i="16"/>
  <c r="AE95" i="16"/>
  <c r="AA95" i="16"/>
  <c r="AF95" i="16" s="1"/>
  <c r="AB106" i="16"/>
  <c r="X106" i="16"/>
  <c r="AB114" i="16"/>
  <c r="X114" i="16"/>
  <c r="AC94" i="16"/>
  <c r="Y94" i="16"/>
  <c r="X113" i="16"/>
  <c r="AB113" i="16"/>
  <c r="AB135" i="16"/>
  <c r="X135" i="16"/>
  <c r="X83" i="16"/>
  <c r="AB83" i="16"/>
  <c r="AC117" i="16"/>
  <c r="Y117" i="16"/>
  <c r="AC74" i="16"/>
  <c r="Y74" i="16"/>
  <c r="AC99" i="16"/>
  <c r="Y99" i="16"/>
  <c r="AE78" i="16"/>
  <c r="AA78" i="16"/>
  <c r="AF78" i="16" s="1"/>
  <c r="X87" i="16"/>
  <c r="AB87" i="16"/>
  <c r="X107" i="16"/>
  <c r="AB107" i="16"/>
  <c r="X108" i="16"/>
  <c r="AB108" i="16"/>
  <c r="Z75" i="16"/>
  <c r="AD75" i="16"/>
  <c r="Z76" i="16"/>
  <c r="AD76" i="16"/>
  <c r="Z103" i="16"/>
  <c r="AD103" i="16"/>
  <c r="AB91" i="16"/>
  <c r="X91" i="16"/>
  <c r="AC100" i="16"/>
  <c r="Y100" i="16"/>
  <c r="X90" i="16"/>
  <c r="AB90" i="16"/>
  <c r="X89" i="16"/>
  <c r="AB89" i="16"/>
  <c r="Z80" i="16"/>
  <c r="AD80" i="16"/>
  <c r="AE97" i="16"/>
  <c r="AA97" i="16"/>
  <c r="AF97" i="16" s="1"/>
  <c r="AC112" i="16"/>
  <c r="Y112" i="16"/>
  <c r="X141" i="16"/>
  <c r="AB141" i="16"/>
  <c r="E9" i="11"/>
  <c r="F9" i="11" s="1"/>
  <c r="X82" i="16"/>
  <c r="AB82" i="16"/>
  <c r="AC104" i="16"/>
  <c r="Y104" i="16"/>
  <c r="AE81" i="16"/>
  <c r="AA81" i="16"/>
  <c r="AF81" i="16" s="1"/>
  <c r="X105" i="16"/>
  <c r="AB105" i="16"/>
  <c r="AB84" i="16"/>
  <c r="X84" i="16"/>
  <c r="X86" i="16"/>
  <c r="AB86" i="16"/>
  <c r="AB88" i="16"/>
  <c r="X88" i="16"/>
  <c r="AC115" i="16"/>
  <c r="Y115" i="16"/>
  <c r="AC118" i="16"/>
  <c r="Y118" i="16"/>
  <c r="U15" i="15"/>
  <c r="E8" i="11"/>
  <c r="K8" i="11" s="1"/>
  <c r="G22" i="22" s="1"/>
  <c r="F143" i="16"/>
  <c r="P142" i="16"/>
  <c r="P109" i="16"/>
  <c r="F110" i="16"/>
  <c r="L10" i="11"/>
  <c r="G10" i="11"/>
  <c r="Q133" i="16"/>
  <c r="Q141" i="16"/>
  <c r="Q135" i="16"/>
  <c r="P134" i="16"/>
  <c r="F136" i="16"/>
  <c r="F148" i="16"/>
  <c r="P148" i="16" s="1"/>
  <c r="E6" i="11"/>
  <c r="P126" i="16"/>
  <c r="F129" i="16"/>
  <c r="F147" i="16"/>
  <c r="P147" i="16" s="1"/>
  <c r="P127" i="16"/>
  <c r="F128" i="16"/>
  <c r="P128" i="16" s="1"/>
  <c r="Q125" i="16"/>
  <c r="AA96" i="16" l="1"/>
  <c r="AF96" i="16" s="1"/>
  <c r="Z111" i="16"/>
  <c r="AD111" i="16"/>
  <c r="L4" i="11"/>
  <c r="G4" i="11"/>
  <c r="AC90" i="16"/>
  <c r="Y90" i="16"/>
  <c r="Z74" i="16"/>
  <c r="AD74" i="16"/>
  <c r="AB142" i="16"/>
  <c r="X142" i="16"/>
  <c r="AA75" i="16"/>
  <c r="AF75" i="16" s="1"/>
  <c r="AE75" i="16"/>
  <c r="AA92" i="16"/>
  <c r="AF92" i="16" s="1"/>
  <c r="AE92" i="16"/>
  <c r="Z94" i="16"/>
  <c r="AD94" i="16"/>
  <c r="X128" i="16"/>
  <c r="AB128" i="16"/>
  <c r="AC114" i="16"/>
  <c r="Y114" i="16"/>
  <c r="AB147" i="16"/>
  <c r="X147" i="16"/>
  <c r="AC108" i="16"/>
  <c r="Y108" i="16"/>
  <c r="AD77" i="16"/>
  <c r="Z77" i="16"/>
  <c r="X126" i="16"/>
  <c r="AB126" i="16"/>
  <c r="AD115" i="16"/>
  <c r="Z115" i="16"/>
  <c r="Y107" i="16"/>
  <c r="AC107" i="16"/>
  <c r="Z116" i="16"/>
  <c r="AD116" i="16"/>
  <c r="Y85" i="16"/>
  <c r="AC85" i="16"/>
  <c r="AC88" i="16"/>
  <c r="Y88" i="16"/>
  <c r="AE80" i="16"/>
  <c r="AA80" i="16"/>
  <c r="AF80" i="16" s="1"/>
  <c r="Y87" i="16"/>
  <c r="AC87" i="16"/>
  <c r="AA79" i="16"/>
  <c r="AF79" i="16" s="1"/>
  <c r="AE79" i="16"/>
  <c r="AC84" i="16"/>
  <c r="Y84" i="16"/>
  <c r="AC105" i="16"/>
  <c r="Y105" i="16"/>
  <c r="AD117" i="16"/>
  <c r="Z117" i="16"/>
  <c r="AD93" i="16"/>
  <c r="Z93" i="16"/>
  <c r="Z104" i="16"/>
  <c r="AD104" i="16"/>
  <c r="AC141" i="16"/>
  <c r="Y141" i="16"/>
  <c r="AD118" i="16"/>
  <c r="Z118" i="16"/>
  <c r="AC106" i="16"/>
  <c r="Y106" i="16"/>
  <c r="AD100" i="16"/>
  <c r="Z100" i="16"/>
  <c r="AE103" i="16"/>
  <c r="AA103" i="16"/>
  <c r="AF103" i="16" s="1"/>
  <c r="AC83" i="16"/>
  <c r="Y83" i="16"/>
  <c r="Y125" i="16"/>
  <c r="AC125" i="16"/>
  <c r="X109" i="16"/>
  <c r="AB109" i="16"/>
  <c r="Y135" i="16"/>
  <c r="AC135" i="16"/>
  <c r="K9" i="11"/>
  <c r="M22" i="22" s="1"/>
  <c r="AE76" i="16"/>
  <c r="AA76" i="16"/>
  <c r="AF76" i="16" s="1"/>
  <c r="AC119" i="16"/>
  <c r="Y119" i="16"/>
  <c r="AC82" i="16"/>
  <c r="Y82" i="16"/>
  <c r="X148" i="16"/>
  <c r="AB148" i="16"/>
  <c r="AB134" i="16"/>
  <c r="X134" i="16"/>
  <c r="Y89" i="16"/>
  <c r="AC89" i="16"/>
  <c r="AC101" i="16"/>
  <c r="Y101" i="16"/>
  <c r="AC91" i="16"/>
  <c r="Y91" i="16"/>
  <c r="AC113" i="16"/>
  <c r="Y113" i="16"/>
  <c r="AC133" i="16"/>
  <c r="Y133" i="16"/>
  <c r="X127" i="16"/>
  <c r="AB127" i="16"/>
  <c r="Z112" i="16"/>
  <c r="AD112" i="16"/>
  <c r="Y86" i="16"/>
  <c r="AC86" i="16"/>
  <c r="AD99" i="16"/>
  <c r="Z99" i="16"/>
  <c r="F8" i="11"/>
  <c r="L8" i="11" s="1"/>
  <c r="Q142" i="16"/>
  <c r="F137" i="16"/>
  <c r="P136" i="16"/>
  <c r="Q134" i="16"/>
  <c r="Q127" i="16"/>
  <c r="P129" i="16"/>
  <c r="F130" i="16"/>
  <c r="K6" i="11"/>
  <c r="J22" i="22" s="1"/>
  <c r="F6" i="11"/>
  <c r="H10" i="11"/>
  <c r="M10" i="11"/>
  <c r="F102" i="16"/>
  <c r="P102" i="16" s="1"/>
  <c r="P110" i="16"/>
  <c r="G12" i="27" s="1"/>
  <c r="Q126" i="16"/>
  <c r="P143" i="16"/>
  <c r="F144" i="16"/>
  <c r="Q128" i="16"/>
  <c r="L9" i="11"/>
  <c r="G9" i="11"/>
  <c r="K12" i="27" l="1"/>
  <c r="H9" i="11"/>
  <c r="I9" i="11" s="1"/>
  <c r="M9" i="11"/>
  <c r="H4" i="11"/>
  <c r="M4" i="11"/>
  <c r="AA111" i="16"/>
  <c r="AF111" i="16" s="1"/>
  <c r="AE111" i="16"/>
  <c r="AD91" i="16"/>
  <c r="Z91" i="16"/>
  <c r="AD125" i="16"/>
  <c r="Z125" i="16"/>
  <c r="AD83" i="16"/>
  <c r="Z83" i="16"/>
  <c r="X129" i="16"/>
  <c r="AB129" i="16"/>
  <c r="Z89" i="16"/>
  <c r="AD89" i="16"/>
  <c r="AE100" i="16"/>
  <c r="AA100" i="16"/>
  <c r="AF100" i="16" s="1"/>
  <c r="AD88" i="16"/>
  <c r="Z88" i="16"/>
  <c r="AE94" i="16"/>
  <c r="AA94" i="16"/>
  <c r="AF94" i="16" s="1"/>
  <c r="Y148" i="16"/>
  <c r="AC148" i="16"/>
  <c r="Z85" i="16"/>
  <c r="AD85" i="16"/>
  <c r="Z119" i="16"/>
  <c r="AD119" i="16"/>
  <c r="AE116" i="16"/>
  <c r="AA116" i="16"/>
  <c r="AF116" i="16" s="1"/>
  <c r="AA104" i="16"/>
  <c r="AF104" i="16" s="1"/>
  <c r="AE104" i="16"/>
  <c r="Z107" i="16"/>
  <c r="AD107" i="16"/>
  <c r="AD105" i="16"/>
  <c r="Z105" i="16"/>
  <c r="AA77" i="16"/>
  <c r="AF77" i="16" s="1"/>
  <c r="AE77" i="16"/>
  <c r="AC128" i="16"/>
  <c r="Y128" i="16"/>
  <c r="Z106" i="16"/>
  <c r="AD106" i="16"/>
  <c r="X102" i="16"/>
  <c r="AB102" i="16"/>
  <c r="AD113" i="16"/>
  <c r="Z113" i="16"/>
  <c r="Y109" i="16"/>
  <c r="AC109" i="16"/>
  <c r="Z84" i="16"/>
  <c r="AD84" i="16"/>
  <c r="AD108" i="16"/>
  <c r="Z108" i="16"/>
  <c r="Y147" i="16"/>
  <c r="AC147" i="16"/>
  <c r="AD101" i="16"/>
  <c r="Z101" i="16"/>
  <c r="AD114" i="16"/>
  <c r="Z114" i="16"/>
  <c r="Z87" i="16"/>
  <c r="AD87" i="16"/>
  <c r="X136" i="16"/>
  <c r="AB136" i="16"/>
  <c r="Y134" i="16"/>
  <c r="AC134" i="16"/>
  <c r="AE118" i="16"/>
  <c r="AA118" i="16"/>
  <c r="AF118" i="16" s="1"/>
  <c r="AA99" i="16"/>
  <c r="AF99" i="16" s="1"/>
  <c r="AE99" i="16"/>
  <c r="Z82" i="16"/>
  <c r="AD82" i="16"/>
  <c r="AD86" i="16"/>
  <c r="Z86" i="16"/>
  <c r="AA93" i="16"/>
  <c r="AF93" i="16" s="1"/>
  <c r="AE93" i="16"/>
  <c r="AA115" i="16"/>
  <c r="AF115" i="16" s="1"/>
  <c r="AE115" i="16"/>
  <c r="AE117" i="16"/>
  <c r="AA117" i="16"/>
  <c r="AF117" i="16" s="1"/>
  <c r="Z90" i="16"/>
  <c r="AD90" i="16"/>
  <c r="AD141" i="16"/>
  <c r="Z141" i="16"/>
  <c r="AB143" i="16"/>
  <c r="X143" i="16"/>
  <c r="Y142" i="16"/>
  <c r="AC142" i="16"/>
  <c r="AE112" i="16"/>
  <c r="AA112" i="16"/>
  <c r="AF112" i="16" s="1"/>
  <c r="AA74" i="16"/>
  <c r="AF74" i="16" s="1"/>
  <c r="AE74" i="16"/>
  <c r="AC127" i="16"/>
  <c r="Y127" i="16"/>
  <c r="AB110" i="16"/>
  <c r="X110" i="16"/>
  <c r="AD133" i="16"/>
  <c r="Z133" i="16"/>
  <c r="AD135" i="16"/>
  <c r="Z135" i="16"/>
  <c r="Y126" i="16"/>
  <c r="AC126" i="16"/>
  <c r="G8" i="11"/>
  <c r="H8" i="11" s="1"/>
  <c r="Q129" i="16"/>
  <c r="Q136" i="16"/>
  <c r="G6" i="11"/>
  <c r="L6" i="11"/>
  <c r="N10" i="11"/>
  <c r="I10" i="11"/>
  <c r="O10" i="11" s="1"/>
  <c r="F138" i="16"/>
  <c r="P137" i="16"/>
  <c r="F131" i="16"/>
  <c r="P130" i="16"/>
  <c r="E7" i="11"/>
  <c r="F145" i="16"/>
  <c r="P144" i="16"/>
  <c r="Q143" i="16"/>
  <c r="L12" i="27" l="1"/>
  <c r="I4" i="11"/>
  <c r="O4" i="11" s="1"/>
  <c r="N4" i="11"/>
  <c r="M8" i="11"/>
  <c r="X144" i="16"/>
  <c r="AB144" i="16"/>
  <c r="AE86" i="16"/>
  <c r="AA86" i="16"/>
  <c r="AF86" i="16" s="1"/>
  <c r="X130" i="16"/>
  <c r="AB130" i="16"/>
  <c r="AA82" i="16"/>
  <c r="AF82" i="16" s="1"/>
  <c r="AE82" i="16"/>
  <c r="Z109" i="16"/>
  <c r="AD109" i="16"/>
  <c r="AE88" i="16"/>
  <c r="AA88" i="16"/>
  <c r="AF88" i="16" s="1"/>
  <c r="Z142" i="16"/>
  <c r="AD142" i="16"/>
  <c r="AE105" i="16"/>
  <c r="AA105" i="16"/>
  <c r="AF105" i="16" s="1"/>
  <c r="AA84" i="16"/>
  <c r="AF84" i="16" s="1"/>
  <c r="AE84" i="16"/>
  <c r="AE106" i="16"/>
  <c r="AA106" i="16"/>
  <c r="AF106" i="16" s="1"/>
  <c r="AD128" i="16"/>
  <c r="Z128" i="16"/>
  <c r="AA87" i="16"/>
  <c r="AF87" i="16" s="1"/>
  <c r="AE87" i="16"/>
  <c r="AA125" i="16"/>
  <c r="AF125" i="16" s="1"/>
  <c r="AE125" i="16"/>
  <c r="Z127" i="16"/>
  <c r="AD127" i="16"/>
  <c r="AA85" i="16"/>
  <c r="AF85" i="16" s="1"/>
  <c r="AE85" i="16"/>
  <c r="AD134" i="16"/>
  <c r="Z134" i="16"/>
  <c r="AA83" i="16"/>
  <c r="AF83" i="16" s="1"/>
  <c r="AE83" i="16"/>
  <c r="AD126" i="16"/>
  <c r="Z126" i="16"/>
  <c r="AE107" i="16"/>
  <c r="AA107" i="16"/>
  <c r="AF107" i="16" s="1"/>
  <c r="AD147" i="16"/>
  <c r="Z147" i="16"/>
  <c r="AC110" i="16"/>
  <c r="Y110" i="16"/>
  <c r="AA119" i="16"/>
  <c r="AF119" i="16" s="1"/>
  <c r="AE119" i="16"/>
  <c r="AC136" i="16"/>
  <c r="Y136" i="16"/>
  <c r="AA114" i="16"/>
  <c r="AF114" i="16" s="1"/>
  <c r="AE114" i="16"/>
  <c r="AC129" i="16"/>
  <c r="Y129" i="16"/>
  <c r="AA101" i="16"/>
  <c r="AF101" i="16" s="1"/>
  <c r="AE101" i="16"/>
  <c r="AA135" i="16"/>
  <c r="AF135" i="16" s="1"/>
  <c r="AE135" i="16"/>
  <c r="AA133" i="16"/>
  <c r="AF133" i="16" s="1"/>
  <c r="AE133" i="16"/>
  <c r="AE108" i="16"/>
  <c r="AA108" i="16"/>
  <c r="AF108" i="16" s="1"/>
  <c r="AE91" i="16"/>
  <c r="AA91" i="16"/>
  <c r="AF91" i="16" s="1"/>
  <c r="AE113" i="16"/>
  <c r="AA113" i="16"/>
  <c r="AF113" i="16" s="1"/>
  <c r="AB137" i="16"/>
  <c r="X137" i="16"/>
  <c r="AD148" i="16"/>
  <c r="Z148" i="16"/>
  <c r="Y102" i="16"/>
  <c r="AC102" i="16"/>
  <c r="Y143" i="16"/>
  <c r="AC143" i="16"/>
  <c r="AE141" i="16"/>
  <c r="AA141" i="16"/>
  <c r="AF141" i="16" s="1"/>
  <c r="AA89" i="16"/>
  <c r="AF89" i="16" s="1"/>
  <c r="AE89" i="16"/>
  <c r="AA90" i="16"/>
  <c r="AF90" i="16" s="1"/>
  <c r="AE90" i="16"/>
  <c r="Q144" i="16"/>
  <c r="R144" i="16"/>
  <c r="N8" i="11"/>
  <c r="I8" i="11"/>
  <c r="O8" i="11" s="1"/>
  <c r="Q137" i="16"/>
  <c r="M6" i="11"/>
  <c r="H6" i="11"/>
  <c r="F7" i="11"/>
  <c r="K7" i="11"/>
  <c r="I22" i="22" s="1"/>
  <c r="P145" i="16"/>
  <c r="F146" i="16"/>
  <c r="P138" i="16"/>
  <c r="F139" i="16"/>
  <c r="Q130" i="16"/>
  <c r="F132" i="16"/>
  <c r="P132" i="16" s="1"/>
  <c r="P131" i="16"/>
  <c r="AE128" i="16" l="1"/>
  <c r="AA128" i="16"/>
  <c r="AF128" i="16" s="1"/>
  <c r="AE127" i="16"/>
  <c r="AA127" i="16"/>
  <c r="AF127" i="16" s="1"/>
  <c r="AC130" i="16"/>
  <c r="Y130" i="16"/>
  <c r="AD110" i="16"/>
  <c r="Z110" i="16"/>
  <c r="AA134" i="16"/>
  <c r="AF134" i="16" s="1"/>
  <c r="AE134" i="16"/>
  <c r="AA142" i="16"/>
  <c r="AF142" i="16" s="1"/>
  <c r="AE142" i="16"/>
  <c r="AB138" i="16"/>
  <c r="X138" i="16"/>
  <c r="Y137" i="16"/>
  <c r="AC137" i="16"/>
  <c r="AE147" i="16"/>
  <c r="AA147" i="16"/>
  <c r="AF147" i="16" s="1"/>
  <c r="AA126" i="16"/>
  <c r="AF126" i="16" s="1"/>
  <c r="AE126" i="16"/>
  <c r="AE109" i="16"/>
  <c r="AA109" i="16"/>
  <c r="AF109" i="16" s="1"/>
  <c r="X132" i="16"/>
  <c r="AB132" i="16"/>
  <c r="Z143" i="16"/>
  <c r="AD143" i="16"/>
  <c r="AD136" i="16"/>
  <c r="Z136" i="16"/>
  <c r="AE148" i="16"/>
  <c r="AA148" i="16"/>
  <c r="AF148" i="16" s="1"/>
  <c r="AB145" i="16"/>
  <c r="X145" i="16"/>
  <c r="Z129" i="16"/>
  <c r="AD129" i="16"/>
  <c r="X131" i="16"/>
  <c r="AB131" i="16"/>
  <c r="Z102" i="16"/>
  <c r="AD102" i="16"/>
  <c r="Y144" i="16"/>
  <c r="AC144" i="16"/>
  <c r="Q132" i="16"/>
  <c r="P139" i="16"/>
  <c r="F140" i="16"/>
  <c r="P140" i="16" s="1"/>
  <c r="N6" i="11"/>
  <c r="I6" i="11"/>
  <c r="O6" i="11" s="1"/>
  <c r="P146" i="16"/>
  <c r="E22" i="11" s="1"/>
  <c r="F149" i="16"/>
  <c r="P149" i="16" s="1"/>
  <c r="Q138" i="16"/>
  <c r="R138" i="16"/>
  <c r="Q145" i="16"/>
  <c r="Q131" i="16"/>
  <c r="G7" i="11"/>
  <c r="L7" i="11"/>
  <c r="G13" i="27" l="1"/>
  <c r="AA110" i="16"/>
  <c r="AF110" i="16" s="1"/>
  <c r="AE110" i="16"/>
  <c r="AE102" i="16"/>
  <c r="AA102" i="16"/>
  <c r="AF102" i="16" s="1"/>
  <c r="Z137" i="16"/>
  <c r="AD137" i="16"/>
  <c r="AA129" i="16"/>
  <c r="AF129" i="16" s="1"/>
  <c r="AE129" i="16"/>
  <c r="AC145" i="16"/>
  <c r="Y145" i="16"/>
  <c r="AE136" i="16"/>
  <c r="AA136" i="16"/>
  <c r="AF136" i="16" s="1"/>
  <c r="AD130" i="16"/>
  <c r="Z130" i="16"/>
  <c r="AB149" i="16"/>
  <c r="X149" i="16"/>
  <c r="AE143" i="16"/>
  <c r="AA143" i="16"/>
  <c r="AF143" i="16" s="1"/>
  <c r="AC138" i="16"/>
  <c r="Y138" i="16"/>
  <c r="Y131" i="16"/>
  <c r="AC131" i="16"/>
  <c r="X146" i="16"/>
  <c r="AB146" i="16"/>
  <c r="X140" i="16"/>
  <c r="AB140" i="16"/>
  <c r="U16" i="15"/>
  <c r="X139" i="16"/>
  <c r="AB139" i="16"/>
  <c r="Z144" i="16"/>
  <c r="AD144" i="16"/>
  <c r="Y132" i="16"/>
  <c r="AC132" i="16"/>
  <c r="Q140" i="16"/>
  <c r="Q139" i="16"/>
  <c r="K22" i="11"/>
  <c r="F22" i="11"/>
  <c r="H7" i="11"/>
  <c r="M7" i="11"/>
  <c r="E3" i="11"/>
  <c r="U14" i="15"/>
  <c r="Q146" i="16"/>
  <c r="E14" i="11" s="1" a="1"/>
  <c r="E14" i="11" s="1"/>
  <c r="V11" i="15" l="1"/>
  <c r="K13" i="27"/>
  <c r="L13" i="27" s="1"/>
  <c r="G14" i="27"/>
  <c r="C23" i="23"/>
  <c r="AA137" i="16"/>
  <c r="AF137" i="16" s="1"/>
  <c r="AE137" i="16"/>
  <c r="AD131" i="16"/>
  <c r="Z131" i="16"/>
  <c r="Z138" i="16"/>
  <c r="AD138" i="16"/>
  <c r="Y149" i="16"/>
  <c r="AC149" i="16"/>
  <c r="Z132" i="16"/>
  <c r="AD132" i="16"/>
  <c r="AA144" i="16"/>
  <c r="AF144" i="16" s="1"/>
  <c r="AE144" i="16"/>
  <c r="AA130" i="16"/>
  <c r="AF130" i="16" s="1"/>
  <c r="AE130" i="16"/>
  <c r="AD145" i="16"/>
  <c r="Z145" i="16"/>
  <c r="AC139" i="16"/>
  <c r="Y139" i="16"/>
  <c r="AC140" i="16"/>
  <c r="Y140" i="16"/>
  <c r="AC146" i="16"/>
  <c r="Y146" i="16"/>
  <c r="K14" i="11"/>
  <c r="F14" i="11"/>
  <c r="G14" i="11" s="1"/>
  <c r="H14" i="11" s="1"/>
  <c r="I14" i="11" s="1"/>
  <c r="I7" i="11"/>
  <c r="O7" i="11" s="1"/>
  <c r="N7" i="11"/>
  <c r="E13" i="11" a="1"/>
  <c r="E13" i="11" s="1"/>
  <c r="F3" i="11"/>
  <c r="K3" i="11"/>
  <c r="D37" i="11" s="1"/>
  <c r="L22" i="11"/>
  <c r="G22" i="11"/>
  <c r="U21" i="15"/>
  <c r="V12" i="15" s="1"/>
  <c r="V13" i="15" s="1"/>
  <c r="K14" i="27" l="1"/>
  <c r="L14" i="27" s="1"/>
  <c r="G15" i="27"/>
  <c r="H22" i="11"/>
  <c r="I22" i="11" s="1"/>
  <c r="M22" i="11"/>
  <c r="V21" i="15"/>
  <c r="C24" i="23" s="1"/>
  <c r="F30" i="26"/>
  <c r="H30" i="26" s="1"/>
  <c r="O54" i="19" s="1"/>
  <c r="C15" i="23" s="1" a="1"/>
  <c r="C15" i="23" s="1"/>
  <c r="M15" i="23" s="1"/>
  <c r="D33" i="26"/>
  <c r="AA138" i="16"/>
  <c r="AF138" i="16" s="1"/>
  <c r="AE138" i="16"/>
  <c r="AD140" i="16"/>
  <c r="Z140" i="16"/>
  <c r="AE132" i="16"/>
  <c r="AA132" i="16"/>
  <c r="AF132" i="16" s="1"/>
  <c r="AE131" i="16"/>
  <c r="AA131" i="16"/>
  <c r="AF131" i="16" s="1"/>
  <c r="Z139" i="16"/>
  <c r="AD139" i="16"/>
  <c r="Z149" i="16"/>
  <c r="AD149" i="16"/>
  <c r="AD146" i="16"/>
  <c r="Z146" i="16"/>
  <c r="AE145" i="16"/>
  <c r="AA145" i="16"/>
  <c r="AF145" i="16" s="1"/>
  <c r="E32" i="11"/>
  <c r="K32" i="11" s="1"/>
  <c r="E42" i="11"/>
  <c r="G3" i="11"/>
  <c r="L3" i="11"/>
  <c r="F22" i="22"/>
  <c r="E21" i="11"/>
  <c r="K13" i="11"/>
  <c r="E24" i="11"/>
  <c r="F13" i="11"/>
  <c r="D23" i="23"/>
  <c r="D34" i="26"/>
  <c r="K15" i="27" l="1"/>
  <c r="L15" i="27" s="1"/>
  <c r="H9" i="27"/>
  <c r="H10" i="27"/>
  <c r="H12" i="27"/>
  <c r="H13" i="27"/>
  <c r="W21" i="15"/>
  <c r="D24" i="23" s="1"/>
  <c r="D22" i="23" s="1"/>
  <c r="E41" i="26"/>
  <c r="E39" i="26"/>
  <c r="E38" i="26"/>
  <c r="E37" i="26"/>
  <c r="E40" i="26"/>
  <c r="E42" i="26"/>
  <c r="E43" i="11"/>
  <c r="K43" i="11" s="1"/>
  <c r="E46" i="11"/>
  <c r="F46" i="11" s="1"/>
  <c r="D41" i="26"/>
  <c r="D37" i="26"/>
  <c r="D40" i="26"/>
  <c r="D39" i="26"/>
  <c r="D38" i="26"/>
  <c r="D42" i="26"/>
  <c r="Q18" i="22"/>
  <c r="N7" i="22"/>
  <c r="N14" i="22"/>
  <c r="N8" i="22"/>
  <c r="N12" i="22"/>
  <c r="N15" i="22"/>
  <c r="N9" i="22"/>
  <c r="N13" i="22"/>
  <c r="N16" i="22"/>
  <c r="N10" i="22"/>
  <c r="N17" i="22"/>
  <c r="N11" i="22"/>
  <c r="AA146" i="16"/>
  <c r="AF146" i="16" s="1"/>
  <c r="AE146" i="16"/>
  <c r="AA149" i="16"/>
  <c r="AF149" i="16" s="1"/>
  <c r="AE149" i="16"/>
  <c r="AE139" i="16"/>
  <c r="AA139" i="16"/>
  <c r="AF139" i="16" s="1"/>
  <c r="AE140" i="16"/>
  <c r="AA140" i="16"/>
  <c r="AF140" i="16" s="1"/>
  <c r="K42" i="11"/>
  <c r="F42" i="11"/>
  <c r="L42" i="11" s="1"/>
  <c r="F32" i="11"/>
  <c r="L32" i="11" s="1"/>
  <c r="L13" i="11"/>
  <c r="G13" i="11"/>
  <c r="F24" i="11"/>
  <c r="G24" i="11" s="1"/>
  <c r="H24" i="11" s="1"/>
  <c r="I24" i="11" s="1"/>
  <c r="K24" i="11"/>
  <c r="F21" i="11"/>
  <c r="K21" i="11"/>
  <c r="N37" i="11"/>
  <c r="M37" i="11"/>
  <c r="K37" i="11"/>
  <c r="L37" i="11"/>
  <c r="O37" i="11"/>
  <c r="C22" i="23"/>
  <c r="E23" i="23"/>
  <c r="M3" i="11"/>
  <c r="H3" i="11"/>
  <c r="H14" i="27" l="1"/>
  <c r="H11" i="27"/>
  <c r="X21" i="15"/>
  <c r="Y21" i="15" s="1"/>
  <c r="F43" i="11"/>
  <c r="G43" i="11" s="1"/>
  <c r="H13" i="11"/>
  <c r="I13" i="11" s="1"/>
  <c r="M13" i="11"/>
  <c r="Q14" i="22"/>
  <c r="Q12" i="22"/>
  <c r="Q11" i="22"/>
  <c r="Q16" i="22"/>
  <c r="Q10" i="22"/>
  <c r="Q9" i="22"/>
  <c r="Q8" i="22"/>
  <c r="Q7" i="22"/>
  <c r="Q17" i="22"/>
  <c r="Q15" i="22"/>
  <c r="Q13" i="22"/>
  <c r="E44" i="11"/>
  <c r="F44" i="11" s="1"/>
  <c r="D32" i="26"/>
  <c r="C38" i="23" s="1"/>
  <c r="M38" i="23" s="1"/>
  <c r="O15" i="22"/>
  <c r="G42" i="11"/>
  <c r="H42" i="11" s="1"/>
  <c r="N18" i="22"/>
  <c r="K46" i="11"/>
  <c r="C30" i="23" s="1"/>
  <c r="G32" i="11"/>
  <c r="G23" i="23"/>
  <c r="L46" i="11"/>
  <c r="G46" i="11"/>
  <c r="I3" i="11"/>
  <c r="O3" i="11" s="1"/>
  <c r="N3" i="11"/>
  <c r="G21" i="11"/>
  <c r="L21" i="11"/>
  <c r="F23" i="23"/>
  <c r="O14" i="22"/>
  <c r="H15" i="27" l="1"/>
  <c r="E24" i="23"/>
  <c r="E22" i="23" s="1"/>
  <c r="L43" i="11"/>
  <c r="K44" i="11"/>
  <c r="R18" i="22" s="1"/>
  <c r="R16" i="22" s="1"/>
  <c r="H21" i="11"/>
  <c r="I21" i="11" s="1"/>
  <c r="M21" i="11"/>
  <c r="H32" i="11"/>
  <c r="I32" i="11" s="1"/>
  <c r="M32" i="11"/>
  <c r="H46" i="11"/>
  <c r="I46" i="11" s="1"/>
  <c r="M46" i="11"/>
  <c r="D30" i="23"/>
  <c r="O18" i="22"/>
  <c r="P18" i="22" s="1"/>
  <c r="P7" i="22" s="1"/>
  <c r="M42" i="11"/>
  <c r="I42" i="11"/>
  <c r="O42" i="11" s="1"/>
  <c r="N42" i="11"/>
  <c r="L44" i="11"/>
  <c r="G44" i="11"/>
  <c r="M23" i="23"/>
  <c r="Z21" i="15"/>
  <c r="G24" i="23" s="1"/>
  <c r="G22" i="23" s="1"/>
  <c r="F24" i="23"/>
  <c r="H43" i="11"/>
  <c r="M43" i="11"/>
  <c r="D29" i="23" l="1"/>
  <c r="D28" i="23" s="1"/>
  <c r="D44" i="23" s="1"/>
  <c r="E30" i="23"/>
  <c r="M30" i="23" s="1"/>
  <c r="C29" i="23"/>
  <c r="C28" i="23" s="1"/>
  <c r="C44" i="23" s="1"/>
  <c r="R17" i="22"/>
  <c r="R8" i="22"/>
  <c r="R13" i="22"/>
  <c r="R10" i="22"/>
  <c r="R11" i="22"/>
  <c r="R14" i="22"/>
  <c r="R15" i="22"/>
  <c r="R7" i="22"/>
  <c r="S7" i="22" s="1"/>
  <c r="U7" i="22" s="1"/>
  <c r="J41" i="19" s="1"/>
  <c r="R9" i="22"/>
  <c r="R12" i="22"/>
  <c r="S18" i="22"/>
  <c r="P11" i="22"/>
  <c r="P17" i="22"/>
  <c r="P9" i="22"/>
  <c r="P15" i="22"/>
  <c r="P14" i="22"/>
  <c r="P13" i="22"/>
  <c r="P12" i="22"/>
  <c r="P16" i="22"/>
  <c r="S16" i="22" s="1"/>
  <c r="U16" i="22" s="1"/>
  <c r="P8" i="22"/>
  <c r="P10" i="22"/>
  <c r="M24" i="23"/>
  <c r="F22" i="23"/>
  <c r="M22" i="23" s="1"/>
  <c r="H44" i="11"/>
  <c r="M44" i="11"/>
  <c r="E29" i="23" s="1"/>
  <c r="N43" i="11"/>
  <c r="I43" i="11"/>
  <c r="O43" i="11" s="1"/>
  <c r="J37" i="19" l="1"/>
  <c r="E37" i="19"/>
  <c r="S8" i="22"/>
  <c r="S12" i="22"/>
  <c r="U12" i="22" s="1"/>
  <c r="S10" i="22"/>
  <c r="U10" i="22" s="1"/>
  <c r="S11" i="22"/>
  <c r="U11" i="22" s="1"/>
  <c r="S17" i="22"/>
  <c r="S13" i="22"/>
  <c r="U13" i="22" s="1"/>
  <c r="S14" i="22"/>
  <c r="U14" i="22" s="1"/>
  <c r="S15" i="22"/>
  <c r="U15" i="22" s="1"/>
  <c r="S9" i="22"/>
  <c r="U9" i="22" s="1"/>
  <c r="F6" i="23"/>
  <c r="C6" i="23"/>
  <c r="G6" i="23"/>
  <c r="E6" i="23"/>
  <c r="D6" i="23"/>
  <c r="E28" i="23"/>
  <c r="E44" i="23" s="1"/>
  <c r="G12" i="23"/>
  <c r="D12" i="23"/>
  <c r="E12" i="23"/>
  <c r="C12" i="23"/>
  <c r="F12" i="23"/>
  <c r="I44" i="11"/>
  <c r="O44" i="11" s="1"/>
  <c r="G29" i="23" s="1"/>
  <c r="G28" i="23" s="1"/>
  <c r="G44" i="23" s="1"/>
  <c r="N44" i="11"/>
  <c r="F29" i="23" s="1"/>
  <c r="J39" i="19" l="1"/>
  <c r="E39" i="19"/>
  <c r="D11" i="23" s="1"/>
  <c r="J45" i="19"/>
  <c r="E45" i="19"/>
  <c r="E14" i="23" s="1"/>
  <c r="J36" i="19"/>
  <c r="E36" i="19"/>
  <c r="D9" i="23" s="1"/>
  <c r="J33" i="19"/>
  <c r="E33" i="19"/>
  <c r="G7" i="23" s="1"/>
  <c r="J43" i="19"/>
  <c r="E43" i="19"/>
  <c r="C13" i="23" s="1"/>
  <c r="J30" i="19"/>
  <c r="E30" i="19"/>
  <c r="G5" i="23" s="1"/>
  <c r="E10" i="23"/>
  <c r="D10" i="23"/>
  <c r="F10" i="23"/>
  <c r="F8" i="23"/>
  <c r="C8" i="23"/>
  <c r="G10" i="23"/>
  <c r="C10" i="23"/>
  <c r="G8" i="23"/>
  <c r="E8" i="23"/>
  <c r="D8" i="23"/>
  <c r="M12" i="23"/>
  <c r="M6" i="23"/>
  <c r="F28" i="23"/>
  <c r="M29" i="23"/>
  <c r="D14" i="23" l="1"/>
  <c r="G14" i="23"/>
  <c r="F14" i="23"/>
  <c r="G9" i="23"/>
  <c r="C9" i="23"/>
  <c r="F9" i="23"/>
  <c r="F11" i="23"/>
  <c r="C11" i="23"/>
  <c r="E11" i="23"/>
  <c r="G11" i="23"/>
  <c r="E7" i="23"/>
  <c r="C14" i="23"/>
  <c r="M14" i="23" s="1"/>
  <c r="D13" i="23"/>
  <c r="E13" i="23" s="1"/>
  <c r="F13" i="23" s="1"/>
  <c r="G13" i="23" s="1"/>
  <c r="D7" i="23"/>
  <c r="F7" i="23"/>
  <c r="C7" i="23"/>
  <c r="E5" i="23"/>
  <c r="C5" i="23"/>
  <c r="E9" i="23"/>
  <c r="D5" i="23"/>
  <c r="D19" i="23" s="1"/>
  <c r="D45" i="23" s="1"/>
  <c r="D46" i="23" s="1"/>
  <c r="F5" i="23"/>
  <c r="M10" i="23"/>
  <c r="M8" i="23"/>
  <c r="F44" i="23"/>
  <c r="M28" i="23"/>
  <c r="M44" i="23" s="1"/>
  <c r="G19" i="23" l="1"/>
  <c r="G45" i="23" s="1"/>
  <c r="G46" i="23" s="1"/>
  <c r="M9" i="23"/>
  <c r="M11" i="23"/>
  <c r="M7" i="23"/>
  <c r="M13" i="23"/>
  <c r="E19" i="23"/>
  <c r="E45" i="23" s="1"/>
  <c r="E46" i="23" s="1"/>
  <c r="M5" i="23"/>
  <c r="F19" i="23"/>
  <c r="F45" i="23" s="1"/>
  <c r="F46" i="23" s="1"/>
  <c r="C19" i="23"/>
  <c r="C45" i="23" s="1"/>
  <c r="C46" i="23" s="1"/>
  <c r="M19" i="23" l="1"/>
  <c r="N9" i="23" s="1"/>
  <c r="N15" i="23"/>
  <c r="M45" i="23"/>
  <c r="N6" i="23" l="1"/>
  <c r="M46" i="23"/>
  <c r="N8" i="23"/>
  <c r="N10" i="23"/>
  <c r="N17" i="23"/>
  <c r="N16" i="23"/>
  <c r="N13" i="23"/>
  <c r="N12" i="23"/>
  <c r="N7" i="23"/>
  <c r="N18" i="23"/>
  <c r="N5" i="23"/>
  <c r="N11" i="23"/>
  <c r="N14"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陆颖</author>
    <author>Feng Simon</author>
  </authors>
  <commentList>
    <comment ref="O12" authorId="0" shapeId="0" xr:uid="{00000000-0006-0000-0800-000001000000}">
      <text>
        <r>
          <rPr>
            <b/>
            <sz val="9"/>
            <color indexed="81"/>
            <rFont val="宋体"/>
            <family val="3"/>
            <charset val="134"/>
          </rPr>
          <t>LY:</t>
        </r>
        <r>
          <rPr>
            <sz val="9"/>
            <color indexed="81"/>
            <rFont val="宋体"/>
            <family val="3"/>
            <charset val="134"/>
          </rPr>
          <t xml:space="preserve">
incl. normal return handling/ support customs inspection</t>
        </r>
      </text>
    </comment>
    <comment ref="O15" authorId="0" shapeId="0" xr:uid="{00000000-0006-0000-0800-000002000000}">
      <text>
        <r>
          <rPr>
            <b/>
            <sz val="9"/>
            <color indexed="81"/>
            <rFont val="宋体"/>
            <family val="3"/>
            <charset val="134"/>
          </rPr>
          <t>LY:</t>
        </r>
        <r>
          <rPr>
            <sz val="9"/>
            <color indexed="81"/>
            <rFont val="宋体"/>
            <family val="3"/>
            <charset val="134"/>
          </rPr>
          <t xml:space="preserve">
incl. labelling</t>
        </r>
      </text>
    </comment>
    <comment ref="O17" authorId="0" shapeId="0" xr:uid="{00000000-0006-0000-0800-000003000000}">
      <text>
        <r>
          <rPr>
            <b/>
            <sz val="9"/>
            <color indexed="81"/>
            <rFont val="宋体"/>
            <family val="3"/>
            <charset val="134"/>
          </rPr>
          <t>LY:</t>
        </r>
        <r>
          <rPr>
            <sz val="9"/>
            <color indexed="81"/>
            <rFont val="宋体"/>
            <family val="3"/>
            <charset val="134"/>
          </rPr>
          <t xml:space="preserve">
incl. MHE driver, return handling</t>
        </r>
      </text>
    </comment>
    <comment ref="F95" authorId="1" shapeId="0" xr:uid="{00000000-0006-0000-0800-000004000000}">
      <text>
        <r>
          <rPr>
            <b/>
            <sz val="10"/>
            <color rgb="FF000000"/>
            <rFont val="Microsoft YaHei UI"/>
            <family val="2"/>
            <charset val="134"/>
          </rPr>
          <t>Feng Simon:</t>
        </r>
        <r>
          <rPr>
            <sz val="10"/>
            <color rgb="FF000000"/>
            <rFont val="Microsoft YaHei UI"/>
            <family val="2"/>
            <charset val="134"/>
          </rPr>
          <t xml:space="preserve">
</t>
        </r>
        <r>
          <rPr>
            <sz val="10"/>
            <color rgb="FF000000"/>
            <rFont val="Microsoft YaHei UI"/>
            <family val="2"/>
            <charset val="134"/>
          </rPr>
          <t>假设每次</t>
        </r>
        <r>
          <rPr>
            <sz val="10"/>
            <color rgb="FF000000"/>
            <rFont val="Microsoft YaHei UI"/>
            <family val="2"/>
            <charset val="134"/>
          </rPr>
          <t xml:space="preserve"> F</t>
        </r>
        <r>
          <rPr>
            <sz val="10"/>
            <color rgb="FF000000"/>
            <rFont val="Microsoft YaHei UI"/>
            <family val="2"/>
            <charset val="134"/>
          </rPr>
          <t>区</t>
        </r>
        <r>
          <rPr>
            <sz val="10"/>
            <color rgb="FF000000"/>
            <rFont val="Microsoft YaHei UI"/>
            <family val="2"/>
            <charset val="134"/>
          </rPr>
          <t xml:space="preserve"> </t>
        </r>
        <r>
          <rPr>
            <sz val="10"/>
            <color rgb="FF000000"/>
            <rFont val="Microsoft YaHei UI"/>
            <family val="2"/>
            <charset val="134"/>
          </rPr>
          <t>/</t>
        </r>
        <r>
          <rPr>
            <sz val="10"/>
            <color rgb="FF000000"/>
            <rFont val="Microsoft YaHei UI"/>
            <family val="2"/>
            <charset val="134"/>
          </rPr>
          <t xml:space="preserve"> </t>
        </r>
        <r>
          <rPr>
            <sz val="10"/>
            <color rgb="FF000000"/>
            <rFont val="Microsoft YaHei UI"/>
            <family val="2"/>
            <charset val="134"/>
          </rPr>
          <t>R</t>
        </r>
        <r>
          <rPr>
            <sz val="10"/>
            <color rgb="FF000000"/>
            <rFont val="Microsoft YaHei UI"/>
            <family val="2"/>
            <charset val="134"/>
          </rPr>
          <t>区</t>
        </r>
        <r>
          <rPr>
            <sz val="10"/>
            <color rgb="FF000000"/>
            <rFont val="Microsoft YaHei UI"/>
            <family val="2"/>
            <charset val="134"/>
          </rPr>
          <t xml:space="preserve">
</t>
        </r>
        <r>
          <rPr>
            <sz val="10"/>
            <color rgb="FF000000"/>
            <rFont val="Microsoft YaHei UI"/>
            <family val="2"/>
            <charset val="134"/>
          </rPr>
          <t>归位或拣选都走</t>
        </r>
        <r>
          <rPr>
            <sz val="10"/>
            <color rgb="FF000000"/>
            <rFont val="Microsoft YaHei UI"/>
            <family val="2"/>
            <charset val="134"/>
          </rPr>
          <t>30%</t>
        </r>
        <r>
          <rPr>
            <sz val="10"/>
            <color rgb="FF000000"/>
            <rFont val="Microsoft YaHei UI"/>
            <family val="2"/>
            <charset val="134"/>
          </rPr>
          <t>全部巷道</t>
        </r>
        <r>
          <rPr>
            <sz val="10"/>
            <color rgb="FF000000"/>
            <rFont val="Microsoft YaHei UI"/>
            <family val="2"/>
            <charset val="134"/>
          </rPr>
          <t xml:space="preserve">
</t>
        </r>
        <r>
          <rPr>
            <sz val="10"/>
            <color rgb="FF000000"/>
            <rFont val="Microsoft YaHei UI"/>
            <family val="2"/>
            <charset val="134"/>
          </rPr>
          <t>假设每次</t>
        </r>
        <r>
          <rPr>
            <sz val="10"/>
            <color rgb="FF000000"/>
            <rFont val="Microsoft YaHei UI"/>
            <family val="2"/>
            <charset val="134"/>
          </rPr>
          <t xml:space="preserve"> </t>
        </r>
        <r>
          <rPr>
            <sz val="10"/>
            <color rgb="FF000000"/>
            <rFont val="Microsoft YaHei UI"/>
            <family val="2"/>
            <charset val="134"/>
          </rPr>
          <t>V</t>
        </r>
        <r>
          <rPr>
            <sz val="10"/>
            <color rgb="FF000000"/>
            <rFont val="Microsoft YaHei UI"/>
            <family val="2"/>
            <charset val="134"/>
          </rPr>
          <t>区</t>
        </r>
        <r>
          <rPr>
            <sz val="10"/>
            <color rgb="FF000000"/>
            <rFont val="Microsoft YaHei UI"/>
            <family val="2"/>
            <charset val="134"/>
          </rPr>
          <t xml:space="preserve"> </t>
        </r>
        <r>
          <rPr>
            <sz val="10"/>
            <color rgb="FF000000"/>
            <rFont val="Microsoft YaHei UI"/>
            <family val="2"/>
            <charset val="134"/>
          </rPr>
          <t>拣选也是</t>
        </r>
        <r>
          <rPr>
            <sz val="10"/>
            <color rgb="FF000000"/>
            <rFont val="Microsoft YaHei UI"/>
            <family val="2"/>
            <charset val="134"/>
          </rPr>
          <t>30%</t>
        </r>
        <r>
          <rPr>
            <sz val="10"/>
            <color rgb="FF000000"/>
            <rFont val="Microsoft YaHei UI"/>
            <family val="2"/>
            <charset val="134"/>
          </rPr>
          <t>全部巷道</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tc={A0EB5988-3234-4EDC-9FF3-BFED299AA2BC}</author>
    <author>tc={23D05D92-4D1C-4957-B729-5F11B16FE653}</author>
    <author>tc={2103944B-87C8-48A2-B67E-ACC0B6E5E7F5}</author>
    <author>tc={89B9BCCB-20D5-4C5E-B2B8-9764F56614F9}</author>
    <author>tc={0621C05B-3789-4BE7-9BDF-DF1B4512173B}</author>
    <author>陆颖</author>
    <author>tc={53E7C407-4B3E-4D19-A28F-1F99DC8929DE}</author>
  </authors>
  <commentList>
    <comment ref="M49" authorId="0" shapeId="0" xr:uid="{A0EB5988-3234-4EDC-9FF3-BFED299AA2BC}">
      <text>
        <t>[线程批注]
你的Excel版本可读取此线程批注; 但如果在更新版本的Excel中打开文件，则对批注所作的任何改动都将被删除。了解详细信息: https://go.microsoft.com/fwlink/?linkid=870924
注释:
    Adjust from 30 to 60</t>
      </text>
    </comment>
    <comment ref="M52" authorId="1" shapeId="0" xr:uid="{23D05D92-4D1C-4957-B729-5F11B16FE653}">
      <text>
        <t>[线程批注]
你的Excel版本可读取此线程批注; 但如果在更新版本的Excel中打开文件，则对批注所作的任何改动都将被删除。了解详细信息: https://go.microsoft.com/fwlink/?linkid=870924
注释:
    Adjust from 120 to 240</t>
      </text>
    </comment>
    <comment ref="M79" authorId="2" shapeId="0" xr:uid="{2103944B-87C8-48A2-B67E-ACC0B6E5E7F5}">
      <text>
        <t>[线程批注]
你的Excel版本可读取此线程批注; 但如果在更新版本的Excel中打开文件，则对批注所作的任何改动都将被删除。了解详细信息: https://go.microsoft.com/fwlink/?linkid=870924
注释:
    Adjust from 3 to 8</t>
      </text>
    </comment>
    <comment ref="M96" authorId="3" shapeId="0" xr:uid="{89B9BCCB-20D5-4C5E-B2B8-9764F56614F9}">
      <text>
        <t>[线程批注]
你的Excel版本可读取此线程批注; 但如果在更新版本的Excel中打开文件，则对批注所作的任何改动都将被删除。了解详细信息: https://go.microsoft.com/fwlink/?linkid=870924
注释:
    Adjust from 5 to 15</t>
      </text>
    </comment>
    <comment ref="M105" authorId="4" shapeId="0" xr:uid="{0621C05B-3789-4BE7-9BDF-DF1B4512173B}">
      <text>
        <t>[线程批注]
你的Excel版本可读取此线程批注; 但如果在更新版本的Excel中打开文件，则对批注所作的任何改动都将被删除。了解详细信息: https://go.microsoft.com/fwlink/?linkid=870924
注释:
    Adjust from 5 to 10</t>
      </text>
    </comment>
    <comment ref="M135" authorId="5" shapeId="0" xr:uid="{730B07B9-97C0-43A0-B0F9-5BF7AEF81803}">
      <text>
        <r>
          <rPr>
            <b/>
            <sz val="9"/>
            <color indexed="81"/>
            <rFont val="宋体"/>
            <family val="3"/>
            <charset val="134"/>
          </rPr>
          <t>陆颖:</t>
        </r>
        <r>
          <rPr>
            <sz val="9"/>
            <color indexed="81"/>
            <rFont val="宋体"/>
            <family val="3"/>
            <charset val="134"/>
          </rPr>
          <t xml:space="preserve">
assume can put 2pc together
Lunan:adjust from 3 to 2.5
</t>
        </r>
      </text>
    </comment>
    <comment ref="M141" authorId="6" shapeId="0" xr:uid="{53E7C407-4B3E-4D19-A28F-1F99DC8929DE}">
      <text>
        <t>[线程批注]
你的Excel版本可读取此线程批注; 但如果在更新版本的Excel中打开文件，则对批注所作的任何改动都将被删除。了解详细信息: https://go.microsoft.com/fwlink/?linkid=870924
注释:
    Adjust from 180 to 120</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<sst xmlns="http://schemas.openxmlformats.org/spreadsheetml/2006/main" count="2659" uniqueCount="1092">
  <si>
    <t>Rush</t>
  </si>
  <si>
    <t>VOR</t>
  </si>
  <si>
    <t>Stock</t>
  </si>
  <si>
    <t>1. Inbound</t>
  </si>
  <si>
    <t>Total outbound lines</t>
  </si>
  <si>
    <t>Logistics Services Agreement</t>
  </si>
  <si>
    <t>P.R. of China</t>
  </si>
  <si>
    <t>Annotation</t>
  </si>
  <si>
    <t>Volume Information</t>
  </si>
  <si>
    <t>Storage Area</t>
  </si>
  <si>
    <t>Mezzanine</t>
  </si>
  <si>
    <t>Floor Storage</t>
  </si>
  <si>
    <t>Dangerous Goods</t>
  </si>
  <si>
    <t>New Parts</t>
  </si>
  <si>
    <t>Pallet Racking</t>
  </si>
  <si>
    <t>Cross-Docking</t>
  </si>
  <si>
    <t>Locked / Lifestyle</t>
  </si>
  <si>
    <t xml:space="preserve">The volume information which is mentioned in this Exhibit of that contract has been compiled by BBA to the best of BBA’s knowledge.
Nevertheless it should be understood just as planning basis for the Contractor. The given volumes are indicative and could change. Therefore they cannot be guaranteed.
</t>
  </si>
  <si>
    <t>Exhibit 03</t>
  </si>
  <si>
    <t>Coding</t>
  </si>
  <si>
    <t>Regional Distribution Centre Ningbo</t>
  </si>
  <si>
    <t>Prod. factor</t>
    <phoneticPr fontId="26" type="noConversion"/>
  </si>
  <si>
    <t>Y1</t>
    <phoneticPr fontId="26" type="noConversion"/>
  </si>
  <si>
    <t>Y2</t>
  </si>
  <si>
    <t>Y3</t>
  </si>
  <si>
    <t>Y4</t>
  </si>
  <si>
    <t>Y5</t>
  </si>
  <si>
    <t>折旧</t>
    <phoneticPr fontId="26" type="noConversion"/>
  </si>
  <si>
    <t>Mezzanine</t>
    <phoneticPr fontId="31" type="noConversion"/>
  </si>
  <si>
    <t>RH</t>
    <phoneticPr fontId="31" type="noConversion"/>
  </si>
  <si>
    <t>Racking</t>
    <phoneticPr fontId="26" type="noConversion"/>
  </si>
  <si>
    <t>Team leader</t>
    <phoneticPr fontId="26" type="noConversion"/>
  </si>
  <si>
    <t>FTE</t>
    <phoneticPr fontId="26" type="noConversion"/>
  </si>
  <si>
    <t>Others</t>
    <phoneticPr fontId="26" type="noConversion"/>
  </si>
  <si>
    <t>Speed(m/s)</t>
    <phoneticPr fontId="31" type="noConversion"/>
  </si>
  <si>
    <t>CB</t>
    <phoneticPr fontId="31" type="noConversion"/>
  </si>
  <si>
    <t>R-Truck</t>
    <phoneticPr fontId="31" type="noConversion"/>
  </si>
  <si>
    <t>K-Truck</t>
    <phoneticPr fontId="31" type="noConversion"/>
  </si>
  <si>
    <t>Trolley</t>
    <phoneticPr fontId="31" type="noConversion"/>
  </si>
  <si>
    <t>AGV</t>
    <phoneticPr fontId="31" type="noConversion"/>
  </si>
  <si>
    <t>Move</t>
    <phoneticPr fontId="31" type="noConversion"/>
  </si>
  <si>
    <t>No.</t>
    <phoneticPr fontId="31" type="noConversion"/>
  </si>
  <si>
    <t>Area-2</t>
  </si>
  <si>
    <t>Main-Process</t>
    <phoneticPr fontId="31" type="noConversion"/>
  </si>
  <si>
    <t>Sub-Process</t>
    <phoneticPr fontId="31" type="noConversion"/>
  </si>
  <si>
    <t>MHE</t>
    <phoneticPr fontId="31" type="noConversion"/>
  </si>
  <si>
    <t>Make IB plan</t>
    <phoneticPr fontId="31" type="noConversion"/>
  </si>
  <si>
    <t>Make IB plan and paper work</t>
  </si>
  <si>
    <t>Check IB Plan</t>
    <phoneticPr fontId="31" type="noConversion"/>
  </si>
  <si>
    <t>Documentation</t>
    <phoneticPr fontId="31" type="noConversion"/>
  </si>
  <si>
    <t>Good Receiving</t>
  </si>
  <si>
    <t>Checking truck / container before unloading</t>
  </si>
  <si>
    <t>Adjust Dock</t>
    <phoneticPr fontId="31" type="noConversion"/>
  </si>
  <si>
    <t>Operator</t>
    <phoneticPr fontId="31" type="noConversion"/>
  </si>
  <si>
    <t>Safety Confirm</t>
    <phoneticPr fontId="31" type="noConversion"/>
  </si>
  <si>
    <t>Check IB DN</t>
    <phoneticPr fontId="31" type="noConversion"/>
  </si>
  <si>
    <t>Check Container</t>
    <phoneticPr fontId="31" type="noConversion"/>
  </si>
  <si>
    <t>Open Container</t>
    <phoneticPr fontId="31" type="noConversion"/>
  </si>
  <si>
    <t>Unloading the truck / container</t>
  </si>
  <si>
    <t>Unloading Cargos</t>
    <phoneticPr fontId="31" type="noConversion"/>
  </si>
  <si>
    <t>MHE Driver</t>
    <phoneticPr fontId="31" type="noConversion"/>
  </si>
  <si>
    <t>Check Cargos' Performance</t>
    <phoneticPr fontId="31" type="noConversion"/>
  </si>
  <si>
    <t>Checking and labelling</t>
  </si>
  <si>
    <t>Cargo checking and stick label</t>
  </si>
  <si>
    <t>Scan Pallet</t>
    <phoneticPr fontId="31" type="noConversion"/>
  </si>
  <si>
    <t>Stick Label</t>
    <phoneticPr fontId="31" type="noConversion"/>
  </si>
  <si>
    <t>Update New Parts Info.</t>
    <phoneticPr fontId="31" type="noConversion"/>
  </si>
  <si>
    <t>M Put away</t>
  </si>
  <si>
    <t>Back to Dock</t>
    <phoneticPr fontId="31" type="noConversion"/>
  </si>
  <si>
    <t>Mezzanine_Put away</t>
  </si>
  <si>
    <t>Check Performance</t>
    <phoneticPr fontId="31" type="noConversion"/>
  </si>
  <si>
    <t>Sorting Parts to Trolley</t>
    <phoneticPr fontId="31" type="noConversion"/>
  </si>
  <si>
    <t>Put away Parts</t>
    <phoneticPr fontId="31" type="noConversion"/>
  </si>
  <si>
    <t>Scan Bin Location</t>
    <phoneticPr fontId="31" type="noConversion"/>
  </si>
  <si>
    <t>Mezzanine_Elevator operation</t>
  </si>
  <si>
    <t>F Put away</t>
  </si>
  <si>
    <t>Floor_Put away</t>
  </si>
  <si>
    <t>Check TO Label</t>
    <phoneticPr fontId="31" type="noConversion"/>
  </si>
  <si>
    <t>Put away Pallet</t>
    <phoneticPr fontId="31" type="noConversion"/>
  </si>
  <si>
    <t>R Put away</t>
  </si>
  <si>
    <t>Other Put away</t>
  </si>
  <si>
    <t>Count</t>
  </si>
  <si>
    <t>Stock Counting</t>
  </si>
  <si>
    <t>Mezzanine_Stock counting</t>
  </si>
  <si>
    <t>Prepare Stock Counting List</t>
    <phoneticPr fontId="31" type="noConversion"/>
  </si>
  <si>
    <t>Inv. Operator</t>
    <phoneticPr fontId="31" type="noConversion"/>
  </si>
  <si>
    <t>Stock Counting</t>
    <phoneticPr fontId="31" type="noConversion"/>
  </si>
  <si>
    <t>Confirm Stock Situation</t>
    <phoneticPr fontId="31" type="noConversion"/>
  </si>
  <si>
    <t>Racking_PIC Stock counting</t>
  </si>
  <si>
    <t>Stock Counting for Ground Rack</t>
    <phoneticPr fontId="31" type="noConversion"/>
  </si>
  <si>
    <t>Stock Counting for High Rack</t>
    <phoneticPr fontId="31" type="noConversion"/>
  </si>
  <si>
    <t>Racking_RES Stock counting</t>
  </si>
  <si>
    <t>Floor&amp;Tire_Stock counting</t>
  </si>
  <si>
    <t>Make OB Plan</t>
    <phoneticPr fontId="31" type="noConversion"/>
  </si>
  <si>
    <t>Make OB plan and paper work</t>
    <phoneticPr fontId="31" type="noConversion"/>
  </si>
  <si>
    <t>Cut off OB Plan</t>
    <phoneticPr fontId="31" type="noConversion"/>
  </si>
  <si>
    <t>M Picking</t>
  </si>
  <si>
    <t>Mezzaning_Move to storage area and back</t>
  </si>
  <si>
    <t>Check TO List</t>
    <phoneticPr fontId="31" type="noConversion"/>
  </si>
  <si>
    <t>Move Full Trolley to Packing Area</t>
    <phoneticPr fontId="31" type="noConversion"/>
  </si>
  <si>
    <t>Mezzanine_Picking</t>
  </si>
  <si>
    <t>Picking Parts according to List</t>
    <phoneticPr fontId="31" type="noConversion"/>
  </si>
  <si>
    <t>Check Performance and Shelf Life</t>
    <phoneticPr fontId="31" type="noConversion"/>
  </si>
  <si>
    <t>F Picking</t>
  </si>
  <si>
    <t>Floor_Picking</t>
  </si>
  <si>
    <t>Floor_Picking</t>
    <phoneticPr fontId="31" type="noConversion"/>
  </si>
  <si>
    <t>Picking Pallet</t>
    <phoneticPr fontId="31" type="noConversion"/>
  </si>
  <si>
    <t>Back to Packing Area</t>
    <phoneticPr fontId="31" type="noConversion"/>
  </si>
  <si>
    <t>R Picking</t>
  </si>
  <si>
    <t>Racking_Move to storage area and back</t>
  </si>
  <si>
    <t>Racking_Picking_Ground Level</t>
    <phoneticPr fontId="31" type="noConversion"/>
  </si>
  <si>
    <t>Picking</t>
  </si>
  <si>
    <t>Racking_Picking_High Level</t>
    <phoneticPr fontId="31" type="noConversion"/>
  </si>
  <si>
    <t>Raise up to PIC Level</t>
    <phoneticPr fontId="31" type="noConversion"/>
  </si>
  <si>
    <t>Down to Ground</t>
    <phoneticPr fontId="31" type="noConversion"/>
  </si>
  <si>
    <t>Check the parts and find the right package</t>
  </si>
  <si>
    <t>Check all Parts</t>
    <phoneticPr fontId="31" type="noConversion"/>
  </si>
  <si>
    <t>Packer</t>
    <phoneticPr fontId="31" type="noConversion"/>
  </si>
  <si>
    <t>Packing and seal</t>
  </si>
  <si>
    <t>Put all Parts in Box</t>
    <phoneticPr fontId="31" type="noConversion"/>
  </si>
  <si>
    <t>Confirm all Parts in Box</t>
    <phoneticPr fontId="31" type="noConversion"/>
  </si>
  <si>
    <t>Seal the Box</t>
    <phoneticPr fontId="31" type="noConversion"/>
  </si>
  <si>
    <t>Paper work and stick label</t>
  </si>
  <si>
    <t>Weighing the Box</t>
    <phoneticPr fontId="31" type="noConversion"/>
  </si>
  <si>
    <t>Uploading Box Info. to Sys</t>
    <phoneticPr fontId="31" type="noConversion"/>
  </si>
  <si>
    <t>Consolidate Packing</t>
    <phoneticPr fontId="31" type="noConversion"/>
  </si>
  <si>
    <t>Move Box to Handover Area</t>
    <phoneticPr fontId="31" type="noConversion"/>
  </si>
  <si>
    <t>Move Small Parts Box to Handover Area</t>
    <phoneticPr fontId="31" type="noConversion"/>
  </si>
  <si>
    <t>Move Large Parts Box to Handover Area</t>
    <phoneticPr fontId="31" type="noConversion"/>
  </si>
  <si>
    <t>Sankey material Flow Chart RDC</t>
  </si>
  <si>
    <t>NOTE: All information is based on assumptions for an average working day!</t>
  </si>
  <si>
    <t>Reference Year</t>
  </si>
  <si>
    <t>No. Of operating Days per year?</t>
  </si>
  <si>
    <t>Materialflow</t>
  </si>
  <si>
    <t>Empties Process</t>
  </si>
  <si>
    <t>Incoming Goods</t>
  </si>
  <si>
    <t>Empties</t>
  </si>
  <si>
    <t>Empties Area</t>
  </si>
  <si>
    <t>Organisational Unit</t>
  </si>
  <si>
    <t>yes</t>
  </si>
  <si>
    <t>Ø HUs per day</t>
  </si>
  <si>
    <t>Organisational Sub-Unit</t>
  </si>
  <si>
    <t>no</t>
  </si>
  <si>
    <t>Ø HUs per year</t>
  </si>
  <si>
    <t>Input-Field</t>
  </si>
  <si>
    <t>CDC:
Central Distribution Center
and local suppliers
other RDC's</t>
  </si>
  <si>
    <t>Output Field</t>
  </si>
  <si>
    <t>Keys</t>
  </si>
  <si>
    <t>Selection Field / Selection Button</t>
  </si>
  <si>
    <t xml:space="preserve">estimations </t>
  </si>
  <si>
    <t>Sorting</t>
  </si>
  <si>
    <t>Storage area</t>
  </si>
  <si>
    <t>Consolidation / Sorting / Packaging</t>
  </si>
  <si>
    <t>Dispatch area</t>
  </si>
  <si>
    <t>per day</t>
  </si>
  <si>
    <t>% of goods from sorting</t>
  </si>
  <si>
    <t xml:space="preserve">IB-Storage Lines
</t>
  </si>
  <si>
    <t>% of Incoming Goods</t>
  </si>
  <si>
    <t xml:space="preserve">IB-Lines from Sorting
</t>
  </si>
  <si>
    <t>delivery lines</t>
  </si>
  <si>
    <t>IB - Lines from  New Parts</t>
  </si>
  <si>
    <t>per year</t>
  </si>
  <si>
    <t>Ø IB-Lines</t>
  </si>
  <si>
    <t>IB - Lines from Blocked Area</t>
  </si>
  <si>
    <t>OB - Lines</t>
  </si>
  <si>
    <t xml:space="preserve">Ø IB-Lines </t>
  </si>
  <si>
    <t>Ø Trucks</t>
  </si>
  <si>
    <t>% of all pallets</t>
  </si>
  <si>
    <t>Pallet Racks</t>
  </si>
  <si>
    <t>Others</t>
  </si>
  <si>
    <t>OB-Lines per day
(incl. X-Docking)</t>
  </si>
  <si>
    <t xml:space="preserve">Ø HUs per truck </t>
  </si>
  <si>
    <r>
      <t xml:space="preserve">Ø Full </t>
    </r>
    <r>
      <rPr>
        <b/>
        <sz val="11"/>
        <color theme="1"/>
        <rFont val="BMW Group"/>
      </rPr>
      <t>pallets</t>
    </r>
  </si>
  <si>
    <t>Storage</t>
  </si>
  <si>
    <r>
      <t xml:space="preserve">Ø Mixed </t>
    </r>
    <r>
      <rPr>
        <b/>
        <sz val="11"/>
        <color theme="1"/>
        <rFont val="BMW Group"/>
      </rPr>
      <t>pallets</t>
    </r>
  </si>
  <si>
    <t>Storage lines (day)</t>
  </si>
  <si>
    <t>Value from price sheet</t>
  </si>
  <si>
    <t>storage &amp; 
x-Dock</t>
  </si>
  <si>
    <t>Delta</t>
  </si>
  <si>
    <t>Delta %</t>
  </si>
  <si>
    <t>Mainly Sea Freight Containers</t>
  </si>
  <si>
    <t>Total pieces</t>
  </si>
  <si>
    <t>Ø pieces per line</t>
  </si>
  <si>
    <t>Analysis of mixed pallets</t>
  </si>
  <si>
    <t>Ø Lines per HU*</t>
  </si>
  <si>
    <t>Ø Boxes per HU**</t>
  </si>
  <si>
    <t>No data Available</t>
  </si>
  <si>
    <t xml:space="preserve">TO Lines / Picking Lines
</t>
  </si>
  <si>
    <t>* How many IB lines are needed to fill up one mixed pallet?</t>
  </si>
  <si>
    <t>Picking lines (day)</t>
  </si>
  <si>
    <t>** Of how many boxes does one mixed pallet consist?</t>
  </si>
  <si>
    <t>Leergut</t>
  </si>
  <si>
    <t>Crossdock</t>
  </si>
  <si>
    <t>Motorrad</t>
  </si>
  <si>
    <t>New parts</t>
  </si>
  <si>
    <t>Buy backs and claims (within Blocked Area; need to be checked)</t>
  </si>
  <si>
    <t>Empties to CDC</t>
  </si>
  <si>
    <t>Type A (warranty parts; remanufacturing parts)</t>
  </si>
  <si>
    <t>buy back</t>
  </si>
  <si>
    <t>claims</t>
  </si>
  <si>
    <t>Type A</t>
  </si>
  <si>
    <t>Lines per day</t>
  </si>
  <si>
    <t>Ø IB -Lines</t>
  </si>
  <si>
    <t>inbound claims (damages boxes and other types)</t>
  </si>
  <si>
    <t>% of Blocked Area IB-Lines</t>
  </si>
  <si>
    <t>unassigned location parts (find new bin location)</t>
  </si>
  <si>
    <t>Motorcycles</t>
  </si>
  <si>
    <t>Buffer Area (Warranty and reman. parts from Crossdocking)</t>
  </si>
  <si>
    <t>Ø IB-Lines Storage</t>
  </si>
  <si>
    <t>Ø IB-Storage pieces</t>
  </si>
  <si>
    <t>Ø OB -Picking lines</t>
  </si>
  <si>
    <t>Ø OB -Picking pieces</t>
  </si>
  <si>
    <t>Buy backs and claims (Dealer to RDC)</t>
  </si>
  <si>
    <t>several % of inbound lines</t>
  </si>
  <si>
    <t>Site working days/year</t>
    <phoneticPr fontId="26" type="noConversion"/>
  </si>
  <si>
    <t>Unproductivity rate</t>
    <phoneticPr fontId="26" type="noConversion"/>
  </si>
  <si>
    <t>FTE Working hours/day</t>
    <phoneticPr fontId="26" type="noConversion"/>
  </si>
  <si>
    <t>IB Planner</t>
    <phoneticPr fontId="31" type="noConversion"/>
  </si>
  <si>
    <t>HU</t>
    <phoneticPr fontId="31" type="noConversion"/>
  </si>
  <si>
    <t>Checking and labelling</t>
    <phoneticPr fontId="26" type="noConversion"/>
  </si>
  <si>
    <t>Cargo checking and stick label</t>
    <phoneticPr fontId="26" type="noConversion"/>
  </si>
  <si>
    <t>Open Multi-collie</t>
    <phoneticPr fontId="31" type="noConversion"/>
  </si>
  <si>
    <t>CB</t>
    <phoneticPr fontId="26" type="noConversion"/>
  </si>
  <si>
    <t>pcs/line</t>
    <phoneticPr fontId="26" type="noConversion"/>
  </si>
  <si>
    <t>Count Parts in multi-collie</t>
    <phoneticPr fontId="31" type="noConversion"/>
  </si>
  <si>
    <t>Scan HU, label printed in office</t>
    <phoneticPr fontId="26" type="noConversion"/>
  </si>
  <si>
    <t>Label sorting</t>
    <phoneticPr fontId="26" type="noConversion"/>
  </si>
  <si>
    <t>HU</t>
    <phoneticPr fontId="26" type="noConversion"/>
  </si>
  <si>
    <t>Line</t>
    <phoneticPr fontId="31" type="noConversion"/>
  </si>
  <si>
    <t>Scan single collie</t>
    <phoneticPr fontId="26" type="noConversion"/>
  </si>
  <si>
    <t>Sorting to putaway</t>
    <phoneticPr fontId="26" type="noConversion"/>
  </si>
  <si>
    <t>RF show where the collie going</t>
    <phoneticPr fontId="31" type="noConversion"/>
  </si>
  <si>
    <t>Move HU to Sorting Area</t>
    <phoneticPr fontId="31" type="noConversion"/>
  </si>
  <si>
    <t>M Put away</t>
    <phoneticPr fontId="26" type="noConversion"/>
  </si>
  <si>
    <t>Racking_Put away</t>
    <phoneticPr fontId="26" type="noConversion"/>
  </si>
  <si>
    <t>case/line</t>
    <phoneticPr fontId="26" type="noConversion"/>
  </si>
  <si>
    <t>Others</t>
    <phoneticPr fontId="31" type="noConversion"/>
  </si>
  <si>
    <t>Put away parts</t>
    <phoneticPr fontId="31" type="noConversion"/>
  </si>
  <si>
    <t>Other lines</t>
    <phoneticPr fontId="26" type="noConversion"/>
  </si>
  <si>
    <t>Inbound lines/year</t>
    <phoneticPr fontId="26" type="noConversion"/>
  </si>
  <si>
    <t>UOM</t>
    <phoneticPr fontId="26" type="noConversion"/>
  </si>
  <si>
    <t>line</t>
    <phoneticPr fontId="26" type="noConversion"/>
  </si>
  <si>
    <t>Inbound lines/day</t>
    <phoneticPr fontId="26" type="noConversion"/>
  </si>
  <si>
    <t>Outbound lines/day</t>
    <phoneticPr fontId="26" type="noConversion"/>
  </si>
  <si>
    <t>Outbound lines/year</t>
    <phoneticPr fontId="26" type="noConversion"/>
  </si>
  <si>
    <t>Move Picked pallet/container to Packing Area</t>
    <phoneticPr fontId="31" type="noConversion"/>
  </si>
  <si>
    <t>Take empty pallet /container</t>
    <phoneticPr fontId="31" type="noConversion"/>
  </si>
  <si>
    <t>from ground level</t>
    <phoneticPr fontId="26" type="noConversion"/>
  </si>
  <si>
    <t>from upper level</t>
    <phoneticPr fontId="26" type="noConversion"/>
  </si>
  <si>
    <t>RES replenishment to PIC</t>
    <phoneticPr fontId="26" type="noConversion"/>
  </si>
  <si>
    <t>Pick pallet from RES and put away to PIC</t>
    <phoneticPr fontId="26" type="noConversion"/>
  </si>
  <si>
    <t>Replenishment</t>
    <phoneticPr fontId="26" type="noConversion"/>
  </si>
  <si>
    <t>Others_Move to storage area and back</t>
  </si>
  <si>
    <t>VOR packing</t>
    <phoneticPr fontId="31" type="noConversion"/>
  </si>
  <si>
    <t>lines/ packing carton</t>
    <phoneticPr fontId="26" type="noConversion"/>
  </si>
  <si>
    <t>Chose and build box</t>
    <phoneticPr fontId="31" type="noConversion"/>
  </si>
  <si>
    <t>Rush/Stock packing</t>
    <phoneticPr fontId="31" type="noConversion"/>
  </si>
  <si>
    <t>HPJ</t>
    <phoneticPr fontId="26" type="noConversion"/>
  </si>
  <si>
    <t>RUSH/Stock line</t>
    <phoneticPr fontId="26" type="noConversion"/>
  </si>
  <si>
    <t>small case /pallet</t>
    <phoneticPr fontId="26" type="noConversion"/>
  </si>
  <si>
    <t>big case/ pallet</t>
    <phoneticPr fontId="26" type="noConversion"/>
  </si>
  <si>
    <t>Bulk packing</t>
    <phoneticPr fontId="31" type="noConversion"/>
  </si>
  <si>
    <t>Pack bulk</t>
    <phoneticPr fontId="31" type="noConversion"/>
  </si>
  <si>
    <t>Move Bulk to Handover Area</t>
    <phoneticPr fontId="31" type="noConversion"/>
  </si>
  <si>
    <t>PCN Warehousing Quotation Sheet</t>
  </si>
  <si>
    <t>1.1.  Storage Systems</t>
  </si>
  <si>
    <t>This quotation covers all the costs incurred for storage infrastructure installation, equipment &amp; maintanence, etc</t>
  </si>
  <si>
    <t>Additional Storage System (Racking and Shelving)</t>
  </si>
  <si>
    <t>Racking brand: OTL</t>
  </si>
  <si>
    <t>Remarks</t>
  </si>
  <si>
    <t>The quotation only refers to new racking setup in future</t>
  </si>
  <si>
    <t>a)  Pallet Racking</t>
  </si>
  <si>
    <t>RMB per large parts location (avg. 1900*1300*1700mm) per Month</t>
  </si>
  <si>
    <t>RMB per medium parts location (avg. 1300*800*520*) per Month</t>
  </si>
  <si>
    <t>b)  Shelves</t>
  </si>
  <si>
    <t>RMB per modules (300mm depth) per Month, including all accessories like shelves, dividers or boxes, etc</t>
  </si>
  <si>
    <t>RMB per modules (600mm depth) per Month, including all accessories like shelves, dividers or boxes, etc</t>
  </si>
  <si>
    <t>RMB per modules (1000mm depth) per Month, including all accessories like shelves, dividers or boxes, etc</t>
  </si>
  <si>
    <t>The pallet location size mentioned above is for reference only, there may be 20% deviation in actual</t>
  </si>
  <si>
    <t>Shelves is set up to 2.5m high for each floor in warehouse, and levelers and dividers qty. depends on actual requirements</t>
  </si>
  <si>
    <t>1.2.  Operation</t>
  </si>
  <si>
    <t>This quotation covers all the costs incurred for warehouse processing (inbound, outbound, special handling), include payments for all services that are not included under Section 1.1 &amp; 1.3</t>
  </si>
  <si>
    <t>a)  Inbound Processing</t>
  </si>
  <si>
    <t>RMB per inbound order line</t>
  </si>
  <si>
    <t>Remark</t>
  </si>
  <si>
    <t>b)  Inbound DG Processing</t>
  </si>
  <si>
    <t>All the cost which is not related to warehouse storage equipment should be covered in Operation cost.</t>
  </si>
  <si>
    <t>c)  Outbound Processing</t>
  </si>
  <si>
    <t>RMB per outbound order line</t>
  </si>
  <si>
    <t>d)  Outbound DG Processing</t>
  </si>
  <si>
    <t>e)  Warrenty &amp; Return</t>
  </si>
  <si>
    <t>RMB per processed line</t>
  </si>
  <si>
    <t>f)   Warrenty &amp; Return DG</t>
  </si>
  <si>
    <t>g)  Key cutting handling</t>
  </si>
  <si>
    <t>RMB per key piece</t>
  </si>
  <si>
    <t>h)  Chinese labelling</t>
  </si>
  <si>
    <t>RMB per label pieces</t>
  </si>
  <si>
    <t>RMB per piece</t>
  </si>
  <si>
    <t>j)  Customs inspection</t>
  </si>
  <si>
    <t>RMB per inbound lines</t>
  </si>
  <si>
    <t>1.3  Customer care service</t>
  </si>
  <si>
    <t>h) Customer care service</t>
  </si>
  <si>
    <t>RMB per position</t>
  </si>
  <si>
    <t>1.3 Start-up cost</t>
  </si>
  <si>
    <t>Charged items</t>
  </si>
  <si>
    <t>Note</t>
  </si>
  <si>
    <t>Expenses</t>
  </si>
  <si>
    <t>This quotation covers all the services of SP's responsibilities that have listed in the Matrix of Responsibilities (point 6)
Any other cost that may incurred during the warehouse start-up phase should also be invloved, like office renovation, security, trainning, handover, etc.</t>
  </si>
  <si>
    <t>Tax rate (%):</t>
  </si>
  <si>
    <t>(Tax type shall be VAT, if not, please specify)</t>
  </si>
  <si>
    <t>(bidder to fill up)</t>
  </si>
  <si>
    <t>Dealer</t>
    <phoneticPr fontId="26" type="noConversion"/>
  </si>
  <si>
    <t>LA</t>
    <phoneticPr fontId="31" type="noConversion"/>
  </si>
  <si>
    <t>Aisle</t>
    <phoneticPr fontId="31" type="noConversion"/>
  </si>
  <si>
    <t>Lifestyle</t>
    <phoneticPr fontId="31" type="noConversion"/>
  </si>
  <si>
    <t>LL</t>
    <phoneticPr fontId="31" type="noConversion"/>
  </si>
  <si>
    <t>CA</t>
    <phoneticPr fontId="31" type="noConversion"/>
  </si>
  <si>
    <t>CL</t>
    <phoneticPr fontId="31" type="noConversion"/>
  </si>
  <si>
    <t>ME</t>
    <phoneticPr fontId="31" type="noConversion"/>
  </si>
  <si>
    <t>Elevator</t>
    <phoneticPr fontId="31" type="noConversion"/>
  </si>
  <si>
    <t>MA</t>
    <phoneticPr fontId="31" type="noConversion"/>
  </si>
  <si>
    <t>ML</t>
    <phoneticPr fontId="31" type="noConversion"/>
  </si>
  <si>
    <t>Height</t>
    <phoneticPr fontId="31" type="noConversion"/>
  </si>
  <si>
    <t>RA</t>
    <phoneticPr fontId="31" type="noConversion"/>
  </si>
  <si>
    <t>Racking</t>
    <phoneticPr fontId="31" type="noConversion"/>
  </si>
  <si>
    <t>RL</t>
    <phoneticPr fontId="31" type="noConversion"/>
  </si>
  <si>
    <t>FA</t>
    <phoneticPr fontId="31" type="noConversion"/>
  </si>
  <si>
    <t>Floor</t>
    <phoneticPr fontId="31" type="noConversion"/>
  </si>
  <si>
    <t>FL</t>
    <phoneticPr fontId="31" type="noConversion"/>
  </si>
  <si>
    <t>OBPH</t>
    <phoneticPr fontId="31" type="noConversion"/>
  </si>
  <si>
    <t>Handover</t>
    <phoneticPr fontId="31" type="noConversion"/>
  </si>
  <si>
    <t>Packing</t>
    <phoneticPr fontId="31" type="noConversion"/>
  </si>
  <si>
    <t>Packing(Type_B)</t>
    <phoneticPr fontId="31" type="noConversion"/>
  </si>
  <si>
    <t>OBXDOH</t>
    <phoneticPr fontId="31" type="noConversion"/>
  </si>
  <si>
    <t>OBLP</t>
    <phoneticPr fontId="31" type="noConversion"/>
  </si>
  <si>
    <t>Lifestyle Staging</t>
    <phoneticPr fontId="31" type="noConversion"/>
  </si>
  <si>
    <t>OBCP</t>
    <phoneticPr fontId="31" type="noConversion"/>
  </si>
  <si>
    <t>OBMP</t>
    <phoneticPr fontId="31" type="noConversion"/>
  </si>
  <si>
    <t>Mezzanine Staging</t>
    <phoneticPr fontId="31" type="noConversion"/>
  </si>
  <si>
    <t>OBVP</t>
    <phoneticPr fontId="31" type="noConversion"/>
  </si>
  <si>
    <t>VNA P&amp;D</t>
    <phoneticPr fontId="31" type="noConversion"/>
  </si>
  <si>
    <t>OBV3P</t>
    <phoneticPr fontId="31" type="noConversion"/>
  </si>
  <si>
    <t>VNA3_P&amp;D</t>
  </si>
  <si>
    <t>OBV2P</t>
    <phoneticPr fontId="31" type="noConversion"/>
  </si>
  <si>
    <t>VNA2_P&amp;D</t>
  </si>
  <si>
    <t>OBV1P</t>
    <phoneticPr fontId="31" type="noConversion"/>
  </si>
  <si>
    <t>VNA1_P&amp;D</t>
    <phoneticPr fontId="31" type="noConversion"/>
  </si>
  <si>
    <t>OBRP</t>
    <phoneticPr fontId="31" type="noConversion"/>
  </si>
  <si>
    <t>Racking Staging</t>
    <phoneticPr fontId="31" type="noConversion"/>
  </si>
  <si>
    <t>OBR3P</t>
    <phoneticPr fontId="31" type="noConversion"/>
  </si>
  <si>
    <t>Racking3 Staging</t>
    <phoneticPr fontId="31" type="noConversion"/>
  </si>
  <si>
    <t>OBR2P</t>
    <phoneticPr fontId="31" type="noConversion"/>
  </si>
  <si>
    <t>Racking2 Staging</t>
    <phoneticPr fontId="31" type="noConversion"/>
  </si>
  <si>
    <t>OBR1P</t>
    <phoneticPr fontId="31" type="noConversion"/>
  </si>
  <si>
    <t>Racking1 Staging</t>
    <phoneticPr fontId="31" type="noConversion"/>
  </si>
  <si>
    <t>OBFP</t>
    <phoneticPr fontId="31" type="noConversion"/>
  </si>
  <si>
    <t>Floor Staging</t>
    <phoneticPr fontId="31" type="noConversion"/>
  </si>
  <si>
    <t>OBF2P</t>
    <phoneticPr fontId="31" type="noConversion"/>
  </si>
  <si>
    <t>Floor2 Staging</t>
    <phoneticPr fontId="31" type="noConversion"/>
  </si>
  <si>
    <t>OBF1P</t>
    <phoneticPr fontId="31" type="noConversion"/>
  </si>
  <si>
    <t>Floor1 Staging</t>
    <phoneticPr fontId="31" type="noConversion"/>
  </si>
  <si>
    <t>IBSL</t>
    <phoneticPr fontId="31" type="noConversion"/>
  </si>
  <si>
    <t>IB Sorting</t>
    <phoneticPr fontId="31" type="noConversion"/>
  </si>
  <si>
    <t>IBSC</t>
    <phoneticPr fontId="31" type="noConversion"/>
  </si>
  <si>
    <t>IBSM</t>
    <phoneticPr fontId="31" type="noConversion"/>
  </si>
  <si>
    <t>IBSV</t>
    <phoneticPr fontId="31" type="noConversion"/>
  </si>
  <si>
    <t>IBSV3</t>
    <phoneticPr fontId="31" type="noConversion"/>
  </si>
  <si>
    <t>IBSV2</t>
    <phoneticPr fontId="31" type="noConversion"/>
  </si>
  <si>
    <t>IBSV1</t>
    <phoneticPr fontId="31" type="noConversion"/>
  </si>
  <si>
    <t>IBSR</t>
    <phoneticPr fontId="31" type="noConversion"/>
  </si>
  <si>
    <t>IBSR3</t>
    <phoneticPr fontId="31" type="noConversion"/>
  </si>
  <si>
    <t>IBSR2</t>
    <phoneticPr fontId="31" type="noConversion"/>
  </si>
  <si>
    <t>IBSR1</t>
    <phoneticPr fontId="31" type="noConversion"/>
  </si>
  <si>
    <t>IBSF</t>
    <phoneticPr fontId="31" type="noConversion"/>
  </si>
  <si>
    <t>IBSF2</t>
    <phoneticPr fontId="31" type="noConversion"/>
  </si>
  <si>
    <t>IBSF1</t>
    <phoneticPr fontId="31" type="noConversion"/>
  </si>
  <si>
    <t>IBSP</t>
    <phoneticPr fontId="31" type="noConversion"/>
  </si>
  <si>
    <t>Packing(Type B)</t>
    <phoneticPr fontId="31" type="noConversion"/>
  </si>
  <si>
    <t>Inbound Dock</t>
    <phoneticPr fontId="31" type="noConversion"/>
  </si>
  <si>
    <t>IBXDO</t>
    <phoneticPr fontId="31" type="noConversion"/>
  </si>
  <si>
    <t>IBS</t>
    <phoneticPr fontId="31" type="noConversion"/>
  </si>
  <si>
    <t>Percent</t>
    <phoneticPr fontId="31" type="noConversion"/>
  </si>
  <si>
    <t>Index</t>
    <phoneticPr fontId="31" type="noConversion"/>
  </si>
  <si>
    <t>To</t>
    <phoneticPr fontId="31" type="noConversion"/>
  </si>
  <si>
    <t>From</t>
    <phoneticPr fontId="31" type="noConversion"/>
  </si>
  <si>
    <t>Cross Docking</t>
    <phoneticPr fontId="26" type="noConversion"/>
  </si>
  <si>
    <t>Warranty and Returns&amp;Scrapping (lines per year)</t>
  </si>
  <si>
    <t>assumptions</t>
    <phoneticPr fontId="26" type="noConversion"/>
  </si>
  <si>
    <t>given</t>
    <phoneticPr fontId="26" type="noConversion"/>
  </si>
  <si>
    <t>calculation</t>
    <phoneticPr fontId="26" type="noConversion"/>
  </si>
  <si>
    <t>C3 total</t>
    <phoneticPr fontId="26" type="noConversion"/>
  </si>
  <si>
    <t>sqm</t>
    <phoneticPr fontId="26" type="noConversion"/>
  </si>
  <si>
    <t>Start from 2026, Aug</t>
    <phoneticPr fontId="26" type="noConversion"/>
  </si>
  <si>
    <t>Cal. Put away to zones by order type (lines)</t>
    <phoneticPr fontId="26" type="noConversion"/>
  </si>
  <si>
    <t>% in ttl. Excl. new parts</t>
    <phoneticPr fontId="26" type="noConversion"/>
  </si>
  <si>
    <t>2. Outbound</t>
    <phoneticPr fontId="26" type="noConversion"/>
  </si>
  <si>
    <t>Check</t>
    <phoneticPr fontId="26" type="noConversion"/>
  </si>
  <si>
    <t>% in TTL</t>
    <phoneticPr fontId="26" type="noConversion"/>
  </si>
  <si>
    <t>cross dock vs. total inbound</t>
    <phoneticPr fontId="26" type="noConversion"/>
  </si>
  <si>
    <t>Sub-total lines - inbound</t>
    <phoneticPr fontId="26" type="noConversion"/>
  </si>
  <si>
    <t>Sub-total lines - Outbound</t>
    <phoneticPr fontId="26" type="noConversion"/>
  </si>
  <si>
    <t>New Parts</t>
    <phoneticPr fontId="26" type="noConversion"/>
  </si>
  <si>
    <t>% by put away zone in lines</t>
    <phoneticPr fontId="26" type="noConversion"/>
  </si>
  <si>
    <t>% by picking zone in lines</t>
    <phoneticPr fontId="26" type="noConversion"/>
  </si>
  <si>
    <t>No.</t>
    <phoneticPr fontId="26" type="noConversion"/>
  </si>
  <si>
    <t>Area Name</t>
    <phoneticPr fontId="26" type="noConversion"/>
  </si>
  <si>
    <t>Space (m2)</t>
    <phoneticPr fontId="26" type="noConversion"/>
  </si>
  <si>
    <t>QC and return</t>
    <phoneticPr fontId="26" type="noConversion"/>
  </si>
  <si>
    <t>Home Charging</t>
    <phoneticPr fontId="26" type="noConversion"/>
  </si>
  <si>
    <t>Labelling</t>
    <phoneticPr fontId="26" type="noConversion"/>
  </si>
  <si>
    <t>Cross docking</t>
    <phoneticPr fontId="26" type="noConversion"/>
  </si>
  <si>
    <t>Inbound Airfreight</t>
    <phoneticPr fontId="26" type="noConversion"/>
  </si>
  <si>
    <t>Seafreight Presort</t>
    <phoneticPr fontId="26" type="noConversion"/>
  </si>
  <si>
    <t>PDS Locked Room</t>
    <phoneticPr fontId="26" type="noConversion"/>
  </si>
  <si>
    <t>Key Cutting Room</t>
    <phoneticPr fontId="26" type="noConversion"/>
  </si>
  <si>
    <t>Seafreight Unload</t>
    <phoneticPr fontId="26" type="noConversion"/>
  </si>
  <si>
    <t>Medium Parts Rack</t>
    <phoneticPr fontId="26" type="noConversion"/>
  </si>
  <si>
    <t>Large Parts Rack</t>
    <phoneticPr fontId="26" type="noConversion"/>
  </si>
  <si>
    <t>Customs inspect</t>
    <phoneticPr fontId="26" type="noConversion"/>
  </si>
  <si>
    <t xml:space="preserve">Floor Storage </t>
    <phoneticPr fontId="26" type="noConversion"/>
  </si>
  <si>
    <t>Shelves Area</t>
    <phoneticPr fontId="26" type="noConversion"/>
  </si>
  <si>
    <t>VOR Packing</t>
    <phoneticPr fontId="26" type="noConversion"/>
  </si>
  <si>
    <t>Stock Packing C303</t>
    <phoneticPr fontId="26" type="noConversion"/>
  </si>
  <si>
    <t>Stock Packing C302</t>
    <phoneticPr fontId="26" type="noConversion"/>
  </si>
  <si>
    <t>Packaging Storage</t>
    <phoneticPr fontId="26" type="noConversion"/>
  </si>
  <si>
    <t>Floor Storage C301</t>
    <phoneticPr fontId="26" type="noConversion"/>
  </si>
  <si>
    <t>Canopy</t>
    <phoneticPr fontId="26" type="noConversion"/>
  </si>
  <si>
    <t>Other public Area</t>
    <phoneticPr fontId="26" type="noConversion"/>
  </si>
  <si>
    <t>C3</t>
    <phoneticPr fontId="26" type="noConversion"/>
  </si>
  <si>
    <t>Building</t>
    <phoneticPr fontId="26" type="noConversion"/>
  </si>
  <si>
    <t>C2</t>
    <phoneticPr fontId="26" type="noConversion"/>
  </si>
  <si>
    <t>Slow move sto.</t>
    <phoneticPr fontId="26" type="noConversion"/>
  </si>
  <si>
    <t>C5</t>
    <phoneticPr fontId="26" type="noConversion"/>
  </si>
  <si>
    <t>Ref. distance (m)</t>
    <phoneticPr fontId="26" type="noConversion"/>
  </si>
  <si>
    <t>Site open time</t>
    <phoneticPr fontId="26" type="noConversion"/>
  </si>
  <si>
    <t>Rate-operation</t>
    <phoneticPr fontId="31" type="noConversion"/>
  </si>
  <si>
    <t>Inbound processing</t>
    <phoneticPr fontId="26" type="noConversion"/>
  </si>
  <si>
    <t>Inbound DG processing</t>
    <phoneticPr fontId="26" type="noConversion"/>
  </si>
  <si>
    <t>Chinese labelling</t>
    <phoneticPr fontId="26" type="noConversion"/>
  </si>
  <si>
    <t>Cross dock</t>
    <phoneticPr fontId="26" type="noConversion"/>
  </si>
  <si>
    <t>Move cross dock to outbound staging</t>
    <phoneticPr fontId="26" type="noConversion"/>
  </si>
  <si>
    <t>C5 Put away</t>
    <phoneticPr fontId="26" type="noConversion"/>
  </si>
  <si>
    <t>Non-critical DG parts put away</t>
    <phoneticPr fontId="26" type="noConversion"/>
  </si>
  <si>
    <t xml:space="preserve">Sorting to M trolley </t>
    <phoneticPr fontId="26" type="noConversion"/>
  </si>
  <si>
    <t>Role</t>
    <phoneticPr fontId="31" type="noConversion"/>
  </si>
  <si>
    <t>MHE speed</t>
    <phoneticPr fontId="31" type="noConversion"/>
  </si>
  <si>
    <t>Index</t>
    <phoneticPr fontId="26" type="noConversion"/>
  </si>
  <si>
    <t>Distance (m)</t>
    <phoneticPr fontId="26" type="noConversion"/>
  </si>
  <si>
    <t>Time (sec.) /handling</t>
    <phoneticPr fontId="31" type="noConversion"/>
  </si>
  <si>
    <t>Documentation</t>
  </si>
  <si>
    <t>IB Planner</t>
  </si>
  <si>
    <t>Inv. Operator</t>
  </si>
  <si>
    <t>MHE Driver</t>
  </si>
  <si>
    <t>Operator</t>
  </si>
  <si>
    <t>Packer</t>
  </si>
  <si>
    <t>Manual</t>
  </si>
  <si>
    <t>Manual</t>
    <phoneticPr fontId="26" type="noConversion"/>
  </si>
  <si>
    <t>Nb. Chamber</t>
    <phoneticPr fontId="26" type="noConversion"/>
  </si>
  <si>
    <t>L 60 m x D 90m</t>
    <phoneticPr fontId="26" type="noConversion"/>
  </si>
  <si>
    <t>L 9m x D 11m</t>
    <phoneticPr fontId="26" type="noConversion"/>
  </si>
  <si>
    <t>IB Unloading</t>
    <phoneticPr fontId="26" type="noConversion"/>
  </si>
  <si>
    <t>IBU</t>
  </si>
  <si>
    <t>IBU</t>
    <phoneticPr fontId="26" type="noConversion"/>
  </si>
  <si>
    <t>IBXDO</t>
  </si>
  <si>
    <t>CB</t>
  </si>
  <si>
    <t>Time (sec.) - movement</t>
    <phoneticPr fontId="26" type="noConversion"/>
  </si>
  <si>
    <t>Total Time (sec.)</t>
    <phoneticPr fontId="26" type="noConversion"/>
  </si>
  <si>
    <t>Move to IB staging</t>
    <phoneticPr fontId="31" type="noConversion"/>
  </si>
  <si>
    <t>XDO</t>
    <phoneticPr fontId="31" type="noConversion"/>
  </si>
  <si>
    <t>UOM (HU)</t>
    <phoneticPr fontId="31" type="noConversion"/>
  </si>
  <si>
    <t>Daily Volume (2026)</t>
    <phoneticPr fontId="31" type="noConversion"/>
  </si>
  <si>
    <t>IBS</t>
  </si>
  <si>
    <t>IBSM</t>
    <phoneticPr fontId="26" type="noConversion"/>
  </si>
  <si>
    <t>MA</t>
    <phoneticPr fontId="26" type="noConversion"/>
  </si>
  <si>
    <t>ME</t>
    <phoneticPr fontId="26" type="noConversion"/>
  </si>
  <si>
    <t>ML</t>
    <phoneticPr fontId="26" type="noConversion"/>
  </si>
  <si>
    <t>Move trolley to M staging</t>
  </si>
  <si>
    <t>IBSM</t>
  </si>
  <si>
    <t>Aisle Distance</t>
  </si>
  <si>
    <t>MA</t>
  </si>
  <si>
    <t>Move to Elevator and Back to Elevator</t>
  </si>
  <si>
    <t>ME</t>
  </si>
  <si>
    <t>Elevator Operation</t>
  </si>
  <si>
    <t>Find Bin Location</t>
  </si>
  <si>
    <t>ML</t>
  </si>
  <si>
    <t>Back to IB Sorting from M Staging</t>
  </si>
  <si>
    <t>Move to F Staging</t>
  </si>
  <si>
    <t>IBSF</t>
  </si>
  <si>
    <t>FA</t>
  </si>
  <si>
    <t>FL</t>
  </si>
  <si>
    <t>Back to IB Sorting from F</t>
  </si>
  <si>
    <t>Move to R Staging</t>
  </si>
  <si>
    <t>IBSR</t>
  </si>
  <si>
    <t>RA</t>
  </si>
  <si>
    <t>RL</t>
  </si>
  <si>
    <t>IBSC</t>
  </si>
  <si>
    <t>CA</t>
  </si>
  <si>
    <t>CL</t>
  </si>
  <si>
    <t>Move Trolley to Other Storage Area</t>
  </si>
  <si>
    <t>IBSL</t>
  </si>
  <si>
    <t>LA</t>
  </si>
  <si>
    <t>LL</t>
  </si>
  <si>
    <t>Move to M Staging</t>
  </si>
  <si>
    <t>OBMP</t>
  </si>
  <si>
    <t>OBFP</t>
  </si>
  <si>
    <t>OBRP</t>
  </si>
  <si>
    <t>RH</t>
  </si>
  <si>
    <t>OBCP</t>
  </si>
  <si>
    <t>OBLP</t>
  </si>
  <si>
    <t>OBPH</t>
  </si>
  <si>
    <t>Move to Racking Staging</t>
    <phoneticPr fontId="31" type="noConversion"/>
  </si>
  <si>
    <t>Aisle Distance</t>
    <phoneticPr fontId="26" type="noConversion"/>
  </si>
  <si>
    <t>Find Bin Location</t>
    <phoneticPr fontId="26" type="noConversion"/>
  </si>
  <si>
    <t>HDL</t>
  </si>
  <si>
    <t>HDL</t>
    <phoneticPr fontId="26" type="noConversion"/>
  </si>
  <si>
    <t>Back to IB Sorting from R</t>
    <phoneticPr fontId="26" type="noConversion"/>
  </si>
  <si>
    <t>Move to C5 Staging</t>
    <phoneticPr fontId="31" type="noConversion"/>
  </si>
  <si>
    <t>DG picking</t>
    <phoneticPr fontId="26" type="noConversion"/>
  </si>
  <si>
    <t>C5 Picking</t>
    <phoneticPr fontId="26" type="noConversion"/>
  </si>
  <si>
    <t>Others Picking (lock, cuttign etc.)</t>
    <phoneticPr fontId="26" type="noConversion"/>
  </si>
  <si>
    <t>Move to pick for others handling</t>
    <phoneticPr fontId="26" type="noConversion"/>
  </si>
  <si>
    <t>Key cutting handling</t>
    <phoneticPr fontId="26" type="noConversion"/>
  </si>
  <si>
    <t>i)  Engraved steal seal</t>
    <phoneticPr fontId="26" type="noConversion"/>
  </si>
  <si>
    <t>Engraved steal seal</t>
    <phoneticPr fontId="26" type="noConversion"/>
  </si>
  <si>
    <t>Overall handling</t>
    <phoneticPr fontId="26" type="noConversion"/>
  </si>
  <si>
    <t>Piece</t>
    <phoneticPr fontId="31" type="noConversion"/>
  </si>
  <si>
    <t>Trip</t>
    <phoneticPr fontId="31" type="noConversion"/>
  </si>
  <si>
    <t>Trip</t>
    <phoneticPr fontId="26" type="noConversion"/>
  </si>
  <si>
    <t>Daily</t>
    <phoneticPr fontId="31" type="noConversion"/>
  </si>
  <si>
    <t>trip</t>
    <phoneticPr fontId="31" type="noConversion"/>
  </si>
  <si>
    <t>Counting preparation</t>
    <phoneticPr fontId="26" type="noConversion"/>
  </si>
  <si>
    <t>Package</t>
    <phoneticPr fontId="31" type="noConversion"/>
  </si>
  <si>
    <t>Truck/Ctnr.</t>
    <phoneticPr fontId="31" type="noConversion"/>
  </si>
  <si>
    <t>FACILITY</t>
    <phoneticPr fontId="26" type="noConversion"/>
  </si>
  <si>
    <t>MHE</t>
    <phoneticPr fontId="26" type="noConversion"/>
  </si>
  <si>
    <t>STAFFING</t>
    <phoneticPr fontId="26" type="noConversion"/>
  </si>
  <si>
    <t>Role</t>
    <phoneticPr fontId="26" type="noConversion"/>
  </si>
  <si>
    <t>Distance</t>
    <phoneticPr fontId="26" type="noConversion"/>
  </si>
  <si>
    <t>Process</t>
    <phoneticPr fontId="26" type="noConversion"/>
  </si>
  <si>
    <t>Unloading</t>
    <phoneticPr fontId="26" type="noConversion"/>
  </si>
  <si>
    <t>mixed HU</t>
    <phoneticPr fontId="26" type="noConversion"/>
  </si>
  <si>
    <t>Process - Tier 1</t>
    <phoneticPr fontId="26" type="noConversion"/>
  </si>
  <si>
    <t>Shelving</t>
    <phoneticPr fontId="26" type="noConversion"/>
  </si>
  <si>
    <t>Floor</t>
    <phoneticPr fontId="26" type="noConversion"/>
  </si>
  <si>
    <t>a) by pallet</t>
    <phoneticPr fontId="26" type="noConversion"/>
  </si>
  <si>
    <t>b) by case</t>
    <phoneticPr fontId="26" type="noConversion"/>
  </si>
  <si>
    <t>lines through elevator</t>
    <phoneticPr fontId="26" type="noConversion"/>
  </si>
  <si>
    <t>Piece per line</t>
    <phoneticPr fontId="26" type="noConversion"/>
  </si>
  <si>
    <t>line per mixed HU</t>
    <phoneticPr fontId="26" type="noConversion"/>
  </si>
  <si>
    <t>of total inbound</t>
    <phoneticPr fontId="26" type="noConversion"/>
  </si>
  <si>
    <t>line per truck/cntr.</t>
    <phoneticPr fontId="26" type="noConversion"/>
  </si>
  <si>
    <t>HU per truck/cntr.</t>
    <phoneticPr fontId="26" type="noConversion"/>
  </si>
  <si>
    <t>DG - C5</t>
    <phoneticPr fontId="26" type="noConversion"/>
  </si>
  <si>
    <t>DG - external</t>
    <phoneticPr fontId="26" type="noConversion"/>
  </si>
  <si>
    <t>TBD</t>
    <phoneticPr fontId="26" type="noConversion"/>
  </si>
  <si>
    <t>line per day</t>
    <phoneticPr fontId="26" type="noConversion"/>
  </si>
  <si>
    <t>lines per day</t>
    <phoneticPr fontId="26" type="noConversion"/>
  </si>
  <si>
    <t>HU per trip</t>
    <phoneticPr fontId="26" type="noConversion"/>
  </si>
  <si>
    <t>Outbound processing</t>
    <phoneticPr fontId="26" type="noConversion"/>
  </si>
  <si>
    <t>lines per trip</t>
    <phoneticPr fontId="26" type="noConversion"/>
  </si>
  <si>
    <t>of total ob. Lines</t>
    <phoneticPr fontId="26" type="noConversion"/>
  </si>
  <si>
    <t xml:space="preserve">Replenishiment </t>
    <phoneticPr fontId="26" type="noConversion"/>
  </si>
  <si>
    <t>line per trip</t>
    <phoneticPr fontId="26" type="noConversion"/>
  </si>
  <si>
    <t>pieces per line</t>
    <phoneticPr fontId="26" type="noConversion"/>
  </si>
  <si>
    <t>Rider on</t>
  </si>
  <si>
    <t>Rider on</t>
    <phoneticPr fontId="31" type="noConversion"/>
  </si>
  <si>
    <t>DC-C5</t>
    <phoneticPr fontId="26" type="noConversion"/>
  </si>
  <si>
    <t>1.1 Inbound delivery line ratio depending on storage area</t>
    <phoneticPr fontId="26" type="noConversion"/>
  </si>
  <si>
    <t>2.1 Outbound delivery line ratio depending on storage area based on</t>
    <phoneticPr fontId="26" type="noConversion"/>
  </si>
  <si>
    <t>Inventory (Counting lines per year)</t>
  </si>
  <si>
    <t>Chinese labeling (pieces per year)</t>
  </si>
  <si>
    <t>Customs inspection (lines per year)</t>
  </si>
  <si>
    <t>Key cutting(per year)</t>
  </si>
  <si>
    <t>3. Special Processes</t>
    <phoneticPr fontId="26" type="noConversion"/>
  </si>
  <si>
    <t>Express (VOR) - Air</t>
    <phoneticPr fontId="26" type="noConversion"/>
  </si>
  <si>
    <t>Delivery lines inbound to PDC Shanghai</t>
    <phoneticPr fontId="26" type="noConversion"/>
  </si>
  <si>
    <t>Freight CBM inbound to PDC Shanghai</t>
    <phoneticPr fontId="26" type="noConversion"/>
  </si>
  <si>
    <t>Delivery lines outbound from PDC Shanghai</t>
    <phoneticPr fontId="26" type="noConversion"/>
  </si>
  <si>
    <t>Stock (VOL) - Seafreight</t>
    <phoneticPr fontId="26" type="noConversion"/>
  </si>
  <si>
    <t>Freight kg inbound to PDC Shanghai</t>
    <phoneticPr fontId="26" type="noConversion"/>
  </si>
  <si>
    <t>Inbound Trasnportation Shipments Estimation for 2026</t>
  </si>
  <si>
    <t>Order type</t>
  </si>
  <si>
    <t>Shipment type</t>
  </si>
  <si>
    <t>Truck Size</t>
  </si>
  <si>
    <t>Loading Space</t>
  </si>
  <si>
    <t>Shipment Qty</t>
  </si>
  <si>
    <t>Stock (VOL)</t>
  </si>
  <si>
    <t>Seafreight</t>
  </si>
  <si>
    <t>40 HQ</t>
  </si>
  <si>
    <t>Stock (VOL) DG</t>
  </si>
  <si>
    <t>Express (VOR)</t>
  </si>
  <si>
    <t>Airfreight</t>
  </si>
  <si>
    <t xml:space="preserve">4.2M </t>
  </si>
  <si>
    <t>10 cbm</t>
  </si>
  <si>
    <t>7.2M</t>
  </si>
  <si>
    <t>30 cbm</t>
  </si>
  <si>
    <t>Express (VOR) DG</t>
  </si>
  <si>
    <t>Total trucks/ cntr. - 2026</t>
    <phoneticPr fontId="26" type="noConversion"/>
  </si>
  <si>
    <t>Total CBM - 2025</t>
    <phoneticPr fontId="26" type="noConversion"/>
  </si>
  <si>
    <t>CBM per HU</t>
    <phoneticPr fontId="26" type="noConversion"/>
  </si>
  <si>
    <t>Pick from shelving</t>
    <phoneticPr fontId="26" type="noConversion"/>
  </si>
  <si>
    <t>Pick from Floor</t>
    <phoneticPr fontId="26" type="noConversion"/>
  </si>
  <si>
    <t>Pick from Racking</t>
    <phoneticPr fontId="26" type="noConversion"/>
  </si>
  <si>
    <t>Pick from DG-C5</t>
    <phoneticPr fontId="26" type="noConversion"/>
  </si>
  <si>
    <t>Pick from Others</t>
    <phoneticPr fontId="26" type="noConversion"/>
  </si>
  <si>
    <t>Assumption/ Cal.</t>
    <phoneticPr fontId="26" type="noConversion"/>
  </si>
  <si>
    <t>New parts handling</t>
    <phoneticPr fontId="26" type="noConversion"/>
  </si>
  <si>
    <t>Put away - Floor</t>
    <phoneticPr fontId="26" type="noConversion"/>
  </si>
  <si>
    <t>Put away - Shelving</t>
    <phoneticPr fontId="26" type="noConversion"/>
  </si>
  <si>
    <t>Put away - Racking</t>
    <phoneticPr fontId="26" type="noConversion"/>
  </si>
  <si>
    <t>Put away - Others (e.g. locker)</t>
    <phoneticPr fontId="26" type="noConversion"/>
  </si>
  <si>
    <t>Sorting ALL</t>
    <phoneticPr fontId="26" type="noConversion"/>
  </si>
  <si>
    <t>X-dock movement</t>
    <phoneticPr fontId="26" type="noConversion"/>
  </si>
  <si>
    <t>DG - CBM</t>
    <phoneticPr fontId="26" type="noConversion"/>
  </si>
  <si>
    <t>Inbound (VOR + VOL)</t>
    <phoneticPr fontId="26" type="noConversion"/>
  </si>
  <si>
    <t>Total storage space - non DG</t>
    <phoneticPr fontId="26" type="noConversion"/>
  </si>
  <si>
    <t>Total storage space - DG</t>
    <phoneticPr fontId="26" type="noConversion"/>
  </si>
  <si>
    <t>Non-critical DG</t>
    <phoneticPr fontId="26" type="noConversion"/>
  </si>
  <si>
    <t>Total packing space</t>
    <phoneticPr fontId="26" type="noConversion"/>
  </si>
  <si>
    <t>Labelling space</t>
    <phoneticPr fontId="26" type="noConversion"/>
  </si>
  <si>
    <t>Total staging incl. canopy</t>
    <phoneticPr fontId="26" type="noConversion"/>
  </si>
  <si>
    <t>Exluding slow moving</t>
    <phoneticPr fontId="26" type="noConversion"/>
  </si>
  <si>
    <t>% in C3</t>
    <phoneticPr fontId="26" type="noConversion"/>
  </si>
  <si>
    <t>Packing VOR</t>
    <phoneticPr fontId="26" type="noConversion"/>
  </si>
  <si>
    <t>Packing Stock</t>
    <phoneticPr fontId="26" type="noConversion"/>
  </si>
  <si>
    <t>hours_service level</t>
    <phoneticPr fontId="26" type="noConversion"/>
  </si>
  <si>
    <t>Packing Bulk</t>
    <phoneticPr fontId="26" type="noConversion"/>
  </si>
  <si>
    <t>(assume same as floor picking)</t>
    <phoneticPr fontId="26" type="noConversion"/>
  </si>
  <si>
    <t>Consolidate packing</t>
    <phoneticPr fontId="26" type="noConversion"/>
  </si>
  <si>
    <t>HU per day</t>
    <phoneticPr fontId="26" type="noConversion"/>
  </si>
  <si>
    <t>Mixed HU</t>
    <phoneticPr fontId="26" type="noConversion"/>
  </si>
  <si>
    <t>Single HU</t>
    <phoneticPr fontId="26" type="noConversion"/>
  </si>
  <si>
    <t>incl. return</t>
    <phoneticPr fontId="26" type="noConversion"/>
  </si>
  <si>
    <t>on above of total inbound</t>
    <phoneticPr fontId="26" type="noConversion"/>
  </si>
  <si>
    <t>Move confirmation</t>
    <phoneticPr fontId="26" type="noConversion"/>
  </si>
  <si>
    <t>Scan zone code</t>
    <phoneticPr fontId="26" type="noConversion"/>
  </si>
  <si>
    <t>Trolley</t>
  </si>
  <si>
    <t>of total racking put away lines</t>
    <phoneticPr fontId="26" type="noConversion"/>
  </si>
  <si>
    <t xml:space="preserve">Case putaway </t>
    <phoneticPr fontId="26" type="noConversion"/>
  </si>
  <si>
    <t>CB - DG</t>
  </si>
  <si>
    <t>CB - DG</t>
    <phoneticPr fontId="31" type="noConversion"/>
  </si>
  <si>
    <t>DG operator</t>
  </si>
  <si>
    <t>DG operator</t>
    <phoneticPr fontId="26" type="noConversion"/>
  </si>
  <si>
    <t>OP-move</t>
  </si>
  <si>
    <t>OP-raise/down</t>
  </si>
  <si>
    <t>OP-raise/down</t>
    <phoneticPr fontId="26" type="noConversion"/>
  </si>
  <si>
    <t>OP-move</t>
    <phoneticPr fontId="26" type="noConversion"/>
  </si>
  <si>
    <t>Engraved steal seal</t>
  </si>
  <si>
    <t>Special handling</t>
  </si>
  <si>
    <t>Special handling</t>
    <phoneticPr fontId="26" type="noConversion"/>
  </si>
  <si>
    <t>Warranty &amp; Return</t>
    <phoneticPr fontId="26" type="noConversion"/>
  </si>
  <si>
    <t>Return check</t>
    <phoneticPr fontId="26" type="noConversion"/>
  </si>
  <si>
    <t>Check return</t>
    <phoneticPr fontId="26" type="noConversion"/>
  </si>
  <si>
    <t>Sort by Class and put away to return shelving</t>
    <phoneticPr fontId="26" type="noConversion"/>
  </si>
  <si>
    <t>Warranty &amp; Return DG</t>
    <phoneticPr fontId="26" type="noConversion"/>
  </si>
  <si>
    <t>Return handling</t>
    <phoneticPr fontId="26" type="noConversion"/>
  </si>
  <si>
    <t>Check return and sort by Class</t>
    <phoneticPr fontId="26" type="noConversion"/>
  </si>
  <si>
    <t>Put away to return shelving</t>
    <phoneticPr fontId="26" type="noConversion"/>
  </si>
  <si>
    <t>System registration</t>
    <phoneticPr fontId="26" type="noConversion"/>
  </si>
  <si>
    <t>Warranty and Return</t>
    <phoneticPr fontId="26" type="noConversion"/>
  </si>
  <si>
    <t>DG - % in CBM</t>
    <phoneticPr fontId="26" type="noConversion"/>
  </si>
  <si>
    <t>DG - % in line</t>
    <phoneticPr fontId="26" type="noConversion"/>
  </si>
  <si>
    <t>Customs inspection</t>
    <phoneticPr fontId="26" type="noConversion"/>
  </si>
  <si>
    <t>System handling</t>
    <phoneticPr fontId="26" type="noConversion"/>
  </si>
  <si>
    <t>Move to staging area</t>
    <phoneticPr fontId="26" type="noConversion"/>
  </si>
  <si>
    <t>CS inspection</t>
    <phoneticPr fontId="31" type="noConversion"/>
  </si>
  <si>
    <t>Staging</t>
    <phoneticPr fontId="31" type="noConversion"/>
  </si>
  <si>
    <t>CS</t>
  </si>
  <si>
    <t>CS</t>
    <phoneticPr fontId="31" type="noConversion"/>
  </si>
  <si>
    <t>Stock counting</t>
    <phoneticPr fontId="26" type="noConversion"/>
  </si>
  <si>
    <t>shelving locaiton</t>
    <phoneticPr fontId="26" type="noConversion"/>
  </si>
  <si>
    <t>racking location</t>
    <phoneticPr fontId="26" type="noConversion"/>
  </si>
  <si>
    <t>floor locaiton</t>
    <phoneticPr fontId="26" type="noConversion"/>
  </si>
  <si>
    <t>DG locations</t>
    <phoneticPr fontId="26" type="noConversion"/>
  </si>
  <si>
    <t>lines</t>
    <phoneticPr fontId="26" type="noConversion"/>
  </si>
  <si>
    <t>PIC - ground level</t>
    <phoneticPr fontId="26" type="noConversion"/>
  </si>
  <si>
    <t>PIC</t>
    <phoneticPr fontId="26" type="noConversion"/>
  </si>
  <si>
    <t>DG_Stock counting</t>
    <phoneticPr fontId="26" type="noConversion"/>
  </si>
  <si>
    <t>R-Truck</t>
  </si>
  <si>
    <t>Others_Stock counting</t>
    <phoneticPr fontId="26" type="noConversion"/>
  </si>
  <si>
    <t>TTL. Annual cost</t>
    <phoneticPr fontId="26" type="noConversion"/>
  </si>
  <si>
    <t>Company cost %</t>
    <phoneticPr fontId="26" type="noConversion"/>
  </si>
  <si>
    <t>Salary/month</t>
    <phoneticPr fontId="26" type="noConversion"/>
  </si>
  <si>
    <t>OT/ year</t>
    <phoneticPr fontId="26" type="noConversion"/>
  </si>
  <si>
    <t>DC manager</t>
    <phoneticPr fontId="26" type="noConversion"/>
  </si>
  <si>
    <t>Supervisor</t>
    <phoneticPr fontId="26" type="noConversion"/>
  </si>
  <si>
    <t>Annual increase</t>
    <phoneticPr fontId="26" type="noConversion"/>
  </si>
  <si>
    <t>Type</t>
    <phoneticPr fontId="26" type="noConversion"/>
  </si>
  <si>
    <t>K-Truck</t>
  </si>
  <si>
    <t>Name</t>
    <phoneticPr fontId="26" type="noConversion"/>
  </si>
  <si>
    <t>Purchase</t>
  </si>
  <si>
    <t>Packing Station</t>
    <phoneticPr fontId="26" type="noConversion"/>
  </si>
  <si>
    <t>Carton shipping label prineter</t>
  </si>
  <si>
    <t>Air Nail Gun</t>
  </si>
  <si>
    <t>Air Nail pump</t>
  </si>
  <si>
    <t>HPJ with Scale</t>
    <phoneticPr fontId="26" type="noConversion"/>
  </si>
  <si>
    <t>Floor weigher for big part</t>
    <phoneticPr fontId="26" type="noConversion"/>
  </si>
  <si>
    <t>Cost - Y1</t>
    <phoneticPr fontId="26" type="noConversion"/>
  </si>
  <si>
    <t>Cost - Y2</t>
    <phoneticPr fontId="26" type="noConversion"/>
  </si>
  <si>
    <t>Cost - Y3</t>
    <phoneticPr fontId="26" type="noConversion"/>
  </si>
  <si>
    <t>Cost - Y4</t>
    <phoneticPr fontId="26" type="noConversion"/>
  </si>
  <si>
    <t>Cost - Y5</t>
    <phoneticPr fontId="26" type="noConversion"/>
  </si>
  <si>
    <t>Capital investment interest</t>
    <phoneticPr fontId="26" type="noConversion"/>
  </si>
  <si>
    <t>月租金/ 
一次性采购成本（单件）</t>
    <phoneticPr fontId="26" type="noConversion"/>
  </si>
  <si>
    <t>FTE-Y2</t>
  </si>
  <si>
    <t>FTE-Y3</t>
  </si>
  <si>
    <t>FTE-Y4</t>
  </si>
  <si>
    <t>FTE-Y5</t>
  </si>
  <si>
    <t xml:space="preserve"> [Y(n+1)/Y(n)]</t>
  </si>
  <si>
    <t>IB+OB growth</t>
    <phoneticPr fontId="26" type="noConversion"/>
  </si>
  <si>
    <t>FTE increase</t>
    <phoneticPr fontId="26" type="noConversion"/>
  </si>
  <si>
    <t>FTE Cost - Y1</t>
    <phoneticPr fontId="26" type="noConversion"/>
  </si>
  <si>
    <t>FTE Cost - Y2</t>
  </si>
  <si>
    <t>FTE Cost - Y3</t>
  </si>
  <si>
    <t>FTE Cost - Y4</t>
  </si>
  <si>
    <t>FTE Cost - Y5</t>
  </si>
  <si>
    <t>FTE Qty.-Y1</t>
    <phoneticPr fontId="26" type="noConversion"/>
  </si>
  <si>
    <t>Indirect staffing annual cost</t>
    <phoneticPr fontId="26" type="noConversion"/>
  </si>
  <si>
    <t>行标签</t>
  </si>
  <si>
    <t>Chinese labelling</t>
  </si>
  <si>
    <t>Customs inspection</t>
  </si>
  <si>
    <t>Inbound DG processing</t>
  </si>
  <si>
    <t>Inbound processing</t>
  </si>
  <si>
    <t>Key cutting handling</t>
  </si>
  <si>
    <t>Outbound processing</t>
  </si>
  <si>
    <t>Warranty &amp; Return</t>
  </si>
  <si>
    <t>Warranty &amp; Return DG</t>
  </si>
  <si>
    <t>总计</t>
  </si>
  <si>
    <t>Customize 1</t>
    <phoneticPr fontId="26" type="noConversion"/>
  </si>
  <si>
    <t>Customize 2</t>
  </si>
  <si>
    <t>Customize 3</t>
  </si>
  <si>
    <t>Customize 4</t>
  </si>
  <si>
    <t>Customize 5</t>
  </si>
  <si>
    <t>列标签</t>
  </si>
  <si>
    <t>求和项:FTE</t>
  </si>
  <si>
    <t>Packing</t>
    <phoneticPr fontId="26" type="noConversion"/>
  </si>
  <si>
    <t>IT infrasturcture</t>
    <phoneticPr fontId="26" type="noConversion"/>
  </si>
  <si>
    <t>IT running</t>
    <phoneticPr fontId="26" type="noConversion"/>
  </si>
  <si>
    <t>3PL office furniture and setup</t>
    <phoneticPr fontId="26" type="noConversion"/>
  </si>
  <si>
    <t>Locker</t>
    <phoneticPr fontId="26" type="noConversion"/>
  </si>
  <si>
    <t>Floor Marking and signals</t>
  </si>
  <si>
    <t>Floor Marking and signals maintenance</t>
  </si>
  <si>
    <t>Cleaning machine</t>
  </si>
  <si>
    <t>Racking maintenance</t>
  </si>
  <si>
    <t>Forlklift repair &amp; maintenance</t>
  </si>
  <si>
    <t>Insurance</t>
  </si>
  <si>
    <t>Waste &amp; disposal</t>
  </si>
  <si>
    <t>Pest control</t>
  </si>
  <si>
    <t>TO paper</t>
    <phoneticPr fontId="26" type="noConversion"/>
  </si>
  <si>
    <t>Drinking Water (per HC per month)</t>
  </si>
  <si>
    <t>General supplies (incl. welfare,etc. per HC per month)</t>
  </si>
  <si>
    <t>Stationery (A4 paper in majority)</t>
  </si>
  <si>
    <t>PPE</t>
  </si>
  <si>
    <t>Canteen Catering Service (per HC per month)</t>
    <phoneticPr fontId="26" type="noConversion"/>
  </si>
  <si>
    <t>3PL office supplies</t>
    <phoneticPr fontId="26" type="noConversion"/>
  </si>
  <si>
    <t>Lease/Consume</t>
  </si>
  <si>
    <t>Other warehouse maintenance</t>
    <phoneticPr fontId="26" type="noConversion"/>
  </si>
  <si>
    <t>MHE: Y1 cost</t>
    <phoneticPr fontId="26" type="noConversion"/>
  </si>
  <si>
    <t xml:space="preserve">Other inv. </t>
    <phoneticPr fontId="26" type="noConversion"/>
  </si>
  <si>
    <t>Total</t>
  </si>
  <si>
    <t>(Y1)</t>
    <phoneticPr fontId="26" type="noConversion"/>
  </si>
  <si>
    <t>Cate.</t>
    <phoneticPr fontId="26" type="noConversion"/>
  </si>
  <si>
    <t>Annual Volume</t>
    <phoneticPr fontId="26" type="noConversion"/>
  </si>
  <si>
    <t>/</t>
    <phoneticPr fontId="26" type="noConversion"/>
  </si>
  <si>
    <t>Unit rate</t>
    <phoneticPr fontId="26" type="noConversion"/>
  </si>
  <si>
    <r>
      <t xml:space="preserve">Profit </t>
    </r>
    <r>
      <rPr>
        <b/>
        <sz val="10"/>
        <rFont val="等线"/>
        <family val="2"/>
        <charset val="134"/>
      </rPr>
      <t>（%）</t>
    </r>
    <phoneticPr fontId="26" type="noConversion"/>
  </si>
  <si>
    <t>Charge FTE+MHE</t>
    <phoneticPr fontId="26" type="noConversion"/>
  </si>
  <si>
    <t>% (adjust)</t>
    <phoneticPr fontId="26" type="noConversion"/>
  </si>
  <si>
    <t>Subsequent Years Costs</t>
  </si>
  <si>
    <t>Yr1</t>
  </si>
  <si>
    <t>Yr2</t>
  </si>
  <si>
    <t>Yr3</t>
  </si>
  <si>
    <t>Yr4</t>
  </si>
  <si>
    <t>Yr5</t>
  </si>
  <si>
    <t>Yr6</t>
  </si>
  <si>
    <t>Yr7</t>
  </si>
  <si>
    <t>Yr8</t>
  </si>
  <si>
    <t>Yr9</t>
  </si>
  <si>
    <t>Yr10</t>
  </si>
  <si>
    <t>Total Rev.</t>
    <phoneticPr fontId="31" type="noConversion"/>
  </si>
  <si>
    <t xml:space="preserve">Labour/Management </t>
  </si>
  <si>
    <t>Other</t>
  </si>
  <si>
    <t>Occupancy/Warehouse Facility Costs</t>
  </si>
  <si>
    <t>Rent</t>
  </si>
  <si>
    <t>Startup</t>
    <phoneticPr fontId="26" type="noConversion"/>
  </si>
  <si>
    <t>Direct</t>
    <phoneticPr fontId="26" type="noConversion"/>
  </si>
  <si>
    <t>Indirect</t>
    <phoneticPr fontId="26" type="noConversion"/>
  </si>
  <si>
    <t>Packaging</t>
    <phoneticPr fontId="26" type="noConversion"/>
  </si>
  <si>
    <t>Start up</t>
    <phoneticPr fontId="26" type="noConversion"/>
  </si>
  <si>
    <t>Total Rev. - Total Costs</t>
    <phoneticPr fontId="26" type="noConversion"/>
  </si>
  <si>
    <t>Total Costs</t>
    <phoneticPr fontId="26" type="noConversion"/>
  </si>
  <si>
    <t>EBITA</t>
    <phoneticPr fontId="26" type="noConversion"/>
  </si>
  <si>
    <t>DIRECT COST</t>
    <phoneticPr fontId="26" type="noConversion"/>
  </si>
  <si>
    <t>Equipment</t>
    <phoneticPr fontId="26" type="noConversion"/>
  </si>
  <si>
    <t>Lease/ Consume</t>
    <phoneticPr fontId="26" type="noConversion"/>
  </si>
  <si>
    <t>Depreciation</t>
    <phoneticPr fontId="26" type="noConversion"/>
  </si>
  <si>
    <t>这里需要手动调一下，按折旧年限</t>
    <phoneticPr fontId="26" type="noConversion"/>
  </si>
  <si>
    <t>Gross margin</t>
    <phoneticPr fontId="26" type="noConversion"/>
  </si>
  <si>
    <t>#</t>
    <phoneticPr fontId="31" type="noConversion"/>
  </si>
  <si>
    <t>Source</t>
    <phoneticPr fontId="31" type="noConversion"/>
  </si>
  <si>
    <t>Category</t>
    <phoneticPr fontId="31" type="noConversion"/>
  </si>
  <si>
    <t>Question</t>
    <phoneticPr fontId="31" type="noConversion"/>
  </si>
  <si>
    <t>Critial</t>
    <phoneticPr fontId="31" type="noConversion"/>
  </si>
  <si>
    <t>On-site checking</t>
    <phoneticPr fontId="31" type="noConversion"/>
  </si>
  <si>
    <t>Answer</t>
    <phoneticPr fontId="31" type="noConversion"/>
  </si>
  <si>
    <t>Appendix 23_Shanghai warehouse layout</t>
    <phoneticPr fontId="31" type="noConversion"/>
  </si>
  <si>
    <t>Storage</t>
    <phoneticPr fontId="31" type="noConversion"/>
  </si>
  <si>
    <t>提供仓库的长度/宽度，标注每个storage area的长宽数据，最好可以提供CAD文件</t>
    <phoneticPr fontId="31" type="noConversion"/>
  </si>
  <si>
    <t>Y</t>
    <phoneticPr fontId="31" type="noConversion"/>
  </si>
  <si>
    <t>标书提到了对现有布局及货架的优化，但是目前我们没有在表述中看到目前的库存数据、每种货架类型的货位情况等；</t>
    <phoneticPr fontId="31" type="noConversion"/>
  </si>
  <si>
    <t>the optimizations in regards to the cost reduction, space utilization, efficiency increasing, etc. are always more than welcome to us. please take the opptunities of warehouse visit to see our operations and raised your ideas in proposal</t>
    <phoneticPr fontId="31" type="noConversion"/>
  </si>
  <si>
    <t>现场了解相关情况，以及目前各类货架的利用率情况，痛点和瓶颈</t>
    <phoneticPr fontId="31" type="noConversion"/>
  </si>
  <si>
    <t>在layout图看到Cross Docking Area 94平方米，请问cross docking有多少量？</t>
    <phoneticPr fontId="31" type="noConversion"/>
  </si>
  <si>
    <t>Appendix 3_Warehouse operation data</t>
    <phoneticPr fontId="31" type="noConversion"/>
  </si>
  <si>
    <t>我们的操作能力需要在日平均的基础上考虑多少高峰加成？</t>
    <phoneticPr fontId="31" type="noConversion"/>
  </si>
  <si>
    <t xml:space="preserve">Appendix 3_Warehouse operation data
Appendix 2_Inbound volume </t>
    <phoneticPr fontId="31" type="noConversion"/>
  </si>
  <si>
    <t xml:space="preserve">Inbound </t>
    <phoneticPr fontId="31" type="noConversion"/>
  </si>
  <si>
    <t>Appendix 2_Inbound volume 中Order Type分为Stock和Express，但是Appendix 3_Warehouse operation data中"Inbound Lines Express per working day (average)"是用Inbound Lines per year总量除以293天，是否可以分别提供Stock和Express的量</t>
    <phoneticPr fontId="31" type="noConversion"/>
  </si>
  <si>
    <t xml:space="preserve"> ~50% goods in container has pallet, and ~50% carton are mix SKU carton</t>
    <phoneticPr fontId="31" type="noConversion"/>
  </si>
  <si>
    <t>每周到货的kolli数量，或Avergae # of orderline/kolli</t>
    <phoneticPr fontId="31" type="noConversion"/>
  </si>
  <si>
    <t>just for reference
Large/Bulky 58%
M2 14%
M1 6%
Small 14%
ust for reference
small 9 pcs/line
M1 36 pcs/line
M2 40 pcs/line
Large 4pcs/line</t>
    <phoneticPr fontId="31" type="noConversion"/>
  </si>
  <si>
    <t>是否只有当carton 外包装破损的什么情况下需要full inspection</t>
    <phoneticPr fontId="31" type="noConversion"/>
  </si>
  <si>
    <t>full inspection rate 3%~8%</t>
    <phoneticPr fontId="31" type="noConversion"/>
  </si>
  <si>
    <t>到货orderline存放到不同区域的比列（Shelves area/Medium Parts Racking area/Large Parts Racking Area/Floor Storage area）</t>
    <phoneticPr fontId="31" type="noConversion"/>
  </si>
  <si>
    <t>Outbound</t>
    <phoneticPr fontId="31" type="noConversion"/>
  </si>
  <si>
    <t>"Outbound Lines (Dealer orders)"是否包含VOR? VOR的比列是多少？</t>
    <phoneticPr fontId="31" type="noConversion"/>
  </si>
  <si>
    <t>Appendix 9 Warehouse Quotation table</t>
    <phoneticPr fontId="31" type="noConversion"/>
  </si>
  <si>
    <t>Outbound # of packing cartons
是否可以参照3_packaging cost中第1-12行Avg. consumption/month作为包装出货量计算</t>
    <phoneticPr fontId="31" type="noConversion"/>
  </si>
  <si>
    <t>Outbound # of packing cartons
是否可以参照3_packaging cost中第1-3行Small-Avg. consumption/month作为VOR包装出货量计算</t>
    <phoneticPr fontId="31" type="noConversion"/>
  </si>
  <si>
    <t>分别从不同区域picking的orderline比列（Shelves area/Medium Parts Racking area/Large Parts Racking Area/Floor Storage area）</t>
    <phoneticPr fontId="31" type="noConversion"/>
  </si>
  <si>
    <t>Large/Bulky 30%
M2 27%
M1 12%
Small 29%</t>
    <phoneticPr fontId="31" type="noConversion"/>
  </si>
  <si>
    <t>00_Tender Document Porsche China Shanghai Lingang warehouse</t>
    <phoneticPr fontId="31" type="noConversion"/>
  </si>
  <si>
    <t>目前的CCTV等监控设备是否会留用？</t>
    <phoneticPr fontId="31" type="noConversion"/>
  </si>
  <si>
    <t>CCTV system needs to be replaced
Tempreture&amp;humidity sensor need to be setup
furnitures&amp;office renovation, security system belong to current 3PL</t>
    <phoneticPr fontId="31" type="noConversion"/>
  </si>
  <si>
    <t>关于地坪，现场需评估和讨论一下如何包括地坪成本</t>
    <phoneticPr fontId="31" type="noConversion"/>
  </si>
  <si>
    <t>No need for newly floor coating renovation, but supplier will be responsible for the repair in case of damage following the requirements in appendix</t>
    <phoneticPr fontId="31" type="noConversion"/>
  </si>
  <si>
    <t>总体了解一下关于可能搬新仓的问题，因为设计到货架的重新布局安装，旧货架拆除，场地恢复，库位标签更改地坪，搬仓费用，盘点费用等等；
这部分，除了新货架按报价表，其他部分是否到时另行报价</t>
    <phoneticPr fontId="31" type="noConversion"/>
  </si>
  <si>
    <t>整体关于目前的操作流程有哪些痛点和瓶颈，需要在以后的操作中予以解决</t>
    <phoneticPr fontId="31" type="noConversion"/>
  </si>
  <si>
    <t>Appendix 8 中提到了AGV和数字孪生，需要现场了解一下具体的内容。包括但不限于，
a) 目前AGV的使用场景，具体到步骤；具体台数及配套设施和系统情况
b) 新合同期内AGV以后会留用在仓库么？</t>
    <phoneticPr fontId="31" type="noConversion"/>
  </si>
  <si>
    <t>需要澄清一下水电是否需要包括在报价中？</t>
    <phoneticPr fontId="31" type="noConversion"/>
  </si>
  <si>
    <t>utilites cost is covered by PCN</t>
    <phoneticPr fontId="31" type="noConversion"/>
  </si>
  <si>
    <t>此外按理解例如虫控、垃圾清运等费用都属于运营费用，需要包括在报价中，请确认</t>
    <phoneticPr fontId="31" type="noConversion"/>
  </si>
  <si>
    <t>Appendix 5 _ Rack system Requirements</t>
  </si>
  <si>
    <t>2.2.1 Large parts 第一到第三层是否为picking location?</t>
    <phoneticPr fontId="31" type="noConversion"/>
  </si>
  <si>
    <t>2.2.2 Medium parts II 第一到第三层是否为picking location?</t>
    <phoneticPr fontId="31" type="noConversion"/>
  </si>
  <si>
    <t>Appendix 4_Warehouse scope of service</t>
    <phoneticPr fontId="31" type="noConversion"/>
  </si>
  <si>
    <t>2.3.8 Matrix of Responsibilities
IT- Equipment – PC, label printer and laser printer
Office decoration
Office furniture &amp; equipment, phone, internet access
Cabling in warehouse and office areas
Security and Alarm system
因为是现有仓库，以上这些是不是已经涵盖，还是需要重新装修配置？</t>
    <phoneticPr fontId="31" type="noConversion"/>
  </si>
  <si>
    <t xml:space="preserve">security system，SP should put the quotation in quotation sheet “1.3 Start-up cost”
office furniture needs to be included
</t>
    <phoneticPr fontId="31" type="noConversion"/>
  </si>
  <si>
    <t>Appendix 4_Warehouse scope of service</t>
  </si>
  <si>
    <t>2.3.8 Matrix of Responsibilities
Insurance是否需要包含inventory财产险，需提供inventory value</t>
    <phoneticPr fontId="31" type="noConversion"/>
  </si>
  <si>
    <t>DG warehouse</t>
    <phoneticPr fontId="31" type="noConversion"/>
  </si>
  <si>
    <t>DG rental根据面积大小报价，请问是否可以接受share DG warehouse，还是必须dedicated warehouse</t>
    <phoneticPr fontId="31" type="noConversion"/>
  </si>
  <si>
    <t>This is our understanding for inbound process, please clarify if correct or not:
100% unloading by full pallet&gt;&gt;outer box visual check and count at carton level&gt;&gt;all inbound cartons are mix sku carton, need to open carton and check sku/quantity/quality/shelf life by unit level&gt;&gt;sorting small unit by sku and put into sorted tote or new empty pallet&gt;&gt;putaway onto shelf or rack</t>
    <phoneticPr fontId="31" type="noConversion"/>
  </si>
  <si>
    <t>goods in container are mixed, not in pallatization, ~50% goods in container has pallet, and ~50% carton are mix SKU carton</t>
    <phoneticPr fontId="31" type="noConversion"/>
  </si>
  <si>
    <t>How many DG inbound pieces per inbound orderline?</t>
  </si>
  <si>
    <t>~1.7</t>
  </si>
  <si>
    <t>How many DG inbound orderline per year? Does following inbound orderlines already include DG?</t>
    <phoneticPr fontId="31" type="noConversion"/>
  </si>
  <si>
    <t>DG is included. rate is around 8%</t>
  </si>
  <si>
    <t>Average how many lines per inbound HU?</t>
  </si>
  <si>
    <t>How many order lines per outbound pack on average?</t>
    <phoneticPr fontId="112" type="noConversion"/>
  </si>
  <si>
    <t>How many DG outbound orderline per year per Y2026 forecast?</t>
    <phoneticPr fontId="31" type="noConversion"/>
  </si>
  <si>
    <t>~14360</t>
  </si>
  <si>
    <t>How many DG outbound pieces in Y2026 forecast?</t>
    <phoneticPr fontId="31" type="noConversion"/>
  </si>
  <si>
    <t>~27000</t>
  </si>
  <si>
    <t>What is the proportion of DG Warehouse in the provided order lines?
请提供货量中DG仓库的订单行数、及每个订单行的平均件数等数据</t>
    <phoneticPr fontId="31" type="noConversion"/>
  </si>
  <si>
    <t>~2%, 1.69</t>
  </si>
  <si>
    <t xml:space="preserve">We noted that Porsche’s contract does not allow any amendments and prohibits the inclusion of a liability cap.Could Porsche kindly confirm whether it would be open to negotiating the retention of a liability-cap clause?  </t>
  </si>
  <si>
    <t xml:space="preserve">1.Clause 16.2 Loss or Damage of PCN Goods
In case you want to set a liability cap under this term, please pay attention to below statements.
PCN’s average inventory value is approximately RMB 400 million. In addition to the obligations set forth in the Agreement, the Service Provider (SP) shall maintain a minimum liability cap sufficient to cover the full value of PCN’s inventory at risk, such that the sum of:
(a) the SP’s insurance coverage limit for loss or damage to PCN Goods, and
(b) the SP’s direct financial liability (i.e., the liability cap beyond insurance)
shall in total be no less than RMB 400 million (or its equivalent in Euro).
This liability cap in respect of loss or damage of PCN Goods aims to ensures that PCN is fully compensated for any loss or damage resulting from the SP’s acts, omissions, negligence, improper handling, operational faults, or breach of contract — including any amounts not covered, partially covered, or rejected by insurance.
The SP shall provide evidence of its current insurance coverage and confirm its ability to meet the required liability cap as part of its bid submission. Should the SP’s existing insurance be insufficient, it must procure additional coverage or demonstrate equivalent financial capacity to meet the total liability requirement. The cost of any such measures must be fully reflected in the SP’s final pricing proposal.
PCN reserves the right to review and verify the SP’s insurance coverage and financial liability capacity at any time during the contract term. Any adjustment to the liability cap for loss or damage of PCN Goods due to changes in inventory value shall be mutually agreed in writing by both parties, and may result in a corresponding, mutually agreed adjustment to service fees.
2. Clause 16.5 Limitation of Liability
PCN does not accept any changes or negotiations </t>
    <phoneticPr fontId="31" type="noConversion"/>
  </si>
  <si>
    <t>How many security guards and cleaner HC in current normal warehouse?</t>
    <phoneticPr fontId="112" type="noConversion"/>
  </si>
  <si>
    <t>4+1</t>
  </si>
  <si>
    <t>“Inventory (Counting lines per year)” include cycle count and stock take?</t>
    <phoneticPr fontId="112" type="noConversion"/>
  </si>
  <si>
    <t>no, annal stock take volume is excluded</t>
  </si>
  <si>
    <t>Please provide the qty of storage locations corresponding to different types of storage racks/shelves in the current warehouse. 请提供现有仓库不同货位类型货位的货位数量，以便计算交接盘点的资源数量</t>
    <phoneticPr fontId="31" type="noConversion"/>
  </si>
  <si>
    <t>Shelves 22863
Medium 8505
Large 6979
Bulky 387</t>
    <phoneticPr fontId="31" type="noConversion"/>
  </si>
  <si>
    <t>pls provide the % of inbound and outbound order lines for warehouses C1, C2, and C5? 
C1 和C2,C5 仓库入库和出库订单行比例分别是多少?</t>
    <phoneticPr fontId="31" type="noConversion"/>
  </si>
  <si>
    <t>C1+C2 2%
C5 2%</t>
  </si>
  <si>
    <t xml:space="preserve">
Total SKU count? Number of large, medium, and small SKUs? Average number of medium and small items per box? Average number of medium and small items per pallet? Average box weight for medium and small items? Average pallet weight for medium and small items?
SKU总数量？大件、中件、小件SKU分别数量？中、小件每箱平均分别多少件？中、小件每拖盘平均分别多少箱？中小件平均箱重？中小件平均拖盘重？</t>
  </si>
  <si>
    <t>SKU ~25000
large 23%
m2 20%
m1 27%
small 30%</t>
  </si>
  <si>
    <t>How many order lines of the inbound orders are subject to shelf-life management ?
效期管理的零部件占总入库订单行的比例为多少？</t>
    <phoneticPr fontId="31" type="noConversion"/>
  </si>
  <si>
    <t>~9%</t>
  </si>
  <si>
    <t>Please provide the value of goods stored in the warehouse (Main Warehouse and DG Warehouse respectively).
请分别提供主仓和DG仓库（不同危品级别）存储货物的货值</t>
    <phoneticPr fontId="31" type="noConversion"/>
  </si>
  <si>
    <t>main 353 mio
DG 47 mio</t>
  </si>
  <si>
    <r>
      <t xml:space="preserve">Please provide the operating requirements and annual pieces of engraved steal seal
</t>
    </r>
    <r>
      <rPr>
        <sz val="10"/>
        <color theme="1"/>
        <rFont val="微软雅黑"/>
        <family val="2"/>
        <charset val="134"/>
      </rPr>
      <t>请提供</t>
    </r>
    <r>
      <rPr>
        <sz val="10"/>
        <color theme="1"/>
        <rFont val="Porsche Next TT"/>
        <family val="2"/>
        <charset val="134"/>
      </rPr>
      <t>”</t>
    </r>
    <r>
      <rPr>
        <sz val="10"/>
        <color theme="1"/>
        <rFont val="Arial"/>
        <family val="2"/>
      </rPr>
      <t>engraved steal seal</t>
    </r>
    <r>
      <rPr>
        <sz val="10"/>
        <color theme="1"/>
        <rFont val="Porsche Next TT"/>
        <family val="2"/>
        <charset val="134"/>
      </rPr>
      <t>“</t>
    </r>
    <r>
      <rPr>
        <sz val="10"/>
        <color theme="1"/>
        <rFont val="微软雅黑"/>
        <family val="2"/>
        <charset val="134"/>
      </rPr>
      <t>操作的需求及年操作量</t>
    </r>
    <phoneticPr fontId="31" type="noConversion"/>
  </si>
  <si>
    <t>at most 12pc/year</t>
  </si>
  <si>
    <t>What is the daily cut-off time for the order receipt?
每日截单时间是几点钟？</t>
    <phoneticPr fontId="31" type="noConversion"/>
  </si>
  <si>
    <t xml:space="preserve">Stock order 8:00
VOR order: 12:00
Express order: 16:00
</t>
  </si>
  <si>
    <t>For Medium Parts 2, are the goods stored directly in cartons without pallet? Is a location used for both storage and picking without replenishment?</t>
    <phoneticPr fontId="115" type="noConversion"/>
  </si>
  <si>
    <t>For inbound lines: could you provide lines split % of Stock (VOL), Stock (VOL) DG, Express (VOR) and Express (VOR) DG?</t>
    <phoneticPr fontId="115" type="noConversion"/>
  </si>
  <si>
    <t>overall DG rate ~6%, VOL 86%, VOR 12% EXP 2%</t>
  </si>
  <si>
    <t>For outbound lines: can you provide % split of stock order, VOR order, transfer order to other PDCs, DG order and other outbound order type (if have)?</t>
  </si>
  <si>
    <t xml:space="preserve">STK 88%, VOR 12%, P2P is quite limited, DG overall ~2%
</t>
  </si>
  <si>
    <t>For inbound lines: could you provide how many pieces or cartons per inbound line on average?</t>
    <phoneticPr fontId="115" type="noConversion"/>
  </si>
  <si>
    <t>15.19pcs/line</t>
  </si>
  <si>
    <t>For outbound lines: could you provide how many pieces per outbound line on average?</t>
    <phoneticPr fontId="115" type="noConversion"/>
  </si>
  <si>
    <t>4.67pcs/line</t>
  </si>
  <si>
    <t>C5是危品仓库吗？RFQ里需求重新查找危品库，是否该C5库房需要取消？
Is C5 a hazardous goods warehouse? In the RFQ, it requires a re-search for the hazardous goods warehouse. Should the C5 warehouse be cancelled?</t>
  </si>
  <si>
    <t>C5 stores some non-critical parts, e.g. oil, no need to store in Hazardous goods warehouse</t>
  </si>
  <si>
    <t xml:space="preserve">Inbound </t>
  </si>
  <si>
    <t>unloading - pallet</t>
  </si>
  <si>
    <t>unloading - mix SKU carton</t>
  </si>
  <si>
    <t>inbound orderlines per HU</t>
  </si>
  <si>
    <t>inbound pcs per orderline</t>
  </si>
  <si>
    <t>full inspection</t>
  </si>
  <si>
    <t>3%-8%</t>
  </si>
  <si>
    <t>DG rate in overall inbound orderline</t>
  </si>
  <si>
    <t>orderline %</t>
  </si>
  <si>
    <t>EXPRESS</t>
  </si>
  <si>
    <t>*这里不懂为什么还有个EXPRSS，建议可以并进VOR</t>
  </si>
  <si>
    <t>pcs/line</t>
  </si>
  <si>
    <t>Large/Bulky</t>
  </si>
  <si>
    <t xml:space="preserve">M2 </t>
  </si>
  <si>
    <t>M1</t>
  </si>
  <si>
    <t>Small</t>
  </si>
  <si>
    <t xml:space="preserve">Outbound </t>
  </si>
  <si>
    <t>DG rate in overall outbound orderline</t>
  </si>
  <si>
    <t>Outbound pcs per orderline</t>
  </si>
  <si>
    <t>Outbound orderlines/outbound pack</t>
  </si>
  <si>
    <t>location #</t>
  </si>
  <si>
    <t>Shelves</t>
  </si>
  <si>
    <t>Medium</t>
  </si>
  <si>
    <t>Large</t>
  </si>
  <si>
    <t>Bulky</t>
  </si>
  <si>
    <t>SKU count</t>
  </si>
  <si>
    <t>DG</t>
  </si>
  <si>
    <t>Inbound orderline %</t>
  </si>
  <si>
    <t>Inbound pcs/orderline</t>
  </si>
  <si>
    <t>Outbound orderline %</t>
  </si>
  <si>
    <t>Outbound pcs/orderline</t>
  </si>
  <si>
    <t>Outbound orderline Y2026</t>
  </si>
  <si>
    <t>Outbound piece Y2026</t>
  </si>
  <si>
    <t>Shelf life management</t>
  </si>
  <si>
    <t>engraved steal seal volume</t>
  </si>
  <si>
    <t>Insurance</t>
    <phoneticPr fontId="31" type="noConversion"/>
  </si>
  <si>
    <t>Inventory value - main</t>
  </si>
  <si>
    <t>353mio</t>
  </si>
  <si>
    <t>Inventory value - DG</t>
  </si>
  <si>
    <t>47mio</t>
  </si>
  <si>
    <t>Inbound  DG lines</t>
    <phoneticPr fontId="26" type="noConversion"/>
  </si>
  <si>
    <t>Outbound DG lines</t>
    <phoneticPr fontId="26" type="noConversion"/>
  </si>
  <si>
    <t>Shelf life checking</t>
    <phoneticPr fontId="26" type="noConversion"/>
  </si>
  <si>
    <t>pc/year</t>
    <phoneticPr fontId="26" type="noConversion"/>
  </si>
  <si>
    <t>VOR</t>
    <phoneticPr fontId="26" type="noConversion"/>
  </si>
  <si>
    <t>VOL</t>
    <phoneticPr fontId="26" type="noConversion"/>
  </si>
  <si>
    <t>TTL inbound</t>
    <phoneticPr fontId="26" type="noConversion"/>
  </si>
  <si>
    <t>Inbound normal</t>
    <phoneticPr fontId="26" type="noConversion"/>
  </si>
  <si>
    <t>Outbound normal</t>
    <phoneticPr fontId="26" type="noConversion"/>
  </si>
  <si>
    <t>check back</t>
    <phoneticPr fontId="26" type="noConversion"/>
  </si>
  <si>
    <t>Check back</t>
    <phoneticPr fontId="26" type="noConversion"/>
  </si>
  <si>
    <t>和D19不一样， 用C5</t>
    <phoneticPr fontId="26" type="noConversion"/>
  </si>
  <si>
    <t>Charge 
Indirect Labor</t>
    <phoneticPr fontId="26" type="noConversion"/>
  </si>
  <si>
    <t>Total Charge</t>
    <phoneticPr fontId="26" type="noConversion"/>
  </si>
  <si>
    <r>
      <t xml:space="preserve"> </t>
    </r>
    <r>
      <rPr>
        <b/>
        <sz val="11"/>
        <color rgb="FFFF0000"/>
        <rFont val="Arial"/>
        <family val="2"/>
      </rPr>
      <t>(ALL COST IS ANNUAL COST)</t>
    </r>
    <phoneticPr fontId="26" type="noConversion"/>
  </si>
  <si>
    <t>Full inspection</t>
    <phoneticPr fontId="26" type="noConversion"/>
  </si>
  <si>
    <t>full inspeciton</t>
    <phoneticPr fontId="26" type="noConversion"/>
  </si>
  <si>
    <t>(3%~8%)</t>
    <phoneticPr fontId="26" type="noConversion"/>
  </si>
  <si>
    <t>Tempreture&amp;humidity sensor</t>
  </si>
  <si>
    <t>Security guard service</t>
    <phoneticPr fontId="26" type="noConversion"/>
  </si>
  <si>
    <r>
      <t>Security system (CCTV, etc.</t>
    </r>
    <r>
      <rPr>
        <b/>
        <sz val="10"/>
        <rFont val="等线"/>
        <family val="2"/>
        <charset val="134"/>
      </rPr>
      <t>）</t>
    </r>
    <phoneticPr fontId="26" type="noConversion"/>
  </si>
  <si>
    <t>Transit between chamber</t>
    <phoneticPr fontId="26" type="noConversion"/>
  </si>
  <si>
    <t>Move to and back C1/2/5</t>
    <phoneticPr fontId="26" type="noConversion"/>
  </si>
  <si>
    <t>现场货架利用率目测大于85%，痛点和瓶颈未回复</t>
  </si>
  <si>
    <t>未明确回复，满足RFP文档中的货量需求即可</t>
  </si>
  <si>
    <t>不考虑搬仓</t>
    <phoneticPr fontId="26" type="noConversion"/>
  </si>
  <si>
    <t xml:space="preserve">1.仓库无AGV及任何自动化设备。如果供应商投入AGV，网络，服务器等需要供应商单独配置，保时捷不兼容。
2.保时捷的PDMS平台有孪生系统，会有拣货，库存，破损登记，工作量等数据显示，效率没有体现，也不是实时显示。仓库操作EWMS系统，没有与孪生系统对接（不支持对接）。
</t>
  </si>
  <si>
    <t>没有拣货位和补货位的设置，一二层为快流件</t>
  </si>
  <si>
    <t>不补货？</t>
    <phoneticPr fontId="26" type="noConversion"/>
  </si>
  <si>
    <t>可以</t>
  </si>
  <si>
    <t>不包含C5</t>
  </si>
  <si>
    <t>DG warehouse</t>
  </si>
  <si>
    <t>Inbound DG processing/Outbound DG processing是否包含C5仓库的操作以及external DG warehouse操作？</t>
  </si>
  <si>
    <t>Y</t>
  </si>
  <si>
    <t>Outbound DG processing</t>
  </si>
  <si>
    <t>Outbound DG processing</t>
    <phoneticPr fontId="26" type="noConversion"/>
  </si>
  <si>
    <t>Open check, take photo and system registration</t>
    <phoneticPr fontId="26" type="noConversion"/>
  </si>
  <si>
    <t>Inbound workstation (incl. pc+printer, etc.)</t>
    <phoneticPr fontId="26" type="noConversion"/>
  </si>
  <si>
    <t>Outbound workstation (incl. pc+printer,etc.)</t>
    <phoneticPr fontId="26" type="noConversion"/>
  </si>
  <si>
    <t>Sorting table</t>
    <phoneticPr fontId="26" type="noConversion"/>
  </si>
  <si>
    <t>FTE cost (Y1)</t>
  </si>
  <si>
    <t>%WorkLoad</t>
  </si>
  <si>
    <t>C5 Staging</t>
    <phoneticPr fontId="31" type="noConversion"/>
  </si>
  <si>
    <t>C5 staging</t>
    <phoneticPr fontId="31" type="noConversion"/>
  </si>
  <si>
    <t>Others picking</t>
    <phoneticPr fontId="31" type="noConversion"/>
  </si>
  <si>
    <t>Workstation</t>
    <phoneticPr fontId="31" type="noConversion"/>
  </si>
  <si>
    <t>Move cross dock to inbound staging</t>
    <phoneticPr fontId="26" type="noConversion"/>
  </si>
  <si>
    <t>trip</t>
    <phoneticPr fontId="26" type="noConversion"/>
  </si>
  <si>
    <t>OBXDOH</t>
  </si>
  <si>
    <t>C5</t>
    <phoneticPr fontId="31" type="noConversion"/>
  </si>
  <si>
    <t>blue collar round up factor</t>
    <phoneticPr fontId="26" type="noConversion"/>
  </si>
  <si>
    <r>
      <t xml:space="preserve">Put away - DG </t>
    </r>
    <r>
      <rPr>
        <b/>
        <sz val="10"/>
        <color theme="1"/>
        <rFont val="等线"/>
        <family val="2"/>
        <charset val="134"/>
      </rPr>
      <t>（</t>
    </r>
    <r>
      <rPr>
        <b/>
        <sz val="10"/>
        <color theme="1"/>
        <rFont val="Arial"/>
        <family val="2"/>
      </rPr>
      <t>C5)</t>
    </r>
    <phoneticPr fontId="26" type="noConversion"/>
  </si>
  <si>
    <t>Tapper/table scale</t>
    <phoneticPr fontId="26" type="noConversion"/>
  </si>
  <si>
    <t>1. Pre- on board and training</t>
    <phoneticPr fontId="26" type="noConversion"/>
  </si>
  <si>
    <t>Pre-on board time (WD)</t>
    <phoneticPr fontId="26" type="noConversion"/>
  </si>
  <si>
    <t>Cost</t>
    <phoneticPr fontId="26" type="noConversion"/>
  </si>
  <si>
    <t>2. Stock count for handover</t>
    <phoneticPr fontId="26" type="noConversion"/>
  </si>
  <si>
    <t>Num. of locations</t>
    <phoneticPr fontId="26" type="noConversion"/>
  </si>
  <si>
    <t>Shelves</t>
    <phoneticPr fontId="26" type="noConversion"/>
  </si>
  <si>
    <t>Bulky</t>
    <phoneticPr fontId="26" type="noConversion"/>
  </si>
  <si>
    <t>Prod.(unit/hour)</t>
    <phoneticPr fontId="26" type="noConversion"/>
  </si>
  <si>
    <t>Inv. Operator</t>
    <phoneticPr fontId="26" type="noConversion"/>
  </si>
  <si>
    <t>WD</t>
    <phoneticPr fontId="26" type="noConversion"/>
  </si>
  <si>
    <t>Medium - Ground</t>
    <phoneticPr fontId="26" type="noConversion"/>
  </si>
  <si>
    <t>Medium - Upper level</t>
    <phoneticPr fontId="26" type="noConversion"/>
  </si>
  <si>
    <t>MHE Driver</t>
    <phoneticPr fontId="26" type="noConversion"/>
  </si>
  <si>
    <t>Large - Ground</t>
    <phoneticPr fontId="26" type="noConversion"/>
  </si>
  <si>
    <t>Large - Upper level</t>
    <phoneticPr fontId="26" type="noConversion"/>
  </si>
  <si>
    <t>Buffer for discrepancy check and double count</t>
    <phoneticPr fontId="26" type="noConversion"/>
  </si>
  <si>
    <t>3. Ramp up</t>
    <phoneticPr fontId="26" type="noConversion"/>
  </si>
  <si>
    <t>M1</t>
    <phoneticPr fontId="26" type="noConversion"/>
  </si>
  <si>
    <t>Month</t>
    <phoneticPr fontId="26" type="noConversion"/>
  </si>
  <si>
    <t>% on prod.</t>
    <phoneticPr fontId="26" type="noConversion"/>
  </si>
  <si>
    <t>M2</t>
  </si>
  <si>
    <t>M3</t>
  </si>
  <si>
    <t>M4</t>
  </si>
  <si>
    <t>M5</t>
  </si>
  <si>
    <t>M6</t>
  </si>
  <si>
    <t>Extra FTE</t>
    <phoneticPr fontId="26" type="noConversion"/>
  </si>
  <si>
    <t>Extra Cost</t>
    <phoneticPr fontId="26" type="noConversion"/>
  </si>
  <si>
    <t>Total FTE- Y1 (direct+ team leader)</t>
    <phoneticPr fontId="26" type="noConversion"/>
  </si>
  <si>
    <t>Total FTE cost- Y1 (direct+ team leader)</t>
    <phoneticPr fontId="26" type="noConversion"/>
  </si>
  <si>
    <t>per month</t>
    <phoneticPr fontId="26" type="noConversion"/>
  </si>
  <si>
    <t>Including DC manager/supervisor will pre-on board 2 weeks and operators 1 week for traning</t>
    <phoneticPr fontId="26" type="noConversion"/>
  </si>
  <si>
    <t>Stock count with current vendor and confirm handover</t>
    <phoneticPr fontId="26" type="noConversion"/>
  </si>
  <si>
    <t>3. Office setup</t>
    <phoneticPr fontId="26" type="noConversion"/>
  </si>
  <si>
    <t>3PL's office setup cost</t>
    <phoneticPr fontId="26" type="noConversion"/>
  </si>
  <si>
    <t>(don't remove the line)</t>
    <phoneticPr fontId="26" type="noConversion"/>
  </si>
  <si>
    <t>Distance (M-Single trip)</t>
    <phoneticPr fontId="31" type="noConversion"/>
  </si>
  <si>
    <t>From cost allocation</t>
    <phoneticPr fontId="26" type="noConversion"/>
  </si>
  <si>
    <r>
      <rPr>
        <sz val="11"/>
        <rFont val="微软雅黑"/>
        <family val="2"/>
        <charset val="134"/>
      </rPr>
      <t>有些流程可以不分配</t>
    </r>
    <r>
      <rPr>
        <sz val="11"/>
        <rFont val="Arial"/>
        <family val="2"/>
      </rPr>
      <t xml:space="preserve">mhe, </t>
    </r>
    <r>
      <rPr>
        <sz val="11"/>
        <rFont val="微软雅黑"/>
        <family val="2"/>
        <charset val="134"/>
      </rPr>
      <t>手动改报价，看</t>
    </r>
    <r>
      <rPr>
        <sz val="11"/>
        <rFont val="Arial"/>
        <family val="2"/>
      </rPr>
      <t>P&amp;L</t>
    </r>
    <r>
      <rPr>
        <sz val="11"/>
        <rFont val="微软雅黑"/>
        <family val="2"/>
        <charset val="134"/>
      </rPr>
      <t>；例如：labelling</t>
    </r>
    <phoneticPr fontId="26" type="noConversion"/>
  </si>
  <si>
    <t>Main Process</t>
    <phoneticPr fontId="26" type="noConversion"/>
  </si>
  <si>
    <t>Receiving</t>
    <phoneticPr fontId="26" type="noConversion"/>
  </si>
  <si>
    <t>Receiving, Sorting &amp; Labeling</t>
    <phoneticPr fontId="26" type="noConversion"/>
  </si>
  <si>
    <t>Daily line/2026</t>
    <phoneticPr fontId="26" type="noConversion"/>
  </si>
  <si>
    <t xml:space="preserve">Put away </t>
    <phoneticPr fontId="26" type="noConversion"/>
  </si>
  <si>
    <t xml:space="preserve">Sub. Inbound </t>
    <phoneticPr fontId="26" type="noConversion"/>
  </si>
  <si>
    <t>Picking</t>
    <phoneticPr fontId="26" type="noConversion"/>
  </si>
  <si>
    <t xml:space="preserve">Sub. Outbound </t>
    <phoneticPr fontId="26" type="noConversion"/>
  </si>
  <si>
    <t>Overall DC (incl. inventory)</t>
    <phoneticPr fontId="26" type="noConversion"/>
  </si>
  <si>
    <t>Productivity (line/hour)</t>
    <phoneticPr fontId="26" type="noConversion"/>
  </si>
  <si>
    <t>Porsche Productivity</t>
    <phoneticPr fontId="26" type="noConversion"/>
  </si>
  <si>
    <t>Cal. FTE
(9.2 hours/WD)</t>
    <phoneticPr fontId="26" type="noConversion"/>
  </si>
  <si>
    <t>Y</t>
    <phoneticPr fontId="26" type="noConversion"/>
  </si>
  <si>
    <t>Assume space/distance impact on the productivity</t>
    <phoneticPr fontId="26" type="noConversion"/>
  </si>
  <si>
    <t>Assume warehouse space comparison %</t>
    <phoneticPr fontId="26" type="noConversion"/>
  </si>
  <si>
    <t>Cal. Workload Hours
(impact by space)</t>
    <phoneticPr fontId="26" type="noConversion"/>
  </si>
  <si>
    <t>Cal. Productivity
(impact by space)</t>
    <phoneticPr fontId="26" type="noConversion"/>
  </si>
  <si>
    <t>Workload%</t>
    <phoneticPr fontId="26" type="noConversion"/>
  </si>
  <si>
    <t>Name</t>
  </si>
  <si>
    <t>Net workload</t>
  </si>
  <si>
    <t>Volume</t>
  </si>
  <si>
    <t>Unit</t>
  </si>
  <si>
    <t>Share</t>
  </si>
  <si>
    <t>1-A Full pallets unloading - 40' trailers (seafreight)</t>
  </si>
  <si>
    <t>order lines</t>
  </si>
  <si>
    <t>1-B Bulk unloading with pallet - truck (airfreight)</t>
  </si>
  <si>
    <t>2-A Sorting (Full Package)</t>
  </si>
  <si>
    <t>2-B Sorting (Mixed Package)</t>
  </si>
  <si>
    <t>2-C Sorting (Bulk Package)</t>
  </si>
  <si>
    <t>2-D Sorting (X-docking)</t>
  </si>
  <si>
    <t>3-A Put away in Mezzanine with RF</t>
  </si>
  <si>
    <t>3-B Put away in racks and cantilevers with RF</t>
  </si>
  <si>
    <t>3-C Put away in floor storage area with RF</t>
  </si>
  <si>
    <t>3-D Put away in Locked room with RF</t>
  </si>
  <si>
    <t>3-E Put away in DG area with RF</t>
  </si>
  <si>
    <t>3-F Put away in X-dock area with RF</t>
  </si>
  <si>
    <t>4-A Mixed cases prep. with RF, picking from Mezzanine/Carousel, manual case building</t>
  </si>
  <si>
    <t>4-B Picking from Floor with RF</t>
  </si>
  <si>
    <t>4-C Picking from Racking/Cantilever, with RF</t>
  </si>
  <si>
    <t>4-D Mixed cases prep. with RF, picking from Locked area, manual case building</t>
  </si>
  <si>
    <t>4-E Picking from Racking in DG room, with RF</t>
  </si>
  <si>
    <t>5 Packing</t>
  </si>
  <si>
    <t>6 Loading pallets</t>
  </si>
  <si>
    <t>7 Inventory per location with RF</t>
  </si>
  <si>
    <t>location</t>
  </si>
  <si>
    <t>Full boxes replenishment for pieces picking</t>
  </si>
  <si>
    <t>9 Key Cutting</t>
  </si>
  <si>
    <t>piece</t>
  </si>
  <si>
    <t>10-Warrenty and Return</t>
  </si>
  <si>
    <t>Putaway</t>
    <phoneticPr fontId="26" type="noConversion"/>
  </si>
  <si>
    <r>
      <t xml:space="preserve">Cal. FTE
(6.8 hours/WD)
</t>
    </r>
    <r>
      <rPr>
        <b/>
        <sz val="10"/>
        <color rgb="FFFF0000"/>
        <rFont val="Arial"/>
        <family val="2"/>
      </rPr>
      <t>BEFORE</t>
    </r>
    <phoneticPr fontId="26" type="noConversion"/>
  </si>
  <si>
    <r>
      <t xml:space="preserve">Cal. FTE
(6.8 hours/WD)
</t>
    </r>
    <r>
      <rPr>
        <b/>
        <sz val="10"/>
        <color rgb="FF0070C0"/>
        <rFont val="Arial"/>
        <family val="2"/>
      </rPr>
      <t>AFTER</t>
    </r>
    <phoneticPr fontId="26" type="noConversion"/>
  </si>
  <si>
    <r>
      <t xml:space="preserve">Productivity (line/hour)
</t>
    </r>
    <r>
      <rPr>
        <b/>
        <sz val="10"/>
        <color rgb="FFFF0000"/>
        <rFont val="Arial"/>
        <family val="2"/>
      </rPr>
      <t>BEFORE</t>
    </r>
    <phoneticPr fontId="26" type="noConversion"/>
  </si>
  <si>
    <r>
      <t xml:space="preserve">Productivity (line/hour)
</t>
    </r>
    <r>
      <rPr>
        <b/>
        <sz val="10"/>
        <color rgb="FF0070C0"/>
        <rFont val="Arial"/>
        <family val="2"/>
      </rPr>
      <t>AFTER</t>
    </r>
    <phoneticPr fontId="26" type="noConversion"/>
  </si>
  <si>
    <r>
      <rPr>
        <sz val="10"/>
        <color rgb="FFFF0000"/>
        <rFont val="宋体"/>
        <family val="2"/>
        <charset val="134"/>
      </rPr>
      <t>可考虑减少1个</t>
    </r>
    <r>
      <rPr>
        <sz val="10"/>
        <color rgb="FFFF0000"/>
        <rFont val="Arial"/>
        <family val="2"/>
      </rPr>
      <t>Supervisor</t>
    </r>
    <r>
      <rPr>
        <sz val="10"/>
        <color rgb="FFFF0000"/>
        <rFont val="宋体"/>
        <family val="2"/>
        <charset val="134"/>
      </rPr>
      <t>的配置</t>
    </r>
    <phoneticPr fontId="26" type="noConversion"/>
  </si>
  <si>
    <t>Cross checking</t>
    <phoneticPr fontId="26" type="noConversion"/>
  </si>
  <si>
    <t xml:space="preserve"> </t>
    <phoneticPr fontId="26" type="noConversion"/>
  </si>
  <si>
    <t>1. Putaway productivity adjust to 17 line/hour</t>
    <phoneticPr fontId="26" type="noConversion"/>
  </si>
  <si>
    <t>2. Picking productivity adjust to 27 line/hour</t>
    <phoneticPr fontId="26" type="noConversion"/>
  </si>
  <si>
    <t>3. Packing productivity adjust to 39 line/hour</t>
    <phoneticPr fontId="26" type="noConversion"/>
  </si>
  <si>
    <r>
      <t xml:space="preserve">4. indirect labour - </t>
    </r>
    <r>
      <rPr>
        <sz val="10"/>
        <rFont val="宋体"/>
        <family val="2"/>
        <charset val="134"/>
      </rPr>
      <t>可考虑减少</t>
    </r>
    <r>
      <rPr>
        <sz val="10"/>
        <rFont val="Arial"/>
        <family val="2"/>
      </rPr>
      <t>1</t>
    </r>
    <r>
      <rPr>
        <sz val="10"/>
        <rFont val="宋体"/>
        <family val="2"/>
        <charset val="134"/>
      </rPr>
      <t>个</t>
    </r>
    <r>
      <rPr>
        <sz val="10"/>
        <rFont val="Arial"/>
        <family val="2"/>
      </rPr>
      <t>Supervisor</t>
    </r>
    <r>
      <rPr>
        <sz val="10"/>
        <rFont val="宋体"/>
        <family val="2"/>
        <charset val="134"/>
      </rPr>
      <t>的配置</t>
    </r>
    <phoneticPr fontId="26" type="noConversion"/>
  </si>
  <si>
    <t>Productivity Reference</t>
    <phoneticPr fontId="26" type="noConversion"/>
  </si>
  <si>
    <t>Productivity
Porche vs. Reference</t>
    <phoneticPr fontId="26" type="noConversion"/>
  </si>
  <si>
    <t>4. Security system</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</si>
</sst>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 #,##0_ ;_ * \-#,##0_ ;_ * &quot;-&quot;_ ;_ @_ "/>
    <numFmt numFmtId="44" formatCode="_ &quot;¥&quot;* #,##0.00_ ;_ &quot;¥&quot;* \-#,##0.00_ ;_ &quot;¥&quot;* &quot;-&quot;??_ ;_ @_ "/>
    <numFmt numFmtId="43" formatCode="_ * #,##0.00_ ;_ * \-#,##0.00_ ;_ * &quot;-&quot;??_ ;_ @_ "/>
    <numFmt numFmtId="176" formatCode="_(* #,##0.00_);_(* \(#,##0.00\);_(* &quot;-&quot;??_);_(@_)"/>
    <numFmt numFmtId="177" formatCode="_-* #,##0.00\ _€_-;\-* #,##0.00\ _€_-;_-* &quot;-&quot;??\ _€_-;_-@_-"/>
    <numFmt numFmtId="178" formatCode="#,##0.000"/>
    <numFmt numFmtId="179" formatCode="0.0%"/>
    <numFmt numFmtId="180" formatCode="_-* #,##0\ _€_-;\-* #,##0\ _€_-;_-* &quot;-&quot;??\ _€_-;_-@_-"/>
    <numFmt numFmtId="181" formatCode="_(* #,##0.000_);_(* \(#,##0.000\);_(* &quot;-&quot;??_);_(@_)"/>
    <numFmt numFmtId="182" formatCode="_(* #,##0.0_);_(* \(#,##0.0\);_(* &quot;-&quot;??_);_(@_)"/>
    <numFmt numFmtId="183" formatCode="_(* #,##0_);_(* \(#,##0\);_(* &quot;-&quot;??_);_(@_)"/>
    <numFmt numFmtId="184" formatCode="0.0"/>
    <numFmt numFmtId="185" formatCode="_-* #,##0.0\ _€_-;\-* #,##0.0\ _€_-;_-* &quot;-&quot;?\ _€_-;_-@_-"/>
    <numFmt numFmtId="186" formatCode="_-* #,##0\ _€_-;\-* #,##0\ _€_-;_-* &quot;-&quot;?\ _€_-;_-@_-"/>
    <numFmt numFmtId="187" formatCode="_ &quot;¥&quot;* #,##0_ ;_ &quot;¥&quot;* \-#,##0_ ;_ &quot;¥&quot;* &quot;-&quot;??_ ;_ @_ "/>
    <numFmt numFmtId="188" formatCode="_ * #,##0_ ;_ * \-#,##0_ ;_ * &quot;-&quot;??_ ;_ @_ "/>
    <numFmt numFmtId="189" formatCode="_ * #,##0.0_ ;_ * \-#,##0.0_ ;_ * &quot;-&quot;??_ ;_ @_ "/>
    <numFmt numFmtId="190" formatCode="#,##0.0;[Red]\-#,##0.0"/>
  </numFmts>
  <fonts count="129">
    <font>
      <sz val="10"/>
      <name val="Arial"/>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scheme val="minor"/>
    </font>
    <font>
      <sz val="11"/>
      <color theme="1"/>
      <name val="宋体"/>
      <family val="2"/>
      <scheme val="minor"/>
    </font>
    <font>
      <sz val="10"/>
      <name val="Arial"/>
      <family val="2"/>
    </font>
    <font>
      <sz val="10"/>
      <name val="BMWTypeRegular"/>
      <family val="2"/>
    </font>
    <font>
      <sz val="11"/>
      <name val="BMWTypeRegular"/>
      <family val="2"/>
    </font>
    <font>
      <b/>
      <sz val="14"/>
      <name val="BMWTypeRegular"/>
      <family val="2"/>
    </font>
    <font>
      <sz val="8"/>
      <color indexed="8"/>
      <name val="Arial Narrow"/>
      <family val="2"/>
    </font>
    <font>
      <sz val="8"/>
      <color indexed="8"/>
      <name val="Arial"/>
      <family val="2"/>
    </font>
    <font>
      <b/>
      <sz val="8"/>
      <color indexed="8"/>
      <name val="Arial Narrow"/>
      <family val="2"/>
    </font>
    <font>
      <b/>
      <i/>
      <u/>
      <sz val="10"/>
      <color indexed="9"/>
      <name val="Times New Roman"/>
      <family val="1"/>
    </font>
    <font>
      <i/>
      <sz val="8"/>
      <color indexed="9"/>
      <name val="Times New Roman"/>
      <family val="1"/>
    </font>
    <font>
      <b/>
      <sz val="26"/>
      <name val="BMWTypeRegular"/>
      <family val="2"/>
    </font>
    <font>
      <b/>
      <sz val="20"/>
      <name val="BMWTypeRegular"/>
      <family val="2"/>
    </font>
    <font>
      <sz val="20"/>
      <name val="BMWTypeRegular"/>
      <family val="2"/>
    </font>
    <font>
      <b/>
      <sz val="18"/>
      <name val="BMWTypeRegular"/>
      <family val="2"/>
    </font>
    <font>
      <b/>
      <sz val="6"/>
      <name val="BMWTypeRegular"/>
      <family val="2"/>
    </font>
    <font>
      <sz val="8"/>
      <name val="BMWTypeRegular"/>
      <family val="2"/>
    </font>
    <font>
      <b/>
      <sz val="12"/>
      <name val="BMWTypeLight"/>
      <family val="2"/>
    </font>
    <font>
      <sz val="12"/>
      <name val="BMWTypeLight"/>
      <family val="2"/>
    </font>
    <font>
      <sz val="10"/>
      <name val="Arial"/>
      <family val="2"/>
    </font>
    <font>
      <sz val="11"/>
      <color theme="1"/>
      <name val="BMW Group Condensed"/>
      <family val="2"/>
    </font>
    <font>
      <sz val="11"/>
      <color theme="1"/>
      <name val="宋体"/>
      <family val="2"/>
      <charset val="134"/>
      <scheme val="minor"/>
    </font>
    <font>
      <sz val="9"/>
      <name val="宋体"/>
      <family val="3"/>
      <charset val="134"/>
    </font>
    <font>
      <sz val="10"/>
      <name val="Century Gothic"/>
      <family val="2"/>
    </font>
    <font>
      <b/>
      <sz val="10"/>
      <name val="Century Gothic"/>
      <family val="2"/>
    </font>
    <font>
      <sz val="10"/>
      <color rgb="FFFF0000"/>
      <name val="宋体"/>
      <family val="2"/>
      <charset val="134"/>
    </font>
    <font>
      <b/>
      <sz val="10"/>
      <color rgb="FF0070C0"/>
      <name val="Century Gothic"/>
      <family val="2"/>
    </font>
    <font>
      <sz val="9"/>
      <name val="宋体"/>
      <family val="2"/>
      <charset val="134"/>
      <scheme val="minor"/>
    </font>
    <font>
      <sz val="12"/>
      <color theme="1"/>
      <name val="宋体"/>
      <family val="2"/>
      <charset val="134"/>
      <scheme val="minor"/>
    </font>
    <font>
      <b/>
      <sz val="10"/>
      <color theme="1"/>
      <name val="Arial"/>
      <family val="2"/>
    </font>
    <font>
      <sz val="10"/>
      <color theme="1"/>
      <name val="Arial"/>
      <family val="2"/>
    </font>
    <font>
      <b/>
      <sz val="28"/>
      <color theme="0"/>
      <name val="BMW Group"/>
    </font>
    <font>
      <b/>
      <sz val="26"/>
      <color theme="0"/>
      <name val="BMW Group"/>
    </font>
    <font>
      <b/>
      <sz val="11"/>
      <color theme="0"/>
      <name val="BMW Group"/>
    </font>
    <font>
      <sz val="11"/>
      <color theme="0"/>
      <name val="BMW Group"/>
    </font>
    <font>
      <b/>
      <sz val="26"/>
      <color theme="1"/>
      <name val="BMW Group"/>
    </font>
    <font>
      <sz val="11"/>
      <color theme="1"/>
      <name val="BMW Group"/>
    </font>
    <font>
      <b/>
      <sz val="12"/>
      <color theme="1"/>
      <name val="BMW Group"/>
    </font>
    <font>
      <sz val="18"/>
      <color theme="1"/>
      <name val="BMW Group"/>
    </font>
    <font>
      <sz val="10"/>
      <color theme="1"/>
      <name val="BMW Group"/>
    </font>
    <font>
      <b/>
      <sz val="18"/>
      <color theme="1"/>
      <name val="BMW Group"/>
    </font>
    <font>
      <b/>
      <sz val="11"/>
      <color theme="0" tint="-0.249977111117893"/>
      <name val="BMW Group"/>
    </font>
    <font>
      <b/>
      <sz val="18"/>
      <color theme="0" tint="-4.9989318521683403E-2"/>
      <name val="BMW Group"/>
    </font>
    <font>
      <sz val="12"/>
      <color theme="0" tint="-4.9989318521683403E-2"/>
      <name val="BMW Group"/>
    </font>
    <font>
      <sz val="11"/>
      <color theme="0" tint="-4.9989318521683403E-2"/>
      <name val="BMW Group"/>
    </font>
    <font>
      <b/>
      <sz val="11"/>
      <color theme="0" tint="-4.9989318521683403E-2"/>
      <name val="BMW Group"/>
    </font>
    <font>
      <sz val="11"/>
      <color theme="0" tint="-0.249977111117893"/>
      <name val="BMW Group"/>
    </font>
    <font>
      <b/>
      <sz val="24"/>
      <color theme="1"/>
      <name val="BMW Group"/>
    </font>
    <font>
      <b/>
      <sz val="14"/>
      <color theme="1"/>
      <name val="BMW Group"/>
    </font>
    <font>
      <b/>
      <sz val="18"/>
      <color rgb="FF000000"/>
      <name val="BMW Group"/>
    </font>
    <font>
      <sz val="10"/>
      <color theme="0" tint="-0.249977111117893"/>
      <name val="BMW Group"/>
    </font>
    <font>
      <b/>
      <sz val="11"/>
      <color theme="1"/>
      <name val="BMW Group"/>
    </font>
    <font>
      <sz val="9"/>
      <color theme="1"/>
      <name val="BMW Group"/>
    </font>
    <font>
      <sz val="11"/>
      <name val="BMW Group"/>
    </font>
    <font>
      <sz val="8"/>
      <color theme="1"/>
      <name val="BMW Group"/>
    </font>
    <font>
      <b/>
      <sz val="16"/>
      <color theme="1"/>
      <name val="BMW Group"/>
    </font>
    <font>
      <sz val="12"/>
      <color theme="1"/>
      <name val="Calibri"/>
      <family val="2"/>
    </font>
    <font>
      <sz val="10"/>
      <color theme="0" tint="-4.9989318521683403E-2"/>
      <name val="BMW Group"/>
    </font>
    <font>
      <b/>
      <sz val="11"/>
      <name val="BMW Group"/>
    </font>
    <font>
      <sz val="10"/>
      <color rgb="FFFF0000"/>
      <name val="Arial"/>
      <family val="2"/>
    </font>
    <font>
      <sz val="11"/>
      <name val="Porsche Next TT"/>
      <family val="2"/>
    </font>
    <font>
      <b/>
      <sz val="20"/>
      <color indexed="56"/>
      <name val="Porsche Next TT"/>
      <family val="2"/>
    </font>
    <font>
      <sz val="20"/>
      <name val="Porsche Next TT"/>
      <family val="2"/>
    </font>
    <font>
      <sz val="10"/>
      <name val="Porsche Next TT"/>
      <family val="2"/>
    </font>
    <font>
      <b/>
      <sz val="12"/>
      <name val="Porsche Next TT"/>
      <family val="2"/>
    </font>
    <font>
      <b/>
      <sz val="11"/>
      <name val="Porsche Next TT"/>
      <family val="2"/>
    </font>
    <font>
      <sz val="11"/>
      <color rgb="FFFF0000"/>
      <name val="Porsche Next TT"/>
      <family val="2"/>
    </font>
    <font>
      <sz val="11"/>
      <color theme="1"/>
      <name val="Porsche Next TT"/>
      <family val="2"/>
    </font>
    <font>
      <b/>
      <sz val="10"/>
      <name val="Porsche Next TT"/>
      <family val="2"/>
    </font>
    <font>
      <sz val="10"/>
      <name val="Verdana"/>
      <family val="2"/>
    </font>
    <font>
      <i/>
      <sz val="11"/>
      <name val="Porsche Next TT"/>
      <family val="2"/>
    </font>
    <font>
      <b/>
      <sz val="10"/>
      <color rgb="FF000000"/>
      <name val="Microsoft YaHei UI"/>
      <family val="2"/>
      <charset val="134"/>
    </font>
    <font>
      <sz val="10"/>
      <color rgb="FF000000"/>
      <name val="Microsoft YaHei UI"/>
      <family val="2"/>
      <charset val="134"/>
    </font>
    <font>
      <b/>
      <sz val="10"/>
      <name val="Arial"/>
      <family val="2"/>
    </font>
    <font>
      <sz val="12"/>
      <name val="Calibri"/>
      <family val="2"/>
    </font>
    <font>
      <b/>
      <sz val="12"/>
      <name val="Calibri"/>
      <family val="2"/>
    </font>
    <font>
      <b/>
      <sz val="12"/>
      <color rgb="FFFF0000"/>
      <name val="Calibri"/>
      <family val="2"/>
    </font>
    <font>
      <sz val="12"/>
      <color rgb="FF000000"/>
      <name val="Calibri"/>
      <family val="2"/>
    </font>
    <font>
      <b/>
      <i/>
      <sz val="12"/>
      <name val="Calibri"/>
      <family val="2"/>
    </font>
    <font>
      <sz val="12"/>
      <color indexed="12"/>
      <name val="Calibri"/>
      <family val="2"/>
    </font>
    <font>
      <b/>
      <i/>
      <sz val="12"/>
      <color rgb="FF000000"/>
      <name val="Calibri"/>
      <family val="2"/>
    </font>
    <font>
      <b/>
      <u/>
      <sz val="12"/>
      <name val="Calibri"/>
      <family val="2"/>
    </font>
    <font>
      <b/>
      <i/>
      <sz val="12"/>
      <color rgb="FFFF0000"/>
      <name val="Calibri"/>
      <family val="2"/>
    </font>
    <font>
      <b/>
      <sz val="12"/>
      <color rgb="FF000000"/>
      <name val="Calibri"/>
      <family val="2"/>
    </font>
    <font>
      <b/>
      <sz val="12"/>
      <color theme="1"/>
      <name val="Arial"/>
      <family val="2"/>
    </font>
    <font>
      <sz val="12"/>
      <color theme="1"/>
      <name val="Arial"/>
      <family val="2"/>
    </font>
    <font>
      <b/>
      <sz val="10"/>
      <color rgb="FFFF0000"/>
      <name val="Arial"/>
      <family val="2"/>
    </font>
    <font>
      <b/>
      <sz val="14"/>
      <name val="Calibri"/>
      <family val="2"/>
    </font>
    <font>
      <sz val="10"/>
      <color theme="1"/>
      <name val="Porsche Next TT"/>
      <family val="2"/>
    </font>
    <font>
      <b/>
      <sz val="12"/>
      <color theme="1"/>
      <name val="Calibri"/>
      <family val="2"/>
    </font>
    <font>
      <b/>
      <sz val="12"/>
      <color rgb="FF00B0F0"/>
      <name val="Calibri"/>
      <family val="2"/>
    </font>
    <font>
      <b/>
      <i/>
      <sz val="12"/>
      <color rgb="FF00B0F0"/>
      <name val="Calibri"/>
      <family val="2"/>
    </font>
    <font>
      <b/>
      <i/>
      <sz val="10"/>
      <color theme="1"/>
      <name val="Arial"/>
      <family val="2"/>
    </font>
    <font>
      <sz val="12"/>
      <color rgb="FFFF0000"/>
      <name val="Calibri"/>
      <family val="2"/>
    </font>
    <font>
      <sz val="10"/>
      <color rgb="FFFF0000"/>
      <name val="Arial"/>
      <family val="2"/>
      <charset val="134"/>
    </font>
    <font>
      <sz val="9"/>
      <color indexed="81"/>
      <name val="宋体"/>
      <family val="3"/>
      <charset val="134"/>
    </font>
    <font>
      <b/>
      <sz val="12"/>
      <name val="Century Gothic"/>
      <family val="2"/>
    </font>
    <font>
      <b/>
      <sz val="10"/>
      <name val="宋体"/>
      <family val="2"/>
      <charset val="134"/>
    </font>
    <font>
      <b/>
      <sz val="9"/>
      <color indexed="81"/>
      <name val="宋体"/>
      <family val="3"/>
      <charset val="134"/>
    </font>
    <font>
      <b/>
      <sz val="10"/>
      <color rgb="FF0070C0"/>
      <name val="Arial"/>
      <family val="2"/>
    </font>
    <font>
      <b/>
      <sz val="10"/>
      <name val="等线"/>
      <family val="2"/>
      <charset val="134"/>
    </font>
    <font>
      <sz val="10"/>
      <color rgb="FF0070C0"/>
      <name val="Arial"/>
      <family val="2"/>
    </font>
    <font>
      <i/>
      <sz val="10"/>
      <name val="Arial"/>
      <family val="2"/>
    </font>
    <font>
      <b/>
      <i/>
      <sz val="10"/>
      <name val="Arial"/>
      <family val="2"/>
    </font>
    <font>
      <sz val="11"/>
      <color rgb="FFFF0000"/>
      <name val="宋体"/>
      <family val="2"/>
      <charset val="134"/>
      <scheme val="minor"/>
    </font>
    <font>
      <b/>
      <sz val="11"/>
      <color theme="0"/>
      <name val="宋体"/>
      <family val="3"/>
      <charset val="134"/>
      <scheme val="minor"/>
    </font>
    <font>
      <b/>
      <sz val="11"/>
      <color theme="1"/>
      <name val="宋体"/>
      <family val="3"/>
      <charset val="134"/>
      <scheme val="minor"/>
    </font>
    <font>
      <sz val="11"/>
      <name val="宋体"/>
      <family val="2"/>
      <charset val="134"/>
      <scheme val="minor"/>
    </font>
    <font>
      <sz val="12"/>
      <color theme="1"/>
      <name val="Porsche Next TT"/>
      <family val="2"/>
    </font>
    <font>
      <sz val="10"/>
      <color theme="1"/>
      <name val="微软雅黑"/>
      <family val="2"/>
      <charset val="134"/>
    </font>
    <font>
      <sz val="10"/>
      <color theme="1"/>
      <name val="Porsche Next TT"/>
      <family val="2"/>
      <charset val="134"/>
    </font>
    <font>
      <b/>
      <sz val="12"/>
      <color theme="1"/>
      <name val="Porsche Next TT"/>
      <family val="2"/>
    </font>
    <font>
      <b/>
      <sz val="11"/>
      <name val="Arial"/>
      <family val="2"/>
    </font>
    <font>
      <b/>
      <sz val="11"/>
      <color rgb="FFFF0000"/>
      <name val="Arial"/>
      <family val="2"/>
    </font>
    <font>
      <i/>
      <sz val="10"/>
      <color rgb="FF0070C0"/>
      <name val="Arial"/>
      <family val="2"/>
    </font>
    <font>
      <b/>
      <sz val="10"/>
      <color theme="1"/>
      <name val="等线"/>
      <family val="2"/>
      <charset val="134"/>
    </font>
    <font>
      <b/>
      <sz val="10"/>
      <color rgb="FFFF0000"/>
      <name val="Century Gothic"/>
      <family val="2"/>
    </font>
    <font>
      <sz val="11"/>
      <name val="微软雅黑"/>
      <family val="2"/>
      <charset val="134"/>
    </font>
    <font>
      <sz val="11"/>
      <name val="Arial"/>
      <family val="2"/>
    </font>
    <font>
      <sz val="11"/>
      <name val="Porsche Next TT"/>
      <family val="2"/>
      <charset val="134"/>
    </font>
    <font>
      <b/>
      <sz val="10"/>
      <color theme="0"/>
      <name val="Arial"/>
      <family val="2"/>
    </font>
    <font>
      <b/>
      <sz val="9"/>
      <color rgb="FF0070C0"/>
      <name val="Arial"/>
      <family val="2"/>
    </font>
    <font>
      <b/>
      <sz val="8"/>
      <color indexed="8"/>
      <name val="Arial"/>
      <family val="2"/>
    </font>
    <font>
      <sz val="10"/>
      <name val="宋体"/>
      <family val="2"/>
      <charset val="134"/>
    </font>
    <font>
      <sz val="10"/>
      <color rgb="FFFF0000"/>
      <name val="Century Gothic"/>
      <family val="2"/>
    </font>
  </fonts>
  <fills count="35">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21"/>
        <bgColor indexed="64"/>
      </patternFill>
    </fill>
    <fill>
      <patternFill patternType="solid">
        <fgColor indexed="15"/>
        <bgColor indexed="64"/>
      </patternFill>
    </fill>
    <fill>
      <patternFill patternType="solid">
        <fgColor indexed="8"/>
        <bgColor indexed="64"/>
      </patternFill>
    </fill>
    <fill>
      <patternFill patternType="solid">
        <fgColor indexed="16"/>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8" tint="-0.499984740745262"/>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5"/>
        <bgColor indexed="64"/>
      </patternFill>
    </fill>
    <fill>
      <patternFill patternType="solid">
        <fgColor theme="7"/>
        <bgColor indexed="64"/>
      </patternFill>
    </fill>
    <fill>
      <patternFill patternType="solid">
        <fgColor rgb="FFEE90E3"/>
        <bgColor indexed="64"/>
      </patternFill>
    </fill>
    <fill>
      <patternFill patternType="solid">
        <fgColor rgb="FF9999FF"/>
        <bgColor indexed="24"/>
      </patternFill>
    </fill>
    <fill>
      <patternFill patternType="solid">
        <fgColor rgb="FF9999FF"/>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0070C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00B0F0"/>
        <bgColor indexed="64"/>
      </patternFill>
    </fill>
    <fill>
      <patternFill patternType="solid">
        <fgColor rgb="FFFF0000"/>
        <bgColor indexed="64"/>
      </patternFill>
    </fill>
    <fill>
      <patternFill patternType="solid">
        <fgColor indexed="52"/>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double">
        <color auto="1"/>
      </bottom>
      <diagonal/>
    </border>
    <border>
      <left/>
      <right/>
      <top style="thin">
        <color auto="1"/>
      </top>
      <bottom/>
      <diagonal/>
    </border>
    <border>
      <left/>
      <right/>
      <top style="medium">
        <color auto="1"/>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DashDotDot">
        <color auto="1"/>
      </left>
      <right/>
      <top style="mediumDashDotDot">
        <color auto="1"/>
      </top>
      <bottom/>
      <diagonal/>
    </border>
    <border>
      <left/>
      <right/>
      <top style="mediumDashDotDot">
        <color auto="1"/>
      </top>
      <bottom/>
      <diagonal/>
    </border>
    <border>
      <left/>
      <right style="mediumDashDotDot">
        <color auto="1"/>
      </right>
      <top style="mediumDashDotDot">
        <color auto="1"/>
      </top>
      <bottom/>
      <diagonal/>
    </border>
    <border>
      <left style="mediumDashDotDot">
        <color auto="1"/>
      </left>
      <right/>
      <top/>
      <bottom/>
      <diagonal/>
    </border>
    <border>
      <left/>
      <right style="mediumDashDotDot">
        <color auto="1"/>
      </right>
      <top/>
      <bottom/>
      <diagonal/>
    </border>
    <border>
      <left style="dashed">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DashDotDot">
        <color auto="1"/>
      </left>
      <right style="thin">
        <color indexed="64"/>
      </right>
      <top style="thin">
        <color indexed="64"/>
      </top>
      <bottom style="thin">
        <color indexed="64"/>
      </bottom>
      <diagonal/>
    </border>
    <border>
      <left style="mediumDashDotDot">
        <color auto="1"/>
      </left>
      <right/>
      <top/>
      <bottom style="medium">
        <color indexed="64"/>
      </bottom>
      <diagonal/>
    </border>
    <border>
      <left/>
      <right style="mediumDashDotDot">
        <color auto="1"/>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ck">
        <color indexed="46"/>
      </left>
      <right/>
      <top style="thick">
        <color indexed="46"/>
      </top>
      <bottom style="thick">
        <color indexed="46"/>
      </bottom>
      <diagonal/>
    </border>
    <border>
      <left style="thick">
        <color indexed="46"/>
      </left>
      <right style="thick">
        <color indexed="46"/>
      </right>
      <top style="thick">
        <color indexed="46"/>
      </top>
      <bottom style="thick">
        <color indexed="46"/>
      </bottom>
      <diagonal/>
    </border>
  </borders>
  <cellStyleXfs count="32">
    <xf numFmtId="0" fontId="0" fillId="0" borderId="0"/>
    <xf numFmtId="9" fontId="6" fillId="0" borderId="0" applyFont="0" applyFill="0" applyBorder="0" applyAlignment="0" applyProtection="0"/>
    <xf numFmtId="0" fontId="10" fillId="2" borderId="1">
      <alignment vertical="center"/>
    </xf>
    <xf numFmtId="0" fontId="11" fillId="3" borderId="0">
      <alignment vertical="center"/>
    </xf>
    <xf numFmtId="0" fontId="10" fillId="4" borderId="1">
      <alignment vertical="center"/>
    </xf>
    <xf numFmtId="49" fontId="12" fillId="5" borderId="2">
      <alignment vertical="center"/>
    </xf>
    <xf numFmtId="49" fontId="10" fillId="6" borderId="2">
      <alignment vertical="center"/>
    </xf>
    <xf numFmtId="0" fontId="13" fillId="7" borderId="3">
      <alignment horizontal="centerContinuous" vertical="center"/>
    </xf>
    <xf numFmtId="0" fontId="14" fillId="8" borderId="4">
      <alignment horizontal="centerContinuous" vertical="center"/>
    </xf>
    <xf numFmtId="177" fontId="5" fillId="0" borderId="0" applyFont="0" applyFill="0" applyBorder="0" applyAlignment="0" applyProtection="0"/>
    <xf numFmtId="176" fontId="23" fillId="0" borderId="0" applyFont="0" applyFill="0" applyBorder="0" applyAlignment="0" applyProtection="0"/>
    <xf numFmtId="0" fontId="25" fillId="0" borderId="0">
      <alignment vertical="center"/>
    </xf>
    <xf numFmtId="43" fontId="25" fillId="0" borderId="0" applyFont="0" applyFill="0" applyBorder="0" applyAlignment="0" applyProtection="0">
      <alignment vertical="center"/>
    </xf>
    <xf numFmtId="0" fontId="32" fillId="0" borderId="0">
      <alignment vertical="center"/>
    </xf>
    <xf numFmtId="176" fontId="32" fillId="0" borderId="0" applyFont="0" applyFill="0" applyBorder="0" applyAlignment="0" applyProtection="0">
      <alignment vertical="center"/>
    </xf>
    <xf numFmtId="0" fontId="4" fillId="0" borderId="0"/>
    <xf numFmtId="177" fontId="4" fillId="0" borderId="0" applyFont="0" applyFill="0" applyBorder="0" applyAlignment="0" applyProtection="0"/>
    <xf numFmtId="9" fontId="4" fillId="0" borderId="0" applyFont="0" applyFill="0" applyBorder="0" applyAlignment="0" applyProtection="0"/>
    <xf numFmtId="0" fontId="73" fillId="0" borderId="0"/>
    <xf numFmtId="0" fontId="6" fillId="0" borderId="0"/>
    <xf numFmtId="0" fontId="32" fillId="0" borderId="0">
      <alignment vertical="center"/>
    </xf>
    <xf numFmtId="0" fontId="32" fillId="0" borderId="0">
      <alignment vertical="center"/>
    </xf>
    <xf numFmtId="0" fontId="71" fillId="0" borderId="0"/>
    <xf numFmtId="41" fontId="71" fillId="0" borderId="0" applyFont="0" applyFill="0" applyBorder="0" applyAlignment="0" applyProtection="0"/>
    <xf numFmtId="0" fontId="3" fillId="0" borderId="0">
      <alignment vertical="center"/>
    </xf>
    <xf numFmtId="43" fontId="3" fillId="0" borderId="0" applyFont="0" applyFill="0" applyBorder="0" applyAlignment="0" applyProtection="0">
      <alignment vertical="center"/>
    </xf>
    <xf numFmtId="9" fontId="3"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3" fontId="2" fillId="0" borderId="0" applyFont="0" applyFill="0" applyBorder="0" applyAlignment="0" applyProtection="0">
      <alignment vertical="center"/>
    </xf>
    <xf numFmtId="0" fontId="92" fillId="0" borderId="0"/>
    <xf numFmtId="0" fontId="4" fillId="0" borderId="0"/>
  </cellStyleXfs>
  <cellXfs count="843">
    <xf numFmtId="0" fontId="0" fillId="0" borderId="0" xfId="0"/>
    <xf numFmtId="0" fontId="7" fillId="0" borderId="0" xfId="0" applyFont="1"/>
    <xf numFmtId="0" fontId="8" fillId="0" borderId="0" xfId="0" applyFont="1"/>
    <xf numFmtId="0" fontId="17" fillId="0" borderId="0" xfId="0" applyFont="1"/>
    <xf numFmtId="0" fontId="20" fillId="0" borderId="0" xfId="0" applyFont="1"/>
    <xf numFmtId="0" fontId="21" fillId="0" borderId="0" xfId="0" applyFont="1" applyAlignment="1">
      <alignment horizontal="left"/>
    </xf>
    <xf numFmtId="0" fontId="22" fillId="0" borderId="0" xfId="0" applyFont="1" applyAlignment="1">
      <alignment wrapText="1"/>
    </xf>
    <xf numFmtId="0" fontId="27" fillId="0" borderId="0" xfId="0" applyFont="1"/>
    <xf numFmtId="0" fontId="30" fillId="0" borderId="1" xfId="0" applyFont="1" applyBorder="1" applyAlignment="1">
      <alignment horizontal="center"/>
    </xf>
    <xf numFmtId="0" fontId="28" fillId="11" borderId="1" xfId="0" applyFont="1" applyFill="1" applyBorder="1"/>
    <xf numFmtId="0" fontId="33" fillId="0" borderId="1" xfId="13" applyFont="1" applyBorder="1" applyAlignment="1">
      <alignment horizontal="center" vertical="center"/>
    </xf>
    <xf numFmtId="0" fontId="34" fillId="0" borderId="0" xfId="13" applyFont="1">
      <alignment vertical="center"/>
    </xf>
    <xf numFmtId="0" fontId="33" fillId="0" borderId="1" xfId="13" applyFont="1" applyBorder="1" applyAlignment="1">
      <alignment horizontal="left" vertical="center"/>
    </xf>
    <xf numFmtId="0" fontId="33" fillId="0" borderId="0" xfId="13" applyFont="1" applyAlignment="1">
      <alignment horizontal="center" vertical="center"/>
    </xf>
    <xf numFmtId="0" fontId="34" fillId="0" borderId="1" xfId="13" applyFont="1" applyBorder="1">
      <alignment vertical="center"/>
    </xf>
    <xf numFmtId="0" fontId="36" fillId="13" borderId="0" xfId="15" applyFont="1" applyFill="1" applyAlignment="1">
      <alignment vertical="center"/>
    </xf>
    <xf numFmtId="0" fontId="38" fillId="13" borderId="0" xfId="15" applyFont="1" applyFill="1"/>
    <xf numFmtId="0" fontId="39" fillId="9" borderId="0" xfId="15" applyFont="1" applyFill="1" applyAlignment="1">
      <alignment vertical="center"/>
    </xf>
    <xf numFmtId="0" fontId="40" fillId="9" borderId="0" xfId="15" applyFont="1" applyFill="1"/>
    <xf numFmtId="0" fontId="41" fillId="9" borderId="0" xfId="15" applyFont="1" applyFill="1" applyAlignment="1">
      <alignment vertical="center"/>
    </xf>
    <xf numFmtId="0" fontId="40" fillId="9" borderId="12" xfId="15" applyFont="1" applyFill="1" applyBorder="1"/>
    <xf numFmtId="0" fontId="42" fillId="9" borderId="13" xfId="15" applyFont="1" applyFill="1" applyBorder="1"/>
    <xf numFmtId="0" fontId="40" fillId="14" borderId="15" xfId="15" applyFont="1" applyFill="1" applyBorder="1" applyProtection="1">
      <protection locked="0"/>
    </xf>
    <xf numFmtId="0" fontId="40" fillId="15" borderId="16" xfId="15" applyFont="1" applyFill="1" applyBorder="1"/>
    <xf numFmtId="0" fontId="40" fillId="15" borderId="5" xfId="15" applyFont="1" applyFill="1" applyBorder="1"/>
    <xf numFmtId="0" fontId="40" fillId="15" borderId="17" xfId="15" applyFont="1" applyFill="1" applyBorder="1"/>
    <xf numFmtId="0" fontId="4" fillId="9" borderId="18" xfId="15" applyFill="1" applyBorder="1"/>
    <xf numFmtId="0" fontId="4" fillId="9" borderId="19" xfId="15" applyFill="1" applyBorder="1"/>
    <xf numFmtId="0" fontId="40" fillId="9" borderId="0" xfId="15" applyFont="1" applyFill="1" applyAlignment="1">
      <alignment horizontal="center"/>
    </xf>
    <xf numFmtId="0" fontId="40" fillId="15" borderId="22" xfId="15" applyFont="1" applyFill="1" applyBorder="1"/>
    <xf numFmtId="0" fontId="40" fillId="15" borderId="0" xfId="15" applyFont="1" applyFill="1"/>
    <xf numFmtId="0" fontId="40" fillId="15" borderId="23" xfId="15" applyFont="1" applyFill="1" applyBorder="1"/>
    <xf numFmtId="0" fontId="4" fillId="9" borderId="24" xfId="15" applyFill="1" applyBorder="1"/>
    <xf numFmtId="0" fontId="4" fillId="9" borderId="25" xfId="15" applyFill="1" applyBorder="1"/>
    <xf numFmtId="0" fontId="46" fillId="15" borderId="0" xfId="15" applyFont="1" applyFill="1"/>
    <xf numFmtId="0" fontId="47" fillId="15" borderId="0" xfId="15" applyFont="1" applyFill="1"/>
    <xf numFmtId="0" fontId="48" fillId="15" borderId="0" xfId="15" applyFont="1" applyFill="1"/>
    <xf numFmtId="0" fontId="49" fillId="15" borderId="0" xfId="15" applyFont="1" applyFill="1" applyAlignment="1">
      <alignment vertical="center"/>
    </xf>
    <xf numFmtId="0" fontId="49" fillId="15" borderId="0" xfId="15" applyFont="1" applyFill="1" applyAlignment="1">
      <alignment horizontal="center" vertical="center"/>
    </xf>
    <xf numFmtId="0" fontId="4" fillId="17" borderId="25" xfId="15" applyFill="1" applyBorder="1"/>
    <xf numFmtId="0" fontId="38" fillId="9" borderId="0" xfId="15" applyFont="1" applyFill="1"/>
    <xf numFmtId="0" fontId="50" fillId="16" borderId="0" xfId="15" applyFont="1" applyFill="1" applyAlignment="1">
      <alignment vertical="center"/>
    </xf>
    <xf numFmtId="184" fontId="45" fillId="16" borderId="15" xfId="15" applyNumberFormat="1" applyFont="1" applyFill="1" applyBorder="1" applyAlignment="1" applyProtection="1">
      <alignment vertical="center"/>
      <protection locked="0"/>
    </xf>
    <xf numFmtId="0" fontId="48" fillId="15" borderId="0" xfId="15" applyFont="1" applyFill="1" applyAlignment="1">
      <alignment vertical="center"/>
    </xf>
    <xf numFmtId="1" fontId="48" fillId="15" borderId="0" xfId="15" applyNumberFormat="1" applyFont="1" applyFill="1" applyAlignment="1" applyProtection="1">
      <alignment vertical="center"/>
      <protection locked="0"/>
    </xf>
    <xf numFmtId="0" fontId="4" fillId="18" borderId="25" xfId="15" applyFill="1" applyBorder="1"/>
    <xf numFmtId="180" fontId="50" fillId="16" borderId="15" xfId="16" applyNumberFormat="1" applyFont="1" applyFill="1" applyBorder="1" applyAlignment="1">
      <alignment vertical="center"/>
    </xf>
    <xf numFmtId="180" fontId="48" fillId="15" borderId="0" xfId="16" applyNumberFormat="1" applyFont="1" applyFill="1" applyBorder="1" applyAlignment="1">
      <alignment vertical="center"/>
    </xf>
    <xf numFmtId="0" fontId="4" fillId="14" borderId="25" xfId="15" applyFill="1" applyBorder="1"/>
    <xf numFmtId="0" fontId="40" fillId="16" borderId="0" xfId="15" applyFont="1" applyFill="1"/>
    <xf numFmtId="0" fontId="40" fillId="16" borderId="15" xfId="15" applyFont="1" applyFill="1" applyBorder="1"/>
    <xf numFmtId="0" fontId="4" fillId="12" borderId="25" xfId="15" applyFill="1" applyBorder="1"/>
    <xf numFmtId="0" fontId="52" fillId="9" borderId="0" xfId="15" applyFont="1" applyFill="1"/>
    <xf numFmtId="0" fontId="40" fillId="16" borderId="14" xfId="15" applyFont="1" applyFill="1" applyBorder="1"/>
    <xf numFmtId="0" fontId="4" fillId="9" borderId="28" xfId="15" applyFill="1" applyBorder="1" applyAlignment="1">
      <alignment vertical="center"/>
    </xf>
    <xf numFmtId="0" fontId="4" fillId="9" borderId="29" xfId="15" applyFill="1" applyBorder="1"/>
    <xf numFmtId="10" fontId="24" fillId="0" borderId="0" xfId="15" applyNumberFormat="1" applyFont="1"/>
    <xf numFmtId="0" fontId="45" fillId="16" borderId="6" xfId="15" applyFont="1" applyFill="1" applyBorder="1" applyAlignment="1">
      <alignment vertical="center"/>
    </xf>
    <xf numFmtId="0" fontId="45" fillId="16" borderId="27" xfId="15" applyFont="1" applyFill="1" applyBorder="1" applyAlignment="1">
      <alignment vertical="center"/>
    </xf>
    <xf numFmtId="0" fontId="40" fillId="16" borderId="6" xfId="15" applyFont="1" applyFill="1" applyBorder="1" applyAlignment="1">
      <alignment vertical="center"/>
    </xf>
    <xf numFmtId="0" fontId="40" fillId="15" borderId="0" xfId="15" applyFont="1" applyFill="1" applyAlignment="1">
      <alignment vertical="center"/>
    </xf>
    <xf numFmtId="0" fontId="44" fillId="16" borderId="6" xfId="15" applyFont="1" applyFill="1" applyBorder="1" applyAlignment="1">
      <alignment vertical="top" wrapText="1"/>
    </xf>
    <xf numFmtId="0" fontId="44" fillId="16" borderId="14" xfId="15" applyFont="1" applyFill="1" applyBorder="1" applyAlignment="1">
      <alignment vertical="top" wrapText="1"/>
    </xf>
    <xf numFmtId="0" fontId="44" fillId="16" borderId="0" xfId="15" applyFont="1" applyFill="1" applyAlignment="1">
      <alignment vertical="top" wrapText="1"/>
    </xf>
    <xf numFmtId="0" fontId="54" fillId="16" borderId="0" xfId="15" applyFont="1" applyFill="1" applyAlignment="1">
      <alignment vertical="center"/>
    </xf>
    <xf numFmtId="180" fontId="50" fillId="16" borderId="15" xfId="16" applyNumberFormat="1" applyFont="1" applyFill="1" applyBorder="1" applyAlignment="1" applyProtection="1">
      <alignment vertical="center"/>
      <protection locked="0"/>
    </xf>
    <xf numFmtId="0" fontId="40" fillId="16" borderId="0" xfId="15" applyFont="1" applyFill="1" applyAlignment="1">
      <alignment vertical="center"/>
    </xf>
    <xf numFmtId="1" fontId="45" fillId="16" borderId="15" xfId="15" applyNumberFormat="1" applyFont="1" applyFill="1" applyBorder="1" applyAlignment="1" applyProtection="1">
      <alignment vertical="center"/>
      <protection locked="0"/>
    </xf>
    <xf numFmtId="0" fontId="44" fillId="16" borderId="14" xfId="15" applyFont="1" applyFill="1" applyBorder="1" applyAlignment="1">
      <alignment horizontal="left" vertical="top"/>
    </xf>
    <xf numFmtId="0" fontId="55" fillId="16" borderId="14" xfId="15" applyFont="1" applyFill="1" applyBorder="1" applyAlignment="1">
      <alignment vertical="top" wrapText="1"/>
    </xf>
    <xf numFmtId="9" fontId="55" fillId="12" borderId="1" xfId="17" applyFont="1" applyFill="1" applyBorder="1" applyAlignment="1">
      <alignment horizontal="center" vertical="center"/>
    </xf>
    <xf numFmtId="0" fontId="53" fillId="16" borderId="14" xfId="15" applyFont="1" applyFill="1" applyBorder="1" applyAlignment="1">
      <alignment vertical="top" wrapText="1"/>
    </xf>
    <xf numFmtId="0" fontId="53" fillId="16" borderId="0" xfId="15" applyFont="1" applyFill="1" applyAlignment="1">
      <alignment vertical="top" wrapText="1"/>
    </xf>
    <xf numFmtId="0" fontId="56" fillId="16" borderId="0" xfId="15" applyFont="1" applyFill="1"/>
    <xf numFmtId="0" fontId="55" fillId="16" borderId="14" xfId="15" applyFont="1" applyFill="1" applyBorder="1" applyAlignment="1">
      <alignment horizontal="left" vertical="top"/>
    </xf>
    <xf numFmtId="9" fontId="40" fillId="12" borderId="1" xfId="17" applyFont="1" applyFill="1" applyBorder="1" applyAlignment="1">
      <alignment horizontal="center" vertical="center"/>
    </xf>
    <xf numFmtId="0" fontId="40" fillId="16" borderId="15" xfId="15" applyFont="1" applyFill="1" applyBorder="1" applyAlignment="1">
      <alignment vertical="center"/>
    </xf>
    <xf numFmtId="0" fontId="44" fillId="16" borderId="15" xfId="15" applyFont="1" applyFill="1" applyBorder="1" applyAlignment="1">
      <alignment vertical="top" wrapText="1"/>
    </xf>
    <xf numFmtId="0" fontId="40" fillId="16" borderId="14" xfId="15" applyFont="1" applyFill="1" applyBorder="1" applyAlignment="1">
      <alignment vertical="center"/>
    </xf>
    <xf numFmtId="186" fontId="40" fillId="14" borderId="9" xfId="15" applyNumberFormat="1" applyFont="1" applyFill="1" applyBorder="1" applyAlignment="1" applyProtection="1">
      <alignment vertical="center"/>
      <protection locked="0"/>
    </xf>
    <xf numFmtId="186" fontId="40" fillId="20" borderId="7" xfId="15" applyNumberFormat="1" applyFont="1" applyFill="1" applyBorder="1" applyAlignment="1" applyProtection="1">
      <alignment vertical="center"/>
      <protection locked="0"/>
    </xf>
    <xf numFmtId="0" fontId="55" fillId="16" borderId="15" xfId="15" applyFont="1" applyFill="1" applyBorder="1" applyAlignment="1">
      <alignment vertical="center"/>
    </xf>
    <xf numFmtId="0" fontId="55" fillId="15" borderId="0" xfId="15" applyFont="1" applyFill="1" applyAlignment="1">
      <alignment vertical="center"/>
    </xf>
    <xf numFmtId="0" fontId="40" fillId="16" borderId="0" xfId="15" applyFont="1" applyFill="1" applyAlignment="1">
      <alignment horizontal="center"/>
    </xf>
    <xf numFmtId="0" fontId="40" fillId="16" borderId="15" xfId="15" applyFont="1" applyFill="1" applyBorder="1" applyAlignment="1">
      <alignment horizontal="center"/>
    </xf>
    <xf numFmtId="0" fontId="43" fillId="16" borderId="0" xfId="15" applyFont="1" applyFill="1"/>
    <xf numFmtId="0" fontId="43" fillId="16" borderId="15" xfId="15" applyFont="1" applyFill="1" applyBorder="1"/>
    <xf numFmtId="0" fontId="55" fillId="9" borderId="30" xfId="15" applyFont="1" applyFill="1" applyBorder="1" applyAlignment="1">
      <alignment vertical="center" wrapText="1"/>
    </xf>
    <xf numFmtId="180" fontId="55" fillId="14" borderId="1" xfId="16" applyNumberFormat="1" applyFont="1" applyFill="1" applyBorder="1" applyAlignment="1" applyProtection="1">
      <alignment vertical="center"/>
      <protection locked="0"/>
    </xf>
    <xf numFmtId="9" fontId="55" fillId="12" borderId="1" xfId="17" applyFont="1" applyFill="1" applyBorder="1" applyAlignment="1">
      <alignment vertical="center"/>
    </xf>
    <xf numFmtId="0" fontId="55" fillId="9" borderId="9" xfId="15" applyFont="1" applyFill="1" applyBorder="1" applyAlignment="1">
      <alignment vertical="center"/>
    </xf>
    <xf numFmtId="184" fontId="55" fillId="21" borderId="1" xfId="15" applyNumberFormat="1" applyFont="1" applyFill="1" applyBorder="1" applyAlignment="1" applyProtection="1">
      <alignment vertical="center"/>
      <protection locked="0"/>
    </xf>
    <xf numFmtId="180" fontId="55" fillId="12" borderId="25" xfId="16" applyNumberFormat="1" applyFont="1" applyFill="1" applyBorder="1" applyAlignment="1">
      <alignment vertical="center"/>
    </xf>
    <xf numFmtId="0" fontId="55" fillId="9" borderId="30" xfId="15" applyFont="1" applyFill="1" applyBorder="1" applyAlignment="1">
      <alignment vertical="center"/>
    </xf>
    <xf numFmtId="1" fontId="55" fillId="14" borderId="1" xfId="15" applyNumberFormat="1" applyFont="1" applyFill="1" applyBorder="1" applyProtection="1">
      <protection locked="0"/>
    </xf>
    <xf numFmtId="0" fontId="40" fillId="16" borderId="5" xfId="15" applyFont="1" applyFill="1" applyBorder="1" applyAlignment="1">
      <alignment vertical="center"/>
    </xf>
    <xf numFmtId="184" fontId="55" fillId="16" borderId="5" xfId="15" applyNumberFormat="1" applyFont="1" applyFill="1" applyBorder="1" applyAlignment="1" applyProtection="1">
      <alignment vertical="center"/>
      <protection locked="0"/>
    </xf>
    <xf numFmtId="180" fontId="55" fillId="16" borderId="31" xfId="16" applyNumberFormat="1" applyFont="1" applyFill="1" applyBorder="1" applyAlignment="1">
      <alignment vertical="center"/>
    </xf>
    <xf numFmtId="0" fontId="40" fillId="15" borderId="32" xfId="15" applyFont="1" applyFill="1" applyBorder="1"/>
    <xf numFmtId="0" fontId="43" fillId="19" borderId="30" xfId="15" applyFont="1" applyFill="1" applyBorder="1" applyAlignment="1">
      <alignment vertical="center"/>
    </xf>
    <xf numFmtId="1" fontId="40" fillId="14" borderId="1" xfId="15" applyNumberFormat="1" applyFont="1" applyFill="1" applyBorder="1" applyAlignment="1" applyProtection="1">
      <alignment vertical="center"/>
      <protection locked="0"/>
    </xf>
    <xf numFmtId="180" fontId="43" fillId="12" borderId="25" xfId="16" applyNumberFormat="1" applyFont="1" applyFill="1" applyBorder="1" applyAlignment="1">
      <alignment vertical="center"/>
    </xf>
    <xf numFmtId="0" fontId="40" fillId="16" borderId="14" xfId="15" applyFont="1" applyFill="1" applyBorder="1" applyAlignment="1">
      <alignment horizontal="left" wrapText="1"/>
    </xf>
    <xf numFmtId="0" fontId="40" fillId="16" borderId="0" xfId="15" applyFont="1" applyFill="1" applyAlignment="1">
      <alignment horizontal="left" wrapText="1"/>
    </xf>
    <xf numFmtId="0" fontId="55" fillId="16" borderId="0" xfId="15" applyFont="1" applyFill="1" applyAlignment="1">
      <alignment horizontal="left" vertical="top"/>
    </xf>
    <xf numFmtId="184" fontId="55" fillId="16" borderId="0" xfId="15" applyNumberFormat="1" applyFont="1" applyFill="1" applyAlignment="1" applyProtection="1">
      <alignment vertical="center"/>
      <protection locked="0"/>
    </xf>
    <xf numFmtId="180" fontId="55" fillId="16" borderId="15" xfId="16" applyNumberFormat="1" applyFont="1" applyFill="1" applyBorder="1" applyAlignment="1">
      <alignment vertical="center"/>
    </xf>
    <xf numFmtId="0" fontId="40" fillId="9" borderId="24" xfId="15" applyFont="1" applyFill="1" applyBorder="1" applyAlignment="1">
      <alignment vertical="center"/>
    </xf>
    <xf numFmtId="180" fontId="40" fillId="19" borderId="1" xfId="16" applyNumberFormat="1" applyFont="1" applyFill="1" applyBorder="1" applyAlignment="1" applyProtection="1">
      <alignment vertical="center"/>
      <protection locked="0"/>
    </xf>
    <xf numFmtId="9" fontId="40" fillId="12" borderId="1" xfId="17" applyFont="1" applyFill="1" applyBorder="1" applyAlignment="1">
      <alignment vertical="center"/>
    </xf>
    <xf numFmtId="0" fontId="40" fillId="16" borderId="24" xfId="15" applyFont="1" applyFill="1" applyBorder="1" applyAlignment="1">
      <alignment horizontal="left" vertical="top" wrapText="1"/>
    </xf>
    <xf numFmtId="179" fontId="40" fillId="12" borderId="1" xfId="17" applyNumberFormat="1" applyFont="1" applyFill="1" applyBorder="1" applyAlignment="1">
      <alignment horizontal="left" vertical="center" wrapText="1"/>
    </xf>
    <xf numFmtId="0" fontId="40" fillId="16" borderId="0" xfId="15" applyFont="1" applyFill="1" applyAlignment="1">
      <alignment horizontal="left" vertical="center" wrapText="1"/>
    </xf>
    <xf numFmtId="0" fontId="40" fillId="16" borderId="1" xfId="15" applyFont="1" applyFill="1" applyBorder="1" applyAlignment="1">
      <alignment horizontal="left" vertical="top" wrapText="1"/>
    </xf>
    <xf numFmtId="180" fontId="57" fillId="14" borderId="1" xfId="16" applyNumberFormat="1" applyFont="1" applyFill="1" applyBorder="1" applyAlignment="1" applyProtection="1">
      <alignment vertical="center"/>
      <protection locked="0"/>
    </xf>
    <xf numFmtId="0" fontId="40" fillId="9" borderId="1" xfId="15" applyFont="1" applyFill="1" applyBorder="1" applyAlignment="1">
      <alignment vertical="center"/>
    </xf>
    <xf numFmtId="185" fontId="40" fillId="16" borderId="0" xfId="15" applyNumberFormat="1" applyFont="1" applyFill="1" applyAlignment="1">
      <alignment vertical="center"/>
    </xf>
    <xf numFmtId="184" fontId="40" fillId="14" borderId="1" xfId="15" applyNumberFormat="1" applyFont="1" applyFill="1" applyBorder="1" applyAlignment="1" applyProtection="1">
      <alignment vertical="center"/>
      <protection locked="0"/>
    </xf>
    <xf numFmtId="0" fontId="40" fillId="9" borderId="34" xfId="15" applyFont="1" applyFill="1" applyBorder="1" applyAlignment="1">
      <alignment vertical="center"/>
    </xf>
    <xf numFmtId="1" fontId="40" fillId="12" borderId="35" xfId="15" applyNumberFormat="1" applyFont="1" applyFill="1" applyBorder="1" applyAlignment="1" applyProtection="1">
      <alignment vertical="center"/>
      <protection locked="0"/>
    </xf>
    <xf numFmtId="0" fontId="40" fillId="9" borderId="36" xfId="15" applyFont="1" applyFill="1" applyBorder="1" applyAlignment="1">
      <alignment vertical="center"/>
    </xf>
    <xf numFmtId="184" fontId="40" fillId="12" borderId="35" xfId="15" applyNumberFormat="1" applyFont="1" applyFill="1" applyBorder="1" applyAlignment="1" applyProtection="1">
      <alignment vertical="center"/>
      <protection locked="0"/>
    </xf>
    <xf numFmtId="185" fontId="55" fillId="14" borderId="1" xfId="15" applyNumberFormat="1" applyFont="1" applyFill="1" applyBorder="1" applyAlignment="1">
      <alignment horizontal="center"/>
    </xf>
    <xf numFmtId="185" fontId="55" fillId="12" borderId="1" xfId="15" applyNumberFormat="1" applyFont="1" applyFill="1" applyBorder="1" applyAlignment="1">
      <alignment horizontal="center"/>
    </xf>
    <xf numFmtId="180" fontId="40" fillId="12" borderId="1" xfId="17" applyNumberFormat="1" applyFont="1" applyFill="1" applyBorder="1" applyAlignment="1">
      <alignment horizontal="left" vertical="center"/>
    </xf>
    <xf numFmtId="0" fontId="40" fillId="9" borderId="24" xfId="15" applyFont="1" applyFill="1" applyBorder="1"/>
    <xf numFmtId="0" fontId="40" fillId="16" borderId="36" xfId="15" applyFont="1" applyFill="1" applyBorder="1"/>
    <xf numFmtId="0" fontId="40" fillId="16" borderId="0" xfId="15" applyFont="1" applyFill="1" applyAlignment="1">
      <alignment horizontal="left" vertical="top" wrapText="1"/>
    </xf>
    <xf numFmtId="0" fontId="40" fillId="16" borderId="15" xfId="15" applyFont="1" applyFill="1" applyBorder="1" applyAlignment="1">
      <alignment horizontal="left" vertical="top" wrapText="1"/>
    </xf>
    <xf numFmtId="0" fontId="40" fillId="16" borderId="0" xfId="15" applyFont="1" applyFill="1" applyAlignment="1" applyProtection="1">
      <alignment vertical="center"/>
      <protection locked="0"/>
    </xf>
    <xf numFmtId="180" fontId="55" fillId="16" borderId="0" xfId="15" applyNumberFormat="1" applyFont="1" applyFill="1" applyAlignment="1">
      <alignment vertical="center"/>
    </xf>
    <xf numFmtId="180" fontId="40" fillId="16" borderId="0" xfId="17" applyNumberFormat="1" applyFont="1" applyFill="1" applyBorder="1" applyAlignment="1">
      <alignment horizontal="left" vertical="center"/>
    </xf>
    <xf numFmtId="9" fontId="40" fillId="16" borderId="0" xfId="17" applyFont="1" applyFill="1" applyBorder="1" applyAlignment="1">
      <alignment vertical="center"/>
    </xf>
    <xf numFmtId="0" fontId="40" fillId="9" borderId="24" xfId="15" applyFont="1" applyFill="1" applyBorder="1" applyAlignment="1">
      <alignment vertical="center" wrapText="1"/>
    </xf>
    <xf numFmtId="184" fontId="40" fillId="19" borderId="1" xfId="15" applyNumberFormat="1" applyFont="1" applyFill="1" applyBorder="1" applyAlignment="1" applyProtection="1">
      <alignment vertical="center"/>
      <protection locked="0"/>
    </xf>
    <xf numFmtId="0" fontId="58" fillId="16" borderId="0" xfId="15" applyFont="1" applyFill="1" applyAlignment="1">
      <alignment horizontal="left" vertical="top" wrapText="1"/>
    </xf>
    <xf numFmtId="0" fontId="58" fillId="16" borderId="15" xfId="15" applyFont="1" applyFill="1" applyBorder="1" applyAlignment="1">
      <alignment horizontal="left" vertical="top" wrapText="1"/>
    </xf>
    <xf numFmtId="179" fontId="40" fillId="12" borderId="1" xfId="17" applyNumberFormat="1" applyFont="1" applyFill="1" applyBorder="1" applyAlignment="1">
      <alignment horizontal="center" vertical="center"/>
    </xf>
    <xf numFmtId="0" fontId="58" fillId="16" borderId="14" xfId="15" applyFont="1" applyFill="1" applyBorder="1"/>
    <xf numFmtId="0" fontId="40" fillId="16" borderId="20" xfId="15" applyFont="1" applyFill="1" applyBorder="1"/>
    <xf numFmtId="0" fontId="40" fillId="16" borderId="37" xfId="15" applyFont="1" applyFill="1" applyBorder="1"/>
    <xf numFmtId="0" fontId="40" fillId="16" borderId="21" xfId="15" applyFont="1" applyFill="1" applyBorder="1"/>
    <xf numFmtId="0" fontId="40" fillId="9" borderId="20" xfId="15" applyFont="1" applyFill="1" applyBorder="1" applyAlignment="1">
      <alignment vertical="center"/>
    </xf>
    <xf numFmtId="1" fontId="40" fillId="12" borderId="38" xfId="15" applyNumberFormat="1" applyFont="1" applyFill="1" applyBorder="1" applyAlignment="1" applyProtection="1">
      <alignment vertical="center"/>
      <protection locked="0"/>
    </xf>
    <xf numFmtId="0" fontId="40" fillId="9" borderId="39" xfId="15" applyFont="1" applyFill="1" applyBorder="1" applyAlignment="1">
      <alignment vertical="center"/>
    </xf>
    <xf numFmtId="0" fontId="40" fillId="16" borderId="37" xfId="15" applyFont="1" applyFill="1" applyBorder="1" applyAlignment="1">
      <alignment vertical="center"/>
    </xf>
    <xf numFmtId="184" fontId="40" fillId="12" borderId="38" xfId="15" applyNumberFormat="1" applyFont="1" applyFill="1" applyBorder="1" applyAlignment="1" applyProtection="1">
      <alignment vertical="center"/>
      <protection locked="0"/>
    </xf>
    <xf numFmtId="0" fontId="44" fillId="16" borderId="26" xfId="15" applyFont="1" applyFill="1" applyBorder="1"/>
    <xf numFmtId="0" fontId="40" fillId="16" borderId="6" xfId="15" applyFont="1" applyFill="1" applyBorder="1"/>
    <xf numFmtId="0" fontId="59" fillId="16" borderId="6" xfId="15" applyFont="1" applyFill="1" applyBorder="1"/>
    <xf numFmtId="0" fontId="40" fillId="16" borderId="27" xfId="15" applyFont="1" applyFill="1" applyBorder="1"/>
    <xf numFmtId="0" fontId="40" fillId="16" borderId="40" xfId="15" applyFont="1" applyFill="1" applyBorder="1"/>
    <xf numFmtId="0" fontId="40" fillId="16" borderId="41" xfId="15" applyFont="1" applyFill="1" applyBorder="1"/>
    <xf numFmtId="0" fontId="40" fillId="16" borderId="42" xfId="15" applyFont="1" applyFill="1" applyBorder="1"/>
    <xf numFmtId="0" fontId="40" fillId="16" borderId="43" xfId="15" applyFont="1" applyFill="1" applyBorder="1"/>
    <xf numFmtId="0" fontId="45" fillId="16" borderId="0" xfId="15" applyFont="1" applyFill="1" applyAlignment="1">
      <alignment vertical="center"/>
    </xf>
    <xf numFmtId="0" fontId="45" fillId="16" borderId="44" xfId="15" applyFont="1" applyFill="1" applyBorder="1" applyAlignment="1">
      <alignment vertical="center"/>
    </xf>
    <xf numFmtId="184" fontId="45" fillId="16" borderId="44" xfId="15" applyNumberFormat="1" applyFont="1" applyFill="1" applyBorder="1" applyAlignment="1" applyProtection="1">
      <alignment vertical="center"/>
      <protection locked="0"/>
    </xf>
    <xf numFmtId="0" fontId="60" fillId="9" borderId="0" xfId="15" applyFont="1" applyFill="1"/>
    <xf numFmtId="0" fontId="56" fillId="16" borderId="0" xfId="15" applyFont="1" applyFill="1" applyAlignment="1">
      <alignment horizontal="left" vertical="top" wrapText="1"/>
    </xf>
    <xf numFmtId="0" fontId="40" fillId="9" borderId="7" xfId="15" applyFont="1" applyFill="1" applyBorder="1"/>
    <xf numFmtId="1" fontId="55" fillId="20" borderId="7" xfId="15" applyNumberFormat="1" applyFont="1" applyFill="1" applyBorder="1"/>
    <xf numFmtId="180" fontId="55" fillId="12" borderId="45" xfId="16" applyNumberFormat="1" applyFont="1" applyFill="1" applyBorder="1"/>
    <xf numFmtId="180" fontId="50" fillId="16" borderId="44" xfId="16" applyNumberFormat="1" applyFont="1" applyFill="1" applyBorder="1" applyAlignment="1">
      <alignment vertical="center"/>
    </xf>
    <xf numFmtId="0" fontId="55" fillId="16" borderId="14" xfId="15" applyFont="1" applyFill="1" applyBorder="1"/>
    <xf numFmtId="0" fontId="55" fillId="9" borderId="1" xfId="15" applyFont="1" applyFill="1" applyBorder="1" applyAlignment="1">
      <alignment vertical="top" wrapText="1"/>
    </xf>
    <xf numFmtId="180" fontId="55" fillId="21" borderId="1" xfId="16" applyNumberFormat="1" applyFont="1" applyFill="1" applyBorder="1" applyAlignment="1" applyProtection="1">
      <alignment vertical="center"/>
      <protection locked="0"/>
    </xf>
    <xf numFmtId="179" fontId="55" fillId="12" borderId="46" xfId="17" applyNumberFormat="1" applyFont="1" applyFill="1" applyBorder="1" applyAlignment="1">
      <alignment horizontal="center" vertical="center"/>
    </xf>
    <xf numFmtId="0" fontId="40" fillId="16" borderId="44" xfId="15" applyFont="1" applyFill="1" applyBorder="1"/>
    <xf numFmtId="0" fontId="40" fillId="9" borderId="7" xfId="15" applyFont="1" applyFill="1" applyBorder="1" applyAlignment="1">
      <alignment vertical="center"/>
    </xf>
    <xf numFmtId="1" fontId="40" fillId="14" borderId="1" xfId="15" applyNumberFormat="1" applyFont="1" applyFill="1" applyBorder="1" applyProtection="1">
      <protection locked="0"/>
    </xf>
    <xf numFmtId="0" fontId="40" fillId="16" borderId="47" xfId="15" applyFont="1" applyFill="1" applyBorder="1"/>
    <xf numFmtId="9" fontId="40" fillId="12" borderId="1" xfId="17" applyFont="1" applyFill="1" applyBorder="1"/>
    <xf numFmtId="0" fontId="40" fillId="16" borderId="9" xfId="15" applyFont="1" applyFill="1" applyBorder="1"/>
    <xf numFmtId="0" fontId="40" fillId="16" borderId="0" xfId="15" applyFont="1" applyFill="1" applyAlignment="1">
      <alignment vertical="top" wrapText="1"/>
    </xf>
    <xf numFmtId="9" fontId="40" fillId="16" borderId="0" xfId="17" applyFont="1" applyFill="1" applyBorder="1"/>
    <xf numFmtId="9" fontId="40" fillId="16" borderId="44" xfId="17" applyFont="1" applyFill="1" applyBorder="1"/>
    <xf numFmtId="0" fontId="58" fillId="16" borderId="0" xfId="15" applyFont="1" applyFill="1" applyAlignment="1">
      <alignment horizontal="left"/>
    </xf>
    <xf numFmtId="184" fontId="43" fillId="12" borderId="35" xfId="15" applyNumberFormat="1" applyFont="1" applyFill="1" applyBorder="1" applyAlignment="1" applyProtection="1">
      <alignment vertical="center"/>
      <protection locked="0"/>
    </xf>
    <xf numFmtId="0" fontId="40" fillId="9" borderId="47" xfId="15" applyFont="1" applyFill="1" applyBorder="1"/>
    <xf numFmtId="0" fontId="40" fillId="9" borderId="1" xfId="15" applyFont="1" applyFill="1" applyBorder="1"/>
    <xf numFmtId="0" fontId="40" fillId="16" borderId="0" xfId="15" applyFont="1" applyFill="1" applyProtection="1">
      <protection locked="0"/>
    </xf>
    <xf numFmtId="0" fontId="40" fillId="16" borderId="44" xfId="15" applyFont="1" applyFill="1" applyBorder="1" applyProtection="1">
      <protection locked="0"/>
    </xf>
    <xf numFmtId="0" fontId="55" fillId="9" borderId="24" xfId="15" applyFont="1" applyFill="1" applyBorder="1" applyAlignment="1">
      <alignment vertical="center"/>
    </xf>
    <xf numFmtId="1" fontId="55" fillId="14" borderId="1" xfId="15" applyNumberFormat="1" applyFont="1" applyFill="1" applyBorder="1" applyAlignment="1" applyProtection="1">
      <alignment vertical="center"/>
      <protection locked="0"/>
    </xf>
    <xf numFmtId="0" fontId="40" fillId="20" borderId="30" xfId="15" applyFont="1" applyFill="1" applyBorder="1" applyAlignment="1">
      <alignment vertical="center"/>
    </xf>
    <xf numFmtId="0" fontId="40" fillId="20" borderId="7" xfId="15" applyFont="1" applyFill="1" applyBorder="1" applyAlignment="1">
      <alignment vertical="center"/>
    </xf>
    <xf numFmtId="9" fontId="55" fillId="14" borderId="46" xfId="17" applyFont="1" applyFill="1" applyBorder="1" applyAlignment="1">
      <alignment horizontal="center" vertical="center"/>
    </xf>
    <xf numFmtId="0" fontId="43" fillId="9" borderId="24" xfId="15" applyFont="1" applyFill="1" applyBorder="1" applyAlignment="1">
      <alignment vertical="center"/>
    </xf>
    <xf numFmtId="0" fontId="43" fillId="9" borderId="1" xfId="15" applyFont="1" applyFill="1" applyBorder="1" applyAlignment="1">
      <alignment vertical="center"/>
    </xf>
    <xf numFmtId="0" fontId="43" fillId="16" borderId="0" xfId="15" applyFont="1" applyFill="1" applyAlignment="1">
      <alignment vertical="center"/>
    </xf>
    <xf numFmtId="0" fontId="40" fillId="9" borderId="30" xfId="15" applyFont="1" applyFill="1" applyBorder="1" applyAlignment="1">
      <alignment vertical="center"/>
    </xf>
    <xf numFmtId="0" fontId="43" fillId="9" borderId="34" xfId="15" applyFont="1" applyFill="1" applyBorder="1" applyAlignment="1">
      <alignment vertical="center"/>
    </xf>
    <xf numFmtId="0" fontId="43" fillId="9" borderId="36" xfId="15" applyFont="1" applyFill="1" applyBorder="1" applyAlignment="1">
      <alignment vertical="center"/>
    </xf>
    <xf numFmtId="184" fontId="43" fillId="16" borderId="0" xfId="15" applyNumberFormat="1" applyFont="1" applyFill="1" applyAlignment="1" applyProtection="1">
      <alignment vertical="center"/>
      <protection locked="0"/>
    </xf>
    <xf numFmtId="184" fontId="43" fillId="16" borderId="23" xfId="15" applyNumberFormat="1" applyFont="1" applyFill="1" applyBorder="1" applyAlignment="1" applyProtection="1">
      <alignment vertical="center"/>
      <protection locked="0"/>
    </xf>
    <xf numFmtId="0" fontId="40" fillId="16" borderId="48" xfId="15" applyFont="1" applyFill="1" applyBorder="1"/>
    <xf numFmtId="0" fontId="40" fillId="16" borderId="49" xfId="15" applyFont="1" applyFill="1" applyBorder="1"/>
    <xf numFmtId="0" fontId="55" fillId="16" borderId="14" xfId="15" applyFont="1" applyFill="1" applyBorder="1" applyAlignment="1">
      <alignment vertical="center"/>
    </xf>
    <xf numFmtId="0" fontId="55" fillId="16" borderId="0" xfId="15" applyFont="1" applyFill="1" applyAlignment="1" applyProtection="1">
      <alignment vertical="center"/>
      <protection locked="0"/>
    </xf>
    <xf numFmtId="9" fontId="55" fillId="16" borderId="0" xfId="17" applyFont="1" applyFill="1" applyBorder="1" applyAlignment="1">
      <alignment vertical="center"/>
    </xf>
    <xf numFmtId="0" fontId="46" fillId="15" borderId="0" xfId="15" applyFont="1" applyFill="1" applyAlignment="1" applyProtection="1">
      <alignment horizontal="left" vertical="top" wrapText="1"/>
      <protection locked="0"/>
    </xf>
    <xf numFmtId="0" fontId="48" fillId="15" borderId="0" xfId="15" applyFont="1" applyFill="1" applyProtection="1">
      <protection locked="0"/>
    </xf>
    <xf numFmtId="0" fontId="48" fillId="15" borderId="0" xfId="15" applyFont="1" applyFill="1" applyAlignment="1" applyProtection="1">
      <alignment vertical="center"/>
      <protection locked="0"/>
    </xf>
    <xf numFmtId="0" fontId="55" fillId="16" borderId="16" xfId="15" applyFont="1" applyFill="1" applyBorder="1"/>
    <xf numFmtId="0" fontId="40" fillId="16" borderId="5" xfId="15" applyFont="1" applyFill="1" applyBorder="1"/>
    <xf numFmtId="0" fontId="40" fillId="16" borderId="17" xfId="15" applyFont="1" applyFill="1" applyBorder="1"/>
    <xf numFmtId="180" fontId="49" fillId="15" borderId="0" xfId="16" applyNumberFormat="1" applyFont="1" applyFill="1" applyBorder="1" applyAlignment="1" applyProtection="1">
      <alignment horizontal="left" vertical="top"/>
      <protection locked="0"/>
    </xf>
    <xf numFmtId="180" fontId="49" fillId="15" borderId="0" xfId="16" applyNumberFormat="1" applyFont="1" applyFill="1" applyBorder="1" applyAlignment="1" applyProtection="1">
      <alignment vertical="center"/>
      <protection locked="0"/>
    </xf>
    <xf numFmtId="180" fontId="49" fillId="15" borderId="0" xfId="15" applyNumberFormat="1" applyFont="1" applyFill="1"/>
    <xf numFmtId="0" fontId="40" fillId="16" borderId="22" xfId="15" applyFont="1" applyFill="1" applyBorder="1"/>
    <xf numFmtId="0" fontId="40" fillId="16" borderId="23" xfId="15" applyFont="1" applyFill="1" applyBorder="1"/>
    <xf numFmtId="184" fontId="61" fillId="15" borderId="0" xfId="15" applyNumberFormat="1" applyFont="1" applyFill="1" applyAlignment="1" applyProtection="1">
      <alignment horizontal="left" vertical="top"/>
      <protection locked="0"/>
    </xf>
    <xf numFmtId="184" fontId="61" fillId="15" borderId="0" xfId="15" applyNumberFormat="1" applyFont="1" applyFill="1" applyAlignment="1" applyProtection="1">
      <alignment vertical="center"/>
      <protection locked="0"/>
    </xf>
    <xf numFmtId="0" fontId="49" fillId="15" borderId="0" xfId="15" applyFont="1" applyFill="1" applyAlignment="1" applyProtection="1">
      <alignment vertical="center"/>
      <protection locked="0"/>
    </xf>
    <xf numFmtId="1" fontId="55" fillId="21" borderId="1" xfId="15" applyNumberFormat="1" applyFont="1" applyFill="1" applyBorder="1" applyAlignment="1" applyProtection="1">
      <alignment vertical="center"/>
      <protection locked="0"/>
    </xf>
    <xf numFmtId="0" fontId="40" fillId="16" borderId="11" xfId="15" applyFont="1" applyFill="1" applyBorder="1"/>
    <xf numFmtId="0" fontId="40" fillId="16" borderId="35" xfId="15" applyFont="1" applyFill="1" applyBorder="1"/>
    <xf numFmtId="0" fontId="61" fillId="15" borderId="0" xfId="15" applyFont="1" applyFill="1" applyAlignment="1" applyProtection="1">
      <alignment vertical="center"/>
      <protection locked="0"/>
    </xf>
    <xf numFmtId="0" fontId="55" fillId="9" borderId="14" xfId="15" applyFont="1" applyFill="1" applyBorder="1" applyAlignment="1">
      <alignment vertical="center"/>
    </xf>
    <xf numFmtId="1" fontId="55" fillId="19" borderId="0" xfId="15" applyNumberFormat="1" applyFont="1" applyFill="1" applyAlignment="1" applyProtection="1">
      <alignment vertical="center"/>
      <protection locked="0"/>
    </xf>
    <xf numFmtId="180" fontId="55" fillId="12" borderId="0" xfId="16" applyNumberFormat="1" applyFont="1" applyFill="1" applyBorder="1"/>
    <xf numFmtId="0" fontId="40" fillId="9" borderId="14" xfId="15" applyFont="1" applyFill="1" applyBorder="1" applyAlignment="1">
      <alignment vertical="center"/>
    </xf>
    <xf numFmtId="1" fontId="40" fillId="14" borderId="0" xfId="15" applyNumberFormat="1" applyFont="1" applyFill="1" applyAlignment="1" applyProtection="1">
      <alignment vertical="center"/>
      <protection locked="0"/>
    </xf>
    <xf numFmtId="0" fontId="40" fillId="15" borderId="36" xfId="15" applyFont="1" applyFill="1" applyBorder="1"/>
    <xf numFmtId="0" fontId="40" fillId="15" borderId="11" xfId="15" applyFont="1" applyFill="1" applyBorder="1"/>
    <xf numFmtId="0" fontId="40" fillId="15" borderId="35" xfId="15" applyFont="1" applyFill="1" applyBorder="1"/>
    <xf numFmtId="0" fontId="44" fillId="9" borderId="0" xfId="15" applyFont="1" applyFill="1" applyAlignment="1">
      <alignment horizontal="left" vertical="top" wrapText="1"/>
    </xf>
    <xf numFmtId="0" fontId="40" fillId="9" borderId="0" xfId="15" applyFont="1" applyFill="1" applyAlignment="1">
      <alignment vertical="center"/>
    </xf>
    <xf numFmtId="180" fontId="62" fillId="9" borderId="0" xfId="16" applyNumberFormat="1" applyFont="1" applyFill="1" applyBorder="1" applyAlignment="1">
      <alignment horizontal="left" vertical="top"/>
    </xf>
    <xf numFmtId="180" fontId="62" fillId="9" borderId="0" xfId="16" applyNumberFormat="1" applyFont="1" applyFill="1" applyBorder="1" applyAlignment="1">
      <alignment vertical="center"/>
    </xf>
    <xf numFmtId="180" fontId="55" fillId="9" borderId="0" xfId="15" applyNumberFormat="1" applyFont="1" applyFill="1"/>
    <xf numFmtId="184" fontId="43" fillId="9" borderId="0" xfId="15" applyNumberFormat="1" applyFont="1" applyFill="1" applyAlignment="1">
      <alignment horizontal="left" vertical="top"/>
    </xf>
    <xf numFmtId="184" fontId="43" fillId="9" borderId="0" xfId="15" applyNumberFormat="1" applyFont="1" applyFill="1" applyAlignment="1">
      <alignment vertical="center"/>
    </xf>
    <xf numFmtId="0" fontId="55" fillId="9" borderId="0" xfId="15" applyFont="1" applyFill="1" applyAlignment="1">
      <alignment vertical="center"/>
    </xf>
    <xf numFmtId="0" fontId="43" fillId="9" borderId="0" xfId="15" applyFont="1" applyFill="1" applyAlignment="1">
      <alignment vertical="center"/>
    </xf>
    <xf numFmtId="0" fontId="34" fillId="0" borderId="0" xfId="13" applyFont="1" applyAlignment="1">
      <alignment horizontal="center" vertical="center"/>
    </xf>
    <xf numFmtId="0" fontId="34" fillId="11" borderId="1" xfId="13" applyFont="1" applyFill="1" applyBorder="1" applyAlignment="1">
      <alignment horizontal="center" vertical="center"/>
    </xf>
    <xf numFmtId="0" fontId="63" fillId="0" borderId="1" xfId="13" applyFont="1" applyBorder="1">
      <alignment vertical="center"/>
    </xf>
    <xf numFmtId="0" fontId="6" fillId="0" borderId="1" xfId="13" applyFont="1" applyBorder="1">
      <alignment vertical="center"/>
    </xf>
    <xf numFmtId="0" fontId="63" fillId="0" borderId="0" xfId="13" applyFont="1">
      <alignment vertical="center"/>
    </xf>
    <xf numFmtId="43" fontId="40" fillId="15" borderId="0" xfId="15" applyNumberFormat="1" applyFont="1" applyFill="1"/>
    <xf numFmtId="0" fontId="34" fillId="0" borderId="0" xfId="13" applyFont="1" applyAlignment="1">
      <alignment horizontal="left" vertical="center"/>
    </xf>
    <xf numFmtId="183" fontId="34" fillId="11" borderId="1" xfId="10" applyNumberFormat="1" applyFont="1" applyFill="1" applyBorder="1" applyAlignment="1">
      <alignment horizontal="center" vertical="center"/>
    </xf>
    <xf numFmtId="0" fontId="64" fillId="9" borderId="0" xfId="0" applyFont="1" applyFill="1"/>
    <xf numFmtId="0" fontId="65" fillId="9" borderId="0" xfId="0" applyFont="1" applyFill="1"/>
    <xf numFmtId="0" fontId="66" fillId="9" borderId="0" xfId="0" applyFont="1" applyFill="1" applyAlignment="1">
      <alignment vertical="center"/>
    </xf>
    <xf numFmtId="0" fontId="65" fillId="9" borderId="0" xfId="0" applyFont="1" applyFill="1" applyAlignment="1">
      <alignment horizontal="left" vertical="center"/>
    </xf>
    <xf numFmtId="0" fontId="67" fillId="9" borderId="0" xfId="0" applyFont="1" applyFill="1"/>
    <xf numFmtId="0" fontId="64" fillId="9" borderId="0" xfId="0" applyFont="1" applyFill="1" applyAlignment="1">
      <alignment vertical="center" wrapText="1"/>
    </xf>
    <xf numFmtId="0" fontId="64" fillId="9" borderId="0" xfId="0" applyFont="1" applyFill="1" applyAlignment="1">
      <alignment horizontal="center"/>
    </xf>
    <xf numFmtId="0" fontId="68" fillId="9" borderId="0" xfId="0" applyFont="1" applyFill="1"/>
    <xf numFmtId="0" fontId="64" fillId="9" borderId="26" xfId="0" applyFont="1" applyFill="1" applyBorder="1"/>
    <xf numFmtId="0" fontId="64" fillId="9" borderId="6" xfId="0" applyFont="1" applyFill="1" applyBorder="1"/>
    <xf numFmtId="0" fontId="64" fillId="9" borderId="27" xfId="0" applyFont="1" applyFill="1" applyBorder="1"/>
    <xf numFmtId="0" fontId="64" fillId="9" borderId="50" xfId="0" applyFont="1" applyFill="1" applyBorder="1" applyAlignment="1">
      <alignment horizontal="center"/>
    </xf>
    <xf numFmtId="0" fontId="64" fillId="9" borderId="14" xfId="0" applyFont="1" applyFill="1" applyBorder="1"/>
    <xf numFmtId="0" fontId="69" fillId="9" borderId="0" xfId="0" applyFont="1" applyFill="1"/>
    <xf numFmtId="0" fontId="64" fillId="9" borderId="15" xfId="0" applyFont="1" applyFill="1" applyBorder="1"/>
    <xf numFmtId="0" fontId="69" fillId="9" borderId="51" xfId="0" applyFont="1" applyFill="1" applyBorder="1" applyAlignment="1">
      <alignment horizontal="left"/>
    </xf>
    <xf numFmtId="40" fontId="70" fillId="23" borderId="1" xfId="0" applyNumberFormat="1" applyFont="1" applyFill="1" applyBorder="1" applyProtection="1">
      <protection locked="0"/>
    </xf>
    <xf numFmtId="40" fontId="64" fillId="9" borderId="0" xfId="0" applyNumberFormat="1" applyFont="1" applyFill="1"/>
    <xf numFmtId="0" fontId="70" fillId="9" borderId="0" xfId="0" applyFont="1" applyFill="1"/>
    <xf numFmtId="0" fontId="70" fillId="9" borderId="15" xfId="0" applyFont="1" applyFill="1" applyBorder="1"/>
    <xf numFmtId="40" fontId="64" fillId="9" borderId="0" xfId="0" applyNumberFormat="1" applyFont="1" applyFill="1" applyProtection="1">
      <protection locked="0"/>
    </xf>
    <xf numFmtId="0" fontId="64" fillId="9" borderId="20" xfId="0" applyFont="1" applyFill="1" applyBorder="1"/>
    <xf numFmtId="0" fontId="64" fillId="9" borderId="37" xfId="0" applyFont="1" applyFill="1" applyBorder="1"/>
    <xf numFmtId="0" fontId="64" fillId="9" borderId="21" xfId="0" applyFont="1" applyFill="1" applyBorder="1"/>
    <xf numFmtId="0" fontId="64" fillId="9" borderId="0" xfId="0" applyFont="1" applyFill="1" applyAlignment="1">
      <alignment horizontal="left" vertical="top"/>
    </xf>
    <xf numFmtId="40" fontId="64" fillId="23" borderId="1" xfId="0" applyNumberFormat="1" applyFont="1" applyFill="1" applyBorder="1" applyProtection="1">
      <protection locked="0"/>
    </xf>
    <xf numFmtId="0" fontId="64" fillId="9" borderId="0" xfId="0" applyFont="1" applyFill="1" applyAlignment="1" applyProtection="1">
      <alignment horizontal="left" vertical="top" wrapText="1"/>
      <protection locked="0"/>
    </xf>
    <xf numFmtId="0" fontId="71" fillId="9" borderId="26" xfId="0" applyFont="1" applyFill="1" applyBorder="1"/>
    <xf numFmtId="0" fontId="69" fillId="9" borderId="50" xfId="0" applyFont="1" applyFill="1" applyBorder="1" applyAlignment="1" applyProtection="1">
      <alignment horizontal="left" vertical="top" wrapText="1"/>
      <protection locked="0"/>
    </xf>
    <xf numFmtId="0" fontId="64" fillId="9" borderId="15" xfId="0" applyFont="1" applyFill="1" applyBorder="1" applyAlignment="1" applyProtection="1">
      <alignment horizontal="left" vertical="top" wrapText="1"/>
      <protection locked="0"/>
    </xf>
    <xf numFmtId="0" fontId="71" fillId="9" borderId="20" xfId="0" applyFont="1" applyFill="1" applyBorder="1"/>
    <xf numFmtId="0" fontId="71" fillId="9" borderId="37" xfId="0" applyFont="1" applyFill="1" applyBorder="1"/>
    <xf numFmtId="0" fontId="71" fillId="9" borderId="21" xfId="0" applyFont="1" applyFill="1" applyBorder="1"/>
    <xf numFmtId="0" fontId="71" fillId="9" borderId="0" xfId="0" applyFont="1" applyFill="1"/>
    <xf numFmtId="0" fontId="64" fillId="0" borderId="0" xfId="18" applyFont="1"/>
    <xf numFmtId="9" fontId="69" fillId="24" borderId="54" xfId="17" applyFont="1" applyFill="1" applyBorder="1"/>
    <xf numFmtId="0" fontId="74" fillId="9" borderId="0" xfId="18" applyFont="1" applyFill="1"/>
    <xf numFmtId="0" fontId="6" fillId="0" borderId="0" xfId="19"/>
    <xf numFmtId="0" fontId="34" fillId="11" borderId="1" xfId="20" applyFont="1" applyFill="1" applyBorder="1">
      <alignment vertical="center"/>
    </xf>
    <xf numFmtId="9" fontId="34" fillId="11" borderId="1" xfId="20" applyNumberFormat="1" applyFont="1" applyFill="1" applyBorder="1">
      <alignment vertical="center"/>
    </xf>
    <xf numFmtId="0" fontId="33" fillId="11" borderId="1" xfId="20" applyFont="1" applyFill="1" applyBorder="1">
      <alignment vertical="center"/>
    </xf>
    <xf numFmtId="0" fontId="33" fillId="9" borderId="1" xfId="20" applyFont="1" applyFill="1" applyBorder="1" applyAlignment="1">
      <alignment horizontal="center" vertical="center"/>
    </xf>
    <xf numFmtId="179" fontId="8" fillId="11" borderId="1" xfId="19" applyNumberFormat="1" applyFont="1" applyFill="1" applyBorder="1" applyAlignment="1">
      <alignment horizontal="right" vertical="center"/>
    </xf>
    <xf numFmtId="0" fontId="6" fillId="10" borderId="0" xfId="19" applyFill="1"/>
    <xf numFmtId="183" fontId="77" fillId="10" borderId="0" xfId="10" applyNumberFormat="1" applyFont="1" applyFill="1"/>
    <xf numFmtId="176" fontId="77" fillId="0" borderId="0" xfId="10" applyFont="1"/>
    <xf numFmtId="0" fontId="78" fillId="0" borderId="0" xfId="0" applyFont="1"/>
    <xf numFmtId="0" fontId="78" fillId="11" borderId="1" xfId="0" applyFont="1" applyFill="1" applyBorder="1"/>
    <xf numFmtId="0" fontId="78" fillId="0" borderId="1" xfId="0" applyFont="1" applyBorder="1"/>
    <xf numFmtId="0" fontId="78" fillId="15" borderId="1" xfId="0" applyFont="1" applyFill="1" applyBorder="1"/>
    <xf numFmtId="0" fontId="79" fillId="0" borderId="0" xfId="0" applyFont="1"/>
    <xf numFmtId="0" fontId="78" fillId="0" borderId="0" xfId="0" applyFont="1" applyAlignment="1">
      <alignment horizontal="center"/>
    </xf>
    <xf numFmtId="0" fontId="80" fillId="0" borderId="0" xfId="0" applyFont="1"/>
    <xf numFmtId="0" fontId="79" fillId="0" borderId="1" xfId="0" applyFont="1" applyBorder="1" applyAlignment="1">
      <alignment vertical="center"/>
    </xf>
    <xf numFmtId="0" fontId="79" fillId="0" borderId="1" xfId="0" applyFont="1" applyBorder="1" applyAlignment="1">
      <alignment horizontal="center" vertical="center"/>
    </xf>
    <xf numFmtId="0" fontId="78" fillId="0" borderId="0" xfId="0" applyFont="1" applyAlignment="1">
      <alignment vertical="center"/>
    </xf>
    <xf numFmtId="0" fontId="78" fillId="0" borderId="1" xfId="0" applyFont="1" applyBorder="1" applyAlignment="1">
      <alignment vertical="center"/>
    </xf>
    <xf numFmtId="3" fontId="78" fillId="9" borderId="1" xfId="0" applyNumberFormat="1" applyFont="1" applyFill="1" applyBorder="1" applyAlignment="1">
      <alignment horizontal="right" vertical="center"/>
    </xf>
    <xf numFmtId="10" fontId="78" fillId="0" borderId="0" xfId="0" applyNumberFormat="1" applyFont="1"/>
    <xf numFmtId="0" fontId="79" fillId="0" borderId="8" xfId="0" applyFont="1" applyBorder="1" applyAlignment="1">
      <alignment vertical="center"/>
    </xf>
    <xf numFmtId="3" fontId="78" fillId="9" borderId="7" xfId="0" applyNumberFormat="1" applyFont="1" applyFill="1" applyBorder="1" applyAlignment="1">
      <alignment horizontal="right" vertical="center"/>
    </xf>
    <xf numFmtId="3" fontId="81" fillId="0" borderId="0" xfId="0" applyNumberFormat="1" applyFont="1"/>
    <xf numFmtId="4" fontId="81" fillId="0" borderId="0" xfId="0" applyNumberFormat="1" applyFont="1"/>
    <xf numFmtId="0" fontId="79" fillId="0" borderId="1" xfId="0" applyFont="1" applyBorder="1" applyAlignment="1">
      <alignment vertical="top" wrapText="1"/>
    </xf>
    <xf numFmtId="0" fontId="79" fillId="0" borderId="1" xfId="0" applyFont="1" applyBorder="1" applyAlignment="1">
      <alignment horizontal="center" vertical="top" wrapText="1"/>
    </xf>
    <xf numFmtId="0" fontId="78" fillId="0" borderId="0" xfId="0" applyFont="1" applyAlignment="1">
      <alignment vertical="top" wrapText="1"/>
    </xf>
    <xf numFmtId="179" fontId="78" fillId="11" borderId="1" xfId="19" applyNumberFormat="1" applyFont="1" applyFill="1" applyBorder="1" applyAlignment="1">
      <alignment horizontal="right" vertical="center"/>
    </xf>
    <xf numFmtId="179" fontId="78" fillId="0" borderId="0" xfId="0" applyNumberFormat="1" applyFont="1" applyAlignment="1">
      <alignment horizontal="center"/>
    </xf>
    <xf numFmtId="0" fontId="79" fillId="15" borderId="1" xfId="0" applyFont="1" applyFill="1" applyBorder="1" applyAlignment="1">
      <alignment horizontal="center" vertical="top" wrapText="1"/>
    </xf>
    <xf numFmtId="0" fontId="78" fillId="15" borderId="0" xfId="0" applyFont="1" applyFill="1" applyAlignment="1">
      <alignment vertical="top" wrapText="1"/>
    </xf>
    <xf numFmtId="3" fontId="78" fillId="0" borderId="0" xfId="0" applyNumberFormat="1" applyFont="1" applyAlignment="1">
      <alignment horizontal="right" vertical="center"/>
    </xf>
    <xf numFmtId="0" fontId="78" fillId="15" borderId="0" xfId="0" applyFont="1" applyFill="1"/>
    <xf numFmtId="183" fontId="82" fillId="15" borderId="0" xfId="0" applyNumberFormat="1" applyFont="1" applyFill="1"/>
    <xf numFmtId="183" fontId="78" fillId="15" borderId="0" xfId="0" applyNumberFormat="1" applyFont="1" applyFill="1"/>
    <xf numFmtId="0" fontId="78" fillId="0" borderId="0" xfId="0" applyFont="1" applyAlignment="1">
      <alignment horizontal="right"/>
    </xf>
    <xf numFmtId="179" fontId="78" fillId="15" borderId="0" xfId="1" applyNumberFormat="1" applyFont="1" applyFill="1"/>
    <xf numFmtId="179" fontId="82" fillId="15" borderId="0" xfId="1" applyNumberFormat="1" applyFont="1" applyFill="1"/>
    <xf numFmtId="0" fontId="79" fillId="9" borderId="1" xfId="0" applyFont="1" applyFill="1" applyBorder="1" applyAlignment="1">
      <alignment horizontal="center" vertical="center"/>
    </xf>
    <xf numFmtId="0" fontId="79" fillId="0" borderId="7" xfId="0" applyFont="1" applyBorder="1" applyAlignment="1">
      <alignment horizontal="center" vertical="center"/>
    </xf>
    <xf numFmtId="0" fontId="83" fillId="0" borderId="0" xfId="0" applyFont="1" applyAlignment="1">
      <alignment vertical="top" wrapText="1"/>
    </xf>
    <xf numFmtId="0" fontId="85" fillId="0" borderId="0" xfId="0" applyFont="1" applyAlignment="1">
      <alignment horizontal="left" vertical="center" wrapText="1"/>
    </xf>
    <xf numFmtId="178" fontId="81" fillId="0" borderId="0" xfId="0" applyNumberFormat="1" applyFont="1"/>
    <xf numFmtId="0" fontId="79" fillId="0" borderId="0" xfId="0" applyFont="1" applyAlignment="1">
      <alignment horizontal="center"/>
    </xf>
    <xf numFmtId="0" fontId="78" fillId="0" borderId="0" xfId="0" applyFont="1" applyAlignment="1">
      <alignment horizontal="left" wrapText="1"/>
    </xf>
    <xf numFmtId="0" fontId="79" fillId="0" borderId="0" xfId="0" applyFont="1" applyAlignment="1">
      <alignment horizontal="right"/>
    </xf>
    <xf numFmtId="0" fontId="82" fillId="0" borderId="0" xfId="0" applyFont="1" applyAlignment="1">
      <alignment horizontal="right"/>
    </xf>
    <xf numFmtId="0" fontId="86" fillId="0" borderId="0" xfId="0" applyFont="1"/>
    <xf numFmtId="9" fontId="86" fillId="0" borderId="0" xfId="0" applyNumberFormat="1" applyFont="1"/>
    <xf numFmtId="10" fontId="78" fillId="11" borderId="0" xfId="0" applyNumberFormat="1" applyFont="1" applyFill="1"/>
    <xf numFmtId="10" fontId="78" fillId="15" borderId="0" xfId="0" applyNumberFormat="1" applyFont="1" applyFill="1"/>
    <xf numFmtId="3" fontId="79" fillId="9" borderId="1" xfId="0" applyNumberFormat="1" applyFont="1" applyFill="1" applyBorder="1" applyAlignment="1">
      <alignment horizontal="right" vertical="center"/>
    </xf>
    <xf numFmtId="3" fontId="79" fillId="9" borderId="7" xfId="0" applyNumberFormat="1" applyFont="1" applyFill="1" applyBorder="1" applyAlignment="1">
      <alignment horizontal="right" vertical="center"/>
    </xf>
    <xf numFmtId="4" fontId="81" fillId="9" borderId="0" xfId="0" applyNumberFormat="1" applyFont="1" applyFill="1"/>
    <xf numFmtId="0" fontId="79" fillId="9" borderId="0" xfId="0" applyFont="1" applyFill="1" applyAlignment="1">
      <alignment horizontal="right"/>
    </xf>
    <xf numFmtId="3" fontId="87" fillId="9" borderId="0" xfId="0" applyNumberFormat="1" applyFont="1" applyFill="1" applyAlignment="1">
      <alignment horizontal="right"/>
    </xf>
    <xf numFmtId="0" fontId="78" fillId="9" borderId="0" xfId="0" applyFont="1" applyFill="1" applyAlignment="1">
      <alignment horizontal="center"/>
    </xf>
    <xf numFmtId="0" fontId="78" fillId="9" borderId="0" xfId="0" applyFont="1" applyFill="1"/>
    <xf numFmtId="181" fontId="78" fillId="9" borderId="0" xfId="10" applyNumberFormat="1" applyFont="1" applyFill="1" applyBorder="1" applyAlignment="1">
      <alignment horizontal="center"/>
    </xf>
    <xf numFmtId="0" fontId="79" fillId="9" borderId="0" xfId="0" applyFont="1" applyFill="1"/>
    <xf numFmtId="181" fontId="79" fillId="9" borderId="0" xfId="10" applyNumberFormat="1" applyFont="1" applyFill="1" applyBorder="1" applyAlignment="1">
      <alignment horizontal="center"/>
    </xf>
    <xf numFmtId="4" fontId="87" fillId="9" borderId="0" xfId="0" applyNumberFormat="1" applyFont="1" applyFill="1" applyAlignment="1">
      <alignment horizontal="right"/>
    </xf>
    <xf numFmtId="0" fontId="79" fillId="9" borderId="1" xfId="0" applyFont="1" applyFill="1" applyBorder="1" applyAlignment="1">
      <alignment horizontal="center" vertical="top" wrapText="1"/>
    </xf>
    <xf numFmtId="0" fontId="79" fillId="15" borderId="1" xfId="0" applyFont="1" applyFill="1" applyBorder="1" applyAlignment="1">
      <alignment vertical="center"/>
    </xf>
    <xf numFmtId="0" fontId="78" fillId="15" borderId="1" xfId="0" applyFont="1" applyFill="1" applyBorder="1" applyAlignment="1">
      <alignment vertical="center"/>
    </xf>
    <xf numFmtId="0" fontId="82" fillId="15" borderId="0" xfId="0" applyFont="1" applyFill="1" applyAlignment="1">
      <alignment horizontal="right"/>
    </xf>
    <xf numFmtId="179" fontId="84" fillId="15" borderId="0" xfId="1" applyNumberFormat="1" applyFont="1" applyFill="1" applyBorder="1"/>
    <xf numFmtId="183" fontId="78" fillId="15" borderId="1" xfId="10" applyNumberFormat="1" applyFont="1" applyFill="1" applyBorder="1"/>
    <xf numFmtId="0" fontId="79" fillId="15" borderId="0" xfId="0" applyFont="1" applyFill="1" applyAlignment="1">
      <alignment horizontal="right"/>
    </xf>
    <xf numFmtId="0" fontId="33" fillId="0" borderId="0" xfId="13" applyFont="1" applyAlignment="1">
      <alignment horizontal="left" vertical="center"/>
    </xf>
    <xf numFmtId="176" fontId="34" fillId="0" borderId="0" xfId="14" applyFont="1" applyBorder="1" applyAlignment="1">
      <alignment horizontal="right" vertical="center"/>
    </xf>
    <xf numFmtId="0" fontId="33" fillId="0" borderId="0" xfId="13" applyFont="1">
      <alignment vertical="center"/>
    </xf>
    <xf numFmtId="176" fontId="34" fillId="11" borderId="1" xfId="14" applyFont="1" applyFill="1" applyBorder="1" applyAlignment="1">
      <alignment horizontal="right" vertical="center"/>
    </xf>
    <xf numFmtId="0" fontId="33" fillId="0" borderId="1" xfId="13" applyFont="1" applyBorder="1">
      <alignment vertical="center"/>
    </xf>
    <xf numFmtId="0" fontId="34" fillId="11" borderId="1" xfId="13" applyFont="1" applyFill="1" applyBorder="1" applyAlignment="1">
      <alignment horizontal="left" vertical="center"/>
    </xf>
    <xf numFmtId="0" fontId="34" fillId="11" borderId="1" xfId="13" applyFont="1" applyFill="1" applyBorder="1">
      <alignment vertical="center"/>
    </xf>
    <xf numFmtId="0" fontId="33" fillId="11" borderId="1" xfId="13" applyFont="1" applyFill="1" applyBorder="1">
      <alignment vertical="center"/>
    </xf>
    <xf numFmtId="183" fontId="34" fillId="15" borderId="0" xfId="10" applyNumberFormat="1" applyFont="1" applyFill="1" applyAlignment="1">
      <alignment vertical="center"/>
    </xf>
    <xf numFmtId="0" fontId="33" fillId="0" borderId="1" xfId="13" applyFont="1" applyBorder="1" applyAlignment="1">
      <alignment vertical="center" wrapText="1"/>
    </xf>
    <xf numFmtId="0" fontId="34" fillId="11" borderId="8" xfId="13" applyFont="1" applyFill="1" applyBorder="1" applyAlignment="1">
      <alignment horizontal="left" vertical="center"/>
    </xf>
    <xf numFmtId="0" fontId="33" fillId="11" borderId="8" xfId="13" applyFont="1" applyFill="1" applyBorder="1">
      <alignment vertical="center"/>
    </xf>
    <xf numFmtId="176" fontId="89" fillId="0" borderId="0" xfId="14" applyFont="1" applyBorder="1" applyAlignment="1">
      <alignment horizontal="right" vertical="center"/>
    </xf>
    <xf numFmtId="0" fontId="89" fillId="0" borderId="0" xfId="13" applyFont="1">
      <alignment vertical="center"/>
    </xf>
    <xf numFmtId="9" fontId="34" fillId="11" borderId="1" xfId="13" applyNumberFormat="1" applyFont="1" applyFill="1" applyBorder="1">
      <alignment vertical="center"/>
    </xf>
    <xf numFmtId="176" fontId="34" fillId="15" borderId="1" xfId="14" applyFont="1" applyFill="1" applyBorder="1" applyAlignment="1">
      <alignment horizontal="center" vertical="center"/>
    </xf>
    <xf numFmtId="0" fontId="33" fillId="25" borderId="1" xfId="13" applyFont="1" applyFill="1" applyBorder="1" applyAlignment="1">
      <alignment horizontal="center" vertical="center"/>
    </xf>
    <xf numFmtId="0" fontId="33" fillId="25" borderId="1" xfId="13" applyFont="1" applyFill="1" applyBorder="1" applyAlignment="1">
      <alignment horizontal="center" vertical="center" wrapText="1"/>
    </xf>
    <xf numFmtId="9" fontId="33" fillId="25" borderId="1" xfId="13" applyNumberFormat="1" applyFont="1" applyFill="1" applyBorder="1" applyAlignment="1">
      <alignment horizontal="center" vertical="center" wrapText="1"/>
    </xf>
    <xf numFmtId="184" fontId="34" fillId="15" borderId="1" xfId="13" applyNumberFormat="1" applyFont="1" applyFill="1" applyBorder="1">
      <alignment vertical="center"/>
    </xf>
    <xf numFmtId="183" fontId="34" fillId="15" borderId="1" xfId="10" applyNumberFormat="1" applyFont="1" applyFill="1" applyBorder="1" applyAlignment="1">
      <alignment horizontal="center" vertical="center"/>
    </xf>
    <xf numFmtId="0" fontId="34" fillId="10" borderId="1" xfId="13" applyFont="1" applyFill="1" applyBorder="1">
      <alignment vertical="center"/>
    </xf>
    <xf numFmtId="0" fontId="63" fillId="10" borderId="1" xfId="13" applyFont="1" applyFill="1" applyBorder="1">
      <alignment vertical="center"/>
    </xf>
    <xf numFmtId="0" fontId="6" fillId="10" borderId="1" xfId="13" applyFont="1" applyFill="1" applyBorder="1">
      <alignment vertical="center"/>
    </xf>
    <xf numFmtId="0" fontId="34" fillId="10" borderId="1" xfId="13" applyFont="1" applyFill="1" applyBorder="1" applyAlignment="1">
      <alignment horizontal="center" vertical="center"/>
    </xf>
    <xf numFmtId="0" fontId="33" fillId="15" borderId="1" xfId="20" applyFont="1" applyFill="1" applyBorder="1" applyAlignment="1">
      <alignment horizontal="center" vertical="center"/>
    </xf>
    <xf numFmtId="0" fontId="33" fillId="11" borderId="1" xfId="20" applyFont="1" applyFill="1" applyBorder="1" applyAlignment="1">
      <alignment horizontal="center" vertical="center"/>
    </xf>
    <xf numFmtId="0" fontId="33" fillId="11" borderId="1" xfId="20" applyFont="1" applyFill="1" applyBorder="1" applyAlignment="1">
      <alignment horizontal="left" vertical="center"/>
    </xf>
    <xf numFmtId="9" fontId="34" fillId="11" borderId="1" xfId="20" applyNumberFormat="1" applyFont="1" applyFill="1" applyBorder="1" applyAlignment="1">
      <alignment horizontal="right" vertical="center"/>
    </xf>
    <xf numFmtId="183" fontId="34" fillId="15" borderId="1" xfId="10" applyNumberFormat="1" applyFont="1" applyFill="1" applyBorder="1" applyAlignment="1">
      <alignment vertical="center"/>
    </xf>
    <xf numFmtId="183" fontId="6" fillId="15" borderId="1" xfId="10" applyNumberFormat="1" applyFont="1" applyFill="1" applyBorder="1" applyAlignment="1">
      <alignment horizontal="center" vertical="center"/>
    </xf>
    <xf numFmtId="183" fontId="6" fillId="11" borderId="1" xfId="10" applyNumberFormat="1" applyFont="1" applyFill="1" applyBorder="1" applyAlignment="1">
      <alignment horizontal="center" vertical="center"/>
    </xf>
    <xf numFmtId="183" fontId="63" fillId="11" borderId="1" xfId="10" applyNumberFormat="1" applyFont="1" applyFill="1" applyBorder="1" applyAlignment="1">
      <alignment horizontal="center" vertical="center"/>
    </xf>
    <xf numFmtId="0" fontId="6" fillId="10" borderId="1" xfId="21" applyFont="1" applyFill="1" applyBorder="1">
      <alignment vertical="center"/>
    </xf>
    <xf numFmtId="183" fontId="34" fillId="15" borderId="0" xfId="10" applyNumberFormat="1" applyFont="1" applyFill="1" applyBorder="1" applyAlignment="1">
      <alignment vertical="center"/>
    </xf>
    <xf numFmtId="0" fontId="34" fillId="0" borderId="26" xfId="13" applyFont="1" applyBorder="1">
      <alignment vertical="center"/>
    </xf>
    <xf numFmtId="0" fontId="34" fillId="0" borderId="6" xfId="13" applyFont="1" applyBorder="1">
      <alignment vertical="center"/>
    </xf>
    <xf numFmtId="0" fontId="34" fillId="0" borderId="27" xfId="13" applyFont="1" applyBorder="1">
      <alignment vertical="center"/>
    </xf>
    <xf numFmtId="0" fontId="89" fillId="0" borderId="14" xfId="13" applyFont="1" applyBorder="1">
      <alignment vertical="center"/>
    </xf>
    <xf numFmtId="0" fontId="88" fillId="0" borderId="0" xfId="13" applyFont="1" applyAlignment="1">
      <alignment horizontal="left" vertical="center"/>
    </xf>
    <xf numFmtId="0" fontId="89" fillId="0" borderId="15" xfId="13" applyFont="1" applyBorder="1">
      <alignment vertical="center"/>
    </xf>
    <xf numFmtId="0" fontId="34" fillId="0" borderId="14" xfId="13" applyFont="1" applyBorder="1">
      <alignment vertical="center"/>
    </xf>
    <xf numFmtId="0" fontId="33" fillId="11" borderId="0" xfId="13" applyFont="1" applyFill="1">
      <alignment vertical="center"/>
    </xf>
    <xf numFmtId="183" fontId="33" fillId="15" borderId="0" xfId="10" applyNumberFormat="1" applyFont="1" applyFill="1" applyBorder="1" applyAlignment="1">
      <alignment vertical="center"/>
    </xf>
    <xf numFmtId="0" fontId="34" fillId="0" borderId="15" xfId="13" applyFont="1" applyBorder="1">
      <alignment vertical="center"/>
    </xf>
    <xf numFmtId="0" fontId="34" fillId="11" borderId="0" xfId="13" applyFont="1" applyFill="1">
      <alignment vertical="center"/>
    </xf>
    <xf numFmtId="0" fontId="34" fillId="0" borderId="20" xfId="13" applyFont="1" applyBorder="1">
      <alignment vertical="center"/>
    </xf>
    <xf numFmtId="0" fontId="34" fillId="0" borderId="37" xfId="13" applyFont="1" applyBorder="1">
      <alignment vertical="center"/>
    </xf>
    <xf numFmtId="0" fontId="34" fillId="0" borderId="21" xfId="13" applyFont="1" applyBorder="1">
      <alignment vertical="center"/>
    </xf>
    <xf numFmtId="176" fontId="34" fillId="0" borderId="6" xfId="14" applyFont="1" applyBorder="1" applyAlignment="1">
      <alignment horizontal="right" vertical="center"/>
    </xf>
    <xf numFmtId="0" fontId="88" fillId="0" borderId="0" xfId="13" applyFont="1">
      <alignment vertical="center"/>
    </xf>
    <xf numFmtId="0" fontId="34" fillId="0" borderId="15" xfId="20" applyFont="1" applyBorder="1">
      <alignment vertical="center"/>
    </xf>
    <xf numFmtId="0" fontId="34" fillId="0" borderId="0" xfId="20" applyFont="1">
      <alignment vertical="center"/>
    </xf>
    <xf numFmtId="0" fontId="88" fillId="26" borderId="26" xfId="13" applyFont="1" applyFill="1" applyBorder="1">
      <alignment vertical="center"/>
    </xf>
    <xf numFmtId="0" fontId="33" fillId="26" borderId="6" xfId="13" applyFont="1" applyFill="1" applyBorder="1" applyAlignment="1">
      <alignment horizontal="left" vertical="center"/>
    </xf>
    <xf numFmtId="176" fontId="34" fillId="26" borderId="6" xfId="14" applyFont="1" applyFill="1" applyBorder="1" applyAlignment="1">
      <alignment horizontal="right" vertical="center"/>
    </xf>
    <xf numFmtId="0" fontId="34" fillId="26" borderId="6" xfId="13" applyFont="1" applyFill="1" applyBorder="1">
      <alignment vertical="center"/>
    </xf>
    <xf numFmtId="0" fontId="33" fillId="0" borderId="0" xfId="20" applyFont="1" applyAlignment="1">
      <alignment horizontal="center" vertical="center"/>
    </xf>
    <xf numFmtId="0" fontId="33" fillId="0" borderId="15" xfId="20" applyFont="1" applyBorder="1" applyAlignment="1">
      <alignment horizontal="center" vertical="center"/>
    </xf>
    <xf numFmtId="0" fontId="0" fillId="11" borderId="1" xfId="0" applyFill="1" applyBorder="1" applyAlignment="1">
      <alignment horizontal="left"/>
    </xf>
    <xf numFmtId="9" fontId="34" fillId="0" borderId="0" xfId="1" applyFont="1" applyFill="1" applyBorder="1" applyAlignment="1">
      <alignment horizontal="right" vertical="center"/>
    </xf>
    <xf numFmtId="0" fontId="34" fillId="11" borderId="1" xfId="10" applyNumberFormat="1" applyFont="1" applyFill="1" applyBorder="1" applyAlignment="1">
      <alignment horizontal="center" vertical="center"/>
    </xf>
    <xf numFmtId="0" fontId="6" fillId="10" borderId="1" xfId="13" applyFont="1" applyFill="1" applyBorder="1" applyAlignment="1">
      <alignment horizontal="center" vertical="center"/>
    </xf>
    <xf numFmtId="0" fontId="91" fillId="0" borderId="0" xfId="0" applyFont="1"/>
    <xf numFmtId="0" fontId="91" fillId="0" borderId="0" xfId="0" applyFont="1" applyAlignment="1">
      <alignment horizontal="left"/>
    </xf>
    <xf numFmtId="183" fontId="78" fillId="9" borderId="1" xfId="10" applyNumberFormat="1" applyFont="1" applyFill="1" applyBorder="1" applyAlignment="1">
      <alignment vertical="center"/>
    </xf>
    <xf numFmtId="183" fontId="60" fillId="9" borderId="1" xfId="10" applyNumberFormat="1" applyFont="1" applyFill="1" applyBorder="1" applyAlignment="1">
      <alignment horizontal="center" vertical="center"/>
    </xf>
    <xf numFmtId="0" fontId="78" fillId="0" borderId="1" xfId="0" applyFont="1" applyBorder="1" applyAlignment="1">
      <alignment horizontal="left" wrapText="1"/>
    </xf>
    <xf numFmtId="183" fontId="78" fillId="0" borderId="1" xfId="10" applyNumberFormat="1" applyFont="1" applyBorder="1" applyAlignment="1">
      <alignment horizontal="left" wrapText="1"/>
    </xf>
    <xf numFmtId="183" fontId="78" fillId="0" borderId="1" xfId="10" applyNumberFormat="1" applyFont="1" applyBorder="1"/>
    <xf numFmtId="41" fontId="92" fillId="9" borderId="1" xfId="23" applyFont="1" applyFill="1" applyBorder="1" applyAlignment="1">
      <alignment vertical="center"/>
    </xf>
    <xf numFmtId="0" fontId="92" fillId="0" borderId="0" xfId="22" applyFont="1" applyAlignment="1">
      <alignment vertical="center"/>
    </xf>
    <xf numFmtId="0" fontId="79" fillId="0" borderId="0" xfId="0" applyFont="1" applyAlignment="1">
      <alignment vertical="center"/>
    </xf>
    <xf numFmtId="0" fontId="93" fillId="0" borderId="1" xfId="22" applyFont="1" applyBorder="1" applyAlignment="1">
      <alignment vertical="center" wrapText="1"/>
    </xf>
    <xf numFmtId="0" fontId="60" fillId="0" borderId="1" xfId="22" applyFont="1" applyBorder="1" applyAlignment="1">
      <alignment vertical="center"/>
    </xf>
    <xf numFmtId="0" fontId="60" fillId="9" borderId="1" xfId="22" applyFont="1" applyFill="1" applyBorder="1" applyAlignment="1">
      <alignment vertical="center"/>
    </xf>
    <xf numFmtId="41" fontId="60" fillId="9" borderId="1" xfId="23" applyFont="1" applyFill="1" applyBorder="1" applyAlignment="1">
      <alignment horizontal="center" vertical="center"/>
    </xf>
    <xf numFmtId="41" fontId="78" fillId="15" borderId="0" xfId="0" applyNumberFormat="1" applyFont="1" applyFill="1" applyAlignment="1">
      <alignment vertical="top" wrapText="1"/>
    </xf>
    <xf numFmtId="183" fontId="6" fillId="15" borderId="0" xfId="10" applyNumberFormat="1" applyFont="1" applyFill="1" applyBorder="1" applyAlignment="1">
      <alignment horizontal="right" vertical="center"/>
    </xf>
    <xf numFmtId="183" fontId="34" fillId="0" borderId="0" xfId="10" applyNumberFormat="1" applyFont="1" applyBorder="1" applyAlignment="1">
      <alignment horizontal="left" vertical="center"/>
    </xf>
    <xf numFmtId="182" fontId="34" fillId="11" borderId="0" xfId="10" applyNumberFormat="1" applyFont="1" applyFill="1" applyBorder="1" applyAlignment="1">
      <alignment vertical="center"/>
    </xf>
    <xf numFmtId="176" fontId="34" fillId="0" borderId="0" xfId="10" applyFont="1" applyBorder="1" applyAlignment="1">
      <alignment horizontal="left" vertical="center"/>
    </xf>
    <xf numFmtId="183" fontId="34" fillId="15" borderId="0" xfId="13" applyNumberFormat="1" applyFont="1" applyFill="1">
      <alignment vertical="center"/>
    </xf>
    <xf numFmtId="0" fontId="95" fillId="0" borderId="0" xfId="0" applyFont="1" applyAlignment="1">
      <alignment vertical="center"/>
    </xf>
    <xf numFmtId="0" fontId="94" fillId="0" borderId="0" xfId="0" applyFont="1"/>
    <xf numFmtId="0" fontId="95" fillId="0" borderId="36" xfId="0" applyFont="1" applyBorder="1" applyAlignment="1">
      <alignment vertical="center"/>
    </xf>
    <xf numFmtId="41" fontId="95" fillId="0" borderId="0" xfId="0" applyNumberFormat="1" applyFont="1" applyAlignment="1">
      <alignment vertical="center"/>
    </xf>
    <xf numFmtId="41" fontId="78" fillId="15" borderId="0" xfId="0" applyNumberFormat="1" applyFont="1" applyFill="1"/>
    <xf numFmtId="0" fontId="78" fillId="11" borderId="1" xfId="0" applyFont="1" applyFill="1" applyBorder="1" applyAlignment="1">
      <alignment vertical="center"/>
    </xf>
    <xf numFmtId="0" fontId="34" fillId="11" borderId="0" xfId="13" applyFont="1" applyFill="1" applyAlignment="1">
      <alignment horizontal="left" vertical="center"/>
    </xf>
    <xf numFmtId="176" fontId="34" fillId="0" borderId="0" xfId="14" applyFont="1" applyFill="1" applyBorder="1" applyAlignment="1">
      <alignment horizontal="right" vertical="center"/>
    </xf>
    <xf numFmtId="0" fontId="34" fillId="15" borderId="0" xfId="13" applyFont="1" applyFill="1">
      <alignment vertical="center"/>
    </xf>
    <xf numFmtId="183" fontId="96" fillId="15" borderId="0" xfId="10" applyNumberFormat="1" applyFont="1" applyFill="1" applyBorder="1" applyAlignment="1">
      <alignment vertical="center"/>
    </xf>
    <xf numFmtId="0" fontId="96" fillId="0" borderId="0" xfId="13" applyFont="1">
      <alignment vertical="center"/>
    </xf>
    <xf numFmtId="183" fontId="33" fillId="15" borderId="6" xfId="13" applyNumberFormat="1" applyFont="1" applyFill="1" applyBorder="1">
      <alignment vertical="center"/>
    </xf>
    <xf numFmtId="9" fontId="33" fillId="15" borderId="0" xfId="1" applyFont="1" applyFill="1" applyBorder="1" applyAlignment="1">
      <alignment vertical="center"/>
    </xf>
    <xf numFmtId="9" fontId="34" fillId="15" borderId="0" xfId="1" applyFont="1" applyFill="1" applyAlignment="1">
      <alignment vertical="center"/>
    </xf>
    <xf numFmtId="0" fontId="33" fillId="15" borderId="0" xfId="13" applyFont="1" applyFill="1" applyAlignment="1">
      <alignment horizontal="center" vertical="center"/>
    </xf>
    <xf numFmtId="179" fontId="34" fillId="15" borderId="0" xfId="1" applyNumberFormat="1" applyFont="1" applyFill="1" applyBorder="1" applyAlignment="1">
      <alignment vertical="center"/>
    </xf>
    <xf numFmtId="0" fontId="89" fillId="0" borderId="37" xfId="13" applyFont="1" applyBorder="1">
      <alignment vertical="center"/>
    </xf>
    <xf numFmtId="0" fontId="89" fillId="0" borderId="21" xfId="13" applyFont="1" applyBorder="1">
      <alignment vertical="center"/>
    </xf>
    <xf numFmtId="0" fontId="89" fillId="0" borderId="20" xfId="13" applyFont="1" applyBorder="1">
      <alignment vertical="center"/>
    </xf>
    <xf numFmtId="9" fontId="34" fillId="15" borderId="0" xfId="1" applyFont="1" applyFill="1" applyBorder="1" applyAlignment="1">
      <alignment horizontal="right" vertical="center"/>
    </xf>
    <xf numFmtId="43" fontId="78" fillId="0" borderId="0" xfId="0" applyNumberFormat="1" applyFont="1"/>
    <xf numFmtId="9" fontId="81" fillId="11" borderId="0" xfId="1" applyFont="1" applyFill="1" applyBorder="1"/>
    <xf numFmtId="9" fontId="97" fillId="15" borderId="0" xfId="1" applyFont="1" applyFill="1"/>
    <xf numFmtId="9" fontId="78" fillId="11" borderId="0" xfId="1" applyFont="1" applyFill="1"/>
    <xf numFmtId="176" fontId="34" fillId="15" borderId="0" xfId="10" applyFont="1" applyFill="1" applyAlignment="1">
      <alignment vertical="center"/>
    </xf>
    <xf numFmtId="0" fontId="77" fillId="0" borderId="0" xfId="13" applyFont="1">
      <alignment vertical="center"/>
    </xf>
    <xf numFmtId="9" fontId="34" fillId="11" borderId="0" xfId="13" applyNumberFormat="1" applyFont="1" applyFill="1" applyAlignment="1">
      <alignment horizontal="right" vertical="center"/>
    </xf>
    <xf numFmtId="0" fontId="6" fillId="0" borderId="0" xfId="13" applyFont="1" applyAlignment="1">
      <alignment horizontal="left" vertical="center"/>
    </xf>
    <xf numFmtId="9" fontId="6" fillId="15" borderId="0" xfId="13" applyNumberFormat="1" applyFont="1" applyFill="1" applyAlignment="1">
      <alignment horizontal="right" vertical="center"/>
    </xf>
    <xf numFmtId="0" fontId="6" fillId="11" borderId="0" xfId="13" applyFont="1" applyFill="1">
      <alignment vertical="center"/>
    </xf>
    <xf numFmtId="0" fontId="90" fillId="0" borderId="0" xfId="13" applyFont="1">
      <alignment vertical="center"/>
    </xf>
    <xf numFmtId="0" fontId="34" fillId="11" borderId="0" xfId="13" applyFont="1" applyFill="1" applyAlignment="1">
      <alignment horizontal="right" vertical="center"/>
    </xf>
    <xf numFmtId="9" fontId="34" fillId="15" borderId="0" xfId="13" applyNumberFormat="1" applyFont="1" applyFill="1">
      <alignment vertical="center"/>
    </xf>
    <xf numFmtId="9" fontId="34" fillId="11" borderId="0" xfId="13" applyNumberFormat="1" applyFont="1" applyFill="1">
      <alignment vertical="center"/>
    </xf>
    <xf numFmtId="184" fontId="63" fillId="0" borderId="0" xfId="13" applyNumberFormat="1" applyFont="1">
      <alignment vertical="center"/>
    </xf>
    <xf numFmtId="0" fontId="63" fillId="0" borderId="0" xfId="13" applyFont="1" applyAlignment="1">
      <alignment horizontal="left" vertical="center"/>
    </xf>
    <xf numFmtId="9" fontId="34" fillId="11" borderId="0" xfId="1" applyFont="1" applyFill="1" applyBorder="1" applyAlignment="1">
      <alignment vertical="center"/>
    </xf>
    <xf numFmtId="0" fontId="27" fillId="15" borderId="1" xfId="0" applyFont="1" applyFill="1" applyBorder="1"/>
    <xf numFmtId="176" fontId="27" fillId="15" borderId="1" xfId="10" applyFont="1" applyFill="1" applyBorder="1"/>
    <xf numFmtId="0" fontId="27" fillId="11" borderId="1" xfId="0" applyFont="1" applyFill="1" applyBorder="1"/>
    <xf numFmtId="4" fontId="27" fillId="15" borderId="1" xfId="0" applyNumberFormat="1" applyFont="1" applyFill="1" applyBorder="1"/>
    <xf numFmtId="0" fontId="28" fillId="0" borderId="1" xfId="0" applyFont="1" applyBorder="1" applyAlignment="1">
      <alignment horizontal="left"/>
    </xf>
    <xf numFmtId="9" fontId="34" fillId="11" borderId="1" xfId="1" applyFont="1" applyFill="1" applyBorder="1" applyAlignment="1">
      <alignment vertical="center"/>
    </xf>
    <xf numFmtId="183" fontId="34" fillId="11" borderId="1" xfId="10" applyNumberFormat="1" applyFont="1" applyFill="1" applyBorder="1" applyAlignment="1">
      <alignment vertical="center"/>
    </xf>
    <xf numFmtId="183" fontId="34" fillId="11" borderId="9" xfId="10" applyNumberFormat="1" applyFont="1" applyFill="1" applyBorder="1" applyAlignment="1">
      <alignment vertical="center"/>
    </xf>
    <xf numFmtId="0" fontId="34" fillId="11" borderId="9" xfId="13" applyFont="1" applyFill="1" applyBorder="1">
      <alignment vertical="center"/>
    </xf>
    <xf numFmtId="0" fontId="77" fillId="0" borderId="0" xfId="13" applyFont="1" applyAlignment="1">
      <alignment horizontal="center" vertical="center"/>
    </xf>
    <xf numFmtId="0" fontId="100" fillId="0" borderId="0" xfId="0" applyFont="1"/>
    <xf numFmtId="0" fontId="28" fillId="11" borderId="1" xfId="0" applyFont="1" applyFill="1" applyBorder="1" applyAlignment="1">
      <alignment horizontal="left"/>
    </xf>
    <xf numFmtId="0" fontId="33" fillId="11" borderId="1" xfId="13" applyFont="1" applyFill="1" applyBorder="1" applyAlignment="1">
      <alignment horizontal="center" vertical="center"/>
    </xf>
    <xf numFmtId="0" fontId="33" fillId="11" borderId="1" xfId="13" applyFont="1" applyFill="1" applyBorder="1" applyAlignment="1">
      <alignment horizontal="left" vertical="center"/>
    </xf>
    <xf numFmtId="0" fontId="34" fillId="0" borderId="1" xfId="13" applyFont="1" applyBorder="1" applyAlignment="1">
      <alignment horizontal="left" vertical="center"/>
    </xf>
    <xf numFmtId="0" fontId="98" fillId="0" borderId="1" xfId="13" applyFont="1" applyBorder="1">
      <alignment vertical="center"/>
    </xf>
    <xf numFmtId="183" fontId="34" fillId="0" borderId="1" xfId="10" applyNumberFormat="1" applyFont="1" applyBorder="1" applyAlignment="1">
      <alignment vertical="center"/>
    </xf>
    <xf numFmtId="187" fontId="34" fillId="0" borderId="1" xfId="13" applyNumberFormat="1" applyFont="1" applyBorder="1">
      <alignment vertical="center"/>
    </xf>
    <xf numFmtId="176" fontId="34" fillId="0" borderId="1" xfId="10" applyFont="1" applyBorder="1" applyAlignment="1">
      <alignment vertical="center"/>
    </xf>
    <xf numFmtId="44" fontId="34" fillId="0" borderId="1" xfId="13" applyNumberFormat="1" applyFont="1" applyBorder="1">
      <alignment vertical="center"/>
    </xf>
    <xf numFmtId="0" fontId="34" fillId="0" borderId="1" xfId="13" applyFont="1" applyBorder="1" applyAlignment="1">
      <alignment horizontal="right" vertical="center"/>
    </xf>
    <xf numFmtId="0" fontId="6" fillId="0" borderId="1" xfId="13" applyFont="1" applyBorder="1" applyAlignment="1">
      <alignment horizontal="left" vertical="center"/>
    </xf>
    <xf numFmtId="9" fontId="63" fillId="0" borderId="1" xfId="13" applyNumberFormat="1" applyFont="1" applyBorder="1">
      <alignment vertical="center"/>
    </xf>
    <xf numFmtId="0" fontId="29" fillId="0" borderId="1" xfId="13" applyFont="1" applyBorder="1">
      <alignment vertical="center"/>
    </xf>
    <xf numFmtId="0" fontId="63" fillId="0" borderId="1" xfId="13" applyFont="1" applyBorder="1" applyAlignment="1">
      <alignment horizontal="left" vertical="center"/>
    </xf>
    <xf numFmtId="0" fontId="27" fillId="11" borderId="33" xfId="0" applyFont="1" applyFill="1" applyBorder="1"/>
    <xf numFmtId="0" fontId="28" fillId="11" borderId="1" xfId="0" applyFont="1" applyFill="1" applyBorder="1" applyAlignment="1">
      <alignment horizontal="right"/>
    </xf>
    <xf numFmtId="0" fontId="27" fillId="11" borderId="1" xfId="0" applyFont="1" applyFill="1" applyBorder="1" applyAlignment="1">
      <alignment horizontal="right"/>
    </xf>
    <xf numFmtId="184" fontId="34" fillId="0" borderId="1" xfId="13" applyNumberFormat="1" applyFont="1" applyBorder="1">
      <alignment vertical="center"/>
    </xf>
    <xf numFmtId="0" fontId="28" fillId="15" borderId="1" xfId="0" applyFont="1" applyFill="1" applyBorder="1" applyAlignment="1">
      <alignment horizontal="left"/>
    </xf>
    <xf numFmtId="183" fontId="27" fillId="15" borderId="1" xfId="10" applyNumberFormat="1" applyFont="1" applyFill="1" applyBorder="1"/>
    <xf numFmtId="184" fontId="34" fillId="0" borderId="0" xfId="13" applyNumberFormat="1" applyFont="1">
      <alignment vertical="center"/>
    </xf>
    <xf numFmtId="0" fontId="28" fillId="15" borderId="1" xfId="0" applyFont="1" applyFill="1" applyBorder="1" applyAlignment="1">
      <alignment horizontal="center" vertical="center"/>
    </xf>
    <xf numFmtId="0" fontId="28" fillId="15" borderId="1" xfId="0" applyFont="1" applyFill="1" applyBorder="1" applyAlignment="1">
      <alignment vertical="center"/>
    </xf>
    <xf numFmtId="0" fontId="30" fillId="15" borderId="1" xfId="0" applyFont="1" applyFill="1" applyBorder="1" applyAlignment="1">
      <alignment horizontal="center" vertical="center"/>
    </xf>
    <xf numFmtId="0" fontId="27" fillId="0" borderId="0" xfId="0" applyFont="1" applyAlignment="1">
      <alignment vertical="center"/>
    </xf>
    <xf numFmtId="183" fontId="27" fillId="11" borderId="1" xfId="10" applyNumberFormat="1" applyFont="1" applyFill="1" applyBorder="1"/>
    <xf numFmtId="0" fontId="27" fillId="11" borderId="1" xfId="0" applyFont="1" applyFill="1" applyBorder="1" applyAlignment="1">
      <alignment horizontal="left"/>
    </xf>
    <xf numFmtId="0" fontId="101" fillId="15" borderId="1" xfId="0" applyFont="1" applyFill="1" applyBorder="1" applyAlignment="1">
      <alignment vertical="center" wrapText="1"/>
    </xf>
    <xf numFmtId="0" fontId="101" fillId="15" borderId="1" xfId="0" applyFont="1" applyFill="1" applyBorder="1" applyAlignment="1">
      <alignment vertical="center"/>
    </xf>
    <xf numFmtId="0" fontId="33" fillId="15" borderId="0" xfId="13" applyFont="1" applyFill="1" applyAlignment="1">
      <alignment horizontal="center" vertical="center" wrapText="1"/>
    </xf>
    <xf numFmtId="0" fontId="34" fillId="15" borderId="0" xfId="13" applyFont="1" applyFill="1" applyAlignment="1">
      <alignment vertical="center" wrapText="1"/>
    </xf>
    <xf numFmtId="183" fontId="34" fillId="15" borderId="0" xfId="10" applyNumberFormat="1" applyFont="1" applyFill="1" applyAlignment="1">
      <alignment vertical="center" wrapText="1"/>
    </xf>
    <xf numFmtId="176" fontId="34" fillId="15" borderId="1" xfId="10" applyFont="1" applyFill="1" applyBorder="1" applyAlignment="1">
      <alignment vertical="center"/>
    </xf>
    <xf numFmtId="182" fontId="34" fillId="15" borderId="1" xfId="10" applyNumberFormat="1" applyFont="1" applyFill="1" applyBorder="1" applyAlignment="1">
      <alignment vertical="center"/>
    </xf>
    <xf numFmtId="0" fontId="0" fillId="0" borderId="0" xfId="0" pivotButton="1"/>
    <xf numFmtId="0" fontId="0" fillId="0" borderId="0" xfId="0" applyAlignment="1">
      <alignment horizontal="left"/>
    </xf>
    <xf numFmtId="183" fontId="0" fillId="0" borderId="0" xfId="0" applyNumberFormat="1"/>
    <xf numFmtId="9" fontId="0" fillId="0" borderId="0" xfId="0" applyNumberFormat="1"/>
    <xf numFmtId="0" fontId="77" fillId="0" borderId="0" xfId="0" applyFont="1"/>
    <xf numFmtId="0" fontId="6" fillId="15" borderId="0" xfId="0" applyFont="1" applyFill="1"/>
    <xf numFmtId="183" fontId="0" fillId="15" borderId="0" xfId="10" applyNumberFormat="1" applyFont="1" applyFill="1"/>
    <xf numFmtId="0" fontId="77" fillId="15" borderId="0" xfId="0" applyFont="1" applyFill="1" applyAlignment="1">
      <alignment horizontal="center"/>
    </xf>
    <xf numFmtId="183" fontId="77" fillId="15" borderId="0" xfId="0" applyNumberFormat="1" applyFont="1" applyFill="1"/>
    <xf numFmtId="183" fontId="28" fillId="11" borderId="1" xfId="10" applyNumberFormat="1" applyFont="1" applyFill="1" applyBorder="1"/>
    <xf numFmtId="183" fontId="27" fillId="0" borderId="0" xfId="0" applyNumberFormat="1" applyFont="1"/>
    <xf numFmtId="183" fontId="0" fillId="15" borderId="14" xfId="0" applyNumberFormat="1" applyFill="1" applyBorder="1"/>
    <xf numFmtId="183" fontId="6" fillId="15" borderId="0" xfId="10" applyNumberFormat="1" applyFont="1" applyFill="1" applyBorder="1"/>
    <xf numFmtId="183" fontId="77" fillId="15" borderId="20" xfId="0" applyNumberFormat="1" applyFont="1" applyFill="1" applyBorder="1"/>
    <xf numFmtId="183" fontId="77" fillId="15" borderId="37" xfId="10" applyNumberFormat="1" applyFont="1" applyFill="1" applyBorder="1"/>
    <xf numFmtId="183" fontId="0" fillId="15" borderId="34" xfId="0" applyNumberFormat="1" applyFill="1" applyBorder="1"/>
    <xf numFmtId="183" fontId="6" fillId="15" borderId="11" xfId="10" applyNumberFormat="1" applyFont="1" applyFill="1" applyBorder="1"/>
    <xf numFmtId="0" fontId="103" fillId="15" borderId="15" xfId="0" applyFont="1" applyFill="1" applyBorder="1" applyAlignment="1">
      <alignment horizontal="center"/>
    </xf>
    <xf numFmtId="183" fontId="103" fillId="15" borderId="15" xfId="10" applyNumberFormat="1" applyFont="1" applyFill="1" applyBorder="1"/>
    <xf numFmtId="183" fontId="103" fillId="15" borderId="56" xfId="10" applyNumberFormat="1" applyFont="1" applyFill="1" applyBorder="1"/>
    <xf numFmtId="183" fontId="103" fillId="15" borderId="21" xfId="10" applyNumberFormat="1" applyFont="1" applyFill="1" applyBorder="1"/>
    <xf numFmtId="9" fontId="0" fillId="11" borderId="0" xfId="0" applyNumberFormat="1" applyFill="1"/>
    <xf numFmtId="0" fontId="77" fillId="0" borderId="0" xfId="0" applyFont="1" applyAlignment="1">
      <alignment horizontal="right"/>
    </xf>
    <xf numFmtId="0" fontId="77" fillId="15" borderId="51" xfId="0" applyFont="1" applyFill="1" applyBorder="1" applyAlignment="1">
      <alignment horizontal="center"/>
    </xf>
    <xf numFmtId="183" fontId="0" fillId="15" borderId="51" xfId="10" applyNumberFormat="1" applyFont="1" applyFill="1" applyBorder="1"/>
    <xf numFmtId="183" fontId="0" fillId="15" borderId="55" xfId="10" applyNumberFormat="1" applyFont="1" applyFill="1" applyBorder="1"/>
    <xf numFmtId="0" fontId="6" fillId="15" borderId="52" xfId="0" applyFont="1" applyFill="1" applyBorder="1" applyAlignment="1">
      <alignment horizontal="right"/>
    </xf>
    <xf numFmtId="0" fontId="103" fillId="15" borderId="26" xfId="0" applyFont="1" applyFill="1" applyBorder="1" applyAlignment="1">
      <alignment horizontal="center" vertical="center" wrapText="1"/>
    </xf>
    <xf numFmtId="0" fontId="77" fillId="15" borderId="6" xfId="0" applyFont="1" applyFill="1" applyBorder="1" applyAlignment="1">
      <alignment horizontal="center" vertical="center"/>
    </xf>
    <xf numFmtId="0" fontId="103" fillId="15" borderId="27" xfId="0" applyFont="1" applyFill="1" applyBorder="1" applyAlignment="1">
      <alignment horizontal="center" vertical="center" wrapText="1"/>
    </xf>
    <xf numFmtId="0" fontId="77" fillId="15" borderId="50" xfId="0" applyFont="1" applyFill="1" applyBorder="1" applyAlignment="1">
      <alignment horizontal="center" vertical="center"/>
    </xf>
    <xf numFmtId="0" fontId="77" fillId="15" borderId="14" xfId="0" applyFont="1" applyFill="1" applyBorder="1" applyAlignment="1">
      <alignment horizontal="center"/>
    </xf>
    <xf numFmtId="9" fontId="105" fillId="11" borderId="0" xfId="1" applyFont="1" applyFill="1"/>
    <xf numFmtId="0" fontId="103" fillId="11" borderId="0" xfId="0" applyFont="1" applyFill="1"/>
    <xf numFmtId="182" fontId="0" fillId="15" borderId="51" xfId="10" applyNumberFormat="1" applyFont="1" applyFill="1" applyBorder="1"/>
    <xf numFmtId="182" fontId="0" fillId="15" borderId="55" xfId="10" applyNumberFormat="1" applyFont="1" applyFill="1" applyBorder="1"/>
    <xf numFmtId="188" fontId="6" fillId="0" borderId="0" xfId="25" applyNumberFormat="1" applyFont="1">
      <alignment vertical="center"/>
    </xf>
    <xf numFmtId="0" fontId="6" fillId="0" borderId="0" xfId="24" applyFont="1" applyAlignment="1"/>
    <xf numFmtId="0" fontId="77" fillId="0" borderId="16" xfId="24" applyFont="1" applyBorder="1" applyAlignment="1">
      <alignment horizontal="centerContinuous"/>
    </xf>
    <xf numFmtId="0" fontId="77" fillId="0" borderId="5" xfId="24" applyFont="1" applyBorder="1" applyAlignment="1">
      <alignment horizontal="centerContinuous"/>
    </xf>
    <xf numFmtId="0" fontId="6" fillId="0" borderId="5" xfId="24" applyFont="1" applyBorder="1" applyAlignment="1">
      <alignment horizontal="centerContinuous"/>
    </xf>
    <xf numFmtId="0" fontId="6" fillId="0" borderId="17" xfId="24" applyFont="1" applyBorder="1" applyAlignment="1">
      <alignment horizontal="centerContinuous"/>
    </xf>
    <xf numFmtId="9" fontId="6" fillId="0" borderId="36" xfId="26" applyFont="1" applyFill="1" applyBorder="1" applyAlignment="1" applyProtection="1">
      <alignment horizontal="right"/>
    </xf>
    <xf numFmtId="9" fontId="77" fillId="0" borderId="11" xfId="26" applyFont="1" applyFill="1" applyBorder="1" applyAlignment="1" applyProtection="1"/>
    <xf numFmtId="183" fontId="6" fillId="0" borderId="35" xfId="25" applyNumberFormat="1" applyFont="1" applyFill="1" applyBorder="1" applyAlignment="1" applyProtection="1"/>
    <xf numFmtId="37" fontId="77" fillId="0" borderId="10" xfId="24" applyNumberFormat="1" applyFont="1" applyBorder="1" applyAlignment="1">
      <alignment horizontal="center"/>
    </xf>
    <xf numFmtId="37" fontId="77" fillId="0" borderId="7" xfId="24" applyNumberFormat="1" applyFont="1" applyBorder="1" applyAlignment="1">
      <alignment horizontal="center"/>
    </xf>
    <xf numFmtId="183" fontId="77" fillId="0" borderId="2" xfId="25" applyNumberFormat="1" applyFont="1" applyBorder="1" applyAlignment="1" applyProtection="1">
      <alignment horizontal="left"/>
    </xf>
    <xf numFmtId="183" fontId="77" fillId="0" borderId="0" xfId="25" applyNumberFormat="1" applyFont="1" applyBorder="1" applyAlignment="1" applyProtection="1">
      <alignment horizontal="left"/>
    </xf>
    <xf numFmtId="183" fontId="77" fillId="0" borderId="23" xfId="25" applyNumberFormat="1" applyFont="1" applyBorder="1" applyAlignment="1" applyProtection="1">
      <alignment horizontal="left"/>
    </xf>
    <xf numFmtId="183" fontId="106" fillId="0" borderId="2" xfId="25" applyNumberFormat="1" applyFont="1" applyFill="1" applyBorder="1" applyAlignment="1" applyProtection="1">
      <alignment horizontal="left"/>
    </xf>
    <xf numFmtId="183" fontId="6" fillId="0" borderId="0" xfId="25" applyNumberFormat="1" applyFont="1" applyFill="1" applyBorder="1" applyAlignment="1" applyProtection="1">
      <alignment horizontal="left"/>
    </xf>
    <xf numFmtId="183" fontId="6" fillId="0" borderId="23" xfId="25" applyNumberFormat="1" applyFont="1" applyFill="1" applyBorder="1" applyAlignment="1" applyProtection="1">
      <alignment horizontal="left"/>
    </xf>
    <xf numFmtId="183" fontId="106" fillId="0" borderId="2" xfId="25" applyNumberFormat="1" applyFont="1" applyBorder="1" applyAlignment="1" applyProtection="1">
      <alignment horizontal="left"/>
    </xf>
    <xf numFmtId="183" fontId="6" fillId="0" borderId="0" xfId="25" applyNumberFormat="1" applyFont="1" applyBorder="1" applyAlignment="1" applyProtection="1">
      <alignment horizontal="left"/>
    </xf>
    <xf numFmtId="183" fontId="6" fillId="0" borderId="23" xfId="25" applyNumberFormat="1" applyFont="1" applyBorder="1" applyAlignment="1" applyProtection="1">
      <alignment horizontal="left"/>
    </xf>
    <xf numFmtId="9" fontId="6" fillId="0" borderId="0" xfId="26" applyFont="1">
      <alignment vertical="center"/>
    </xf>
    <xf numFmtId="183" fontId="6" fillId="0" borderId="0" xfId="25" applyNumberFormat="1" applyFont="1" applyBorder="1" applyAlignment="1" applyProtection="1"/>
    <xf numFmtId="43" fontId="6" fillId="0" borderId="0" xfId="25" applyFont="1" applyBorder="1" applyAlignment="1" applyProtection="1"/>
    <xf numFmtId="183" fontId="6" fillId="0" borderId="2" xfId="25" applyNumberFormat="1" applyFont="1" applyBorder="1" applyAlignment="1" applyProtection="1">
      <alignment horizontal="left"/>
    </xf>
    <xf numFmtId="176" fontId="6" fillId="0" borderId="0" xfId="25" applyNumberFormat="1" applyFont="1" applyBorder="1" applyAlignment="1" applyProtection="1"/>
    <xf numFmtId="183" fontId="6" fillId="0" borderId="23" xfId="25" applyNumberFormat="1" applyFont="1" applyBorder="1" applyAlignment="1" applyProtection="1"/>
    <xf numFmtId="183" fontId="77" fillId="0" borderId="0" xfId="25" applyNumberFormat="1" applyFont="1" applyBorder="1" applyAlignment="1" applyProtection="1"/>
    <xf numFmtId="183" fontId="77" fillId="0" borderId="23" xfId="25" applyNumberFormat="1" applyFont="1" applyBorder="1" applyAlignment="1" applyProtection="1"/>
    <xf numFmtId="183" fontId="6" fillId="0" borderId="0" xfId="25" applyNumberFormat="1" applyFont="1" applyFill="1" applyBorder="1" applyAlignment="1" applyProtection="1"/>
    <xf numFmtId="183" fontId="90" fillId="0" borderId="0" xfId="25" applyNumberFormat="1" applyFont="1" applyBorder="1" applyAlignment="1" applyProtection="1">
      <alignment horizontal="left"/>
    </xf>
    <xf numFmtId="183" fontId="77" fillId="0" borderId="2" xfId="25" applyNumberFormat="1" applyFont="1" applyFill="1" applyBorder="1" applyAlignment="1" applyProtection="1">
      <alignment horizontal="left"/>
    </xf>
    <xf numFmtId="183" fontId="90" fillId="0" borderId="0" xfId="25" applyNumberFormat="1" applyFont="1" applyFill="1" applyBorder="1" applyAlignment="1" applyProtection="1">
      <alignment horizontal="left"/>
    </xf>
    <xf numFmtId="183" fontId="77" fillId="0" borderId="1" xfId="25" applyNumberFormat="1" applyFont="1" applyBorder="1" applyAlignment="1" applyProtection="1"/>
    <xf numFmtId="183" fontId="77" fillId="0" borderId="10" xfId="25" applyNumberFormat="1" applyFont="1" applyBorder="1" applyAlignment="1" applyProtection="1"/>
    <xf numFmtId="183" fontId="77" fillId="0" borderId="7" xfId="25" applyNumberFormat="1" applyFont="1" applyBorder="1" applyAlignment="1" applyProtection="1"/>
    <xf numFmtId="179" fontId="6" fillId="0" borderId="0" xfId="26" applyNumberFormat="1" applyFont="1">
      <alignment vertical="center"/>
    </xf>
    <xf numFmtId="183" fontId="77" fillId="9" borderId="0" xfId="25" applyNumberFormat="1" applyFont="1" applyFill="1" applyBorder="1" applyAlignment="1" applyProtection="1">
      <alignment horizontal="left"/>
    </xf>
    <xf numFmtId="183" fontId="77" fillId="15" borderId="0" xfId="25" applyNumberFormat="1" applyFont="1" applyFill="1" applyBorder="1" applyAlignment="1" applyProtection="1">
      <alignment horizontal="left"/>
    </xf>
    <xf numFmtId="183" fontId="6" fillId="15" borderId="0" xfId="25" applyNumberFormat="1" applyFont="1" applyFill="1" applyBorder="1" applyAlignment="1" applyProtection="1">
      <alignment horizontal="left"/>
    </xf>
    <xf numFmtId="0" fontId="6" fillId="15" borderId="2" xfId="24" applyFont="1" applyFill="1" applyBorder="1" applyAlignment="1"/>
    <xf numFmtId="0" fontId="77" fillId="15" borderId="33" xfId="24" applyFont="1" applyFill="1" applyBorder="1" applyAlignment="1"/>
    <xf numFmtId="0" fontId="77" fillId="15" borderId="1" xfId="24" applyFont="1" applyFill="1" applyBorder="1" applyAlignment="1"/>
    <xf numFmtId="183" fontId="77" fillId="15" borderId="9" xfId="24" applyNumberFormat="1" applyFont="1" applyFill="1" applyBorder="1" applyAlignment="1"/>
    <xf numFmtId="183" fontId="77" fillId="15" borderId="10" xfId="24" applyNumberFormat="1" applyFont="1" applyFill="1" applyBorder="1" applyAlignment="1">
      <alignment horizontal="center"/>
    </xf>
    <xf numFmtId="183" fontId="77" fillId="15" borderId="7" xfId="24" applyNumberFormat="1" applyFont="1" applyFill="1" applyBorder="1" applyAlignment="1"/>
    <xf numFmtId="0" fontId="34" fillId="0" borderId="0" xfId="24" applyFont="1">
      <alignment vertical="center"/>
    </xf>
    <xf numFmtId="183" fontId="6" fillId="15" borderId="16" xfId="10" applyNumberFormat="1" applyFont="1" applyFill="1" applyBorder="1" applyAlignment="1">
      <alignment horizontal="center"/>
    </xf>
    <xf numFmtId="183" fontId="6" fillId="15" borderId="5" xfId="10" applyNumberFormat="1" applyFont="1" applyFill="1" applyBorder="1" applyAlignment="1">
      <alignment horizontal="center"/>
    </xf>
    <xf numFmtId="9" fontId="6" fillId="15" borderId="5" xfId="24" applyNumberFormat="1" applyFont="1" applyFill="1" applyBorder="1" applyAlignment="1">
      <alignment horizontal="center"/>
    </xf>
    <xf numFmtId="44" fontId="34" fillId="0" borderId="0" xfId="24" applyNumberFormat="1" applyFont="1">
      <alignment vertical="center"/>
    </xf>
    <xf numFmtId="9" fontId="6" fillId="15" borderId="0" xfId="24" applyNumberFormat="1" applyFont="1" applyFill="1" applyAlignment="1">
      <alignment horizontal="center"/>
    </xf>
    <xf numFmtId="183" fontId="34" fillId="0" borderId="0" xfId="24" applyNumberFormat="1" applyFont="1">
      <alignment vertical="center"/>
    </xf>
    <xf numFmtId="3" fontId="34" fillId="0" borderId="0" xfId="24" applyNumberFormat="1" applyFont="1">
      <alignment vertical="center"/>
    </xf>
    <xf numFmtId="188" fontId="33" fillId="0" borderId="0" xfId="25" applyNumberFormat="1" applyFont="1">
      <alignment vertical="center"/>
    </xf>
    <xf numFmtId="0" fontId="6" fillId="15" borderId="8" xfId="24" applyFont="1" applyFill="1" applyBorder="1" applyAlignment="1">
      <alignment horizontal="left"/>
    </xf>
    <xf numFmtId="183" fontId="77" fillId="15" borderId="10" xfId="24" applyNumberFormat="1" applyFont="1" applyFill="1" applyBorder="1" applyAlignment="1"/>
    <xf numFmtId="183" fontId="77" fillId="0" borderId="0" xfId="25" applyNumberFormat="1" applyFont="1" applyFill="1" applyBorder="1" applyAlignment="1" applyProtection="1">
      <alignment horizontal="left"/>
    </xf>
    <xf numFmtId="183" fontId="77" fillId="0" borderId="0" xfId="25" applyNumberFormat="1" applyFont="1" applyFill="1" applyBorder="1" applyAlignment="1" applyProtection="1">
      <alignment horizontal="left"/>
      <protection locked="0"/>
    </xf>
    <xf numFmtId="183" fontId="77" fillId="15" borderId="1" xfId="25" applyNumberFormat="1" applyFont="1" applyFill="1" applyBorder="1" applyAlignment="1" applyProtection="1"/>
    <xf numFmtId="183" fontId="77" fillId="15" borderId="10" xfId="25" applyNumberFormat="1" applyFont="1" applyFill="1" applyBorder="1" applyAlignment="1" applyProtection="1"/>
    <xf numFmtId="183" fontId="77" fillId="15" borderId="7" xfId="25" applyNumberFormat="1" applyFont="1" applyFill="1" applyBorder="1" applyAlignment="1" applyProtection="1"/>
    <xf numFmtId="9" fontId="77" fillId="15" borderId="10" xfId="1" applyFont="1" applyFill="1" applyBorder="1" applyAlignment="1" applyProtection="1"/>
    <xf numFmtId="0" fontId="77" fillId="0" borderId="5" xfId="24" applyFont="1" applyBorder="1" applyAlignment="1"/>
    <xf numFmtId="9" fontId="6" fillId="0" borderId="5" xfId="24" applyNumberFormat="1" applyFont="1" applyBorder="1" applyAlignment="1">
      <alignment horizontal="center"/>
    </xf>
    <xf numFmtId="179" fontId="6" fillId="0" borderId="5" xfId="24" applyNumberFormat="1" applyFont="1" applyBorder="1" applyAlignment="1">
      <alignment horizontal="center"/>
    </xf>
    <xf numFmtId="0" fontId="77" fillId="0" borderId="11" xfId="24" applyFont="1" applyBorder="1" applyAlignment="1">
      <alignment horizontal="left"/>
    </xf>
    <xf numFmtId="0" fontId="6" fillId="0" borderId="11" xfId="24" applyFont="1" applyBorder="1" applyAlignment="1"/>
    <xf numFmtId="0" fontId="107" fillId="0" borderId="11" xfId="24" applyFont="1" applyBorder="1" applyAlignment="1">
      <alignment horizontal="left"/>
    </xf>
    <xf numFmtId="183" fontId="107" fillId="0" borderId="2" xfId="25" applyNumberFormat="1" applyFont="1" applyBorder="1" applyAlignment="1" applyProtection="1">
      <alignment horizontal="left"/>
    </xf>
    <xf numFmtId="37" fontId="77" fillId="0" borderId="9" xfId="24" applyNumberFormat="1" applyFont="1" applyBorder="1" applyAlignment="1">
      <alignment horizontal="center"/>
    </xf>
    <xf numFmtId="0" fontId="29" fillId="0" borderId="0" xfId="0" applyFont="1"/>
    <xf numFmtId="0" fontId="0" fillId="15" borderId="0" xfId="0" applyFill="1"/>
    <xf numFmtId="183" fontId="77" fillId="0" borderId="2" xfId="25" applyNumberFormat="1" applyFont="1" applyFill="1" applyBorder="1" applyAlignment="1" applyProtection="1"/>
    <xf numFmtId="9" fontId="77" fillId="0" borderId="0" xfId="1" applyFont="1" applyFill="1" applyBorder="1" applyAlignment="1" applyProtection="1"/>
    <xf numFmtId="183" fontId="77" fillId="0" borderId="0" xfId="25" applyNumberFormat="1" applyFont="1" applyFill="1" applyBorder="1" applyAlignment="1" applyProtection="1"/>
    <xf numFmtId="183" fontId="77" fillId="0" borderId="23" xfId="25" applyNumberFormat="1" applyFont="1" applyFill="1" applyBorder="1" applyAlignment="1" applyProtection="1"/>
    <xf numFmtId="44" fontId="34" fillId="0" borderId="0" xfId="13" applyNumberFormat="1" applyFont="1">
      <alignment vertical="center"/>
    </xf>
    <xf numFmtId="0" fontId="109" fillId="27" borderId="1" xfId="27" applyFont="1" applyFill="1" applyBorder="1">
      <alignment vertical="center"/>
    </xf>
    <xf numFmtId="0" fontId="110" fillId="0" borderId="0" xfId="27" applyFont="1">
      <alignment vertical="center"/>
    </xf>
    <xf numFmtId="0" fontId="2" fillId="0" borderId="1" xfId="27" applyBorder="1">
      <alignment vertical="center"/>
    </xf>
    <xf numFmtId="0" fontId="2" fillId="0" borderId="1" xfId="27" applyBorder="1" applyAlignment="1">
      <alignment vertical="center" wrapText="1"/>
    </xf>
    <xf numFmtId="0" fontId="2" fillId="0" borderId="0" xfId="27">
      <alignment vertical="center"/>
    </xf>
    <xf numFmtId="0" fontId="2" fillId="28" borderId="1" xfId="27" applyFill="1" applyBorder="1" applyAlignment="1">
      <alignment vertical="center" wrapText="1"/>
    </xf>
    <xf numFmtId="9" fontId="0" fillId="28" borderId="1" xfId="28" applyFont="1" applyFill="1" applyBorder="1" applyAlignment="1">
      <alignment vertical="center" wrapText="1"/>
    </xf>
    <xf numFmtId="0" fontId="2" fillId="0" borderId="2" xfId="27" applyBorder="1">
      <alignment vertical="center"/>
    </xf>
    <xf numFmtId="0" fontId="111" fillId="0" borderId="1" xfId="27" applyFont="1" applyBorder="1" applyAlignment="1">
      <alignment vertical="center" wrapText="1"/>
    </xf>
    <xf numFmtId="0" fontId="92" fillId="0" borderId="1" xfId="27" applyFont="1" applyBorder="1" applyAlignment="1">
      <alignment vertical="center" wrapText="1"/>
    </xf>
    <xf numFmtId="0" fontId="92" fillId="29" borderId="1" xfId="27" applyFont="1" applyFill="1" applyBorder="1" applyAlignment="1">
      <alignment horizontal="left" vertical="center" wrapText="1"/>
    </xf>
    <xf numFmtId="0" fontId="92" fillId="0" borderId="1" xfId="27" applyFont="1" applyBorder="1" applyAlignment="1">
      <alignment horizontal="left" vertical="center" wrapText="1"/>
    </xf>
    <xf numFmtId="0" fontId="92" fillId="9" borderId="1" xfId="27" applyFont="1" applyFill="1" applyBorder="1" applyAlignment="1">
      <alignment horizontal="left" vertical="center" wrapText="1"/>
    </xf>
    <xf numFmtId="0" fontId="92" fillId="0" borderId="1" xfId="27" applyFont="1" applyBorder="1">
      <alignment vertical="center"/>
    </xf>
    <xf numFmtId="0" fontId="110" fillId="30" borderId="0" xfId="27" applyFont="1" applyFill="1">
      <alignment vertical="center"/>
    </xf>
    <xf numFmtId="0" fontId="2" fillId="30" borderId="0" xfId="27" applyFill="1">
      <alignment vertical="center"/>
    </xf>
    <xf numFmtId="9" fontId="2" fillId="0" borderId="0" xfId="27" applyNumberFormat="1">
      <alignment vertical="center"/>
    </xf>
    <xf numFmtId="189" fontId="0" fillId="0" borderId="0" xfId="29" applyNumberFormat="1" applyFont="1">
      <alignment vertical="center"/>
    </xf>
    <xf numFmtId="9" fontId="2" fillId="31" borderId="0" xfId="27" applyNumberFormat="1" applyFill="1">
      <alignment vertical="center"/>
    </xf>
    <xf numFmtId="0" fontId="79" fillId="9" borderId="8" xfId="0" applyFont="1" applyFill="1" applyBorder="1" applyAlignment="1">
      <alignment vertical="center"/>
    </xf>
    <xf numFmtId="0" fontId="79" fillId="9" borderId="1" xfId="0" applyFont="1" applyFill="1" applyBorder="1" applyAlignment="1">
      <alignment vertical="center"/>
    </xf>
    <xf numFmtId="0" fontId="2" fillId="31" borderId="0" xfId="27" applyFill="1">
      <alignment vertical="center"/>
    </xf>
    <xf numFmtId="9" fontId="2" fillId="31" borderId="0" xfId="1" applyFont="1" applyFill="1" applyAlignment="1">
      <alignment vertical="center"/>
    </xf>
    <xf numFmtId="183" fontId="6" fillId="15" borderId="51" xfId="10" applyNumberFormat="1" applyFont="1" applyFill="1" applyBorder="1"/>
    <xf numFmtId="182" fontId="6" fillId="15" borderId="51" xfId="10" applyNumberFormat="1" applyFont="1" applyFill="1" applyBorder="1"/>
    <xf numFmtId="176" fontId="34" fillId="15" borderId="1" xfId="10" applyFont="1" applyFill="1" applyBorder="1" applyAlignment="1">
      <alignment horizontal="center" vertical="center"/>
    </xf>
    <xf numFmtId="179" fontId="105" fillId="11" borderId="0" xfId="1" applyNumberFormat="1" applyFont="1" applyFill="1"/>
    <xf numFmtId="3" fontId="78" fillId="0" borderId="1" xfId="0" applyNumberFormat="1" applyFont="1" applyBorder="1" applyAlignment="1">
      <alignment horizontal="right" vertical="center"/>
    </xf>
    <xf numFmtId="3" fontId="78" fillId="0" borderId="7" xfId="0" applyNumberFormat="1" applyFont="1" applyBorder="1" applyAlignment="1">
      <alignment horizontal="right" vertical="center"/>
    </xf>
    <xf numFmtId="3" fontId="79" fillId="0" borderId="1" xfId="0" applyNumberFormat="1" applyFont="1" applyBorder="1" applyAlignment="1">
      <alignment horizontal="right" vertical="center"/>
    </xf>
    <xf numFmtId="3" fontId="79" fillId="0" borderId="7" xfId="0" applyNumberFormat="1" applyFont="1" applyBorder="1" applyAlignment="1">
      <alignment horizontal="right" vertical="center"/>
    </xf>
    <xf numFmtId="1" fontId="2" fillId="0" borderId="0" xfId="27" applyNumberFormat="1">
      <alignment vertical="center"/>
    </xf>
    <xf numFmtId="184" fontId="2" fillId="0" borderId="0" xfId="27" applyNumberFormat="1">
      <alignment vertical="center"/>
    </xf>
    <xf numFmtId="184" fontId="34" fillId="11" borderId="0" xfId="13" applyNumberFormat="1" applyFont="1" applyFill="1">
      <alignment vertical="center"/>
    </xf>
    <xf numFmtId="189" fontId="0" fillId="31" borderId="0" xfId="29" applyNumberFormat="1" applyFont="1" applyFill="1">
      <alignment vertical="center"/>
    </xf>
    <xf numFmtId="182" fontId="6" fillId="15" borderId="0" xfId="10" applyNumberFormat="1" applyFont="1" applyFill="1" applyBorder="1" applyAlignment="1">
      <alignment horizontal="right" vertical="center" indent="1"/>
    </xf>
    <xf numFmtId="0" fontId="108" fillId="0" borderId="0" xfId="27" applyFont="1">
      <alignment vertical="center"/>
    </xf>
    <xf numFmtId="9" fontId="34" fillId="15" borderId="0" xfId="1" applyFont="1" applyFill="1" applyBorder="1" applyAlignment="1">
      <alignment vertical="center"/>
    </xf>
    <xf numFmtId="183" fontId="34" fillId="15" borderId="51" xfId="10" applyNumberFormat="1" applyFont="1" applyFill="1" applyBorder="1"/>
    <xf numFmtId="182" fontId="34" fillId="15" borderId="51" xfId="10" applyNumberFormat="1" applyFont="1" applyFill="1" applyBorder="1"/>
    <xf numFmtId="0" fontId="103" fillId="15" borderId="6" xfId="0" applyFont="1" applyFill="1" applyBorder="1" applyAlignment="1">
      <alignment horizontal="center" vertical="center" wrapText="1"/>
    </xf>
    <xf numFmtId="183" fontId="0" fillId="15" borderId="0" xfId="0" applyNumberFormat="1" applyFill="1"/>
    <xf numFmtId="183" fontId="0" fillId="15" borderId="11" xfId="0" applyNumberFormat="1" applyFill="1" applyBorder="1"/>
    <xf numFmtId="183" fontId="77" fillId="15" borderId="37" xfId="0" applyNumberFormat="1" applyFont="1" applyFill="1" applyBorder="1"/>
    <xf numFmtId="176" fontId="0" fillId="15" borderId="51" xfId="10" applyFont="1" applyFill="1" applyBorder="1"/>
    <xf numFmtId="0" fontId="116" fillId="0" borderId="0" xfId="0" applyFont="1"/>
    <xf numFmtId="183" fontId="6" fillId="15" borderId="23" xfId="10" applyNumberFormat="1" applyFont="1" applyFill="1" applyBorder="1" applyAlignment="1" applyProtection="1">
      <alignment horizontal="right"/>
    </xf>
    <xf numFmtId="183" fontId="77" fillId="15" borderId="35" xfId="10" applyNumberFormat="1" applyFont="1" applyFill="1" applyBorder="1" applyAlignment="1" applyProtection="1">
      <alignment horizontal="right"/>
    </xf>
    <xf numFmtId="183" fontId="6" fillId="15" borderId="17" xfId="10" applyNumberFormat="1" applyFont="1" applyFill="1" applyBorder="1" applyAlignment="1">
      <alignment horizontal="right"/>
    </xf>
    <xf numFmtId="183" fontId="6" fillId="15" borderId="23" xfId="10" applyNumberFormat="1" applyFont="1" applyFill="1" applyBorder="1" applyAlignment="1">
      <alignment horizontal="right"/>
    </xf>
    <xf numFmtId="9" fontId="118" fillId="0" borderId="0" xfId="1" applyFont="1" applyAlignment="1">
      <alignment vertical="center"/>
    </xf>
    <xf numFmtId="0" fontId="34" fillId="9" borderId="1" xfId="13" applyFont="1" applyFill="1" applyBorder="1">
      <alignment vertical="center"/>
    </xf>
    <xf numFmtId="0" fontId="77" fillId="0" borderId="0" xfId="0" applyFont="1" applyAlignment="1">
      <alignment horizontal="left"/>
    </xf>
    <xf numFmtId="183" fontId="77" fillId="0" borderId="0" xfId="0" applyNumberFormat="1" applyFont="1"/>
    <xf numFmtId="9" fontId="77" fillId="0" borderId="0" xfId="0" applyNumberFormat="1" applyFont="1"/>
    <xf numFmtId="9" fontId="103" fillId="11" borderId="0" xfId="1" applyFont="1" applyFill="1"/>
    <xf numFmtId="183" fontId="63" fillId="11" borderId="1" xfId="10" applyNumberFormat="1" applyFont="1" applyFill="1" applyBorder="1" applyAlignment="1">
      <alignment vertical="center"/>
    </xf>
    <xf numFmtId="9" fontId="1" fillId="0" borderId="0" xfId="27" applyNumberFormat="1" applyFont="1">
      <alignment vertical="center"/>
    </xf>
    <xf numFmtId="9" fontId="34" fillId="15" borderId="0" xfId="13" applyNumberFormat="1" applyFont="1" applyFill="1" applyAlignment="1">
      <alignment horizontal="right" vertical="center"/>
    </xf>
    <xf numFmtId="0" fontId="98" fillId="0" borderId="0" xfId="13" applyFont="1">
      <alignment vertical="center"/>
    </xf>
    <xf numFmtId="9" fontId="103" fillId="15" borderId="0" xfId="0" applyNumberFormat="1" applyFont="1" applyFill="1"/>
    <xf numFmtId="183" fontId="34" fillId="0" borderId="0" xfId="10" applyNumberFormat="1" applyFont="1" applyAlignment="1">
      <alignment vertical="center"/>
    </xf>
    <xf numFmtId="0" fontId="34" fillId="15" borderId="0" xfId="13" applyFont="1" applyFill="1" applyAlignment="1">
      <alignment horizontal="right" vertical="center"/>
    </xf>
    <xf numFmtId="44" fontId="34" fillId="0" borderId="0" xfId="13" applyNumberFormat="1" applyFont="1" applyAlignment="1">
      <alignment horizontal="center" vertical="center"/>
    </xf>
    <xf numFmtId="0" fontId="6" fillId="0" borderId="0" xfId="0" applyFont="1"/>
    <xf numFmtId="0" fontId="0" fillId="11" borderId="0" xfId="0" applyFill="1"/>
    <xf numFmtId="182" fontId="0" fillId="0" borderId="0" xfId="10" applyNumberFormat="1" applyFont="1"/>
    <xf numFmtId="183" fontId="0" fillId="0" borderId="0" xfId="10" applyNumberFormat="1" applyFont="1"/>
    <xf numFmtId="9" fontId="77" fillId="11" borderId="0" xfId="1" applyFont="1" applyFill="1"/>
    <xf numFmtId="0" fontId="77" fillId="0" borderId="11" xfId="0" applyFont="1" applyBorder="1"/>
    <xf numFmtId="0" fontId="77" fillId="0" borderId="11" xfId="0" applyFont="1" applyBorder="1" applyAlignment="1">
      <alignment horizontal="center"/>
    </xf>
    <xf numFmtId="0" fontId="106" fillId="0" borderId="0" xfId="0" applyFont="1"/>
    <xf numFmtId="183" fontId="106" fillId="15" borderId="0" xfId="10" applyNumberFormat="1" applyFont="1" applyFill="1"/>
    <xf numFmtId="0" fontId="106" fillId="15" borderId="0" xfId="0" applyFont="1" applyFill="1"/>
    <xf numFmtId="0" fontId="120" fillId="11" borderId="1" xfId="0" applyFont="1" applyFill="1" applyBorder="1"/>
    <xf numFmtId="0" fontId="90" fillId="9" borderId="1" xfId="20" applyFont="1" applyFill="1" applyBorder="1" applyAlignment="1">
      <alignment horizontal="center" vertical="center" wrapText="1"/>
    </xf>
    <xf numFmtId="183" fontId="6" fillId="11" borderId="1" xfId="10" applyNumberFormat="1" applyFont="1" applyFill="1" applyBorder="1" applyAlignment="1">
      <alignment vertical="center"/>
    </xf>
    <xf numFmtId="183" fontId="27" fillId="11" borderId="1" xfId="10" applyNumberFormat="1" applyFont="1" applyFill="1" applyBorder="1" applyAlignment="1">
      <alignment horizontal="right"/>
    </xf>
    <xf numFmtId="2" fontId="27" fillId="11" borderId="1" xfId="0" applyNumberFormat="1" applyFont="1" applyFill="1" applyBorder="1" applyAlignment="1">
      <alignment horizontal="left"/>
    </xf>
    <xf numFmtId="176" fontId="64" fillId="12" borderId="0" xfId="10" applyFont="1" applyFill="1"/>
    <xf numFmtId="0" fontId="64" fillId="11" borderId="6" xfId="0" applyFont="1" applyFill="1" applyBorder="1"/>
    <xf numFmtId="0" fontId="123" fillId="11" borderId="6" xfId="0" applyFont="1" applyFill="1" applyBorder="1"/>
    <xf numFmtId="190" fontId="64" fillId="23" borderId="1" xfId="0" applyNumberFormat="1" applyFont="1" applyFill="1" applyBorder="1" applyProtection="1">
      <protection locked="0"/>
    </xf>
    <xf numFmtId="190" fontId="64" fillId="0" borderId="0" xfId="0" applyNumberFormat="1" applyFont="1" applyProtection="1">
      <protection locked="0"/>
    </xf>
    <xf numFmtId="190" fontId="64" fillId="9" borderId="0" xfId="0" applyNumberFormat="1" applyFont="1" applyFill="1" applyProtection="1">
      <protection locked="0"/>
    </xf>
    <xf numFmtId="190" fontId="64" fillId="23" borderId="53" xfId="0" applyNumberFormat="1" applyFont="1" applyFill="1" applyBorder="1" applyProtection="1">
      <protection locked="0"/>
    </xf>
    <xf numFmtId="176" fontId="64" fillId="9" borderId="0" xfId="0" applyNumberFormat="1" applyFont="1" applyFill="1"/>
    <xf numFmtId="176" fontId="64" fillId="12" borderId="37" xfId="10" applyFont="1" applyFill="1" applyBorder="1"/>
    <xf numFmtId="0" fontId="0" fillId="0" borderId="0" xfId="0" applyAlignment="1">
      <alignment vertical="center"/>
    </xf>
    <xf numFmtId="0" fontId="0" fillId="0" borderId="0" xfId="0" applyAlignment="1">
      <alignment horizontal="center" vertical="center"/>
    </xf>
    <xf numFmtId="0" fontId="77" fillId="0" borderId="1" xfId="0" applyFont="1" applyBorder="1" applyAlignment="1">
      <alignment horizontal="center" vertical="center"/>
    </xf>
    <xf numFmtId="0" fontId="77" fillId="0" borderId="1" xfId="0" applyFont="1" applyBorder="1" applyAlignment="1">
      <alignment horizontal="center" vertical="center" wrapText="1"/>
    </xf>
    <xf numFmtId="0" fontId="6" fillId="0" borderId="1" xfId="0" applyFont="1" applyBorder="1"/>
    <xf numFmtId="0" fontId="0" fillId="0" borderId="1" xfId="0" applyBorder="1"/>
    <xf numFmtId="0" fontId="77" fillId="0" borderId="1" xfId="0" applyFont="1" applyBorder="1"/>
    <xf numFmtId="0" fontId="77" fillId="15" borderId="1" xfId="0" applyFont="1" applyFill="1" applyBorder="1"/>
    <xf numFmtId="0" fontId="77" fillId="15" borderId="1" xfId="0" applyFont="1" applyFill="1" applyBorder="1" applyAlignment="1">
      <alignment horizontal="center"/>
    </xf>
    <xf numFmtId="176" fontId="0" fillId="0" borderId="1" xfId="10" applyFont="1" applyBorder="1"/>
    <xf numFmtId="176" fontId="77" fillId="0" borderId="1" xfId="0" applyNumberFormat="1" applyFont="1" applyBorder="1"/>
    <xf numFmtId="44" fontId="0" fillId="0" borderId="0" xfId="0" applyNumberFormat="1"/>
    <xf numFmtId="176" fontId="0" fillId="0" borderId="0" xfId="10" applyFont="1"/>
    <xf numFmtId="176" fontId="77" fillId="15" borderId="1" xfId="0" applyNumberFormat="1" applyFont="1" applyFill="1" applyBorder="1"/>
    <xf numFmtId="176" fontId="77" fillId="15" borderId="1" xfId="10" applyFont="1" applyFill="1" applyBorder="1"/>
    <xf numFmtId="9" fontId="0" fillId="0" borderId="0" xfId="1" applyFont="1"/>
    <xf numFmtId="1" fontId="77" fillId="15" borderId="1" xfId="0" applyNumberFormat="1" applyFont="1" applyFill="1" applyBorder="1" applyAlignment="1">
      <alignment horizontal="center"/>
    </xf>
    <xf numFmtId="176" fontId="0" fillId="11" borderId="1" xfId="10" applyFont="1" applyFill="1" applyBorder="1"/>
    <xf numFmtId="176" fontId="0" fillId="33" borderId="1" xfId="10" applyFont="1" applyFill="1" applyBorder="1"/>
    <xf numFmtId="9" fontId="0" fillId="0" borderId="1" xfId="1" applyFont="1" applyBorder="1"/>
    <xf numFmtId="0" fontId="125" fillId="0" borderId="0" xfId="0" applyFont="1" applyAlignment="1">
      <alignment horizontal="center" vertical="center" wrapText="1"/>
    </xf>
    <xf numFmtId="176" fontId="0" fillId="11" borderId="0" xfId="10" applyFont="1" applyFill="1"/>
    <xf numFmtId="9" fontId="0" fillId="0" borderId="8" xfId="1" applyFont="1" applyBorder="1"/>
    <xf numFmtId="9" fontId="77" fillId="0" borderId="1" xfId="1" applyFont="1" applyBorder="1"/>
    <xf numFmtId="9" fontId="77" fillId="15" borderId="1" xfId="1" applyFont="1" applyFill="1" applyBorder="1"/>
    <xf numFmtId="0" fontId="126" fillId="34" borderId="57" xfId="0" applyFont="1" applyFill="1" applyBorder="1" applyAlignment="1">
      <alignment vertical="center" wrapText="1"/>
    </xf>
    <xf numFmtId="0" fontId="126" fillId="34" borderId="57" xfId="0" applyFont="1" applyFill="1" applyBorder="1" applyAlignment="1">
      <alignment vertical="center"/>
    </xf>
    <xf numFmtId="0" fontId="126" fillId="34" borderId="58" xfId="0" applyFont="1" applyFill="1" applyBorder="1" applyAlignment="1">
      <alignment vertical="center" wrapText="1"/>
    </xf>
    <xf numFmtId="177" fontId="11" fillId="0" borderId="57" xfId="0" applyNumberFormat="1" applyFont="1" applyBorder="1" applyAlignment="1" applyProtection="1">
      <alignment vertical="center"/>
      <protection locked="0"/>
    </xf>
    <xf numFmtId="177" fontId="11" fillId="0" borderId="58" xfId="0" applyNumberFormat="1" applyFont="1" applyBorder="1" applyAlignment="1" applyProtection="1">
      <alignment vertical="center"/>
      <protection locked="0"/>
    </xf>
    <xf numFmtId="9" fontId="11" fillId="0" borderId="58" xfId="0" applyNumberFormat="1" applyFont="1" applyBorder="1" applyAlignment="1" applyProtection="1">
      <alignment vertical="center"/>
      <protection locked="0"/>
    </xf>
    <xf numFmtId="182" fontId="63" fillId="11" borderId="1" xfId="10" applyNumberFormat="1" applyFont="1" applyFill="1" applyBorder="1" applyAlignment="1">
      <alignment horizontal="center" vertical="center"/>
    </xf>
    <xf numFmtId="182" fontId="33" fillId="0" borderId="0" xfId="13" applyNumberFormat="1" applyFont="1">
      <alignment vertical="center"/>
    </xf>
    <xf numFmtId="9" fontId="34" fillId="0" borderId="0" xfId="1" applyFont="1" applyAlignment="1">
      <alignment vertical="center"/>
    </xf>
    <xf numFmtId="0" fontId="98" fillId="0" borderId="15" xfId="13" applyFont="1" applyBorder="1">
      <alignment vertical="center"/>
    </xf>
    <xf numFmtId="0" fontId="63" fillId="11" borderId="1" xfId="13" applyFont="1" applyFill="1" applyBorder="1">
      <alignment vertical="center"/>
    </xf>
    <xf numFmtId="0" fontId="7" fillId="0" borderId="6" xfId="0" applyFont="1" applyBorder="1" applyAlignment="1">
      <alignment horizontal="center"/>
    </xf>
    <xf numFmtId="0" fontId="7" fillId="0" borderId="0" xfId="0" applyFont="1" applyAlignment="1">
      <alignment horizontal="center"/>
    </xf>
    <xf numFmtId="0" fontId="15" fillId="9" borderId="0" xfId="0" applyFont="1" applyFill="1" applyAlignment="1">
      <alignment horizontal="center"/>
    </xf>
    <xf numFmtId="0" fontId="15" fillId="0" borderId="0" xfId="0" applyFont="1" applyAlignment="1">
      <alignment horizontal="center"/>
    </xf>
    <xf numFmtId="0" fontId="8" fillId="0" borderId="0" xfId="0" applyFont="1"/>
    <xf numFmtId="0" fontId="22" fillId="0" borderId="0" xfId="0" applyFont="1" applyAlignment="1">
      <alignment horizontal="left" wrapText="1"/>
    </xf>
    <xf numFmtId="0" fontId="16" fillId="0" borderId="0" xfId="0" applyFont="1" applyAlignment="1">
      <alignment horizontal="center"/>
    </xf>
    <xf numFmtId="0" fontId="18" fillId="0" borderId="0" xfId="0" applyFont="1" applyAlignment="1">
      <alignment horizontal="center"/>
    </xf>
    <xf numFmtId="0" fontId="9" fillId="0" borderId="0" xfId="0" applyFont="1" applyAlignment="1">
      <alignment horizontal="center"/>
    </xf>
    <xf numFmtId="0" fontId="19" fillId="0" borderId="0" xfId="0" applyFont="1" applyAlignment="1">
      <alignment horizontal="center"/>
    </xf>
    <xf numFmtId="0" fontId="64" fillId="9" borderId="51" xfId="0" applyFont="1" applyFill="1" applyBorder="1" applyAlignment="1" applyProtection="1">
      <alignment horizontal="left" vertical="top"/>
      <protection locked="0"/>
    </xf>
    <xf numFmtId="0" fontId="64" fillId="9" borderId="52" xfId="0" applyFont="1" applyFill="1" applyBorder="1" applyAlignment="1" applyProtection="1">
      <alignment horizontal="left" vertical="top"/>
      <protection locked="0"/>
    </xf>
    <xf numFmtId="0" fontId="64" fillId="9" borderId="0" xfId="0" applyFont="1" applyFill="1" applyAlignment="1">
      <alignment horizontal="left" vertical="top" wrapText="1"/>
    </xf>
    <xf numFmtId="0" fontId="64" fillId="9" borderId="0" xfId="0" applyFont="1" applyFill="1" applyAlignment="1">
      <alignment horizontal="left" vertical="top"/>
    </xf>
    <xf numFmtId="0" fontId="64" fillId="9" borderId="51" xfId="0" applyFont="1" applyFill="1" applyBorder="1" applyAlignment="1" applyProtection="1">
      <alignment horizontal="left" vertical="top" wrapText="1"/>
      <protection locked="0"/>
    </xf>
    <xf numFmtId="0" fontId="64" fillId="9" borderId="52" xfId="0" applyFont="1" applyFill="1" applyBorder="1" applyAlignment="1" applyProtection="1">
      <alignment horizontal="left" vertical="top" wrapText="1"/>
      <protection locked="0"/>
    </xf>
    <xf numFmtId="4" fontId="72" fillId="0" borderId="1" xfId="0" applyNumberFormat="1" applyFont="1" applyBorder="1" applyAlignment="1">
      <alignment horizontal="center" vertical="center"/>
    </xf>
    <xf numFmtId="0" fontId="64" fillId="9" borderId="51" xfId="0" applyFont="1" applyFill="1" applyBorder="1" applyAlignment="1">
      <alignment horizontal="left" vertical="top" wrapText="1"/>
    </xf>
    <xf numFmtId="0" fontId="64" fillId="9" borderId="51" xfId="0" applyFont="1" applyFill="1" applyBorder="1" applyAlignment="1">
      <alignment horizontal="left" vertical="top"/>
    </xf>
    <xf numFmtId="0" fontId="64" fillId="9" borderId="52" xfId="0" applyFont="1" applyFill="1" applyBorder="1" applyAlignment="1">
      <alignment horizontal="left" vertical="top"/>
    </xf>
    <xf numFmtId="0" fontId="0" fillId="0" borderId="8" xfId="0" applyBorder="1" applyAlignment="1">
      <alignment horizontal="center" vertical="center"/>
    </xf>
    <xf numFmtId="0" fontId="0" fillId="0" borderId="33" xfId="0" applyBorder="1" applyAlignment="1">
      <alignment horizontal="center" vertical="center"/>
    </xf>
    <xf numFmtId="0" fontId="77" fillId="15" borderId="11" xfId="0" applyFont="1" applyFill="1" applyBorder="1" applyAlignment="1">
      <alignment horizontal="center" vertical="center"/>
    </xf>
    <xf numFmtId="3" fontId="0" fillId="0" borderId="8" xfId="0" applyNumberFormat="1" applyBorder="1" applyAlignment="1">
      <alignment horizontal="center" vertical="center"/>
    </xf>
    <xf numFmtId="0" fontId="124" fillId="32" borderId="11" xfId="0" applyFont="1" applyFill="1" applyBorder="1" applyAlignment="1">
      <alignment horizontal="center" vertical="center"/>
    </xf>
    <xf numFmtId="0" fontId="58" fillId="16" borderId="14" xfId="15" applyFont="1" applyFill="1" applyBorder="1" applyAlignment="1">
      <alignment horizontal="center" wrapText="1"/>
    </xf>
    <xf numFmtId="0" fontId="58" fillId="16" borderId="0" xfId="15" applyFont="1" applyFill="1" applyAlignment="1">
      <alignment horizontal="left" wrapText="1"/>
    </xf>
    <xf numFmtId="0" fontId="55" fillId="16" borderId="9" xfId="15" applyFont="1" applyFill="1" applyBorder="1" applyAlignment="1">
      <alignment horizontal="left" vertical="top" wrapText="1"/>
    </xf>
    <xf numFmtId="0" fontId="55" fillId="16" borderId="7" xfId="15" applyFont="1" applyFill="1" applyBorder="1" applyAlignment="1">
      <alignment horizontal="left" vertical="top" wrapText="1"/>
    </xf>
    <xf numFmtId="0" fontId="55" fillId="16" borderId="9" xfId="15" applyFont="1" applyFill="1" applyBorder="1" applyAlignment="1">
      <alignment horizontal="left" vertical="top"/>
    </xf>
    <xf numFmtId="0" fontId="55" fillId="16" borderId="7" xfId="15" applyFont="1" applyFill="1" applyBorder="1" applyAlignment="1">
      <alignment horizontal="left" vertical="top"/>
    </xf>
    <xf numFmtId="0" fontId="55" fillId="9" borderId="30" xfId="15" applyFont="1" applyFill="1" applyBorder="1" applyAlignment="1">
      <alignment horizontal="left" vertical="top" wrapText="1"/>
    </xf>
    <xf numFmtId="0" fontId="55" fillId="9" borderId="7" xfId="15" applyFont="1" applyFill="1" applyBorder="1" applyAlignment="1">
      <alignment horizontal="left" vertical="top" wrapText="1"/>
    </xf>
    <xf numFmtId="0" fontId="40" fillId="9" borderId="30" xfId="15" applyFont="1" applyFill="1" applyBorder="1" applyAlignment="1">
      <alignment horizontal="left" vertical="center"/>
    </xf>
    <xf numFmtId="0" fontId="40" fillId="9" borderId="10" xfId="15" applyFont="1" applyFill="1" applyBorder="1" applyAlignment="1">
      <alignment horizontal="left" vertical="center"/>
    </xf>
    <xf numFmtId="0" fontId="55" fillId="16" borderId="30" xfId="15" applyFont="1" applyFill="1" applyBorder="1" applyAlignment="1">
      <alignment horizontal="left" vertical="top" wrapText="1"/>
    </xf>
    <xf numFmtId="0" fontId="40" fillId="16" borderId="0" xfId="15" applyFont="1" applyFill="1" applyAlignment="1">
      <alignment horizontal="left" vertical="top" wrapText="1"/>
    </xf>
    <xf numFmtId="0" fontId="40" fillId="16" borderId="15" xfId="15" applyFont="1" applyFill="1" applyBorder="1" applyAlignment="1">
      <alignment horizontal="left" vertical="top" wrapText="1"/>
    </xf>
    <xf numFmtId="0" fontId="40" fillId="16" borderId="22" xfId="15" applyFont="1" applyFill="1" applyBorder="1" applyAlignment="1">
      <alignment horizontal="left" vertical="top" wrapText="1"/>
    </xf>
    <xf numFmtId="184" fontId="55" fillId="9" borderId="1" xfId="15" applyNumberFormat="1" applyFont="1" applyFill="1" applyBorder="1" applyAlignment="1">
      <alignment horizontal="left" vertical="top" wrapText="1"/>
    </xf>
    <xf numFmtId="185" fontId="55" fillId="12" borderId="1" xfId="15" applyNumberFormat="1" applyFont="1" applyFill="1" applyBorder="1" applyAlignment="1">
      <alignment horizontal="center" vertical="center"/>
    </xf>
    <xf numFmtId="0" fontId="55" fillId="9" borderId="33" xfId="15" applyFont="1" applyFill="1" applyBorder="1" applyAlignment="1">
      <alignment horizontal="right" wrapText="1"/>
    </xf>
    <xf numFmtId="0" fontId="55" fillId="9" borderId="1" xfId="15" applyFont="1" applyFill="1" applyBorder="1" applyAlignment="1">
      <alignment horizontal="right" wrapText="1"/>
    </xf>
    <xf numFmtId="0" fontId="55" fillId="9" borderId="33" xfId="15" applyFont="1" applyFill="1" applyBorder="1" applyAlignment="1">
      <alignment horizontal="center"/>
    </xf>
    <xf numFmtId="0" fontId="55" fillId="9" borderId="1" xfId="15" applyFont="1" applyFill="1" applyBorder="1" applyAlignment="1">
      <alignment horizontal="center"/>
    </xf>
    <xf numFmtId="186" fontId="40" fillId="12" borderId="1" xfId="15" applyNumberFormat="1" applyFont="1" applyFill="1" applyBorder="1" applyAlignment="1">
      <alignment horizontal="center" vertical="center"/>
    </xf>
    <xf numFmtId="0" fontId="55" fillId="16" borderId="1" xfId="15" applyFont="1" applyFill="1" applyBorder="1" applyAlignment="1">
      <alignment horizontal="left" vertical="top" wrapText="1"/>
    </xf>
    <xf numFmtId="0" fontId="55" fillId="16" borderId="1" xfId="15" applyFont="1" applyFill="1" applyBorder="1" applyAlignment="1">
      <alignment horizontal="left" vertical="top"/>
    </xf>
    <xf numFmtId="0" fontId="55" fillId="16" borderId="1" xfId="15" applyFont="1" applyFill="1" applyBorder="1" applyAlignment="1">
      <alignment horizontal="left" vertical="center" wrapText="1"/>
    </xf>
    <xf numFmtId="0" fontId="55" fillId="16" borderId="1" xfId="15" applyFont="1" applyFill="1" applyBorder="1" applyAlignment="1">
      <alignment horizontal="left" vertical="center"/>
    </xf>
    <xf numFmtId="0" fontId="51" fillId="15" borderId="26" xfId="15" applyFont="1" applyFill="1" applyBorder="1" applyAlignment="1">
      <alignment horizontal="center" vertical="center" wrapText="1"/>
    </xf>
    <xf numFmtId="0" fontId="51" fillId="15" borderId="27" xfId="15" applyFont="1" applyFill="1" applyBorder="1" applyAlignment="1">
      <alignment horizontal="center" vertical="center"/>
    </xf>
    <xf numFmtId="0" fontId="51" fillId="15" borderId="14" xfId="15" applyFont="1" applyFill="1" applyBorder="1" applyAlignment="1">
      <alignment horizontal="center" vertical="center"/>
    </xf>
    <xf numFmtId="0" fontId="51" fillId="15" borderId="15" xfId="15" applyFont="1" applyFill="1" applyBorder="1" applyAlignment="1">
      <alignment horizontal="center" vertical="center"/>
    </xf>
    <xf numFmtId="0" fontId="51" fillId="15" borderId="20" xfId="15" applyFont="1" applyFill="1" applyBorder="1" applyAlignment="1">
      <alignment horizontal="center" vertical="center"/>
    </xf>
    <xf numFmtId="0" fontId="51" fillId="15" borderId="21" xfId="15" applyFont="1" applyFill="1" applyBorder="1" applyAlignment="1">
      <alignment horizontal="center" vertical="center"/>
    </xf>
    <xf numFmtId="0" fontId="52" fillId="19" borderId="0" xfId="15" applyFont="1" applyFill="1" applyAlignment="1">
      <alignment horizontal="left"/>
    </xf>
    <xf numFmtId="0" fontId="44" fillId="16" borderId="26" xfId="15" applyFont="1" applyFill="1" applyBorder="1" applyAlignment="1">
      <alignment horizontal="left" vertical="top" wrapText="1"/>
    </xf>
    <xf numFmtId="0" fontId="44" fillId="16" borderId="6" xfId="15" applyFont="1" applyFill="1" applyBorder="1" applyAlignment="1">
      <alignment horizontal="left" vertical="top" wrapText="1"/>
    </xf>
    <xf numFmtId="0" fontId="44" fillId="16" borderId="14" xfId="15" applyFont="1" applyFill="1" applyBorder="1" applyAlignment="1">
      <alignment horizontal="left" vertical="top" wrapText="1"/>
    </xf>
    <xf numFmtId="0" fontId="44" fillId="16" borderId="0" xfId="15" applyFont="1" applyFill="1" applyAlignment="1">
      <alignment horizontal="left" vertical="top" wrapText="1"/>
    </xf>
    <xf numFmtId="0" fontId="53" fillId="16" borderId="26" xfId="15" applyFont="1" applyFill="1" applyBorder="1" applyAlignment="1">
      <alignment horizontal="center" vertical="top" wrapText="1"/>
    </xf>
    <xf numFmtId="0" fontId="53" fillId="16" borderId="6" xfId="15" applyFont="1" applyFill="1" applyBorder="1" applyAlignment="1">
      <alignment horizontal="center" vertical="top" wrapText="1"/>
    </xf>
    <xf numFmtId="0" fontId="53" fillId="16" borderId="14" xfId="15" applyFont="1" applyFill="1" applyBorder="1" applyAlignment="1">
      <alignment horizontal="center" vertical="top" wrapText="1"/>
    </xf>
    <xf numFmtId="0" fontId="53" fillId="16" borderId="0" xfId="15" applyFont="1" applyFill="1" applyAlignment="1">
      <alignment horizontal="center" vertical="top" wrapText="1"/>
    </xf>
    <xf numFmtId="0" fontId="53" fillId="16" borderId="26" xfId="15" applyFont="1" applyFill="1" applyBorder="1" applyAlignment="1">
      <alignment horizontal="left" vertical="top" wrapText="1"/>
    </xf>
    <xf numFmtId="0" fontId="53" fillId="16" borderId="6" xfId="15" applyFont="1" applyFill="1" applyBorder="1" applyAlignment="1">
      <alignment horizontal="left" vertical="top" wrapText="1"/>
    </xf>
    <xf numFmtId="0" fontId="53" fillId="16" borderId="27" xfId="15" applyFont="1" applyFill="1" applyBorder="1" applyAlignment="1">
      <alignment horizontal="left" vertical="top" wrapText="1"/>
    </xf>
    <xf numFmtId="0" fontId="53" fillId="16" borderId="14" xfId="15" applyFont="1" applyFill="1" applyBorder="1" applyAlignment="1">
      <alignment horizontal="left" vertical="top" wrapText="1"/>
    </xf>
    <xf numFmtId="0" fontId="53" fillId="16" borderId="0" xfId="15" applyFont="1" applyFill="1" applyAlignment="1">
      <alignment horizontal="left" vertical="top" wrapText="1"/>
    </xf>
    <xf numFmtId="0" fontId="53" fillId="16" borderId="15" xfId="15" applyFont="1" applyFill="1" applyBorder="1" applyAlignment="1">
      <alignment horizontal="left" vertical="top" wrapText="1"/>
    </xf>
    <xf numFmtId="0" fontId="56" fillId="16" borderId="0" xfId="15" applyFont="1" applyFill="1" applyAlignment="1">
      <alignment horizontal="left" wrapText="1"/>
    </xf>
    <xf numFmtId="0" fontId="56" fillId="16" borderId="11" xfId="15" applyFont="1" applyFill="1" applyBorder="1" applyAlignment="1">
      <alignment horizontal="left" wrapText="1"/>
    </xf>
    <xf numFmtId="184" fontId="40" fillId="9" borderId="1" xfId="15" applyNumberFormat="1" applyFont="1" applyFill="1" applyBorder="1" applyAlignment="1">
      <alignment horizontal="right" vertical="top" wrapText="1"/>
    </xf>
    <xf numFmtId="186" fontId="40" fillId="14" borderId="1" xfId="15" applyNumberFormat="1" applyFont="1" applyFill="1" applyBorder="1" applyAlignment="1" applyProtection="1">
      <alignment horizontal="center" vertical="center"/>
      <protection locked="0"/>
    </xf>
    <xf numFmtId="0" fontId="55" fillId="22" borderId="33" xfId="15" applyFont="1" applyFill="1" applyBorder="1" applyAlignment="1">
      <alignment horizontal="center" wrapText="1"/>
    </xf>
    <xf numFmtId="0" fontId="55" fillId="22" borderId="1" xfId="15" applyFont="1" applyFill="1" applyBorder="1" applyAlignment="1">
      <alignment horizontal="center" wrapText="1"/>
    </xf>
    <xf numFmtId="0" fontId="35" fillId="13" borderId="0" xfId="15" applyFont="1" applyFill="1" applyAlignment="1">
      <alignment horizontal="center" vertical="center"/>
    </xf>
    <xf numFmtId="0" fontId="37" fillId="13" borderId="0" xfId="15" applyFont="1" applyFill="1" applyAlignment="1">
      <alignment horizontal="center"/>
    </xf>
    <xf numFmtId="0" fontId="43" fillId="9" borderId="14" xfId="15" applyFont="1" applyFill="1" applyBorder="1" applyAlignment="1">
      <alignment horizontal="left" vertical="center" wrapText="1"/>
    </xf>
    <xf numFmtId="0" fontId="43" fillId="9" borderId="20" xfId="15" applyFont="1" applyFill="1" applyBorder="1" applyAlignment="1">
      <alignment horizontal="left" vertical="center" wrapText="1"/>
    </xf>
    <xf numFmtId="0" fontId="42" fillId="14" borderId="15" xfId="15" applyFont="1" applyFill="1" applyBorder="1" applyAlignment="1" applyProtection="1">
      <alignment horizontal="right"/>
      <protection locked="0"/>
    </xf>
    <xf numFmtId="0" fontId="42" fillId="14" borderId="21" xfId="15" applyFont="1" applyFill="1" applyBorder="1" applyAlignment="1" applyProtection="1">
      <alignment horizontal="right"/>
      <protection locked="0"/>
    </xf>
    <xf numFmtId="0" fontId="44" fillId="16" borderId="26" xfId="15" applyFont="1" applyFill="1" applyBorder="1" applyAlignment="1">
      <alignment horizontal="center" vertical="center" wrapText="1"/>
    </xf>
    <xf numFmtId="0" fontId="44" fillId="16" borderId="14" xfId="15" applyFont="1" applyFill="1" applyBorder="1" applyAlignment="1">
      <alignment horizontal="center" vertical="center" wrapText="1"/>
    </xf>
    <xf numFmtId="0" fontId="45" fillId="16" borderId="6" xfId="15" applyFont="1" applyFill="1" applyBorder="1" applyAlignment="1">
      <alignment horizontal="center" vertical="center"/>
    </xf>
    <xf numFmtId="0" fontId="45" fillId="16" borderId="27" xfId="15" applyFont="1" applyFill="1" applyBorder="1" applyAlignment="1">
      <alignment horizontal="center" vertical="center"/>
    </xf>
    <xf numFmtId="183" fontId="128" fillId="11" borderId="1" xfId="10" applyNumberFormat="1" applyFont="1" applyFill="1" applyBorder="1" applyAlignment="1">
      <alignment horizontal="left"/>
    </xf>
    <xf numFmtId="3" fontId="72" fillId="12" borderId="1" xfId="0" applyNumberFormat="1" applyFont="1" applyFill="1" applyBorder="1" applyAlignment="1">
      <alignment horizontal="center" vertical="center"/>
    </xf>
  </cellXfs>
  <cellStyles count="32">
    <cellStyle name="Comma 2" xfId="12" xr:uid="{00000000-0005-0000-0000-000000000000}"/>
    <cellStyle name="Comma 3" xfId="14" xr:uid="{00000000-0005-0000-0000-000001000000}"/>
    <cellStyle name="Comma 4" xfId="16" xr:uid="{00000000-0005-0000-0000-000002000000}"/>
    <cellStyle name="Dezimal 6" xfId="9" xr:uid="{00000000-0005-0000-0000-000003000000}"/>
    <cellStyle name="Normal 2" xfId="11" xr:uid="{00000000-0005-0000-0000-000004000000}"/>
    <cellStyle name="Normal 2 2" xfId="30" xr:uid="{00000000-0005-0000-0000-000005000000}"/>
    <cellStyle name="Normal 3" xfId="13" xr:uid="{00000000-0005-0000-0000-000006000000}"/>
    <cellStyle name="Normal 3 2" xfId="21" xr:uid="{00000000-0005-0000-0000-000007000000}"/>
    <cellStyle name="Normal 3 3" xfId="31" xr:uid="{00000000-0005-0000-0000-000008000000}"/>
    <cellStyle name="Normal 4" xfId="15" xr:uid="{00000000-0005-0000-0000-000009000000}"/>
    <cellStyle name="Normal 5" xfId="18" xr:uid="{00000000-0005-0000-0000-00000A000000}"/>
    <cellStyle name="Percent 2" xfId="17" xr:uid="{00000000-0005-0000-0000-00000B000000}"/>
    <cellStyle name="TD.Daten" xfId="2" xr:uid="{00000000-0005-0000-0000-00000C000000}"/>
    <cellStyle name="TD.Hintergrund" xfId="3" xr:uid="{00000000-0005-0000-0000-00000D000000}"/>
    <cellStyle name="TD.KopfDaten" xfId="4" xr:uid="{00000000-0005-0000-0000-00000E000000}"/>
    <cellStyle name="TD.ListeC" xfId="5" xr:uid="{00000000-0005-0000-0000-00000F000000}"/>
    <cellStyle name="TD.ListeN" xfId="6" xr:uid="{00000000-0005-0000-0000-000010000000}"/>
    <cellStyle name="TD.Titel" xfId="7" xr:uid="{00000000-0005-0000-0000-000011000000}"/>
    <cellStyle name="TD.UnterTitel" xfId="8" xr:uid="{00000000-0005-0000-0000-000012000000}"/>
    <cellStyle name="百分比" xfId="1" builtinId="5"/>
    <cellStyle name="百分比 2" xfId="26" xr:uid="{00000000-0005-0000-0000-000014000000}"/>
    <cellStyle name="百分比 3" xfId="28" xr:uid="{00000000-0005-0000-0000-000015000000}"/>
    <cellStyle name="常规" xfId="0" builtinId="0"/>
    <cellStyle name="常规 2" xfId="19" xr:uid="{00000000-0005-0000-0000-000017000000}"/>
    <cellStyle name="常规 3" xfId="20" xr:uid="{00000000-0005-0000-0000-000018000000}"/>
    <cellStyle name="常规 4" xfId="22" xr:uid="{00000000-0005-0000-0000-000019000000}"/>
    <cellStyle name="常规 5" xfId="24" xr:uid="{00000000-0005-0000-0000-00001A000000}"/>
    <cellStyle name="常规 6" xfId="27" xr:uid="{00000000-0005-0000-0000-00001B000000}"/>
    <cellStyle name="千位分隔" xfId="10" builtinId="3"/>
    <cellStyle name="千位分隔 2" xfId="25" xr:uid="{00000000-0005-0000-0000-00001D000000}"/>
    <cellStyle name="千位分隔 2 2" xfId="29" xr:uid="{00000000-0005-0000-0000-00001E000000}"/>
    <cellStyle name="千位分隔[0] 2" xfId="23" xr:uid="{00000000-0005-0000-0000-00001F000000}"/>
  </cellStyles>
  <dxfs count="23">
    <dxf>
      <numFmt numFmtId="13" formatCode="0%"/>
    </dxf>
    <dxf>
      <numFmt numFmtId="13" formatCode="0%"/>
    </dxf>
    <dxf>
      <numFmt numFmtId="13" formatCode="0%"/>
    </dxf>
    <dxf>
      <font>
        <b/>
      </font>
    </dxf>
    <dxf>
      <font>
        <b/>
      </font>
    </dxf>
    <dxf>
      <font>
        <b/>
      </font>
    </dxf>
    <dxf>
      <font>
        <b/>
      </font>
    </dxf>
    <dxf>
      <numFmt numFmtId="13" formatCode="0%"/>
    </dxf>
    <dxf>
      <numFmt numFmtId="13" formatCode="0%"/>
    </dxf>
    <dxf>
      <numFmt numFmtId="13" formatCode="0%"/>
    </dxf>
    <dxf>
      <font>
        <b/>
      </font>
    </dxf>
    <dxf>
      <font>
        <b/>
      </font>
    </dxf>
    <dxf>
      <font>
        <b/>
      </font>
    </dxf>
    <dxf>
      <font>
        <b/>
      </font>
    </dxf>
    <dxf>
      <fill>
        <patternFill>
          <bgColor theme="0" tint="-4.9989318521683403E-2"/>
        </patternFill>
      </fill>
    </dxf>
    <dxf>
      <font>
        <color theme="0"/>
      </font>
      <fill>
        <patternFill>
          <bgColor theme="0" tint="-4.9989318521683403E-2"/>
        </patternFill>
      </fill>
    </dxf>
    <dxf>
      <font>
        <b/>
      </font>
    </dxf>
    <dxf>
      <font>
        <b/>
      </font>
    </dxf>
    <dxf>
      <font>
        <b/>
      </font>
    </dxf>
    <dxf>
      <font>
        <b/>
      </font>
    </dxf>
    <dxf>
      <numFmt numFmtId="13" formatCode="0%"/>
    </dxf>
    <dxf>
      <numFmt numFmtId="13" formatCode="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9" Type="http://schemas.openxmlformats.org/officeDocument/2006/relationships/externalLink" Target="externalLinks/externalLink25.xml"/><Relationship Id="rId21" Type="http://schemas.openxmlformats.org/officeDocument/2006/relationships/externalLink" Target="externalLinks/externalLink7.xml"/><Relationship Id="rId34" Type="http://schemas.openxmlformats.org/officeDocument/2006/relationships/externalLink" Target="externalLinks/externalLink20.xml"/><Relationship Id="rId42" Type="http://schemas.openxmlformats.org/officeDocument/2006/relationships/externalLink" Target="externalLinks/externalLink28.xml"/><Relationship Id="rId47" Type="http://schemas.openxmlformats.org/officeDocument/2006/relationships/externalLink" Target="externalLinks/externalLink33.xml"/><Relationship Id="rId50" Type="http://schemas.openxmlformats.org/officeDocument/2006/relationships/externalLink" Target="externalLinks/externalLink36.xml"/><Relationship Id="rId55" Type="http://schemas.openxmlformats.org/officeDocument/2006/relationships/externalLink" Target="externalLinks/externalLink4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2.xml"/><Relationship Id="rId29" Type="http://schemas.openxmlformats.org/officeDocument/2006/relationships/externalLink" Target="externalLinks/externalLink15.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externalLink" Target="externalLinks/externalLink23.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53" Type="http://schemas.openxmlformats.org/officeDocument/2006/relationships/externalLink" Target="externalLinks/externalLink39.xml"/><Relationship Id="rId58" Type="http://schemas.openxmlformats.org/officeDocument/2006/relationships/styles" Target="styles.xml"/><Relationship Id="rId5" Type="http://schemas.openxmlformats.org/officeDocument/2006/relationships/worksheet" Target="worksheets/sheet5.xml"/><Relationship Id="rId61" Type="http://schemas.microsoft.com/office/2017/10/relationships/person" Target="persons/person.xml"/><Relationship Id="rId19" Type="http://schemas.openxmlformats.org/officeDocument/2006/relationships/externalLink" Target="externalLinks/externalLink5.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56" Type="http://schemas.openxmlformats.org/officeDocument/2006/relationships/pivotCacheDefinition" Target="pivotCache/pivotCacheDefinition1.xml"/><Relationship Id="rId8" Type="http://schemas.openxmlformats.org/officeDocument/2006/relationships/worksheet" Target="worksheets/sheet8.xml"/><Relationship Id="rId51" Type="http://schemas.openxmlformats.org/officeDocument/2006/relationships/externalLink" Target="externalLinks/externalLink3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46" Type="http://schemas.openxmlformats.org/officeDocument/2006/relationships/externalLink" Target="externalLinks/externalLink32.xml"/><Relationship Id="rId59" Type="http://schemas.openxmlformats.org/officeDocument/2006/relationships/sharedStrings" Target="sharedStrings.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54" Type="http://schemas.openxmlformats.org/officeDocument/2006/relationships/externalLink" Target="externalLinks/externalLink40.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externalLink" Target="externalLinks/externalLink22.xml"/><Relationship Id="rId49" Type="http://schemas.openxmlformats.org/officeDocument/2006/relationships/externalLink" Target="externalLinks/externalLink35.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externalLink" Target="externalLinks/externalLink17.xml"/><Relationship Id="rId44" Type="http://schemas.openxmlformats.org/officeDocument/2006/relationships/externalLink" Target="externalLinks/externalLink30.xml"/><Relationship Id="rId52" Type="http://schemas.openxmlformats.org/officeDocument/2006/relationships/externalLink" Target="externalLinks/externalLink38.xml"/><Relationship Id="rId6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71438</xdr:colOff>
      <xdr:row>1</xdr:row>
      <xdr:rowOff>23813</xdr:rowOff>
    </xdr:from>
    <xdr:to>
      <xdr:col>16</xdr:col>
      <xdr:colOff>176213</xdr:colOff>
      <xdr:row>2</xdr:row>
      <xdr:rowOff>171084</xdr:rowOff>
    </xdr:to>
    <xdr:pic>
      <xdr:nvPicPr>
        <xdr:cNvPr id="2" name="Picture 1" descr="Porsche 50mm">
          <a:extLst>
            <a:ext uri="{FF2B5EF4-FFF2-40B4-BE49-F238E27FC236}">
              <a16:creationId xmlns:a16="http://schemas.microsoft.com/office/drawing/2014/main" id="{3461CC56-B68A-4DBD-A20A-EC305510703B}"/>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62351" y="223838"/>
          <a:ext cx="7281862" cy="3472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115659</xdr:colOff>
      <xdr:row>19</xdr:row>
      <xdr:rowOff>0</xdr:rowOff>
    </xdr:from>
    <xdr:to>
      <xdr:col>3</xdr:col>
      <xdr:colOff>619124</xdr:colOff>
      <xdr:row>34</xdr:row>
      <xdr:rowOff>6803</xdr:rowOff>
    </xdr:to>
    <xdr:sp macro="" textlink="">
      <xdr:nvSpPr>
        <xdr:cNvPr id="2" name="标注: 上箭头 1">
          <a:extLst>
            <a:ext uri="{FF2B5EF4-FFF2-40B4-BE49-F238E27FC236}">
              <a16:creationId xmlns:a16="http://schemas.microsoft.com/office/drawing/2014/main" id="{FB209A61-5ECA-3CB2-9358-3E4FF1778EF0}"/>
            </a:ext>
          </a:extLst>
        </xdr:cNvPr>
        <xdr:cNvSpPr/>
      </xdr:nvSpPr>
      <xdr:spPr>
        <a:xfrm>
          <a:off x="115659" y="3394983"/>
          <a:ext cx="3993698" cy="2469696"/>
        </a:xfrm>
        <a:prstGeom prst="upArrowCallou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zh-CN" sz="2400"/>
            <a:t>process </a:t>
          </a:r>
          <a:r>
            <a:rPr lang="zh-CN" altLang="en-US" sz="2400"/>
            <a:t>关联数据修改以后需要刷新一下，并对照列表顺序是否一致</a:t>
          </a:r>
          <a:endParaRPr lang="en-US" altLang="zh-CN" sz="2400"/>
        </a:p>
        <a:p>
          <a:pPr algn="ctr"/>
          <a:endParaRPr lang="zh-CN" altLang="en-US" sz="24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100012</xdr:rowOff>
    </xdr:from>
    <xdr:to>
      <xdr:col>13</xdr:col>
      <xdr:colOff>590616</xdr:colOff>
      <xdr:row>27</xdr:row>
      <xdr:rowOff>100044</xdr:rowOff>
    </xdr:to>
    <xdr:pic>
      <xdr:nvPicPr>
        <xdr:cNvPr id="2" name="图片 1">
          <a:extLst>
            <a:ext uri="{FF2B5EF4-FFF2-40B4-BE49-F238E27FC236}">
              <a16:creationId xmlns:a16="http://schemas.microsoft.com/office/drawing/2014/main" id="{9F79EAFB-6B21-4E19-8682-83221A571F7D}"/>
            </a:ext>
          </a:extLst>
        </xdr:cNvPr>
        <xdr:cNvPicPr>
          <a:picLocks noChangeAspect="1"/>
        </xdr:cNvPicPr>
      </xdr:nvPicPr>
      <xdr:blipFill>
        <a:blip xmlns:r="http://schemas.openxmlformats.org/officeDocument/2006/relationships" r:embed="rId1"/>
        <a:stretch>
          <a:fillRect/>
        </a:stretch>
      </xdr:blipFill>
      <xdr:spPr>
        <a:xfrm>
          <a:off x="47625" y="100012"/>
          <a:ext cx="8963091" cy="4372007"/>
        </a:xfrm>
        <a:prstGeom prst="rect">
          <a:avLst/>
        </a:prstGeom>
      </xdr:spPr>
    </xdr:pic>
    <xdr:clientData/>
  </xdr:twoCellAnchor>
  <xdr:twoCellAnchor editAs="oneCell">
    <xdr:from>
      <xdr:col>15</xdr:col>
      <xdr:colOff>644768</xdr:colOff>
      <xdr:row>5</xdr:row>
      <xdr:rowOff>155806</xdr:rowOff>
    </xdr:from>
    <xdr:to>
      <xdr:col>23</xdr:col>
      <xdr:colOff>139244</xdr:colOff>
      <xdr:row>26</xdr:row>
      <xdr:rowOff>60020</xdr:rowOff>
    </xdr:to>
    <xdr:pic>
      <xdr:nvPicPr>
        <xdr:cNvPr id="3" name="图片 2">
          <a:extLst>
            <a:ext uri="{FF2B5EF4-FFF2-40B4-BE49-F238E27FC236}">
              <a16:creationId xmlns:a16="http://schemas.microsoft.com/office/drawing/2014/main" id="{338388CC-EF69-4C3D-BD9C-F984E009C17D}"/>
            </a:ext>
          </a:extLst>
        </xdr:cNvPr>
        <xdr:cNvPicPr>
          <a:picLocks noChangeAspect="1"/>
        </xdr:cNvPicPr>
      </xdr:nvPicPr>
      <xdr:blipFill>
        <a:blip xmlns:r="http://schemas.openxmlformats.org/officeDocument/2006/relationships" r:embed="rId2"/>
        <a:stretch>
          <a:fillRect/>
        </a:stretch>
      </xdr:blipFill>
      <xdr:spPr>
        <a:xfrm>
          <a:off x="10481163" y="961768"/>
          <a:ext cx="4681937" cy="3289252"/>
        </a:xfrm>
        <a:prstGeom prst="rect">
          <a:avLst/>
        </a:prstGeom>
      </xdr:spPr>
    </xdr:pic>
    <xdr:clientData/>
  </xdr:twoCellAnchor>
  <xdr:twoCellAnchor editAs="oneCell">
    <xdr:from>
      <xdr:col>0</xdr:col>
      <xdr:colOff>234893</xdr:colOff>
      <xdr:row>28</xdr:row>
      <xdr:rowOff>100636</xdr:rowOff>
    </xdr:from>
    <xdr:to>
      <xdr:col>12</xdr:col>
      <xdr:colOff>179481</xdr:colOff>
      <xdr:row>54</xdr:row>
      <xdr:rowOff>128122</xdr:rowOff>
    </xdr:to>
    <xdr:pic>
      <xdr:nvPicPr>
        <xdr:cNvPr id="6" name="图片 5">
          <a:extLst>
            <a:ext uri="{FF2B5EF4-FFF2-40B4-BE49-F238E27FC236}">
              <a16:creationId xmlns:a16="http://schemas.microsoft.com/office/drawing/2014/main" id="{804FFEDE-B7F7-C5CD-9E43-C622F744C184}"/>
            </a:ext>
          </a:extLst>
        </xdr:cNvPr>
        <xdr:cNvPicPr>
          <a:picLocks noChangeAspect="1"/>
        </xdr:cNvPicPr>
      </xdr:nvPicPr>
      <xdr:blipFill>
        <a:blip xmlns:r="http://schemas.openxmlformats.org/officeDocument/2006/relationships" r:embed="rId3"/>
        <a:stretch>
          <a:fillRect/>
        </a:stretch>
      </xdr:blipFill>
      <xdr:spPr>
        <a:xfrm>
          <a:off x="234893" y="4614021"/>
          <a:ext cx="7725780" cy="4225813"/>
        </a:xfrm>
        <a:prstGeom prst="rect">
          <a:avLst/>
        </a:prstGeom>
      </xdr:spPr>
    </xdr:pic>
    <xdr:clientData/>
  </xdr:twoCellAnchor>
  <xdr:twoCellAnchor>
    <xdr:from>
      <xdr:col>0</xdr:col>
      <xdr:colOff>293077</xdr:colOff>
      <xdr:row>6</xdr:row>
      <xdr:rowOff>146538</xdr:rowOff>
    </xdr:from>
    <xdr:to>
      <xdr:col>10</xdr:col>
      <xdr:colOff>260105</xdr:colOff>
      <xdr:row>6</xdr:row>
      <xdr:rowOff>146538</xdr:rowOff>
    </xdr:to>
    <xdr:cxnSp macro="">
      <xdr:nvCxnSpPr>
        <xdr:cNvPr id="5" name="直接箭头连接符 4">
          <a:extLst>
            <a:ext uri="{FF2B5EF4-FFF2-40B4-BE49-F238E27FC236}">
              <a16:creationId xmlns:a16="http://schemas.microsoft.com/office/drawing/2014/main" id="{94C85D64-E258-B4C2-27E8-4301AA58DE2A}"/>
            </a:ext>
          </a:extLst>
        </xdr:cNvPr>
        <xdr:cNvCxnSpPr/>
      </xdr:nvCxnSpPr>
      <xdr:spPr>
        <a:xfrm>
          <a:off x="293077" y="1113692"/>
          <a:ext cx="6451355" cy="0"/>
        </a:xfrm>
        <a:prstGeom prst="straightConnector1">
          <a:avLst/>
        </a:prstGeom>
        <a:ln>
          <a:solidFill>
            <a:srgbClr val="FF0000"/>
          </a:solidFill>
          <a:prstDash val="dash"/>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161191</xdr:colOff>
      <xdr:row>5</xdr:row>
      <xdr:rowOff>21980</xdr:rowOff>
    </xdr:from>
    <xdr:to>
      <xdr:col>7</xdr:col>
      <xdr:colOff>278423</xdr:colOff>
      <xdr:row>6</xdr:row>
      <xdr:rowOff>80596</xdr:rowOff>
    </xdr:to>
    <xdr:sp macro="" textlink="">
      <xdr:nvSpPr>
        <xdr:cNvPr id="7" name="文本框 6">
          <a:extLst>
            <a:ext uri="{FF2B5EF4-FFF2-40B4-BE49-F238E27FC236}">
              <a16:creationId xmlns:a16="http://schemas.microsoft.com/office/drawing/2014/main" id="{04435E01-A6E9-1006-7F74-9249FB35E539}"/>
            </a:ext>
          </a:extLst>
        </xdr:cNvPr>
        <xdr:cNvSpPr txBox="1"/>
      </xdr:nvSpPr>
      <xdr:spPr>
        <a:xfrm>
          <a:off x="3403355" y="827942"/>
          <a:ext cx="1414097" cy="219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240</a:t>
          </a:r>
          <a:r>
            <a:rPr lang="en-US" altLang="zh-CN" sz="1100" baseline="0"/>
            <a:t>m</a:t>
          </a:r>
          <a:endParaRPr lang="zh-CN" altLang="en-US" sz="1100"/>
        </a:p>
      </xdr:txBody>
    </xdr:sp>
    <xdr:clientData/>
  </xdr:twoCellAnchor>
  <xdr:twoCellAnchor>
    <xdr:from>
      <xdr:col>0</xdr:col>
      <xdr:colOff>472587</xdr:colOff>
      <xdr:row>9</xdr:row>
      <xdr:rowOff>54951</xdr:rowOff>
    </xdr:from>
    <xdr:to>
      <xdr:col>0</xdr:col>
      <xdr:colOff>472587</xdr:colOff>
      <xdr:row>26</xdr:row>
      <xdr:rowOff>25644</xdr:rowOff>
    </xdr:to>
    <xdr:cxnSp macro="">
      <xdr:nvCxnSpPr>
        <xdr:cNvPr id="8" name="直接箭头连接符 7">
          <a:extLst>
            <a:ext uri="{FF2B5EF4-FFF2-40B4-BE49-F238E27FC236}">
              <a16:creationId xmlns:a16="http://schemas.microsoft.com/office/drawing/2014/main" id="{20BF9F18-F779-46EC-86EF-C25FE9CE5978}"/>
            </a:ext>
          </a:extLst>
        </xdr:cNvPr>
        <xdr:cNvCxnSpPr/>
      </xdr:nvCxnSpPr>
      <xdr:spPr>
        <a:xfrm>
          <a:off x="472587" y="1505682"/>
          <a:ext cx="0" cy="2710962"/>
        </a:xfrm>
        <a:prstGeom prst="straightConnector1">
          <a:avLst/>
        </a:prstGeom>
        <a:ln>
          <a:solidFill>
            <a:srgbClr val="FF0000"/>
          </a:solidFill>
          <a:prstDash val="dash"/>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69607</xdr:colOff>
      <xdr:row>12</xdr:row>
      <xdr:rowOff>64475</xdr:rowOff>
    </xdr:from>
    <xdr:to>
      <xdr:col>0</xdr:col>
      <xdr:colOff>289415</xdr:colOff>
      <xdr:row>21</xdr:row>
      <xdr:rowOff>27842</xdr:rowOff>
    </xdr:to>
    <xdr:sp macro="" textlink="">
      <xdr:nvSpPr>
        <xdr:cNvPr id="12" name="文本框 11">
          <a:extLst>
            <a:ext uri="{FF2B5EF4-FFF2-40B4-BE49-F238E27FC236}">
              <a16:creationId xmlns:a16="http://schemas.microsoft.com/office/drawing/2014/main" id="{86310E04-3188-4320-9A1C-D86354BC6D35}"/>
            </a:ext>
          </a:extLst>
        </xdr:cNvPr>
        <xdr:cNvSpPr txBox="1"/>
      </xdr:nvSpPr>
      <xdr:spPr>
        <a:xfrm rot="16200000">
          <a:off x="-527538" y="2595928"/>
          <a:ext cx="1414097" cy="219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baseline="0"/>
            <a:t>100m</a:t>
          </a:r>
          <a:endParaRPr lang="zh-CN" altLang="en-US" sz="1100"/>
        </a:p>
      </xdr:txBody>
    </xdr:sp>
    <xdr:clientData/>
  </xdr:twoCellAnchor>
  <xdr:twoCellAnchor>
    <xdr:from>
      <xdr:col>0</xdr:col>
      <xdr:colOff>269631</xdr:colOff>
      <xdr:row>26</xdr:row>
      <xdr:rowOff>68140</xdr:rowOff>
    </xdr:from>
    <xdr:to>
      <xdr:col>10</xdr:col>
      <xdr:colOff>236659</xdr:colOff>
      <xdr:row>26</xdr:row>
      <xdr:rowOff>68140</xdr:rowOff>
    </xdr:to>
    <xdr:cxnSp macro="">
      <xdr:nvCxnSpPr>
        <xdr:cNvPr id="14" name="直接箭头连接符 13">
          <a:extLst>
            <a:ext uri="{FF2B5EF4-FFF2-40B4-BE49-F238E27FC236}">
              <a16:creationId xmlns:a16="http://schemas.microsoft.com/office/drawing/2014/main" id="{3EA33D71-90A7-4D26-85BF-46C09E2F279E}"/>
            </a:ext>
          </a:extLst>
        </xdr:cNvPr>
        <xdr:cNvCxnSpPr/>
      </xdr:nvCxnSpPr>
      <xdr:spPr>
        <a:xfrm>
          <a:off x="269631" y="4259140"/>
          <a:ext cx="6451355" cy="0"/>
        </a:xfrm>
        <a:prstGeom prst="straightConnector1">
          <a:avLst/>
        </a:prstGeom>
        <a:ln>
          <a:solidFill>
            <a:srgbClr val="FF0000"/>
          </a:solidFill>
          <a:prstDash val="dash"/>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293077</xdr:colOff>
      <xdr:row>26</xdr:row>
      <xdr:rowOff>32972</xdr:rowOff>
    </xdr:from>
    <xdr:to>
      <xdr:col>5</xdr:col>
      <xdr:colOff>293077</xdr:colOff>
      <xdr:row>27</xdr:row>
      <xdr:rowOff>113568</xdr:rowOff>
    </xdr:to>
    <xdr:cxnSp macro="">
      <xdr:nvCxnSpPr>
        <xdr:cNvPr id="16" name="直接连接符 15">
          <a:extLst>
            <a:ext uri="{FF2B5EF4-FFF2-40B4-BE49-F238E27FC236}">
              <a16:creationId xmlns:a16="http://schemas.microsoft.com/office/drawing/2014/main" id="{59F7C439-69F7-8B8D-DB85-4A8D4FE36BB4}"/>
            </a:ext>
          </a:extLst>
        </xdr:cNvPr>
        <xdr:cNvCxnSpPr/>
      </xdr:nvCxnSpPr>
      <xdr:spPr>
        <a:xfrm>
          <a:off x="3535241" y="4223972"/>
          <a:ext cx="0" cy="241788"/>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628651</xdr:colOff>
      <xdr:row>26</xdr:row>
      <xdr:rowOff>46161</xdr:rowOff>
    </xdr:from>
    <xdr:to>
      <xdr:col>2</xdr:col>
      <xdr:colOff>628651</xdr:colOff>
      <xdr:row>27</xdr:row>
      <xdr:rowOff>126757</xdr:rowOff>
    </xdr:to>
    <xdr:cxnSp macro="">
      <xdr:nvCxnSpPr>
        <xdr:cNvPr id="18" name="直接连接符 17">
          <a:extLst>
            <a:ext uri="{FF2B5EF4-FFF2-40B4-BE49-F238E27FC236}">
              <a16:creationId xmlns:a16="http://schemas.microsoft.com/office/drawing/2014/main" id="{1EAAF0C4-7E9E-4189-852F-965DEF8E4ADA}"/>
            </a:ext>
          </a:extLst>
        </xdr:cNvPr>
        <xdr:cNvCxnSpPr/>
      </xdr:nvCxnSpPr>
      <xdr:spPr>
        <a:xfrm>
          <a:off x="1925516" y="4237161"/>
          <a:ext cx="0" cy="241788"/>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605205</xdr:colOff>
      <xdr:row>25</xdr:row>
      <xdr:rowOff>158263</xdr:rowOff>
    </xdr:from>
    <xdr:to>
      <xdr:col>7</xdr:col>
      <xdr:colOff>605205</xdr:colOff>
      <xdr:row>27</xdr:row>
      <xdr:rowOff>77667</xdr:rowOff>
    </xdr:to>
    <xdr:cxnSp macro="">
      <xdr:nvCxnSpPr>
        <xdr:cNvPr id="19" name="直接连接符 18">
          <a:extLst>
            <a:ext uri="{FF2B5EF4-FFF2-40B4-BE49-F238E27FC236}">
              <a16:creationId xmlns:a16="http://schemas.microsoft.com/office/drawing/2014/main" id="{A08DB2E9-EC6C-48E5-AB9B-DC22600D68C3}"/>
            </a:ext>
          </a:extLst>
        </xdr:cNvPr>
        <xdr:cNvCxnSpPr/>
      </xdr:nvCxnSpPr>
      <xdr:spPr>
        <a:xfrm>
          <a:off x="5144234" y="4188071"/>
          <a:ext cx="0" cy="241788"/>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335643</xdr:colOff>
      <xdr:row>63</xdr:row>
      <xdr:rowOff>4536</xdr:rowOff>
    </xdr:from>
    <xdr:to>
      <xdr:col>50</xdr:col>
      <xdr:colOff>12701</xdr:colOff>
      <xdr:row>63</xdr:row>
      <xdr:rowOff>29936</xdr:rowOff>
    </xdr:to>
    <xdr:cxnSp macro="">
      <xdr:nvCxnSpPr>
        <xdr:cNvPr id="2" name="Pfeil10">
          <a:extLst>
            <a:ext uri="{FF2B5EF4-FFF2-40B4-BE49-F238E27FC236}">
              <a16:creationId xmlns:a16="http://schemas.microsoft.com/office/drawing/2014/main" id="{40C33F91-7E57-4BFC-8E11-4CA7A96BE9C2}"/>
            </a:ext>
          </a:extLst>
        </xdr:cNvPr>
        <xdr:cNvCxnSpPr/>
      </xdr:nvCxnSpPr>
      <xdr:spPr>
        <a:xfrm>
          <a:off x="12803868" y="14301561"/>
          <a:ext cx="36005408" cy="25400"/>
        </a:xfrm>
        <a:prstGeom prst="straightConnector1">
          <a:avLst/>
        </a:prstGeom>
        <a:noFill/>
        <a:ln w="27940" cap="flat" cmpd="sng" algn="ctr">
          <a:noFill/>
          <a:prstDash val="solid"/>
          <a:miter lim="800000"/>
          <a:headEnd type="none" w="med" len="med"/>
          <a:tailEnd type="triangle" w="med" len="med"/>
        </a:ln>
        <a:effectLst/>
        <a:extLst>
          <a:ext uri="{91240B29-F687-4F45-9708-019B960494DF}">
            <a14:hiddenLine xmlns:a14="http://schemas.microsoft.com/office/drawing/2010/main" w="27940" cap="flat" cmpd="sng" algn="ctr">
              <a:solidFill>
                <a:srgbClr val="1F4E79"/>
              </a:solidFill>
              <a:prstDash val="solid"/>
              <a:miter lim="800000"/>
              <a:headEnd type="none" w="med" len="med"/>
              <a:tailEnd type="triangle" w="med" len="med"/>
            </a14:hiddenLine>
          </a:ext>
        </a:extLst>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228600</xdr:colOff>
      <xdr:row>25</xdr:row>
      <xdr:rowOff>101600</xdr:rowOff>
    </xdr:from>
    <xdr:to>
      <xdr:col>15</xdr:col>
      <xdr:colOff>685800</xdr:colOff>
      <xdr:row>25</xdr:row>
      <xdr:rowOff>101600</xdr:rowOff>
    </xdr:to>
    <xdr:cxnSp macro="">
      <xdr:nvCxnSpPr>
        <xdr:cNvPr id="3" name="Pfeil2">
          <a:extLst>
            <a:ext uri="{FF2B5EF4-FFF2-40B4-BE49-F238E27FC236}">
              <a16:creationId xmlns:a16="http://schemas.microsoft.com/office/drawing/2014/main" id="{C32E1895-1966-409A-9D27-B9CCD359C822}"/>
            </a:ext>
          </a:extLst>
        </xdr:cNvPr>
        <xdr:cNvCxnSpPr/>
      </xdr:nvCxnSpPr>
      <xdr:spPr>
        <a:xfrm>
          <a:off x="12696825" y="6911975"/>
          <a:ext cx="2000250" cy="0"/>
        </a:xfrm>
        <a:prstGeom prst="straightConnector1">
          <a:avLst/>
        </a:prstGeom>
        <a:ln w="279400">
          <a:solidFill>
            <a:schemeClr val="accent1">
              <a:lumMod val="50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355600</xdr:colOff>
      <xdr:row>27</xdr:row>
      <xdr:rowOff>101600</xdr:rowOff>
    </xdr:from>
    <xdr:to>
      <xdr:col>15</xdr:col>
      <xdr:colOff>898072</xdr:colOff>
      <xdr:row>54</xdr:row>
      <xdr:rowOff>95250</xdr:rowOff>
    </xdr:to>
    <xdr:cxnSp macro="">
      <xdr:nvCxnSpPr>
        <xdr:cNvPr id="4" name="Pfeil3">
          <a:extLst>
            <a:ext uri="{FF2B5EF4-FFF2-40B4-BE49-F238E27FC236}">
              <a16:creationId xmlns:a16="http://schemas.microsoft.com/office/drawing/2014/main" id="{AFFF151C-D390-4D6B-93CB-0CF622A4469E}"/>
            </a:ext>
          </a:extLst>
        </xdr:cNvPr>
        <xdr:cNvCxnSpPr/>
      </xdr:nvCxnSpPr>
      <xdr:spPr>
        <a:xfrm>
          <a:off x="12823825" y="7269163"/>
          <a:ext cx="2085522" cy="5389562"/>
        </a:xfrm>
        <a:prstGeom prst="straightConnector1">
          <a:avLst/>
        </a:prstGeom>
        <a:noFill/>
        <a:ln w="34925" cap="flat" cmpd="sng" algn="ctr">
          <a:solidFill>
            <a:srgbClr val="1F4E79"/>
          </a:solidFill>
          <a:prstDash val="solid"/>
          <a:miter lim="800000"/>
          <a:headEnd type="none" w="med" len="med"/>
          <a:tailEnd type="triangle" w="med" len="med"/>
        </a:ln>
        <a:effectLst/>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279400</xdr:colOff>
      <xdr:row>25</xdr:row>
      <xdr:rowOff>76200</xdr:rowOff>
    </xdr:from>
    <xdr:to>
      <xdr:col>21</xdr:col>
      <xdr:colOff>635000</xdr:colOff>
      <xdr:row>25</xdr:row>
      <xdr:rowOff>76200</xdr:rowOff>
    </xdr:to>
    <xdr:cxnSp macro="">
      <xdr:nvCxnSpPr>
        <xdr:cNvPr id="5" name="Pfeil4">
          <a:extLst>
            <a:ext uri="{FF2B5EF4-FFF2-40B4-BE49-F238E27FC236}">
              <a16:creationId xmlns:a16="http://schemas.microsoft.com/office/drawing/2014/main" id="{585BB50B-D345-4223-B8A3-CDE7C2331E9F}"/>
            </a:ext>
          </a:extLst>
        </xdr:cNvPr>
        <xdr:cNvCxnSpPr/>
      </xdr:nvCxnSpPr>
      <xdr:spPr>
        <a:xfrm>
          <a:off x="19943763" y="6886575"/>
          <a:ext cx="1127125" cy="0"/>
        </a:xfrm>
        <a:prstGeom prst="straightConnector1">
          <a:avLst/>
        </a:prstGeom>
        <a:ln w="257048">
          <a:solidFill>
            <a:schemeClr val="accent1">
              <a:lumMod val="50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254000</xdr:colOff>
      <xdr:row>27</xdr:row>
      <xdr:rowOff>0</xdr:rowOff>
    </xdr:from>
    <xdr:to>
      <xdr:col>21</xdr:col>
      <xdr:colOff>558800</xdr:colOff>
      <xdr:row>51</xdr:row>
      <xdr:rowOff>101600</xdr:rowOff>
    </xdr:to>
    <xdr:cxnSp macro="">
      <xdr:nvCxnSpPr>
        <xdr:cNvPr id="6" name="Pfeil5">
          <a:extLst>
            <a:ext uri="{FF2B5EF4-FFF2-40B4-BE49-F238E27FC236}">
              <a16:creationId xmlns:a16="http://schemas.microsoft.com/office/drawing/2014/main" id="{3262568A-B96A-4061-A250-9B2BFCC7CD30}"/>
            </a:ext>
          </a:extLst>
        </xdr:cNvPr>
        <xdr:cNvCxnSpPr/>
      </xdr:nvCxnSpPr>
      <xdr:spPr>
        <a:xfrm>
          <a:off x="19918363" y="7167563"/>
          <a:ext cx="1076325" cy="4725987"/>
        </a:xfrm>
        <a:prstGeom prst="straightConnector1">
          <a:avLst/>
        </a:prstGeom>
        <a:ln w="22352">
          <a:solidFill>
            <a:schemeClr val="accent1">
              <a:lumMod val="50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76200</xdr:colOff>
      <xdr:row>26</xdr:row>
      <xdr:rowOff>6350</xdr:rowOff>
    </xdr:from>
    <xdr:to>
      <xdr:col>50</xdr:col>
      <xdr:colOff>50800</xdr:colOff>
      <xdr:row>26</xdr:row>
      <xdr:rowOff>25400</xdr:rowOff>
    </xdr:to>
    <xdr:cxnSp macro="">
      <xdr:nvCxnSpPr>
        <xdr:cNvPr id="7" name="Pfeil8">
          <a:extLst>
            <a:ext uri="{FF2B5EF4-FFF2-40B4-BE49-F238E27FC236}">
              <a16:creationId xmlns:a16="http://schemas.microsoft.com/office/drawing/2014/main" id="{57149EEB-D01E-494D-9734-EFF6F44230BF}"/>
            </a:ext>
          </a:extLst>
        </xdr:cNvPr>
        <xdr:cNvCxnSpPr/>
      </xdr:nvCxnSpPr>
      <xdr:spPr>
        <a:xfrm>
          <a:off x="47358300" y="6997700"/>
          <a:ext cx="1489075" cy="19050"/>
        </a:xfrm>
        <a:prstGeom prst="straightConnector1">
          <a:avLst/>
        </a:prstGeom>
        <a:ln w="279400">
          <a:solidFill>
            <a:schemeClr val="accent1">
              <a:lumMod val="50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101600</xdr:colOff>
      <xdr:row>26</xdr:row>
      <xdr:rowOff>0</xdr:rowOff>
    </xdr:from>
    <xdr:to>
      <xdr:col>55</xdr:col>
      <xdr:colOff>736600</xdr:colOff>
      <xdr:row>26</xdr:row>
      <xdr:rowOff>6350</xdr:rowOff>
    </xdr:to>
    <xdr:cxnSp macro="">
      <xdr:nvCxnSpPr>
        <xdr:cNvPr id="8" name="Pfeil14">
          <a:extLst>
            <a:ext uri="{FF2B5EF4-FFF2-40B4-BE49-F238E27FC236}">
              <a16:creationId xmlns:a16="http://schemas.microsoft.com/office/drawing/2014/main" id="{CF515647-94FD-4C16-868C-1E003816EF52}"/>
            </a:ext>
          </a:extLst>
        </xdr:cNvPr>
        <xdr:cNvCxnSpPr/>
      </xdr:nvCxnSpPr>
      <xdr:spPr>
        <a:xfrm flipV="1">
          <a:off x="52350988" y="6991350"/>
          <a:ext cx="1406525" cy="6350"/>
        </a:xfrm>
        <a:prstGeom prst="straightConnector1">
          <a:avLst/>
        </a:prstGeom>
        <a:ln w="279400">
          <a:solidFill>
            <a:schemeClr val="accent1">
              <a:lumMod val="50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21772</xdr:colOff>
      <xdr:row>37</xdr:row>
      <xdr:rowOff>81643</xdr:rowOff>
    </xdr:from>
    <xdr:to>
      <xdr:col>42</xdr:col>
      <xdr:colOff>527051</xdr:colOff>
      <xdr:row>37</xdr:row>
      <xdr:rowOff>87993</xdr:rowOff>
    </xdr:to>
    <xdr:cxnSp macro="">
      <xdr:nvCxnSpPr>
        <xdr:cNvPr id="9" name="Pfeil6">
          <a:extLst>
            <a:ext uri="{FF2B5EF4-FFF2-40B4-BE49-F238E27FC236}">
              <a16:creationId xmlns:a16="http://schemas.microsoft.com/office/drawing/2014/main" id="{DB8ED8F9-8F70-46B6-B547-FC34618C4BBD}"/>
            </a:ext>
          </a:extLst>
        </xdr:cNvPr>
        <xdr:cNvCxnSpPr/>
      </xdr:nvCxnSpPr>
      <xdr:spPr>
        <a:xfrm flipV="1">
          <a:off x="40964985" y="9092293"/>
          <a:ext cx="1276804" cy="6350"/>
        </a:xfrm>
        <a:prstGeom prst="straightConnector1">
          <a:avLst/>
        </a:prstGeom>
        <a:ln w="279400">
          <a:solidFill>
            <a:schemeClr val="accent1">
              <a:lumMod val="50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152399</xdr:colOff>
      <xdr:row>25</xdr:row>
      <xdr:rowOff>76200</xdr:rowOff>
    </xdr:from>
    <xdr:to>
      <xdr:col>9</xdr:col>
      <xdr:colOff>406400</xdr:colOff>
      <xdr:row>25</xdr:row>
      <xdr:rowOff>112200</xdr:rowOff>
    </xdr:to>
    <xdr:cxnSp macro="">
      <xdr:nvCxnSpPr>
        <xdr:cNvPr id="10" name="Pfeil1">
          <a:extLst>
            <a:ext uri="{FF2B5EF4-FFF2-40B4-BE49-F238E27FC236}">
              <a16:creationId xmlns:a16="http://schemas.microsoft.com/office/drawing/2014/main" id="{BD9E76BD-C3FF-444A-80C9-2372B7713962}"/>
            </a:ext>
          </a:extLst>
        </xdr:cNvPr>
        <xdr:cNvCxnSpPr/>
      </xdr:nvCxnSpPr>
      <xdr:spPr>
        <a:xfrm flipV="1">
          <a:off x="5776912" y="6886575"/>
          <a:ext cx="2568576" cy="36000"/>
        </a:xfrm>
        <a:prstGeom prst="straightConnector1">
          <a:avLst/>
        </a:prstGeom>
        <a:ln w="279400">
          <a:solidFill>
            <a:schemeClr val="accent1">
              <a:lumMod val="50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228600</xdr:colOff>
      <xdr:row>62</xdr:row>
      <xdr:rowOff>76200</xdr:rowOff>
    </xdr:from>
    <xdr:to>
      <xdr:col>8</xdr:col>
      <xdr:colOff>304800</xdr:colOff>
      <xdr:row>62</xdr:row>
      <xdr:rowOff>101600</xdr:rowOff>
    </xdr:to>
    <xdr:cxnSp macro="">
      <xdr:nvCxnSpPr>
        <xdr:cNvPr id="11" name="Pfeil13">
          <a:extLst>
            <a:ext uri="{FF2B5EF4-FFF2-40B4-BE49-F238E27FC236}">
              <a16:creationId xmlns:a16="http://schemas.microsoft.com/office/drawing/2014/main" id="{E72E17BC-B153-49F5-B483-4E20A63412B5}"/>
            </a:ext>
          </a:extLst>
        </xdr:cNvPr>
        <xdr:cNvCxnSpPr/>
      </xdr:nvCxnSpPr>
      <xdr:spPr>
        <a:xfrm flipV="1">
          <a:off x="5853113" y="14197013"/>
          <a:ext cx="1619250" cy="25400"/>
        </a:xfrm>
        <a:prstGeom prst="straightConnector1">
          <a:avLst/>
        </a:prstGeom>
        <a:noFill/>
        <a:ln w="27940" cap="flat" cmpd="sng" algn="ctr">
          <a:noFill/>
          <a:prstDash val="solid"/>
          <a:miter lim="800000"/>
          <a:headEnd type="none" w="med" len="med"/>
          <a:tailEnd type="triangle" w="med" len="med"/>
        </a:ln>
        <a:effectLst/>
        <a:extLst>
          <a:ext uri="{91240B29-F687-4F45-9708-019B960494DF}">
            <a14:hiddenLine xmlns:a14="http://schemas.microsoft.com/office/drawing/2010/main" w="27940" cap="flat" cmpd="sng" algn="ctr">
              <a:solidFill>
                <a:srgbClr val="1F4E79"/>
              </a:solidFill>
              <a:prstDash val="solid"/>
              <a:miter lim="800000"/>
              <a:headEnd type="none" w="med" len="med"/>
              <a:tailEnd type="triangle" w="med" len="med"/>
            </a14:hiddenLine>
          </a:ext>
        </a:extLst>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123265</xdr:colOff>
      <xdr:row>71</xdr:row>
      <xdr:rowOff>134471</xdr:rowOff>
    </xdr:from>
    <xdr:to>
      <xdr:col>57</xdr:col>
      <xdr:colOff>101603</xdr:colOff>
      <xdr:row>72</xdr:row>
      <xdr:rowOff>25401</xdr:rowOff>
    </xdr:to>
    <xdr:cxnSp macro="">
      <xdr:nvCxnSpPr>
        <xdr:cNvPr id="12" name="Pfeil12">
          <a:extLst>
            <a:ext uri="{FF2B5EF4-FFF2-40B4-BE49-F238E27FC236}">
              <a16:creationId xmlns:a16="http://schemas.microsoft.com/office/drawing/2014/main" id="{274B3E53-2468-482A-8D11-B75300F7C23E}"/>
            </a:ext>
          </a:extLst>
        </xdr:cNvPr>
        <xdr:cNvCxnSpPr/>
      </xdr:nvCxnSpPr>
      <xdr:spPr>
        <a:xfrm flipH="1" flipV="1">
          <a:off x="15453753" y="15941209"/>
          <a:ext cx="39211813" cy="67142"/>
        </a:xfrm>
        <a:prstGeom prst="straightConnector1">
          <a:avLst/>
        </a:prstGeom>
        <a:ln w="27940">
          <a:solidFill>
            <a:schemeClr val="accent1">
              <a:lumMod val="50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406400</xdr:colOff>
      <xdr:row>58</xdr:row>
      <xdr:rowOff>50800</xdr:rowOff>
    </xdr:from>
    <xdr:to>
      <xdr:col>30</xdr:col>
      <xdr:colOff>431800</xdr:colOff>
      <xdr:row>70</xdr:row>
      <xdr:rowOff>50800</xdr:rowOff>
    </xdr:to>
    <xdr:cxnSp macro="">
      <xdr:nvCxnSpPr>
        <xdr:cNvPr id="13" name="Pfeil11.2">
          <a:extLst>
            <a:ext uri="{FF2B5EF4-FFF2-40B4-BE49-F238E27FC236}">
              <a16:creationId xmlns:a16="http://schemas.microsoft.com/office/drawing/2014/main" id="{49A146F9-9CEF-4F72-BB35-341ED2050363}"/>
            </a:ext>
          </a:extLst>
        </xdr:cNvPr>
        <xdr:cNvCxnSpPr/>
      </xdr:nvCxnSpPr>
      <xdr:spPr>
        <a:xfrm flipH="1" flipV="1">
          <a:off x="30624463" y="13333413"/>
          <a:ext cx="25400" cy="2352675"/>
        </a:xfrm>
        <a:prstGeom prst="straightConnector1">
          <a:avLst/>
        </a:prstGeom>
        <a:ln w="27940">
          <a:solidFill>
            <a:schemeClr val="accent1">
              <a:lumMod val="50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112059</xdr:colOff>
      <xdr:row>70</xdr:row>
      <xdr:rowOff>56030</xdr:rowOff>
    </xdr:from>
    <xdr:to>
      <xdr:col>30</xdr:col>
      <xdr:colOff>431800</xdr:colOff>
      <xdr:row>70</xdr:row>
      <xdr:rowOff>76200</xdr:rowOff>
    </xdr:to>
    <xdr:cxnSp macro="">
      <xdr:nvCxnSpPr>
        <xdr:cNvPr id="14" name="Pfeil11.1">
          <a:extLst>
            <a:ext uri="{FF2B5EF4-FFF2-40B4-BE49-F238E27FC236}">
              <a16:creationId xmlns:a16="http://schemas.microsoft.com/office/drawing/2014/main" id="{379C622A-D0F7-4A5A-8936-295B95321E81}"/>
            </a:ext>
          </a:extLst>
        </xdr:cNvPr>
        <xdr:cNvCxnSpPr/>
      </xdr:nvCxnSpPr>
      <xdr:spPr>
        <a:xfrm>
          <a:off x="15442547" y="15691318"/>
          <a:ext cx="15207316" cy="20170"/>
        </a:xfrm>
        <a:prstGeom prst="line">
          <a:avLst/>
        </a:prstGeom>
        <a:ln w="2794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30163</xdr:colOff>
      <xdr:row>5</xdr:row>
      <xdr:rowOff>79375</xdr:rowOff>
    </xdr:from>
    <xdr:to>
      <xdr:col>54</xdr:col>
      <xdr:colOff>693738</xdr:colOff>
      <xdr:row>5</xdr:row>
      <xdr:rowOff>168275</xdr:rowOff>
    </xdr:to>
    <xdr:cxnSp macro="">
      <xdr:nvCxnSpPr>
        <xdr:cNvPr id="15" name="LgPfeil6.3">
          <a:extLst>
            <a:ext uri="{FF2B5EF4-FFF2-40B4-BE49-F238E27FC236}">
              <a16:creationId xmlns:a16="http://schemas.microsoft.com/office/drawing/2014/main" id="{455E9485-98BB-4C5A-98BA-75B62760692D}"/>
            </a:ext>
          </a:extLst>
        </xdr:cNvPr>
        <xdr:cNvCxnSpPr/>
      </xdr:nvCxnSpPr>
      <xdr:spPr>
        <a:xfrm>
          <a:off x="4783138" y="1831975"/>
          <a:ext cx="48159988" cy="88900"/>
        </a:xfrm>
        <a:prstGeom prst="line">
          <a:avLst/>
        </a:prstGeom>
        <a:noFill/>
        <a:ln w="101600" cap="flat" cmpd="sng" algn="ctr">
          <a:noFill/>
          <a:prstDash val="dash"/>
          <a:miter lim="800000"/>
        </a:ln>
        <a:effectLst/>
        <a:extLst>
          <a:ext uri="{91240B29-F687-4F45-9708-019B960494DF}">
            <a14:hiddenLine xmlns:a14="http://schemas.microsoft.com/office/drawing/2010/main" w="101600" cap="flat" cmpd="sng" algn="ctr">
              <a:solidFill>
                <a:schemeClr val="accent2">
                  <a:lumMod val="75000"/>
                </a:schemeClr>
              </a:solidFill>
              <a:prstDash val="dash"/>
              <a:miter lim="800000"/>
            </a14:hiddenLine>
          </a:ext>
        </a:ex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53975</xdr:colOff>
      <xdr:row>25</xdr:row>
      <xdr:rowOff>95250</xdr:rowOff>
    </xdr:from>
    <xdr:to>
      <xdr:col>42</xdr:col>
      <xdr:colOff>276225</xdr:colOff>
      <xdr:row>50</xdr:row>
      <xdr:rowOff>103507</xdr:rowOff>
    </xdr:to>
    <xdr:sp macro="" textlink="">
      <xdr:nvSpPr>
        <xdr:cNvPr id="16" name="Pfeil7">
          <a:extLst>
            <a:ext uri="{FF2B5EF4-FFF2-40B4-BE49-F238E27FC236}">
              <a16:creationId xmlns:a16="http://schemas.microsoft.com/office/drawing/2014/main" id="{71687AE5-BC71-47A5-8F6B-5C52772D27E8}"/>
            </a:ext>
          </a:extLst>
        </xdr:cNvPr>
        <xdr:cNvSpPr/>
      </xdr:nvSpPr>
      <xdr:spPr>
        <a:xfrm>
          <a:off x="40997188" y="6905625"/>
          <a:ext cx="993775" cy="4646932"/>
        </a:xfrm>
        <a:custGeom>
          <a:avLst/>
          <a:gdLst>
            <a:gd name="connsiteX0" fmla="*/ 11545 w 588827"/>
            <a:gd name="connsiteY0" fmla="*/ 947768 h 947768"/>
            <a:gd name="connsiteX1" fmla="*/ 588818 w 588827"/>
            <a:gd name="connsiteY1" fmla="*/ 566768 h 947768"/>
            <a:gd name="connsiteX2" fmla="*/ 0 w 588827"/>
            <a:gd name="connsiteY2" fmla="*/ 1040 h 947768"/>
          </a:gdLst>
          <a:ahLst/>
          <a:cxnLst>
            <a:cxn ang="0">
              <a:pos x="connsiteX0" y="connsiteY0"/>
            </a:cxn>
            <a:cxn ang="0">
              <a:pos x="connsiteX1" y="connsiteY1"/>
            </a:cxn>
            <a:cxn ang="0">
              <a:pos x="connsiteX2" y="connsiteY2"/>
            </a:cxn>
          </a:cxnLst>
          <a:rect l="l" t="t" r="r" b="b"/>
          <a:pathLst>
            <a:path w="588827" h="947768">
              <a:moveTo>
                <a:pt x="11545" y="947768"/>
              </a:moveTo>
              <a:cubicBezTo>
                <a:pt x="301143" y="836162"/>
                <a:pt x="590742" y="724556"/>
                <a:pt x="588818" y="566768"/>
              </a:cubicBezTo>
              <a:cubicBezTo>
                <a:pt x="586894" y="408980"/>
                <a:pt x="73121" y="-23975"/>
                <a:pt x="0" y="1040"/>
              </a:cubicBezTo>
            </a:path>
          </a:pathLst>
        </a:custGeom>
        <a:ln w="27940">
          <a:solidFill>
            <a:schemeClr val="accent1">
              <a:lumMod val="50000"/>
            </a:schemeClr>
          </a:solidFill>
          <a:tailEnd type="triangle"/>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de-DE" sz="1100"/>
        </a:p>
      </xdr:txBody>
    </xdr:sp>
    <xdr:clientData/>
  </xdr:twoCellAnchor>
  <xdr:twoCellAnchor>
    <xdr:from>
      <xdr:col>19</xdr:col>
      <xdr:colOff>9237</xdr:colOff>
      <xdr:row>14</xdr:row>
      <xdr:rowOff>20781</xdr:rowOff>
    </xdr:from>
    <xdr:to>
      <xdr:col>19</xdr:col>
      <xdr:colOff>9237</xdr:colOff>
      <xdr:row>19</xdr:row>
      <xdr:rowOff>94673</xdr:rowOff>
    </xdr:to>
    <xdr:cxnSp macro="">
      <xdr:nvCxnSpPr>
        <xdr:cNvPr id="17" name="LgPfeil1">
          <a:extLst>
            <a:ext uri="{FF2B5EF4-FFF2-40B4-BE49-F238E27FC236}">
              <a16:creationId xmlns:a16="http://schemas.microsoft.com/office/drawing/2014/main" id="{0BA4C88A-B726-4F48-8AFC-7DDE2E82BC12}"/>
            </a:ext>
          </a:extLst>
        </xdr:cNvPr>
        <xdr:cNvCxnSpPr/>
      </xdr:nvCxnSpPr>
      <xdr:spPr>
        <a:xfrm flipV="1">
          <a:off x="18673475" y="4040331"/>
          <a:ext cx="0" cy="1283567"/>
        </a:xfrm>
        <a:prstGeom prst="straightConnector1">
          <a:avLst/>
        </a:prstGeom>
        <a:noFill/>
        <a:ln w="191698" cap="flat" cmpd="sng" algn="ctr">
          <a:noFill/>
          <a:prstDash val="dash"/>
          <a:miter lim="800000"/>
          <a:tailEnd type="triangle"/>
        </a:ln>
        <a:effectLst/>
        <a:extLst>
          <a:ext uri="{91240B29-F687-4F45-9708-019B960494DF}">
            <a14:hiddenLine xmlns:a14="http://schemas.microsoft.com/office/drawing/2010/main" w="191698" cap="flat" cmpd="sng" algn="ctr">
              <a:solidFill>
                <a:schemeClr val="accent2">
                  <a:lumMod val="75000"/>
                </a:schemeClr>
              </a:solidFill>
              <a:prstDash val="dash"/>
              <a:miter lim="800000"/>
              <a:tailEnd type="triangle"/>
            </a14:hiddenLine>
          </a:ext>
        </a:extLst>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248709</xdr:colOff>
      <xdr:row>14</xdr:row>
      <xdr:rowOff>105834</xdr:rowOff>
    </xdr:from>
    <xdr:to>
      <xdr:col>40</xdr:col>
      <xdr:colOff>264584</xdr:colOff>
      <xdr:row>19</xdr:row>
      <xdr:rowOff>26458</xdr:rowOff>
    </xdr:to>
    <xdr:cxnSp macro="">
      <xdr:nvCxnSpPr>
        <xdr:cNvPr id="18" name="LgPfeil2">
          <a:extLst>
            <a:ext uri="{FF2B5EF4-FFF2-40B4-BE49-F238E27FC236}">
              <a16:creationId xmlns:a16="http://schemas.microsoft.com/office/drawing/2014/main" id="{94BFF19D-FE06-445B-ABAF-F282004FF516}"/>
            </a:ext>
          </a:extLst>
        </xdr:cNvPr>
        <xdr:cNvCxnSpPr/>
      </xdr:nvCxnSpPr>
      <xdr:spPr>
        <a:xfrm flipH="1" flipV="1">
          <a:off x="40353722" y="4125384"/>
          <a:ext cx="15875" cy="1130299"/>
        </a:xfrm>
        <a:prstGeom prst="straightConnector1">
          <a:avLst/>
        </a:prstGeom>
        <a:noFill/>
        <a:ln w="0" cap="flat" cmpd="sng" algn="ctr">
          <a:noFill/>
          <a:prstDash val="dash"/>
          <a:miter lim="800000"/>
          <a:tailEnd type="triangle"/>
        </a:ln>
        <a:effectLst/>
        <a:extLst>
          <a:ext uri="{91240B29-F687-4F45-9708-019B960494DF}">
            <a14:hiddenLine xmlns:a14="http://schemas.microsoft.com/office/drawing/2010/main" w="0" cap="flat" cmpd="sng" algn="ctr">
              <a:solidFill>
                <a:schemeClr val="accent2">
                  <a:lumMod val="75000"/>
                </a:schemeClr>
              </a:solidFill>
              <a:prstDash val="dash"/>
              <a:miter lim="800000"/>
              <a:tailEnd type="triangle"/>
            </a14:hiddenLine>
          </a:ext>
        </a:extLst>
      </xdr:spPr>
      <xdr:style>
        <a:lnRef idx="1">
          <a:schemeClr val="dk1"/>
        </a:lnRef>
        <a:fillRef idx="0">
          <a:schemeClr val="dk1"/>
        </a:fillRef>
        <a:effectRef idx="0">
          <a:schemeClr val="dk1"/>
        </a:effectRef>
        <a:fontRef idx="minor">
          <a:schemeClr val="tx1"/>
        </a:fontRef>
      </xdr:style>
    </xdr:cxnSp>
    <xdr:clientData/>
  </xdr:twoCellAnchor>
  <xdr:twoCellAnchor>
    <xdr:from>
      <xdr:col>46</xdr:col>
      <xdr:colOff>0</xdr:colOff>
      <xdr:row>14</xdr:row>
      <xdr:rowOff>127000</xdr:rowOff>
    </xdr:from>
    <xdr:to>
      <xdr:col>46</xdr:col>
      <xdr:colOff>25400</xdr:colOff>
      <xdr:row>19</xdr:row>
      <xdr:rowOff>177800</xdr:rowOff>
    </xdr:to>
    <xdr:cxnSp macro="">
      <xdr:nvCxnSpPr>
        <xdr:cNvPr id="19" name="LgPfeil4">
          <a:extLst>
            <a:ext uri="{FF2B5EF4-FFF2-40B4-BE49-F238E27FC236}">
              <a16:creationId xmlns:a16="http://schemas.microsoft.com/office/drawing/2014/main" id="{E8A6424A-428D-483A-98B3-45AA87C8FAAE}"/>
            </a:ext>
          </a:extLst>
        </xdr:cNvPr>
        <xdr:cNvCxnSpPr/>
      </xdr:nvCxnSpPr>
      <xdr:spPr>
        <a:xfrm flipH="1">
          <a:off x="44924663" y="4146550"/>
          <a:ext cx="25400" cy="1260475"/>
        </a:xfrm>
        <a:prstGeom prst="straightConnector1">
          <a:avLst/>
        </a:prstGeom>
        <a:noFill/>
        <a:ln w="0" cap="flat" cmpd="sng" algn="ctr">
          <a:noFill/>
          <a:prstDash val="dash"/>
          <a:miter lim="800000"/>
          <a:tailEnd type="triangle"/>
        </a:ln>
        <a:effectLst/>
        <a:extLst>
          <a:ext uri="{91240B29-F687-4F45-9708-019B960494DF}">
            <a14:hiddenLine xmlns:a14="http://schemas.microsoft.com/office/drawing/2010/main" w="0" cap="flat" cmpd="sng" algn="ctr">
              <a:solidFill>
                <a:schemeClr val="accent2">
                  <a:lumMod val="75000"/>
                </a:schemeClr>
              </a:solidFill>
              <a:prstDash val="dash"/>
              <a:miter lim="800000"/>
              <a:tailEnd type="triangle"/>
            </a14:hiddenLine>
          </a:ext>
        </a:extLst>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254000</xdr:colOff>
      <xdr:row>14</xdr:row>
      <xdr:rowOff>0</xdr:rowOff>
    </xdr:from>
    <xdr:to>
      <xdr:col>39</xdr:col>
      <xdr:colOff>330200</xdr:colOff>
      <xdr:row>46</xdr:row>
      <xdr:rowOff>228600</xdr:rowOff>
    </xdr:to>
    <xdr:cxnSp macro="">
      <xdr:nvCxnSpPr>
        <xdr:cNvPr id="20" name="LgPfeil3">
          <a:extLst>
            <a:ext uri="{FF2B5EF4-FFF2-40B4-BE49-F238E27FC236}">
              <a16:creationId xmlns:a16="http://schemas.microsoft.com/office/drawing/2014/main" id="{8A4EC930-A73D-4BC7-9FA4-4BFDA43F5964}"/>
            </a:ext>
          </a:extLst>
        </xdr:cNvPr>
        <xdr:cNvCxnSpPr/>
      </xdr:nvCxnSpPr>
      <xdr:spPr>
        <a:xfrm flipH="1" flipV="1">
          <a:off x="39735125" y="4019550"/>
          <a:ext cx="76200" cy="6838950"/>
        </a:xfrm>
        <a:prstGeom prst="straightConnector1">
          <a:avLst/>
        </a:prstGeom>
        <a:noFill/>
        <a:ln w="9585" cap="flat" cmpd="sng" algn="ctr">
          <a:noFill/>
          <a:prstDash val="dash"/>
          <a:miter lim="800000"/>
          <a:tailEnd type="triangle"/>
        </a:ln>
        <a:effectLst/>
        <a:extLst>
          <a:ext uri="{91240B29-F687-4F45-9708-019B960494DF}">
            <a14:hiddenLine xmlns:a14="http://schemas.microsoft.com/office/drawing/2010/main" w="9585" cap="flat" cmpd="sng" algn="ctr">
              <a:solidFill>
                <a:schemeClr val="accent2">
                  <a:lumMod val="75000"/>
                </a:schemeClr>
              </a:solidFill>
              <a:prstDash val="dash"/>
              <a:miter lim="800000"/>
              <a:tailEnd type="triangle"/>
            </a14:hiddenLine>
          </a:ext>
        </a:extLst>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635000</xdr:colOff>
      <xdr:row>14</xdr:row>
      <xdr:rowOff>0</xdr:rowOff>
    </xdr:from>
    <xdr:to>
      <xdr:col>39</xdr:col>
      <xdr:colOff>711200</xdr:colOff>
      <xdr:row>46</xdr:row>
      <xdr:rowOff>203200</xdr:rowOff>
    </xdr:to>
    <xdr:cxnSp macro="">
      <xdr:nvCxnSpPr>
        <xdr:cNvPr id="21" name="fupfeil1">
          <a:extLst>
            <a:ext uri="{FF2B5EF4-FFF2-40B4-BE49-F238E27FC236}">
              <a16:creationId xmlns:a16="http://schemas.microsoft.com/office/drawing/2014/main" id="{9B6CAA88-2925-4F08-B6F6-A8BE13AFDACC}"/>
            </a:ext>
          </a:extLst>
        </xdr:cNvPr>
        <xdr:cNvCxnSpPr/>
      </xdr:nvCxnSpPr>
      <xdr:spPr>
        <a:xfrm flipH="1" flipV="1">
          <a:off x="40106600" y="4019550"/>
          <a:ext cx="0" cy="6813550"/>
        </a:xfrm>
        <a:prstGeom prst="straightConnector1">
          <a:avLst/>
        </a:prstGeom>
        <a:noFill/>
        <a:ln w="4792" cap="flat" cmpd="sng" algn="ctr">
          <a:noFill/>
          <a:prstDash val="dash"/>
          <a:miter lim="800000"/>
          <a:tailEnd type="triangle"/>
        </a:ln>
        <a:effectLst/>
        <a:extLst>
          <a:ext uri="{91240B29-F687-4F45-9708-019B960494DF}">
            <a14:hiddenLine xmlns:a14="http://schemas.microsoft.com/office/drawing/2010/main" w="4792" cap="flat" cmpd="sng" algn="ctr">
              <a:solidFill>
                <a:schemeClr val="accent2">
                  <a:lumMod val="75000"/>
                </a:schemeClr>
              </a:solidFill>
              <a:prstDash val="dash"/>
              <a:miter lim="800000"/>
              <a:tailEnd type="triangle"/>
            </a14:hiddenLine>
          </a:ext>
        </a:extLst>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50800</xdr:colOff>
      <xdr:row>6</xdr:row>
      <xdr:rowOff>101600</xdr:rowOff>
    </xdr:from>
    <xdr:to>
      <xdr:col>5</xdr:col>
      <xdr:colOff>50800</xdr:colOff>
      <xdr:row>11</xdr:row>
      <xdr:rowOff>127000</xdr:rowOff>
    </xdr:to>
    <xdr:cxnSp macro="">
      <xdr:nvCxnSpPr>
        <xdr:cNvPr id="22" name="LgPfeil6.4">
          <a:extLst>
            <a:ext uri="{FF2B5EF4-FFF2-40B4-BE49-F238E27FC236}">
              <a16:creationId xmlns:a16="http://schemas.microsoft.com/office/drawing/2014/main" id="{83AA2F9B-39AA-46BC-9F70-9FDF59784ABB}"/>
            </a:ext>
          </a:extLst>
        </xdr:cNvPr>
        <xdr:cNvCxnSpPr/>
      </xdr:nvCxnSpPr>
      <xdr:spPr>
        <a:xfrm>
          <a:off x="4803775" y="2030413"/>
          <a:ext cx="0" cy="1277937"/>
        </a:xfrm>
        <a:prstGeom prst="straightConnector1">
          <a:avLst/>
        </a:prstGeom>
        <a:noFill/>
        <a:ln w="101600" cap="flat" cmpd="sng" algn="ctr">
          <a:noFill/>
          <a:prstDash val="dash"/>
          <a:miter lim="800000"/>
          <a:tailEnd type="triangle"/>
        </a:ln>
        <a:effectLst/>
        <a:extLst>
          <a:ext uri="{91240B29-F687-4F45-9708-019B960494DF}">
            <a14:hiddenLine xmlns:a14="http://schemas.microsoft.com/office/drawing/2010/main" w="101600" cap="flat" cmpd="sng" algn="ctr">
              <a:solidFill>
                <a:schemeClr val="accent2">
                  <a:lumMod val="75000"/>
                </a:schemeClr>
              </a:solidFill>
              <a:prstDash val="dash"/>
              <a:miter lim="800000"/>
              <a:tailEnd type="triangle"/>
            </a14:hiddenLine>
          </a:ext>
        </a:extLst>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412751</xdr:colOff>
      <xdr:row>56</xdr:row>
      <xdr:rowOff>142876</xdr:rowOff>
    </xdr:from>
    <xdr:to>
      <xdr:col>45</xdr:col>
      <xdr:colOff>435428</xdr:colOff>
      <xdr:row>60</xdr:row>
      <xdr:rowOff>258536</xdr:rowOff>
    </xdr:to>
    <xdr:cxnSp macro="">
      <xdr:nvCxnSpPr>
        <xdr:cNvPr id="23" name="Pfeil9.2">
          <a:extLst>
            <a:ext uri="{FF2B5EF4-FFF2-40B4-BE49-F238E27FC236}">
              <a16:creationId xmlns:a16="http://schemas.microsoft.com/office/drawing/2014/main" id="{651C0959-FB45-4E18-B152-05C67D8974BF}"/>
            </a:ext>
          </a:extLst>
        </xdr:cNvPr>
        <xdr:cNvCxnSpPr/>
      </xdr:nvCxnSpPr>
      <xdr:spPr>
        <a:xfrm flipH="1" flipV="1">
          <a:off x="44251564" y="13068301"/>
          <a:ext cx="22677" cy="844323"/>
        </a:xfrm>
        <a:prstGeom prst="straightConnector1">
          <a:avLst/>
        </a:prstGeom>
        <a:noFill/>
        <a:ln w="34925" cap="flat" cmpd="sng" algn="ctr">
          <a:solidFill>
            <a:srgbClr val="1F4E79"/>
          </a:solidFill>
          <a:prstDash val="solid"/>
          <a:miter lim="800000"/>
          <a:headEnd type="none" w="med" len="med"/>
          <a:tailEnd type="triangle" w="med" len="med"/>
        </a:ln>
        <a:effectLst/>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31750</xdr:colOff>
      <xdr:row>59</xdr:row>
      <xdr:rowOff>174625</xdr:rowOff>
    </xdr:from>
    <xdr:to>
      <xdr:col>42</xdr:col>
      <xdr:colOff>408214</xdr:colOff>
      <xdr:row>63</xdr:row>
      <xdr:rowOff>122464</xdr:rowOff>
    </xdr:to>
    <xdr:cxnSp macro="">
      <xdr:nvCxnSpPr>
        <xdr:cNvPr id="24" name="Pfeil9.1">
          <a:extLst>
            <a:ext uri="{FF2B5EF4-FFF2-40B4-BE49-F238E27FC236}">
              <a16:creationId xmlns:a16="http://schemas.microsoft.com/office/drawing/2014/main" id="{B6AF2E51-C46B-4640-A1B3-054409FE7DDA}"/>
            </a:ext>
          </a:extLst>
        </xdr:cNvPr>
        <xdr:cNvCxnSpPr/>
      </xdr:nvCxnSpPr>
      <xdr:spPr>
        <a:xfrm>
          <a:off x="19696113" y="13638213"/>
          <a:ext cx="22426839" cy="781276"/>
        </a:xfrm>
        <a:prstGeom prst="line">
          <a:avLst/>
        </a:prstGeom>
        <a:noFill/>
        <a:ln w="34925" cap="flat" cmpd="sng" algn="ctr">
          <a:solidFill>
            <a:srgbClr val="1F4E79"/>
          </a:solidFill>
          <a:prstDash val="solid"/>
          <a:miter lim="800000"/>
          <a:headEnd type="none" w="med" len="med"/>
          <a:tailEnd type="triangle" w="med" len="me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101600</xdr:colOff>
      <xdr:row>67</xdr:row>
      <xdr:rowOff>50800</xdr:rowOff>
    </xdr:from>
    <xdr:to>
      <xdr:col>57</xdr:col>
      <xdr:colOff>101600</xdr:colOff>
      <xdr:row>72</xdr:row>
      <xdr:rowOff>32200</xdr:rowOff>
    </xdr:to>
    <xdr:cxnSp macro="">
      <xdr:nvCxnSpPr>
        <xdr:cNvPr id="25" name="Gerader Verbinder 51">
          <a:extLst>
            <a:ext uri="{FF2B5EF4-FFF2-40B4-BE49-F238E27FC236}">
              <a16:creationId xmlns:a16="http://schemas.microsoft.com/office/drawing/2014/main" id="{39D3DAC8-505C-4C36-9383-E6C2CCB5A66B}"/>
            </a:ext>
          </a:extLst>
        </xdr:cNvPr>
        <xdr:cNvCxnSpPr/>
      </xdr:nvCxnSpPr>
      <xdr:spPr>
        <a:xfrm>
          <a:off x="54665563" y="15052675"/>
          <a:ext cx="0" cy="962475"/>
        </a:xfrm>
        <a:prstGeom prst="line">
          <a:avLst/>
        </a:prstGeom>
        <a:ln w="5715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211667</xdr:colOff>
      <xdr:row>11</xdr:row>
      <xdr:rowOff>132292</xdr:rowOff>
    </xdr:from>
    <xdr:to>
      <xdr:col>15</xdr:col>
      <xdr:colOff>423334</xdr:colOff>
      <xdr:row>11</xdr:row>
      <xdr:rowOff>132292</xdr:rowOff>
    </xdr:to>
    <xdr:cxnSp macro="">
      <xdr:nvCxnSpPr>
        <xdr:cNvPr id="26" name="LgPfeil5">
          <a:extLst>
            <a:ext uri="{FF2B5EF4-FFF2-40B4-BE49-F238E27FC236}">
              <a16:creationId xmlns:a16="http://schemas.microsoft.com/office/drawing/2014/main" id="{80142066-A68C-4619-9383-EEF3BED4C6F5}"/>
            </a:ext>
          </a:extLst>
        </xdr:cNvPr>
        <xdr:cNvCxnSpPr/>
      </xdr:nvCxnSpPr>
      <xdr:spPr>
        <a:xfrm>
          <a:off x="12679892" y="3313642"/>
          <a:ext cx="1754717" cy="0"/>
        </a:xfrm>
        <a:prstGeom prst="straightConnector1">
          <a:avLst/>
        </a:prstGeom>
        <a:noFill/>
        <a:ln w="0" cap="flat" cmpd="sng" algn="ctr">
          <a:noFill/>
          <a:prstDash val="dash"/>
          <a:miter lim="800000"/>
          <a:tailEnd type="triangle"/>
        </a:ln>
        <a:effectLst/>
        <a:extLst>
          <a:ext uri="{91240B29-F687-4F45-9708-019B960494DF}">
            <a14:hiddenLine xmlns:a14="http://schemas.microsoft.com/office/drawing/2010/main" w="0" cap="flat" cmpd="sng" algn="ctr">
              <a:solidFill>
                <a:schemeClr val="accent2">
                  <a:lumMod val="75000"/>
                </a:schemeClr>
              </a:solidFill>
              <a:prstDash val="dash"/>
              <a:miter lim="800000"/>
              <a:tailEnd type="triangle"/>
            </a14:hiddenLine>
          </a:ext>
        </a:extLst>
      </xdr:spPr>
      <xdr:style>
        <a:lnRef idx="1">
          <a:schemeClr val="dk1"/>
        </a:lnRef>
        <a:fillRef idx="0">
          <a:schemeClr val="dk1"/>
        </a:fillRef>
        <a:effectRef idx="0">
          <a:schemeClr val="dk1"/>
        </a:effectRef>
        <a:fontRef idx="minor">
          <a:schemeClr val="tx1"/>
        </a:fontRef>
      </xdr:style>
    </xdr:cxnSp>
    <xdr:clientData/>
  </xdr:twoCellAnchor>
  <xdr:oneCellAnchor>
    <xdr:from>
      <xdr:col>28</xdr:col>
      <xdr:colOff>3093027</xdr:colOff>
      <xdr:row>20</xdr:row>
      <xdr:rowOff>33481</xdr:rowOff>
    </xdr:from>
    <xdr:ext cx="462973" cy="172227"/>
    <xdr:sp macro="" textlink="">
      <xdr:nvSpPr>
        <xdr:cNvPr id="27" name="Textfeld 45">
          <a:extLst>
            <a:ext uri="{FF2B5EF4-FFF2-40B4-BE49-F238E27FC236}">
              <a16:creationId xmlns:a16="http://schemas.microsoft.com/office/drawing/2014/main" id="{BDED374B-383D-44CD-84CF-19276B5A4B52}"/>
            </a:ext>
          </a:extLst>
        </xdr:cNvPr>
        <xdr:cNvSpPr txBox="1"/>
      </xdr:nvSpPr>
      <xdr:spPr>
        <a:xfrm>
          <a:off x="29096277" y="5453206"/>
          <a:ext cx="4629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de-DE" sz="1100"/>
        </a:p>
      </xdr:txBody>
    </xdr:sp>
    <xdr:clientData/>
  </xdr:oneCellAnchor>
  <xdr:oneCellAnchor>
    <xdr:from>
      <xdr:col>24</xdr:col>
      <xdr:colOff>3093027</xdr:colOff>
      <xdr:row>22</xdr:row>
      <xdr:rowOff>33481</xdr:rowOff>
    </xdr:from>
    <xdr:ext cx="462973" cy="172227"/>
    <mc:AlternateContent xmlns:mc="http://schemas.openxmlformats.org/markup-compatibility/2006" xmlns:a14="http://schemas.microsoft.com/office/drawing/2010/main">
      <mc:Choice Requires="a14">
        <xdr:sp macro="" textlink="">
          <xdr:nvSpPr>
            <xdr:cNvPr id="28" name="Textfeld 67">
              <a:extLst>
                <a:ext uri="{FF2B5EF4-FFF2-40B4-BE49-F238E27FC236}">
                  <a16:creationId xmlns:a16="http://schemas.microsoft.com/office/drawing/2014/main" id="{31E22310-AB65-4671-85D4-0B65718417A4}"/>
                </a:ext>
              </a:extLst>
            </xdr:cNvPr>
            <xdr:cNvSpPr txBox="1"/>
          </xdr:nvSpPr>
          <xdr:spPr>
            <a:xfrm>
              <a:off x="24819552" y="6091381"/>
              <a:ext cx="4629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i="1">
                        <a:latin typeface="Cambria Math" panose="02040503050406030204" pitchFamily="18" charset="0"/>
                      </a:rPr>
                      <m:t>∑</m:t>
                    </m:r>
                  </m:oMath>
                </m:oMathPara>
              </a14:m>
              <a:endParaRPr lang="de-DE" sz="1100"/>
            </a:p>
          </xdr:txBody>
        </xdr:sp>
      </mc:Choice>
      <mc:Fallback xmlns="">
        <xdr:sp macro="" textlink="">
          <xdr:nvSpPr>
            <xdr:cNvPr id="28" name="Textfeld 67">
              <a:extLst>
                <a:ext uri="{FF2B5EF4-FFF2-40B4-BE49-F238E27FC236}">
                  <a16:creationId xmlns:a16="http://schemas.microsoft.com/office/drawing/2014/main" id="{31E22310-AB65-4671-85D4-0B65718417A4}"/>
                </a:ext>
              </a:extLst>
            </xdr:cNvPr>
            <xdr:cNvSpPr txBox="1"/>
          </xdr:nvSpPr>
          <xdr:spPr>
            <a:xfrm>
              <a:off x="24819552" y="6091381"/>
              <a:ext cx="4629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de-DE" sz="1100" i="0">
                  <a:latin typeface="Cambria Math" panose="02040503050406030204" pitchFamily="18" charset="0"/>
                </a:rPr>
                <a:t>∑</a:t>
              </a:r>
              <a:endParaRPr lang="de-DE" sz="1100"/>
            </a:p>
          </xdr:txBody>
        </xdr:sp>
      </mc:Fallback>
    </mc:AlternateContent>
    <xdr:clientData/>
  </xdr:oneCellAnchor>
  <xdr:twoCellAnchor>
    <xdr:from>
      <xdr:col>55</xdr:col>
      <xdr:colOff>95250</xdr:colOff>
      <xdr:row>5</xdr:row>
      <xdr:rowOff>161925</xdr:rowOff>
    </xdr:from>
    <xdr:to>
      <xdr:col>56</xdr:col>
      <xdr:colOff>552450</xdr:colOff>
      <xdr:row>12</xdr:row>
      <xdr:rowOff>74932</xdr:rowOff>
    </xdr:to>
    <xdr:sp macro="" textlink="">
      <xdr:nvSpPr>
        <xdr:cNvPr id="29" name="LgPfeil6.2">
          <a:extLst>
            <a:ext uri="{FF2B5EF4-FFF2-40B4-BE49-F238E27FC236}">
              <a16:creationId xmlns:a16="http://schemas.microsoft.com/office/drawing/2014/main" id="{144FBCBF-E065-47F6-9433-123C9D4C49BA}"/>
            </a:ext>
          </a:extLst>
        </xdr:cNvPr>
        <xdr:cNvSpPr/>
      </xdr:nvSpPr>
      <xdr:spPr>
        <a:xfrm>
          <a:off x="53116163" y="1914525"/>
          <a:ext cx="1228725" cy="1532257"/>
        </a:xfrm>
        <a:custGeom>
          <a:avLst/>
          <a:gdLst>
            <a:gd name="connsiteX0" fmla="*/ 11545 w 588827"/>
            <a:gd name="connsiteY0" fmla="*/ 947768 h 947768"/>
            <a:gd name="connsiteX1" fmla="*/ 588818 w 588827"/>
            <a:gd name="connsiteY1" fmla="*/ 566768 h 947768"/>
            <a:gd name="connsiteX2" fmla="*/ 0 w 588827"/>
            <a:gd name="connsiteY2" fmla="*/ 1040 h 947768"/>
          </a:gdLst>
          <a:ahLst/>
          <a:cxnLst>
            <a:cxn ang="0">
              <a:pos x="connsiteX0" y="connsiteY0"/>
            </a:cxn>
            <a:cxn ang="0">
              <a:pos x="connsiteX1" y="connsiteY1"/>
            </a:cxn>
            <a:cxn ang="0">
              <a:pos x="connsiteX2" y="connsiteY2"/>
            </a:cxn>
          </a:cxnLst>
          <a:rect l="l" t="t" r="r" b="b"/>
          <a:pathLst>
            <a:path w="588827" h="947768">
              <a:moveTo>
                <a:pt x="11545" y="947768"/>
              </a:moveTo>
              <a:cubicBezTo>
                <a:pt x="301143" y="836162"/>
                <a:pt x="590742" y="724556"/>
                <a:pt x="588818" y="566768"/>
              </a:cubicBezTo>
              <a:cubicBezTo>
                <a:pt x="586894" y="408980"/>
                <a:pt x="73121" y="-23975"/>
                <a:pt x="0" y="1040"/>
              </a:cubicBezTo>
            </a:path>
          </a:pathLst>
        </a:custGeom>
        <a:noFill/>
        <a:ln w="101600" cap="flat" cmpd="sng" algn="ctr">
          <a:noFill/>
          <a:prstDash val="dash"/>
          <a:miter lim="800000"/>
        </a:ln>
        <a:effectLst/>
        <a:extLst>
          <a:ext uri="{91240B29-F687-4F45-9708-019B960494DF}">
            <a14:hiddenLine xmlns:a14="http://schemas.microsoft.com/office/drawing/2010/main" w="101600" cap="flat" cmpd="sng" algn="ctr">
              <a:solidFill>
                <a:schemeClr val="accent2">
                  <a:lumMod val="75000"/>
                </a:schemeClr>
              </a:solidFill>
              <a:prstDash val="dash"/>
              <a:miter lim="800000"/>
            </a14:hiddenLine>
          </a:ext>
        </a:extLst>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0</xdr:col>
      <xdr:colOff>354540</xdr:colOff>
      <xdr:row>10</xdr:row>
      <xdr:rowOff>154517</xdr:rowOff>
    </xdr:from>
    <xdr:to>
      <xdr:col>2</xdr:col>
      <xdr:colOff>1163105</xdr:colOff>
      <xdr:row>14</xdr:row>
      <xdr:rowOff>43583</xdr:rowOff>
    </xdr:to>
    <xdr:sp macro="[0]!Pfeildicke_anpassen" textlink="">
      <xdr:nvSpPr>
        <xdr:cNvPr id="30" name="Rechteck 56">
          <a:extLst>
            <a:ext uri="{FF2B5EF4-FFF2-40B4-BE49-F238E27FC236}">
              <a16:creationId xmlns:a16="http://schemas.microsoft.com/office/drawing/2014/main" id="{C7577630-4263-4AFE-90E4-A5A3708A18E0}"/>
            </a:ext>
          </a:extLst>
        </xdr:cNvPr>
        <xdr:cNvSpPr/>
      </xdr:nvSpPr>
      <xdr:spPr>
        <a:xfrm rot="10800000" flipV="1">
          <a:off x="354540" y="3045355"/>
          <a:ext cx="2737378" cy="1017778"/>
        </a:xfrm>
        <a:prstGeom prst="rect">
          <a:avLst/>
        </a:prstGeom>
        <a:solidFill>
          <a:srgbClr val="00B0F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b="1">
              <a:solidFill>
                <a:schemeClr val="tx1"/>
              </a:solidFill>
            </a:rPr>
            <a:t>Adapt Flows</a:t>
          </a:r>
          <a:endParaRPr lang="de-DE" sz="1400" b="1">
            <a:solidFill>
              <a:schemeClr val="tx1"/>
            </a:solidFill>
          </a:endParaRPr>
        </a:p>
      </xdr:txBody>
    </xdr:sp>
    <xdr:clientData/>
  </xdr:twoCellAnchor>
  <xdr:twoCellAnchor>
    <xdr:from>
      <xdr:col>1</xdr:col>
      <xdr:colOff>898524</xdr:colOff>
      <xdr:row>76</xdr:row>
      <xdr:rowOff>91016</xdr:rowOff>
    </xdr:from>
    <xdr:to>
      <xdr:col>4</xdr:col>
      <xdr:colOff>14817</xdr:colOff>
      <xdr:row>76</xdr:row>
      <xdr:rowOff>127016</xdr:rowOff>
    </xdr:to>
    <xdr:cxnSp macro="">
      <xdr:nvCxnSpPr>
        <xdr:cNvPr id="31" name="Pfeil20">
          <a:extLst>
            <a:ext uri="{FF2B5EF4-FFF2-40B4-BE49-F238E27FC236}">
              <a16:creationId xmlns:a16="http://schemas.microsoft.com/office/drawing/2014/main" id="{C4FDC0A0-5492-4EFD-B947-2C51D9D66F27}"/>
            </a:ext>
          </a:extLst>
        </xdr:cNvPr>
        <xdr:cNvCxnSpPr/>
      </xdr:nvCxnSpPr>
      <xdr:spPr>
        <a:xfrm flipV="1">
          <a:off x="1289049" y="16764529"/>
          <a:ext cx="2607206" cy="36000"/>
        </a:xfrm>
        <a:prstGeom prst="straightConnector1">
          <a:avLst/>
        </a:prstGeom>
        <a:noFill/>
        <a:ln w="279400" cap="flat" cmpd="sng" algn="ctr">
          <a:noFill/>
          <a:prstDash val="solid"/>
          <a:miter lim="800000"/>
          <a:tailEnd type="triangle"/>
        </a:ln>
        <a:effectLst/>
        <a:extLst>
          <a:ext uri="{91240B29-F687-4F45-9708-019B960494DF}">
            <a14:hiddenLine xmlns:a14="http://schemas.microsoft.com/office/drawing/2010/main" w="0" cap="flat" cmpd="sng" algn="ctr">
              <a:solidFill>
                <a:schemeClr val="accent1">
                  <a:lumMod val="50000"/>
                </a:schemeClr>
              </a:solidFill>
              <a:prstDash val="solid"/>
              <a:miter lim="800000"/>
              <a:tailEnd type="triangle"/>
            </a14:hiddenLine>
          </a:ext>
        </a:extLst>
      </xdr:spPr>
      <xdr:style>
        <a:lnRef idx="1">
          <a:schemeClr val="dk1"/>
        </a:lnRef>
        <a:fillRef idx="0">
          <a:schemeClr val="dk1"/>
        </a:fillRef>
        <a:effectRef idx="0">
          <a:schemeClr val="dk1"/>
        </a:effectRef>
        <a:fontRef idx="minor">
          <a:schemeClr val="tx1"/>
        </a:fontRef>
      </xdr:style>
    </xdr:cxnSp>
    <xdr:clientData/>
  </xdr:twoCellAnchor>
  <xdr:twoCellAnchor>
    <xdr:from>
      <xdr:col>61</xdr:col>
      <xdr:colOff>76200</xdr:colOff>
      <xdr:row>8</xdr:row>
      <xdr:rowOff>107950</xdr:rowOff>
    </xdr:from>
    <xdr:to>
      <xdr:col>61</xdr:col>
      <xdr:colOff>901700</xdr:colOff>
      <xdr:row>8</xdr:row>
      <xdr:rowOff>107950</xdr:rowOff>
    </xdr:to>
    <xdr:cxnSp macro="">
      <xdr:nvCxnSpPr>
        <xdr:cNvPr id="32" name="Gerade Verbindung mit Pfeil 47">
          <a:extLst>
            <a:ext uri="{FF2B5EF4-FFF2-40B4-BE49-F238E27FC236}">
              <a16:creationId xmlns:a16="http://schemas.microsoft.com/office/drawing/2014/main" id="{0764ABE3-AB24-4A70-8503-1FD4C6D66FDD}"/>
            </a:ext>
          </a:extLst>
        </xdr:cNvPr>
        <xdr:cNvCxnSpPr/>
      </xdr:nvCxnSpPr>
      <xdr:spPr>
        <a:xfrm>
          <a:off x="59440763" y="2627313"/>
          <a:ext cx="825500" cy="0"/>
        </a:xfrm>
        <a:prstGeom prst="straightConnector1">
          <a:avLst/>
        </a:prstGeom>
        <a:ln w="28575">
          <a:solidFill>
            <a:schemeClr val="accent1">
              <a:lumMod val="50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61</xdr:col>
      <xdr:colOff>82550</xdr:colOff>
      <xdr:row>9</xdr:row>
      <xdr:rowOff>82550</xdr:rowOff>
    </xdr:from>
    <xdr:to>
      <xdr:col>61</xdr:col>
      <xdr:colOff>889000</xdr:colOff>
      <xdr:row>9</xdr:row>
      <xdr:rowOff>88900</xdr:rowOff>
    </xdr:to>
    <xdr:cxnSp macro="">
      <xdr:nvCxnSpPr>
        <xdr:cNvPr id="33" name="Gerade Verbindung mit Pfeil 52">
          <a:extLst>
            <a:ext uri="{FF2B5EF4-FFF2-40B4-BE49-F238E27FC236}">
              <a16:creationId xmlns:a16="http://schemas.microsoft.com/office/drawing/2014/main" id="{5949C87C-E829-4D5E-9A50-D8B8C6234AE4}"/>
            </a:ext>
          </a:extLst>
        </xdr:cNvPr>
        <xdr:cNvCxnSpPr/>
      </xdr:nvCxnSpPr>
      <xdr:spPr>
        <a:xfrm>
          <a:off x="59447113" y="2782888"/>
          <a:ext cx="806450" cy="6350"/>
        </a:xfrm>
        <a:prstGeom prst="straightConnector1">
          <a:avLst/>
        </a:prstGeom>
        <a:ln w="19050">
          <a:prstDash val="dash"/>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61</xdr:col>
      <xdr:colOff>329386</xdr:colOff>
      <xdr:row>14</xdr:row>
      <xdr:rowOff>40068</xdr:rowOff>
    </xdr:from>
    <xdr:to>
      <xdr:col>61</xdr:col>
      <xdr:colOff>1143680</xdr:colOff>
      <xdr:row>14</xdr:row>
      <xdr:rowOff>458685</xdr:rowOff>
    </xdr:to>
    <xdr:pic>
      <xdr:nvPicPr>
        <xdr:cNvPr id="34" name="Grafik 57">
          <a:extLst>
            <a:ext uri="{FF2B5EF4-FFF2-40B4-BE49-F238E27FC236}">
              <a16:creationId xmlns:a16="http://schemas.microsoft.com/office/drawing/2014/main" id="{747CCEFC-4CAE-4D4C-957C-F14E75B0361B}"/>
            </a:ext>
          </a:extLst>
        </xdr:cNvPr>
        <xdr:cNvPicPr>
          <a:picLocks noChangeAspect="1"/>
        </xdr:cNvPicPr>
      </xdr:nvPicPr>
      <xdr:blipFill>
        <a:blip xmlns:r="http://schemas.openxmlformats.org/officeDocument/2006/relationships" r:embed="rId1"/>
        <a:stretch>
          <a:fillRect/>
        </a:stretch>
      </xdr:blipFill>
      <xdr:spPr>
        <a:xfrm>
          <a:off x="59693949" y="4059618"/>
          <a:ext cx="814294" cy="418617"/>
        </a:xfrm>
        <a:prstGeom prst="rect">
          <a:avLst/>
        </a:prstGeom>
      </xdr:spPr>
    </xdr:pic>
    <xdr:clientData/>
  </xdr:twoCellAnchor>
  <xdr:oneCellAnchor>
    <xdr:from>
      <xdr:col>24</xdr:col>
      <xdr:colOff>3093027</xdr:colOff>
      <xdr:row>35</xdr:row>
      <xdr:rowOff>33481</xdr:rowOff>
    </xdr:from>
    <xdr:ext cx="462973" cy="172227"/>
    <mc:AlternateContent xmlns:mc="http://schemas.openxmlformats.org/markup-compatibility/2006" xmlns:a14="http://schemas.microsoft.com/office/drawing/2010/main">
      <mc:Choice Requires="a14">
        <xdr:sp macro="" textlink="">
          <xdr:nvSpPr>
            <xdr:cNvPr id="35" name="Textfeld 40">
              <a:extLst>
                <a:ext uri="{FF2B5EF4-FFF2-40B4-BE49-F238E27FC236}">
                  <a16:creationId xmlns:a16="http://schemas.microsoft.com/office/drawing/2014/main" id="{9826AADF-8F37-46FF-A426-F9CD1BE14CEB}"/>
                </a:ext>
              </a:extLst>
            </xdr:cNvPr>
            <xdr:cNvSpPr txBox="1"/>
          </xdr:nvSpPr>
          <xdr:spPr>
            <a:xfrm>
              <a:off x="24819552" y="8634556"/>
              <a:ext cx="4629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i="1">
                        <a:latin typeface="Cambria Math" panose="02040503050406030204" pitchFamily="18" charset="0"/>
                      </a:rPr>
                      <m:t>∑</m:t>
                    </m:r>
                  </m:oMath>
                </m:oMathPara>
              </a14:m>
              <a:endParaRPr lang="de-DE" sz="1100"/>
            </a:p>
          </xdr:txBody>
        </xdr:sp>
      </mc:Choice>
      <mc:Fallback xmlns="">
        <xdr:sp macro="" textlink="">
          <xdr:nvSpPr>
            <xdr:cNvPr id="35" name="Textfeld 40">
              <a:extLst>
                <a:ext uri="{FF2B5EF4-FFF2-40B4-BE49-F238E27FC236}">
                  <a16:creationId xmlns:a16="http://schemas.microsoft.com/office/drawing/2014/main" id="{9826AADF-8F37-46FF-A426-F9CD1BE14CEB}"/>
                </a:ext>
              </a:extLst>
            </xdr:cNvPr>
            <xdr:cNvSpPr txBox="1"/>
          </xdr:nvSpPr>
          <xdr:spPr>
            <a:xfrm>
              <a:off x="24819552" y="8634556"/>
              <a:ext cx="4629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de-DE" sz="1100" i="0">
                  <a:latin typeface="Cambria Math" panose="02040503050406030204" pitchFamily="18" charset="0"/>
                </a:rPr>
                <a:t>∑</a:t>
              </a:r>
              <a:endParaRPr lang="de-DE" sz="1100"/>
            </a:p>
          </xdr:txBody>
        </xdr:sp>
      </mc:Fallback>
    </mc:AlternateContent>
    <xdr:clientData/>
  </xdr:oneCellAnchor>
  <xdr:twoCellAnchor>
    <xdr:from>
      <xdr:col>22</xdr:col>
      <xdr:colOff>54429</xdr:colOff>
      <xdr:row>32</xdr:row>
      <xdr:rowOff>138111</xdr:rowOff>
    </xdr:from>
    <xdr:to>
      <xdr:col>40</xdr:col>
      <xdr:colOff>612322</xdr:colOff>
      <xdr:row>33</xdr:row>
      <xdr:rowOff>13608</xdr:rowOff>
    </xdr:to>
    <xdr:cxnSp macro="">
      <xdr:nvCxnSpPr>
        <xdr:cNvPr id="36" name="Gerader Verbinder 6">
          <a:extLst>
            <a:ext uri="{FF2B5EF4-FFF2-40B4-BE49-F238E27FC236}">
              <a16:creationId xmlns:a16="http://schemas.microsoft.com/office/drawing/2014/main" id="{4DFD825E-90F7-4967-8B8F-7296134D1280}"/>
            </a:ext>
          </a:extLst>
        </xdr:cNvPr>
        <xdr:cNvCxnSpPr/>
      </xdr:nvCxnSpPr>
      <xdr:spPr>
        <a:xfrm flipV="1">
          <a:off x="21261842" y="8196261"/>
          <a:ext cx="19455493" cy="56472"/>
        </a:xfrm>
        <a:prstGeom prst="line">
          <a:avLst/>
        </a:prstGeom>
        <a:ln w="28575">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316368</xdr:colOff>
      <xdr:row>2</xdr:row>
      <xdr:rowOff>200706</xdr:rowOff>
    </xdr:from>
    <xdr:to>
      <xdr:col>15</xdr:col>
      <xdr:colOff>309563</xdr:colOff>
      <xdr:row>9</xdr:row>
      <xdr:rowOff>69594</xdr:rowOff>
    </xdr:to>
    <xdr:sp macro="" textlink="">
      <xdr:nvSpPr>
        <xdr:cNvPr id="37" name="Pfeil nach rechts 1">
          <a:extLst>
            <a:ext uri="{FF2B5EF4-FFF2-40B4-BE49-F238E27FC236}">
              <a16:creationId xmlns:a16="http://schemas.microsoft.com/office/drawing/2014/main" id="{44D4CDB0-35DC-45B5-B82C-3EBCB020171B}"/>
            </a:ext>
          </a:extLst>
        </xdr:cNvPr>
        <xdr:cNvSpPr/>
      </xdr:nvSpPr>
      <xdr:spPr>
        <a:xfrm>
          <a:off x="7483931" y="1134156"/>
          <a:ext cx="6836907" cy="1635776"/>
        </a:xfrm>
        <a:prstGeom prst="rightArrow">
          <a:avLst/>
        </a:prstGeom>
        <a:solidFill>
          <a:srgbClr val="FFC00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de-DE" sz="4800" b="1">
              <a:solidFill>
                <a:schemeClr val="tx1"/>
              </a:solidFill>
              <a:latin typeface="BMW Group" pitchFamily="2" charset="0"/>
              <a:cs typeface="BMW Group" pitchFamily="2" charset="0"/>
            </a:rPr>
            <a:t>Inbound</a:t>
          </a:r>
        </a:p>
      </xdr:txBody>
    </xdr:sp>
    <xdr:clientData/>
  </xdr:twoCellAnchor>
  <xdr:twoCellAnchor>
    <xdr:from>
      <xdr:col>15</xdr:col>
      <xdr:colOff>673101</xdr:colOff>
      <xdr:row>2</xdr:row>
      <xdr:rowOff>222250</xdr:rowOff>
    </xdr:from>
    <xdr:to>
      <xdr:col>45</xdr:col>
      <xdr:colOff>309562</xdr:colOff>
      <xdr:row>9</xdr:row>
      <xdr:rowOff>85112</xdr:rowOff>
    </xdr:to>
    <xdr:sp macro="" textlink="">
      <xdr:nvSpPr>
        <xdr:cNvPr id="38" name="Pfeil nach rechts 2">
          <a:extLst>
            <a:ext uri="{FF2B5EF4-FFF2-40B4-BE49-F238E27FC236}">
              <a16:creationId xmlns:a16="http://schemas.microsoft.com/office/drawing/2014/main" id="{68283DEB-6DEF-4BC0-9713-FE8ED4BC326C}"/>
            </a:ext>
          </a:extLst>
        </xdr:cNvPr>
        <xdr:cNvSpPr/>
      </xdr:nvSpPr>
      <xdr:spPr>
        <a:xfrm>
          <a:off x="14684376" y="1155700"/>
          <a:ext cx="29463999" cy="1629750"/>
        </a:xfrm>
        <a:prstGeom prst="rightArrow">
          <a:avLst/>
        </a:prstGeom>
        <a:solidFill>
          <a:srgbClr val="FFC00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de-DE" sz="4800" b="1">
              <a:solidFill>
                <a:schemeClr val="tx1"/>
              </a:solidFill>
              <a:latin typeface="BMW Group" pitchFamily="2" charset="0"/>
              <a:cs typeface="BMW Group" pitchFamily="2" charset="0"/>
            </a:rPr>
            <a:t>RDC Operations</a:t>
          </a:r>
        </a:p>
      </xdr:txBody>
    </xdr:sp>
    <xdr:clientData/>
  </xdr:twoCellAnchor>
  <xdr:twoCellAnchor>
    <xdr:from>
      <xdr:col>46</xdr:col>
      <xdr:colOff>71437</xdr:colOff>
      <xdr:row>2</xdr:row>
      <xdr:rowOff>222250</xdr:rowOff>
    </xdr:from>
    <xdr:to>
      <xdr:col>56</xdr:col>
      <xdr:colOff>32326</xdr:colOff>
      <xdr:row>9</xdr:row>
      <xdr:rowOff>85112</xdr:rowOff>
    </xdr:to>
    <xdr:sp macro="" textlink="">
      <xdr:nvSpPr>
        <xdr:cNvPr id="39" name="Pfeil nach rechts 3">
          <a:extLst>
            <a:ext uri="{FF2B5EF4-FFF2-40B4-BE49-F238E27FC236}">
              <a16:creationId xmlns:a16="http://schemas.microsoft.com/office/drawing/2014/main" id="{E500EFDC-3C7C-4C7F-9551-3FDE48D5910F}"/>
            </a:ext>
          </a:extLst>
        </xdr:cNvPr>
        <xdr:cNvSpPr/>
      </xdr:nvSpPr>
      <xdr:spPr>
        <a:xfrm>
          <a:off x="44996100" y="1155700"/>
          <a:ext cx="8828664" cy="1629750"/>
        </a:xfrm>
        <a:prstGeom prst="rightArrow">
          <a:avLst/>
        </a:prstGeom>
        <a:solidFill>
          <a:srgbClr val="FFC00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de-DE" sz="4800" b="1">
              <a:solidFill>
                <a:schemeClr val="tx1"/>
              </a:solidFill>
              <a:latin typeface="BMW Group" pitchFamily="2" charset="0"/>
              <a:cs typeface="BMW Group" pitchFamily="2" charset="0"/>
            </a:rPr>
            <a:t>Outbound</a:t>
          </a:r>
        </a:p>
      </xdr:txBody>
    </xdr:sp>
    <xdr:clientData/>
  </xdr:twoCellAnchor>
  <xdr:oneCellAnchor>
    <xdr:from>
      <xdr:col>44</xdr:col>
      <xdr:colOff>1006929</xdr:colOff>
      <xdr:row>29</xdr:row>
      <xdr:rowOff>40822</xdr:rowOff>
    </xdr:from>
    <xdr:ext cx="462973" cy="172227"/>
    <mc:AlternateContent xmlns:mc="http://schemas.openxmlformats.org/markup-compatibility/2006" xmlns:a14="http://schemas.microsoft.com/office/drawing/2010/main">
      <mc:Choice Requires="a14">
        <xdr:sp macro="" textlink="">
          <xdr:nvSpPr>
            <xdr:cNvPr id="40" name="Textfeld 58">
              <a:extLst>
                <a:ext uri="{FF2B5EF4-FFF2-40B4-BE49-F238E27FC236}">
                  <a16:creationId xmlns:a16="http://schemas.microsoft.com/office/drawing/2014/main" id="{FB43F6D4-3C54-4283-8E6F-BE9318027B0F}"/>
                </a:ext>
              </a:extLst>
            </xdr:cNvPr>
            <xdr:cNvSpPr txBox="1"/>
          </xdr:nvSpPr>
          <xdr:spPr>
            <a:xfrm>
              <a:off x="43683692" y="7565572"/>
              <a:ext cx="4629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i="1">
                        <a:latin typeface="Cambria Math" panose="02040503050406030204" pitchFamily="18" charset="0"/>
                      </a:rPr>
                      <m:t>∑</m:t>
                    </m:r>
                  </m:oMath>
                </m:oMathPara>
              </a14:m>
              <a:endParaRPr lang="de-DE" sz="1100"/>
            </a:p>
          </xdr:txBody>
        </xdr:sp>
      </mc:Choice>
      <mc:Fallback xmlns="">
        <xdr:sp macro="" textlink="">
          <xdr:nvSpPr>
            <xdr:cNvPr id="40" name="Textfeld 58">
              <a:extLst>
                <a:ext uri="{FF2B5EF4-FFF2-40B4-BE49-F238E27FC236}">
                  <a16:creationId xmlns:a16="http://schemas.microsoft.com/office/drawing/2014/main" id="{FB43F6D4-3C54-4283-8E6F-BE9318027B0F}"/>
                </a:ext>
              </a:extLst>
            </xdr:cNvPr>
            <xdr:cNvSpPr txBox="1"/>
          </xdr:nvSpPr>
          <xdr:spPr>
            <a:xfrm>
              <a:off x="43683692" y="7565572"/>
              <a:ext cx="4629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de-DE" sz="1100" i="0">
                  <a:latin typeface="Cambria Math" panose="02040503050406030204" pitchFamily="18" charset="0"/>
                </a:rPr>
                <a:t>∑</a:t>
              </a:r>
              <a:endParaRPr lang="de-DE" sz="1100"/>
            </a:p>
          </xdr:txBody>
        </xdr:sp>
      </mc:Fallback>
    </mc:AlternateContent>
    <xdr:clientData/>
  </xdr:oneCellAnchor>
  <xdr:twoCellAnchor>
    <xdr:from>
      <xdr:col>50</xdr:col>
      <xdr:colOff>108857</xdr:colOff>
      <xdr:row>26</xdr:row>
      <xdr:rowOff>163286</xdr:rowOff>
    </xdr:from>
    <xdr:to>
      <xdr:col>53</xdr:col>
      <xdr:colOff>884465</xdr:colOff>
      <xdr:row>35</xdr:row>
      <xdr:rowOff>176893</xdr:rowOff>
    </xdr:to>
    <xdr:sp macro="" textlink="">
      <xdr:nvSpPr>
        <xdr:cNvPr id="41" name="Rechteck 50">
          <a:extLst>
            <a:ext uri="{FF2B5EF4-FFF2-40B4-BE49-F238E27FC236}">
              <a16:creationId xmlns:a16="http://schemas.microsoft.com/office/drawing/2014/main" id="{33522570-A7F8-4C8E-B719-987F3E20659A}"/>
            </a:ext>
          </a:extLst>
        </xdr:cNvPr>
        <xdr:cNvSpPr/>
      </xdr:nvSpPr>
      <xdr:spPr>
        <a:xfrm>
          <a:off x="48905432" y="7154636"/>
          <a:ext cx="3099708" cy="1623332"/>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400" b="1">
              <a:solidFill>
                <a:sysClr val="windowText" lastClr="000000"/>
              </a:solidFill>
              <a:latin typeface="Arial" panose="020B0604020202020204" pitchFamily="34" charset="0"/>
              <a:cs typeface="Arial" panose="020B0604020202020204" pitchFamily="34" charset="0"/>
            </a:rPr>
            <a:t>OB-lines</a:t>
          </a:r>
          <a:r>
            <a:rPr lang="de-DE" sz="1400" b="1" baseline="0">
              <a:solidFill>
                <a:sysClr val="windowText" lastClr="000000"/>
              </a:solidFill>
              <a:latin typeface="Arial" panose="020B0604020202020204" pitchFamily="34" charset="0"/>
              <a:cs typeface="Arial" panose="020B0604020202020204" pitchFamily="34" charset="0"/>
            </a:rPr>
            <a:t> just need to be supplied and moved to the dispatch area. </a:t>
          </a:r>
        </a:p>
        <a:p>
          <a:pPr algn="l"/>
          <a:endParaRPr lang="de-DE" sz="1400" b="1" baseline="0">
            <a:solidFill>
              <a:sysClr val="windowText" lastClr="000000"/>
            </a:solidFill>
            <a:latin typeface="Arial" panose="020B0604020202020204" pitchFamily="34" charset="0"/>
            <a:cs typeface="Arial" panose="020B0604020202020204" pitchFamily="34" charset="0"/>
          </a:endParaRPr>
        </a:p>
        <a:p>
          <a:pPr algn="l"/>
          <a:r>
            <a:rPr lang="de-DE" sz="1400" b="1" baseline="0">
              <a:solidFill>
                <a:sysClr val="windowText" lastClr="000000"/>
              </a:solidFill>
              <a:latin typeface="Arial" panose="020B0604020202020204" pitchFamily="34" charset="0"/>
              <a:cs typeface="Arial" panose="020B0604020202020204" pitchFamily="34" charset="0"/>
            </a:rPr>
            <a:t>Sorting and truck loading is fulfilled by the transport provider.</a:t>
          </a:r>
          <a:endParaRPr lang="de-DE" sz="1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19</xdr:col>
      <xdr:colOff>272143</xdr:colOff>
      <xdr:row>13</xdr:row>
      <xdr:rowOff>449036</xdr:rowOff>
    </xdr:from>
    <xdr:to>
      <xdr:col>22</xdr:col>
      <xdr:colOff>832919</xdr:colOff>
      <xdr:row>19</xdr:row>
      <xdr:rowOff>69386</xdr:rowOff>
    </xdr:to>
    <xdr:sp macro="" textlink="">
      <xdr:nvSpPr>
        <xdr:cNvPr id="42" name="Rectangle 41">
          <a:extLst>
            <a:ext uri="{FF2B5EF4-FFF2-40B4-BE49-F238E27FC236}">
              <a16:creationId xmlns:a16="http://schemas.microsoft.com/office/drawing/2014/main" id="{5066C21E-8937-48D6-AC83-654613CD4A4A}"/>
            </a:ext>
          </a:extLst>
        </xdr:cNvPr>
        <xdr:cNvSpPr/>
      </xdr:nvSpPr>
      <xdr:spPr>
        <a:xfrm>
          <a:off x="18936381" y="4011386"/>
          <a:ext cx="3103951" cy="1287225"/>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a:solidFill>
                <a:sysClr val="windowText" lastClr="000000"/>
              </a:solidFill>
              <a:latin typeface="Arial" panose="020B0604020202020204" pitchFamily="34" charset="0"/>
              <a:ea typeface="+mn-ea"/>
              <a:cs typeface="Arial" panose="020B0604020202020204" pitchFamily="34" charset="0"/>
            </a:rPr>
            <a:t>System will split certain Inbound Lines while receiving, which could lead to increased lines for putaway. Therefore, IB-Storage</a:t>
          </a:r>
          <a:r>
            <a:rPr lang="en-US" sz="1400" b="1" baseline="0">
              <a:solidFill>
                <a:sysClr val="windowText" lastClr="000000"/>
              </a:solidFill>
              <a:latin typeface="Arial" panose="020B0604020202020204" pitchFamily="34" charset="0"/>
              <a:ea typeface="+mn-ea"/>
              <a:cs typeface="Arial" panose="020B0604020202020204" pitchFamily="34" charset="0"/>
            </a:rPr>
            <a:t> lines can be larger than Sorting lines. </a:t>
          </a:r>
          <a:endParaRPr lang="en-US" sz="1400" b="1">
            <a:solidFill>
              <a:sysClr val="windowText" lastClr="000000"/>
            </a:solidFill>
            <a:latin typeface="Arial" panose="020B0604020202020204" pitchFamily="34" charset="0"/>
            <a:ea typeface="+mn-ea"/>
            <a:cs typeface="Arial" panose="020B0604020202020204" pitchFamily="34" charset="0"/>
          </a:endParaRPr>
        </a:p>
      </xdr:txBody>
    </xdr:sp>
    <xdr:clientData/>
  </xdr:twoCellAnchor>
  <xdr:twoCellAnchor>
    <xdr:from>
      <xdr:col>43</xdr:col>
      <xdr:colOff>353785</xdr:colOff>
      <xdr:row>33</xdr:row>
      <xdr:rowOff>54428</xdr:rowOff>
    </xdr:from>
    <xdr:to>
      <xdr:col>48</xdr:col>
      <xdr:colOff>12007</xdr:colOff>
      <xdr:row>38</xdr:row>
      <xdr:rowOff>97650</xdr:rowOff>
    </xdr:to>
    <xdr:sp macro="" textlink="">
      <xdr:nvSpPr>
        <xdr:cNvPr id="43" name="Rectangle 42">
          <a:extLst>
            <a:ext uri="{FF2B5EF4-FFF2-40B4-BE49-F238E27FC236}">
              <a16:creationId xmlns:a16="http://schemas.microsoft.com/office/drawing/2014/main" id="{103C26DA-A11F-42C7-A415-47F11D328D77}"/>
            </a:ext>
          </a:extLst>
        </xdr:cNvPr>
        <xdr:cNvSpPr/>
      </xdr:nvSpPr>
      <xdr:spPr>
        <a:xfrm>
          <a:off x="42640023" y="8293553"/>
          <a:ext cx="3901609" cy="995722"/>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a:solidFill>
                <a:sysClr val="windowText" lastClr="000000"/>
              </a:solidFill>
              <a:latin typeface="Arial" panose="020B0604020202020204" pitchFamily="34" charset="0"/>
              <a:ea typeface="+mn-ea"/>
              <a:cs typeface="Arial" panose="020B0604020202020204" pitchFamily="34" charset="0"/>
            </a:rPr>
            <a:t>Volume Information will be in "Delivery Lines" which is different from "Picking TO Lines", therefore the qty. can be different.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TEMP\cost%20calculation%20BMW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TEMP\cost%20calculation%20BMW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Dokumente%20und%20Einstellungen\Bolte\Lokale%20Einstellungen\Temporary%20Internet%20Files\OLK2\Daten\Kosten%20P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tsw2s048/logistics_projects/JP/Jpr/DC_Projekte/BR240_Maybach/BR240_Anbot_99090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tsw2s048\logistics_projects\JP\Jpr\DC_Projekte\BR240_Maybach\BR240_Anbot_99090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apghnsp02/fmol/CBES/1600-1699/1675%20Hubbell%20Service%20Center%20Steel/Data/Analysis/Hubbell%20Stl%20Master%20Data%20File%2015Aug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sapghnsp02\fmol\CBES\1600-1699\1675%20Hubbell%20Service%20Center%20Steel\Data\Analysis\Hubbell%20Stl%20Master%20Data%20File%2015Aug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83802CC\KALK_110608_Zierelemt_Gitter_F18_Ibbenb&#252;r_nach_CN_NUR%20NIVI.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O:\VF-400\Jahresprogramm_2001\LOT\P2001_13\P2001_06\P2001_03\NF_P00_10\Analysen\Programm_P2000_06_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X:\TEMP\Index%20002%20vom%2020.01.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TEMP\Index%20002%20vom%2020.01.0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VGM055.MUC/CKD_Org/VF-400/Jahresprogramm_2000/Neufahrn/NF_P00_07/Programm_P2000_0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VGM055.MUC\CKD_Org\VF-400\Jahresprogramm_2000\Neufahrn\NF_P00_07\Programm_P2000_0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Vertrieb\etender\KUNDEN\BMW\BMW%20M&#252;nchen\Projekte\C110160%20Packbetrieb%20Auslandsversorgung\RFQ%20(Ausschreibung)\2011-12-07%20-%20CKD%20Verpackung%20Wackersdorf\Fl&#228;chenkalkulation_Update_20111121_LJ.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urope.bmw.corp/WINFS/MZ-3_all/05_Stammdaten/03_Standortfaktoren/Recherche%202014/02%20Recherche%20Ergebnisse%20von%20Siemens/_data_Argentina_2014.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urope.bmw.corp\WINFS\MZ-3_all\05_Stammdaten\03_Standortfaktoren\Recherche%202014\02%20Recherche%20Ergebnisse%20von%20Siemens\_data_Argentina_201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urope.bmw.corp/winfs/Users/QXJ4908/Desktop/-Desktop-V2-/Alles%20zum%20Thema%20RDC/EPS-KALK-MATRIX_v20.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urope.bmw.corp\winfs\Users\QXJ4908\Desktop\-Desktop-V2-\Alles%20zum%20Thema%20RDC\EPS-KALK-MATRIX_v20.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vgm192/MZ_all/MZ-3x/25_Kalkulationen/Logistik/xx%20-%20Logistikdienstleistungen/Oxford%20-%20Swindon/14%20-%20MTM%20Berechnung/Oxford%20-%20ILC/MTM_ILC_Ein-%20und%20Auslagerung%20+%20innerbtriebl.%20Transport%20Voll-%20und%20Leergu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vgm192\MZ_all\MZ-3x\25_Kalkulationen\Logistik\xx%20-%20Logistikdienstleistungen\Oxford%20-%20Swindon\14%20-%20MTM%20Berechnung\Oxford%20-%20ILC\MTM_ILC_Ein-%20und%20Auslagerung%20+%20innerbtriebl.%20Transport%20Voll-%20und%20Leergut.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X:\Documents%20and%20Settings\qt12416\Local%20Settings\Temporary%20Internet%20Files\Content.Outlook\N4S6PORK\sequencing%20cost%20model%20-%20updated%2029-06-1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KOE\STLQ24S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vgm192/MZ_all/MZ-3x/25_Kalkulationen/Logistik/xx%20-%20Logistikdienstleistungen/Oxford%20-%20Swindon/14%20-%20MTM%20Berechnung/Swindon/MTM_Szenario_Swindon_KLT_Versorg.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vgm192\MZ_all\MZ-3x\25_Kalkulationen\Logistik\xx%20-%20Logistikdienstleistungen\Oxford%20-%20Swindon\14%20-%20MTM%20Berechnung\Swindon\MTM_Szenario_Swindon_KLT_Versorg.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tsw2s048/logistics_projects/WINNT/Profiles/kienzl/Temporary%20Internet%20Files/OLK10/Invest%2030.03.01%20Heide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itsw2s048\logistics_projects\WINNT\Profiles\kienzl\Temporary%20Internet%20Files\OLK10\Invest%2030.03.01%20Heiden.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WINNT\Profiles\kienzl\Temporary%20Internet%20Files\OLK10\Invest%2030.03.01%20Heide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urope.bmw.corp/WINFS/MZ-3_all/05_Stammdaten/03_Standortfaktoren/Recherche%202012/04_Aktualisierung_2012/Fertigungsstandorte%2020120612_mit%20&#252;berarbeiteten%20Energiekosten_finale%20Dokumentation.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urope.bmw.corp\WINFS\MZ-3_all\05_Stammdaten\03_Standortfaktoren\Recherche%202012\04_Aktualisierung_2012\Fertigungsstandorte%2020120612_mit%20&#252;berarbeiteten%20Energiekosten_finale%20Dokumentation.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X:\Documents%20and%20Settings\q159530\Desktop\KALK_RDC_Beijjing_110111_KH.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Nvgm192/MZ_all/MZ-3x/25_Kalkulationen/Logistik/xx%20-%20Logistikdienstleistungen/Oxford%20-%20Swindon/14%20-%20MTM%20Berechnung/Oxford%20-%20ILC/Basis/MTM_Szenario_Swindon_V1.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Nvgm192\MZ_all\MZ-3x\25_Kalkulationen\Logistik\xx%20-%20Logistikdienstleistungen\Oxford%20-%20Swindon\14%20-%20MTM%20Berechnung\Oxford%20-%20ILC\Basis\MTM_Szenario_Swindon_V1.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KUNDE\OPEL-1\EPSI-TM\RHEIM\BASIS-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China.bmw.corp/WINFS/Users/q386216/Documents/01_P&amp;P/01_KALKULATIONEN/01_RDCs/2016_ESP_RDC_Madrid/02-Kalkulation/KALK_RDC_Madrid_V1.17_FINAL_mit_TUP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hina.bmw.corp\WINFS\Users\q386216\Documents\01_P&amp;P\01_KALKULATIONEN\01_RDCs\2016_ESP_RDC_Madrid\02-Kalkulation\KALK_RDC_Madrid_V1.17_FINAL_mit_TUPE.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Europe.bmw.corp/winfs/Dokumente%20und%20Einstellungen/nvondueszeln/Lokale%20Einstellungen/Temporary%20Internet%20Files/Content.Outlook/EUEG5DTB/NEU%20Kalkulation%20Basisverg&#252;tung/20121206_CCT_BMW_LOT_v122_Rekalk_vs42.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urope.bmw.corp\winfs\Dokumente%20und%20Einstellungen\nvondueszeln\Lokale%20Einstellungen\Temporary%20Internet%20Files\Content.Outlook\EUEG5DTB\NEU%20Kalkulation%20Basisverg&#252;tung\20121206_CCT_BMW_LOT_v122_Rekalk_vs42.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C8118DC\FOSHAN_150301_L-QAF_RDC-Foshan_Preisblatt%20MZ-301.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JP\Jpr\DC_Projekte\BR240_Maybach\BR240_Anbot_9909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MZ-3x\25_Kalkulationen\Logistik\xx%20-%20Logistikdienstleistungen\RDC%20Chengdu\02_Kalkulation\KALK_110422_RDCChengdu_Inbound_KH.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X:\My%20Documents\data\customers\bmw\200603%20tender%20bjs%20WH\20060615%203rd%20offer\20060621%20FZ%20-%20BMW%20China%20-%20Sch&#228;fer-%203rd%20off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Quotation sheet"/>
      <sheetName val="Breakdown of Costs"/>
      <sheetName val="data sheet"/>
      <sheetName val="process &amp; manpower"/>
      <sheetName val="equipment"/>
      <sheetName val="warehouse area"/>
      <sheetName val="software"/>
      <sheetName val="hardware"/>
      <sheetName val="investments"/>
      <sheetName val="cost calculation warehousing"/>
      <sheetName val="cost calculation distribution"/>
      <sheetName val="top sheet"/>
      <sheetName val="master data manpower"/>
      <sheetName val="master data equipment"/>
      <sheetName val="Cost Checklist"/>
      <sheetName val="Shared Location Table"/>
      <sheetName val="CPU Pricing - Engg"/>
      <sheetName val="standard time"/>
      <sheetName val="Other Costs"/>
      <sheetName val="Data Assumptions"/>
      <sheetName val="Labour Rates"/>
      <sheetName val="References"/>
      <sheetName val="Staffing Analysis"/>
      <sheetName val="Investment"/>
      <sheetName val="SUM"/>
      <sheetName val="2d. PR_Supplier Register"/>
      <sheetName val="Datenüberprüfung Menüpfeil"/>
      <sheetName val="DHL City to Zone OB Vol"/>
      <sheetName val="PKR_Personal"/>
      <sheetName val="PKR_Equipment"/>
      <sheetName val="Übersicht Bezug"/>
      <sheetName val="Übersicht Werte"/>
      <sheetName val="S-Nr. Carset in RZ Kalkulation"/>
      <sheetName val="Prämissen"/>
      <sheetName val="HPS Slit Coil (Centralia)"/>
      <sheetName val="Current IMP"/>
      <sheetName val="Op PLan Sales Ex V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Quotation sheet"/>
      <sheetName val="Breakdown of Costs"/>
      <sheetName val="data sheet"/>
      <sheetName val="process &amp; manpower"/>
      <sheetName val="equipment"/>
      <sheetName val="warehouse area"/>
      <sheetName val="software"/>
      <sheetName val="hardware"/>
      <sheetName val="investments"/>
      <sheetName val="cost calculation warehousing"/>
      <sheetName val="cost calculation distribution"/>
      <sheetName val="top sheet"/>
      <sheetName val="master data manpower"/>
      <sheetName val="master data equipment"/>
      <sheetName val="Cost Checklist"/>
      <sheetName val="Shared Location Table"/>
      <sheetName val="CPU Pricing - Engg"/>
      <sheetName val="standard time"/>
      <sheetName val="Other Costs"/>
      <sheetName val="Data Assumptions"/>
      <sheetName val="Labour Rates"/>
      <sheetName val="References"/>
      <sheetName val="Staffing Analysis"/>
      <sheetName val="Investment"/>
      <sheetName val="S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C WE und Versand"/>
      <sheetName val="AfA + Zinsen"/>
      <sheetName val="KArten Lager"/>
      <sheetName val="KArten Gebäude"/>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g"/>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g"/>
      <sheetName val="SUMMARY"/>
      <sheetName val="Main"/>
      <sheetName val="I_Body (EUR)"/>
      <sheetName val="I_Body (Tool) (EUR)"/>
      <sheetName val="I_Paint (EUR)"/>
      <sheetName val="I_Paint (Tool) (EUR)"/>
      <sheetName val="I_TCF (EUR)"/>
      <sheetName val="I_TCF (Tool) (EUR)"/>
      <sheetName val="I_Logistics (EUR)"/>
      <sheetName val="I_Waste (EUR)"/>
      <sheetName val="I_Other (EUR)"/>
      <sheetName val="I_Other (Tool) (EUR)"/>
      <sheetName val="I_Infra (EUR)"/>
      <sheetName val="I_Plann (EUR)"/>
      <sheetName val="I_Start (EUR)"/>
      <sheetName val="Neuinvest"/>
      <sheetName val="Altinvest1"/>
      <sheetName val="Altinvest2"/>
      <sheetName val="Altinvest1 (47.000)"/>
      <sheetName val="Altinvest 2(47.000)"/>
      <sheetName val="Vorfinanzierung"/>
      <sheetName val="Vorfinanzierung Tooling"/>
      <sheetName val="CRC _VERLAUF"/>
      <sheetName val="C_Areas"/>
      <sheetName val="C_Deprec"/>
      <sheetName val="Manning"/>
      <sheetName val="M_Body"/>
      <sheetName val="P_body"/>
      <sheetName val="M_Paint"/>
      <sheetName val="P_Paint"/>
      <sheetName val="M_TCF"/>
      <sheetName val="M_TCF_alt"/>
      <sheetName val="P_TCF"/>
      <sheetName val="M_Waste"/>
      <sheetName val="M_Quali"/>
      <sheetName val="M_Maint"/>
      <sheetName val="M_Maneng"/>
      <sheetName val="M_Prodeng"/>
      <sheetName val="M_Admin"/>
      <sheetName val="W_Body"/>
      <sheetName val="W_Paint"/>
      <sheetName val="W_TCF"/>
      <sheetName val="I_Body"/>
      <sheetName val="I_Body (Tool)"/>
      <sheetName val="I_Paint"/>
      <sheetName val="I_Paint (Tool)"/>
      <sheetName val="I_Paint_Full"/>
      <sheetName val="I_TCF"/>
      <sheetName val="I_TCF (Tool)"/>
      <sheetName val="I_TCF (alt)"/>
      <sheetName val="I_Logistics"/>
      <sheetName val="Alt_Neu"/>
      <sheetName val="I_Waste"/>
      <sheetName val="I_Other"/>
      <sheetName val="I_Other (Tool)"/>
      <sheetName val="I_Infra"/>
      <sheetName val="I_Plann"/>
      <sheetName val="I_Start"/>
      <sheetName val="I_Verlauf"/>
      <sheetName val="I_Verlauf (Tool)"/>
      <sheetName val="Material"/>
      <sheetName val="C_Chr_Fee"/>
      <sheetName val="C_Material"/>
      <sheetName val="C_Other"/>
      <sheetName val="C_Person"/>
      <sheetName val="SFT_Infra"/>
      <sheetName val="VB_f(x,y...)"/>
      <sheetName val="VB_Makro"/>
    </sheetNames>
    <sheetDataSet>
      <sheetData sheetId="0" refreshError="1">
        <row r="3">
          <cell r="G3" t="str">
            <v>1/5/1998 - 10:00</v>
          </cell>
        </row>
        <row r="7">
          <cell r="E7" t="str">
            <v>BR 240</v>
          </cell>
        </row>
        <row r="8">
          <cell r="E8" t="str">
            <v>RED BOOK - EURO Version</v>
          </cell>
        </row>
        <row r="9">
          <cell r="E9">
            <v>1450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S Slit Coil (Centrali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Lotting Criteria"/>
      <sheetName val="Purchased Lotting Summary"/>
      <sheetName val="All Purchased Data"/>
      <sheetName val="Lighting (Martin)"/>
      <sheetName val="Lighting (Juarez)"/>
      <sheetName val="Lighting (Christiansburg)"/>
      <sheetName val="HPS Pipe (Centralia) "/>
      <sheetName val="HPS Slit Coil (Centralia)"/>
      <sheetName val="HPS Plate (Centralia)"/>
      <sheetName val="Wiring (Puerto Rico)"/>
      <sheetName val="HEP (Freeburg)"/>
      <sheetName val="HEP (Arden)"/>
      <sheetName val="_Daten"/>
      <sheetName val="Lotting_Criteria"/>
      <sheetName val="Purchased_Lotting_Summary"/>
      <sheetName val="All_Purchased_Data"/>
      <sheetName val="Lighting_(Martin)"/>
      <sheetName val="Lighting_(Juarez)"/>
      <sheetName val="Lighting_(Christiansburg)"/>
      <sheetName val="HPS_Pipe_(Centralia)_"/>
      <sheetName val="HPS_Slit_Coil_(Centralia)"/>
      <sheetName val="HPS_Plate_(Centralia)"/>
      <sheetName val="Wiring_(Puerto_Rico)"/>
      <sheetName val="HEP_(Freeburg)"/>
      <sheetName val="HEP_(Arden)"/>
      <sheetName val="Units"/>
      <sheetName val="analysis"/>
      <sheetName val="2008VolumePlanning"/>
      <sheetName val="Hubbell Stl Master Data File 15"/>
      <sheetName val="chapisteria"/>
      <sheetName val="Performance"/>
      <sheetName val="CA mag par PFR"/>
      <sheetName val="Sheet1"/>
      <sheetName val="Lotting_Criteria1"/>
      <sheetName val="Purchased_Lotting_Summary1"/>
      <sheetName val="All_Purchased_Data1"/>
      <sheetName val="Lighting_(Martin)1"/>
      <sheetName val="Lighting_(Juarez)1"/>
      <sheetName val="Lighting_(Christiansburg)1"/>
      <sheetName val="HPS_Pipe_(Centralia)_1"/>
      <sheetName val="HPS_Slit_Coil_(Centralia)1"/>
      <sheetName val="HPS_Plate_(Centralia)1"/>
      <sheetName val="Wiring_(Puerto_Rico)1"/>
      <sheetName val="HEP_(Freeburg)1"/>
      <sheetName val="HEP_(Arden)1"/>
      <sheetName val="Hubbell_Stl_Master_Data_File_15"/>
      <sheetName val="CA_mag_par_PFR"/>
      <sheetName val="0_Kostenmodell"/>
      <sheetName val=" "/>
      <sheetName val="1_Angebotsprämissen"/>
      <sheetName val="2.1_Prozesszeiten"/>
      <sheetName val="2.2_Prozesskosten"/>
      <sheetName val="3_Standort(-übergr.)kosten"/>
      <sheetName val="4_Gesamtkosten"/>
      <sheetName val="Flächenbetrachtung "/>
      <sheetName val="Preisgenerator"/>
      <sheetName val=" "/>
      <sheetName val="2_Lohnkalkulator"/>
      <sheetName val="  "/>
      <sheetName val=".. "/>
      <sheetName val="Tabelle1"/>
      <sheetName val="Entsorgung"/>
      <sheetName val="DropDown"/>
      <sheetName val="HPS Slit Coil _Centralia_"/>
      <sheetName val="REVISOES"/>
      <sheetName val="FROTA"/>
      <sheetName val="ÔNIBUS_SUMARE"/>
      <sheetName val="MICRO_SUMARE"/>
      <sheetName val="ÔNIBUS_CAMPINAS"/>
      <sheetName val="ÔNIBUS_SANTO ANDRE"/>
      <sheetName val="VAN_BARUERI"/>
      <sheetName val="RESUMO"/>
      <sheetName val="BDI"/>
      <sheetName val="COMBUSTÍVEL"/>
      <sheetName val="PIS-COFINS"/>
      <sheetName val="ENCARGOS"/>
      <sheetName val="ESTRUTURA"/>
      <sheetName val="UNIFORME&amp;EPI"/>
      <sheetName val="TREINAMENTO"/>
      <sheetName val="EXAMES&amp;PCMSO"/>
      <sheetName val="Equipamentos"/>
      <sheetName val="Utensílios"/>
      <sheetName val="Cash-Flow1"/>
      <sheetName val="HPS_Slit_Coil__Centralia_"/>
      <sheetName val="ÔNIBUS_SANTO_ANDRE"/>
      <sheetName val="Dados"/>
      <sheetName val="cód participantes"/>
      <sheetName val="Lista ANC"/>
      <sheetName val="Input &amp; Output"/>
      <sheetName val="Follow Up Status"/>
      <sheetName val="RFQ Mão de Obra"/>
      <sheetName val="CORRELA_1993_à_1999"/>
      <sheetName val="Controls"/>
      <sheetName val="Libellés"/>
      <sheetName val="BS_ME_(Old)"/>
      <sheetName val="Referencias"/>
      <sheetName val="Meta10"/>
      <sheetName val="Uberlandia"/>
      <sheetName val="Meta11"/>
      <sheetName val="Meta12"/>
      <sheetName val="Meta13"/>
      <sheetName val="Meta14"/>
      <sheetName val="Meta15"/>
      <sheetName val="Meta16"/>
      <sheetName val="Meta2"/>
      <sheetName val="Meta3"/>
      <sheetName val="Meta4"/>
      <sheetName val="Meta5"/>
      <sheetName val="Meta6"/>
      <sheetName val="Meta7(2)"/>
      <sheetName val="Meta7"/>
      <sheetName val="Meta8"/>
      <sheetName val="Meta9"/>
      <sheetName val="Juin"/>
      <sheetName val="Juillet"/>
      <sheetName val="Août"/>
      <sheetName val="Septembre"/>
      <sheetName val="Octobre"/>
      <sheetName val="Novembre"/>
      <sheetName val="Décembre"/>
      <sheetName val="Janvier"/>
      <sheetName val="Février"/>
      <sheetName val="Mars"/>
      <sheetName val="Avril"/>
      <sheetName val="Mai"/>
      <sheetName val="TABLEAU_ECARTS"/>
      <sheetName val="TABLEAU"/>
      <sheetName val="HPS_Slit_Coil__Centralia_1"/>
      <sheetName val="ÔNIBUS_SANTO_ANDRE1"/>
      <sheetName val="Cenários Old"/>
      <sheetName val="CONTROLE"/>
      <sheetName val="Fonte"/>
      <sheetName val="5. IMPO LCL"/>
      <sheetName val="cód_participantes"/>
      <sheetName val="Lista_ANC"/>
      <sheetName val="Input_&amp;_Output"/>
      <sheetName val="Plan1"/>
      <sheetName val="Listas"/>
      <sheetName val="3. Equip. Rotina - CF"/>
      <sheetName val="Manutenção"/>
      <sheetName val="MAT1"/>
      <sheetName val="TOTAIS"/>
      <sheetName val="3. GRUPO DE CATEGORIA"/>
      <sheetName val="Lista Suspensa"/>
      <sheetName val="LPU_COMTEC"/>
      <sheetName val="HPS_Slit_Coil__Centralia_2"/>
      <sheetName val="Lotting_Criteria2"/>
      <sheetName val="Purchased_Lotting_Summary2"/>
      <sheetName val="All_Purchased_Data2"/>
      <sheetName val="Lighting_(Martin)2"/>
      <sheetName val="Lighting_(Juarez)2"/>
      <sheetName val="Lighting_(Christiansburg)2"/>
      <sheetName val="HPS_Pipe_(Centralia)_2"/>
      <sheetName val="HPS_Slit_Coil_(Centralia)2"/>
      <sheetName val="HPS_Plate_(Centralia)2"/>
      <sheetName val="Wiring_(Puerto_Rico)2"/>
      <sheetName val="HEP_(Freeburg)2"/>
      <sheetName val="HEP_(Arden)2"/>
      <sheetName val="ÔNIBUS_SANTO_ANDRE2"/>
      <sheetName val="MANUTENÇAO"/>
      <sheetName val="apoio"/>
      <sheetName val="2. Resumo Cotação"/>
      <sheetName val="SET96"/>
      <sheetName val=""/>
      <sheetName val="aux"/>
      <sheetName val="Dados 2"/>
      <sheetName val="tab_listas"/>
      <sheetName val="Preço"/>
      <sheetName val="NOMECLATURA"/>
      <sheetName val="Lotting_Criteria3"/>
      <sheetName val="Purchased_Lotting_Summary3"/>
      <sheetName val="All_Purchased_Data3"/>
      <sheetName val="Lighting_(Martin)3"/>
      <sheetName val="Lighting_(Juarez)3"/>
      <sheetName val="Lighting_(Christiansburg)3"/>
      <sheetName val="HPS_Pipe_(Centralia)_3"/>
      <sheetName val="HPS_Slit_Coil_(Centralia)3"/>
      <sheetName val="HPS_Plate_(Centralia)3"/>
      <sheetName val="Wiring_(Puerto_Rico)3"/>
      <sheetName val="HEP_(Freeburg)3"/>
      <sheetName val="HEP_(Arden)3"/>
      <sheetName val="HPS_Slit_Coil__Centralia_3"/>
      <sheetName val="ÔNIBUS_SANTO_ANDRE3"/>
      <sheetName val="cód_participantes1"/>
      <sheetName val="Lista_ANC1"/>
      <sheetName val="Input_&amp;_Output1"/>
      <sheetName val="Follow_Up_Status"/>
      <sheetName val="RFQ_Mão_de_Obra"/>
      <sheetName val="Cenários_Old"/>
      <sheetName val="5__IMPO_LCL"/>
      <sheetName val="3__Equip__Rotina_-_CF"/>
      <sheetName val="3__GRUPO_DE_CATEGORIA"/>
      <sheetName val="Lista_Suspensa"/>
      <sheetName val="2__Resumo_Cotação"/>
      <sheetName val="Materiais"/>
      <sheetName val="Cotacao Tubos"/>
      <sheetName val="Hubbell_Stl_Master_Data_File_1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refreshError="1"/>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refreshError="1"/>
      <sheetData sheetId="160" refreshError="1"/>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ing"/>
      <sheetName val="transport"/>
      <sheetName val="ttl cost &amp; dutie_F18 IbbenCN NI"/>
      <sheetName val="# 1-4 Tray Zierelement"/>
      <sheetName val="# 5,6,8-10 Tray Zierg."/>
      <sheetName val="# 7 Tray Ziergitter"/>
      <sheetName val="Area Forwarding Shanghai"/>
      <sheetName val="Pre-Carriage"/>
      <sheetName val="Sea Freight"/>
      <sheetName val="sequence, warehouse, handling"/>
      <sheetName val="basic data packaging"/>
      <sheetName val="basic data transport"/>
      <sheetName val="basic data sequence"/>
      <sheetName val="basic units"/>
      <sheetName val="customs EU imports"/>
      <sheetName val="change history"/>
      <sheetName val="Price Sheet interim solution"/>
      <sheetName val="Price Sheet interim solutio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8">
          <cell r="B8" t="str">
            <v>Zuschnitt FS 133, 160 einwellig 225 x 170</v>
          </cell>
        </row>
        <row r="9">
          <cell r="B9" t="str">
            <v>Zuschnitt FS 158, 159 einwellig 350 x 225</v>
          </cell>
        </row>
        <row r="10">
          <cell r="B10" t="str">
            <v>Zuschnitt FS 149, 157 einwellig 450 x 340</v>
          </cell>
        </row>
        <row r="11">
          <cell r="B11" t="str">
            <v>Zuschnitt FS 130, 132 einwellig 710 x 210</v>
          </cell>
        </row>
        <row r="12">
          <cell r="B12" t="str">
            <v>Zuschnitt FS 155, 156, 134 einwellig 710 x 450</v>
          </cell>
        </row>
        <row r="13">
          <cell r="B13" t="str">
            <v>Zuschnitt 710 x 100 einwellig 720 x 100</v>
          </cell>
        </row>
        <row r="14">
          <cell r="B14" t="str">
            <v>Zuschnitt einwellig 710 x 120</v>
          </cell>
        </row>
        <row r="15">
          <cell r="B15" t="str">
            <v>Zuschnitt FS 131, 154 einwellig 920 x 345</v>
          </cell>
        </row>
        <row r="16">
          <cell r="B16" t="str">
            <v>Zuschnitt FS 153 einwellig 925 x 710</v>
          </cell>
        </row>
        <row r="17">
          <cell r="B17" t="str">
            <v>Zuschnitt FS 152 einwellig 1390 x 710</v>
          </cell>
        </row>
        <row r="19">
          <cell r="B19" t="str">
            <v>Zuschnitt FK 100-106 2-wellig 1875 x 720</v>
          </cell>
        </row>
        <row r="20">
          <cell r="B20" t="str">
            <v>Zuschnitt 700 x 140 2-wellig</v>
          </cell>
        </row>
        <row r="21">
          <cell r="B21" t="str">
            <v>Zuschnitt 710 x 300 2-wellig</v>
          </cell>
        </row>
        <row r="22">
          <cell r="B22" t="str">
            <v>Zuschnitt 720 x 490 2-/3-wellig</v>
          </cell>
        </row>
        <row r="23">
          <cell r="B23" t="str">
            <v>Zuschnitt 760 x 160 2-wellig</v>
          </cell>
        </row>
        <row r="24">
          <cell r="B24" t="str">
            <v>Zuschnitt 1100 x 720 f. Corbox 3250928</v>
          </cell>
        </row>
        <row r="25">
          <cell r="B25" t="str">
            <v>Zuschnitt 1100 x 920 f. Corbos 3250925 (2-wellig)</v>
          </cell>
        </row>
        <row r="26">
          <cell r="B26" t="str">
            <v>Zuschnitt 1380 x 720 2/3-wellig</v>
          </cell>
        </row>
        <row r="27">
          <cell r="B27" t="str">
            <v>Zuschnitt 1870 x 100 2-wellig</v>
          </cell>
        </row>
        <row r="29">
          <cell r="B29" t="str">
            <v>Handstretchfolie 500 mm breit</v>
          </cell>
        </row>
        <row r="30">
          <cell r="B30" t="str">
            <v>Maschinen Stretchfolie 500 mm breit</v>
          </cell>
        </row>
        <row r="31">
          <cell r="B31" t="str">
            <v>PE-Schrumpffolie 1000 mm breit</v>
          </cell>
        </row>
        <row r="33">
          <cell r="B33" t="str">
            <v>PE-Flachfolie 2500 mm breit</v>
          </cell>
        </row>
        <row r="35">
          <cell r="B35" t="str">
            <v>PE-Schlauchfolie 50 mm</v>
          </cell>
        </row>
        <row r="36">
          <cell r="B36" t="str">
            <v>PE-Schlauchfolie 100 mm</v>
          </cell>
        </row>
        <row r="37">
          <cell r="B37" t="str">
            <v>PE-Schlauchfolie 180 mm</v>
          </cell>
        </row>
        <row r="38">
          <cell r="B38" t="str">
            <v>PE-Schlauchfolie 350 mm</v>
          </cell>
        </row>
        <row r="40">
          <cell r="B40" t="str">
            <v>PE-Flachbeutel 120x150 / 0,05mm</v>
          </cell>
        </row>
        <row r="41">
          <cell r="B41" t="str">
            <v>PE-Flachbeutel 160x250 / 0,05mm</v>
          </cell>
        </row>
        <row r="42">
          <cell r="B42" t="str">
            <v>PE-Flachbeutel 220x350 / 0,05mm</v>
          </cell>
        </row>
        <row r="43">
          <cell r="B43" t="str">
            <v>PE-Flachbeutel 300x500 / 0,05mm</v>
          </cell>
        </row>
        <row r="44">
          <cell r="B44" t="str">
            <v>PE-Flachbeutel 70x100 / 0,05 mm ESD</v>
          </cell>
        </row>
        <row r="45">
          <cell r="B45" t="str">
            <v>PE-Flachbeutel 220x350 / 0,05mm ESD</v>
          </cell>
        </row>
        <row r="46">
          <cell r="B46" t="str">
            <v>PE-Flachbeutel 300x500 / 0,05mm ESD</v>
          </cell>
        </row>
        <row r="48">
          <cell r="B48" t="str">
            <v>VCI Flachbeutel 150x100</v>
          </cell>
        </row>
        <row r="49">
          <cell r="B49" t="str">
            <v>VCI Flachbeutel 200x150</v>
          </cell>
        </row>
        <row r="50">
          <cell r="B50" t="str">
            <v>VCI Flachbeutel 300x200</v>
          </cell>
        </row>
        <row r="51">
          <cell r="B51" t="str">
            <v>VCI Seitenfaltenhaube 800x400x800</v>
          </cell>
        </row>
        <row r="52">
          <cell r="B52" t="str">
            <v>VCI Seitenfaltenhaube 950x750x1300</v>
          </cell>
        </row>
        <row r="53">
          <cell r="B53" t="str">
            <v>VCI Seitenfaltenhaube 1150x950x2000</v>
          </cell>
        </row>
        <row r="54">
          <cell r="B54" t="str">
            <v>VCI Seitenfaltenhaube 1230x825x1050</v>
          </cell>
        </row>
        <row r="55">
          <cell r="B55" t="str">
            <v>VCI Trockenbeutel</v>
          </cell>
        </row>
        <row r="57">
          <cell r="B57" t="str">
            <v>Schaumfolie Rolle 100mm / 9 mm</v>
          </cell>
        </row>
        <row r="58">
          <cell r="B58" t="str">
            <v>Schaumfolie Rolle 500mm / 2mm</v>
          </cell>
        </row>
        <row r="59">
          <cell r="B59" t="str">
            <v>Schaumfolie Rolle 500mm / 3mm</v>
          </cell>
        </row>
        <row r="60">
          <cell r="B60" t="str">
            <v>Schaumfolie Rolle 600mm / 1mm</v>
          </cell>
        </row>
        <row r="61">
          <cell r="B61" t="str">
            <v>Schaumfolie Rolle 1000mm / 1mm</v>
          </cell>
        </row>
        <row r="62">
          <cell r="B62" t="str">
            <v>Schaumfolie Rolle 1000mm / 3mm</v>
          </cell>
        </row>
        <row r="63">
          <cell r="B63" t="str">
            <v>Schaumfolie Rolle 1200mm / 1mm</v>
          </cell>
        </row>
        <row r="64">
          <cell r="B64" t="str">
            <v>Schaumfolie Rolle 1200mm / 2mm</v>
          </cell>
        </row>
        <row r="65">
          <cell r="B65" t="str">
            <v>Schaumfolie Rolle 1250mm / 1mm</v>
          </cell>
        </row>
        <row r="66">
          <cell r="B66" t="str">
            <v>Schaumfolie Rolle 1250mm / 3mm</v>
          </cell>
        </row>
        <row r="67">
          <cell r="B67" t="str">
            <v>Schaumfolie Rolle 1500mm / 1mm</v>
          </cell>
        </row>
        <row r="68">
          <cell r="B68" t="str">
            <v>Schaumfolie Rolle 1500mm / 2mm</v>
          </cell>
        </row>
        <row r="69">
          <cell r="B69" t="str">
            <v>Schaumfolie Rolle 1500mm / 3mm</v>
          </cell>
        </row>
        <row r="70">
          <cell r="B70" t="str">
            <v>Schaumfolie Rolle 1250mm / 1mm ESD</v>
          </cell>
        </row>
        <row r="71">
          <cell r="B71" t="str">
            <v>Schaumfolie Rolle 1250mm / 3mm ESD</v>
          </cell>
        </row>
        <row r="73">
          <cell r="B73" t="str">
            <v>Schaumstoff Zuschnitt 285x385 / 2mm</v>
          </cell>
        </row>
        <row r="74">
          <cell r="B74" t="str">
            <v>Schaumstoff Zuschnitt 465x260 / 3mm</v>
          </cell>
        </row>
        <row r="75">
          <cell r="B75" t="str">
            <v>Schaumstoff Zuschnitt 710x464 / 1mm</v>
          </cell>
        </row>
        <row r="76">
          <cell r="B76" t="str">
            <v>Schaumstoff Zuschnitt 710x464 / 3mm</v>
          </cell>
        </row>
        <row r="77">
          <cell r="B77" t="str">
            <v>Schaumstoff Zuschnitt 1000x800 / 1mm</v>
          </cell>
        </row>
        <row r="78">
          <cell r="B78" t="str">
            <v>Schaumstoff Zuschnitt 1000x800 / 3mm</v>
          </cell>
        </row>
        <row r="79">
          <cell r="B79" t="str">
            <v>Schaumstoff Zuschnitt 1500x800 / 1mm</v>
          </cell>
        </row>
        <row r="80">
          <cell r="B80" t="str">
            <v>Schaumstoff Zuschnitt 1500x800 / 3mm</v>
          </cell>
        </row>
        <row r="81">
          <cell r="B81" t="str">
            <v>Schaumstoff Zuschnitt 710x464 / 1mm / antistat.</v>
          </cell>
        </row>
        <row r="82">
          <cell r="B82" t="str">
            <v>Schaumstoff Zuschnitt 710x464 / 3mm / antistat.</v>
          </cell>
        </row>
        <row r="84">
          <cell r="B84" t="str">
            <v>Luftpolsterfolie CL Rolle 500mm</v>
          </cell>
        </row>
        <row r="85">
          <cell r="B85" t="str">
            <v>Luftpolsterfolie DS Rolle 500 mm</v>
          </cell>
        </row>
        <row r="86">
          <cell r="B86" t="str">
            <v>Luftpolsterfolie CL Rolle 600mm</v>
          </cell>
        </row>
        <row r="87">
          <cell r="B87" t="str">
            <v>Luftpolsterfolie CL Rolle 600mm antistat.</v>
          </cell>
        </row>
        <row r="88">
          <cell r="B88" t="str">
            <v>Luftpolsterfolie CL Rolle 1000mm</v>
          </cell>
        </row>
        <row r="89">
          <cell r="B89" t="str">
            <v>Luftpolsterfolie CL Rolle 1200mm</v>
          </cell>
        </row>
        <row r="90">
          <cell r="B90" t="str">
            <v>Luftpolsterfolie CL Rolle 1200mm antistat.</v>
          </cell>
        </row>
        <row r="91">
          <cell r="B91" t="str">
            <v>Luftpolsterfolie DL Rolle 1200 mm</v>
          </cell>
        </row>
        <row r="92">
          <cell r="B92" t="str">
            <v>Luftpolsterfolie CL Rolle 1500mm</v>
          </cell>
        </row>
        <row r="93">
          <cell r="B93" t="str">
            <v>Luftpolsterfolie CL Rolle 1500mm antistat.</v>
          </cell>
        </row>
        <row r="95">
          <cell r="B95" t="str">
            <v>Luftpolstersack 650x950</v>
          </cell>
        </row>
        <row r="96">
          <cell r="B96" t="str">
            <v>Luftpolstersack 750x1250</v>
          </cell>
        </row>
        <row r="97">
          <cell r="B97" t="str">
            <v>Luftpolstersack 750x1450</v>
          </cell>
        </row>
        <row r="99">
          <cell r="B99" t="str">
            <v>Korr.Schutzpapier 450 x 335</v>
          </cell>
        </row>
        <row r="100">
          <cell r="B100" t="str">
            <v>Korr.Schutzpapier 500 x 500</v>
          </cell>
        </row>
        <row r="101">
          <cell r="B101" t="str">
            <v>Korr.Schutzpapier 710 x 450</v>
          </cell>
        </row>
        <row r="102">
          <cell r="B102" t="str">
            <v>Korr.Schutzpapier 925 x 710</v>
          </cell>
        </row>
        <row r="103">
          <cell r="B103" t="str">
            <v>Korr.Schutzpapier Rolle 1000mm</v>
          </cell>
        </row>
        <row r="105">
          <cell r="B105" t="str">
            <v>Karopack Polsterkissen 180x220</v>
          </cell>
        </row>
        <row r="106">
          <cell r="B106" t="str">
            <v>Karopack Polsterkissen 180x300</v>
          </cell>
        </row>
        <row r="107">
          <cell r="B107" t="str">
            <v>Karopack Polsterkissen 180x380</v>
          </cell>
        </row>
        <row r="108">
          <cell r="B108" t="str">
            <v>Klebe-Packband 75mm</v>
          </cell>
        </row>
        <row r="109">
          <cell r="B109" t="str">
            <v>Klebeband "Vorsicht Glas" 50mm</v>
          </cell>
        </row>
        <row r="110">
          <cell r="B110" t="str">
            <v>Klebeband Gefahrgutverpackung 75mm</v>
          </cell>
        </row>
        <row r="111">
          <cell r="B111" t="str">
            <v>Gefahrgutaufkleber klein</v>
          </cell>
        </row>
        <row r="112">
          <cell r="B112" t="str">
            <v>Gefahrgutaufkleber groß</v>
          </cell>
        </row>
        <row r="113">
          <cell r="B113" t="str">
            <v>Kunststoffumreifungsband</v>
          </cell>
        </row>
        <row r="114">
          <cell r="B114" t="str">
            <v>Umreifungsband Automatenqualität</v>
          </cell>
        </row>
        <row r="116">
          <cell r="B116" t="str">
            <v>n.a.</v>
          </cell>
        </row>
      </sheetData>
      <sheetData sheetId="11" refreshError="1"/>
      <sheetData sheetId="12" refreshError="1">
        <row r="4">
          <cell r="A4" t="str">
            <v>Blocklager</v>
          </cell>
        </row>
        <row r="5">
          <cell r="A5" t="str">
            <v>Regallager manuell</v>
          </cell>
        </row>
        <row r="6">
          <cell r="A6" t="str">
            <v>Regallager automatisiert</v>
          </cell>
        </row>
        <row r="7">
          <cell r="A7" t="str">
            <v>Regallager Großteile</v>
          </cell>
        </row>
        <row r="8">
          <cell r="A8" t="str">
            <v>Schmalganglager</v>
          </cell>
        </row>
        <row r="9">
          <cell r="A9" t="str">
            <v>Strukturdaten</v>
          </cell>
        </row>
        <row r="11">
          <cell r="A11" t="str">
            <v>Land</v>
          </cell>
        </row>
        <row r="28">
          <cell r="A28" t="str">
            <v>Handlingsgerät</v>
          </cell>
        </row>
        <row r="30">
          <cell r="A30" t="str">
            <v>Bezeichnung</v>
          </cell>
        </row>
        <row r="31">
          <cell r="A31" t="str">
            <v>Handwagen</v>
          </cell>
        </row>
        <row r="32">
          <cell r="A32" t="str">
            <v>Hubwagen</v>
          </cell>
        </row>
        <row r="33">
          <cell r="A33" t="str">
            <v>Stapler</v>
          </cell>
        </row>
        <row r="34">
          <cell r="A34" t="str">
            <v>Hebevorrichtung</v>
          </cell>
        </row>
      </sheetData>
      <sheetData sheetId="13" refreshError="1"/>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HRESPLANUNGSPROGRAMM"/>
      <sheetName val="LOHNKOSTEN"/>
      <sheetName val="Packmaterialkosten"/>
      <sheetName val="EDL"/>
      <sheetName val="WEITERVERRECHNUNG"/>
      <sheetName val="Eing_Extra-Personal"/>
      <sheetName val="Eing_BASIS"/>
      <sheetName val="Thailand"/>
      <sheetName val="Indonesien"/>
      <sheetName val="Malaysia"/>
      <sheetName val="Philippinen"/>
      <sheetName val="Vietnam"/>
      <sheetName val="Mexiko ohne Karossen"/>
      <sheetName val="Mexiko mit Karossen"/>
      <sheetName val="Ägypten"/>
      <sheetName val="Russland ohne Karossen"/>
      <sheetName val="Russland mit Karossen"/>
      <sheetName val="Werker mit Karossen"/>
      <sheetName val="Werker ohne Karossen "/>
      <sheetName val="Volumen"/>
      <sheetName val="Packmaterialkosten 2"/>
      <sheetName val="Programm"/>
      <sheetName val="ÜL Auspl. 2009 Peko"/>
      <sheetName val="ÜL Auspl. 2009 Sako"/>
      <sheetName val="ÜL Auspl. 2009 Marketing"/>
      <sheetName val="JANUARY 1996"/>
      <sheetName val="Auto 1 - GuV TES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nblatt"/>
      <sheetName val="Kalkulationsbasis"/>
    </sheetNames>
    <sheetDataSet>
      <sheetData sheetId="0">
        <row r="18">
          <cell r="O18">
            <v>400000</v>
          </cell>
        </row>
        <row r="39">
          <cell r="O39">
            <v>61.355025743546221</v>
          </cell>
        </row>
        <row r="40">
          <cell r="O40">
            <v>3200</v>
          </cell>
        </row>
      </sheetData>
      <sheetData sheetId="1">
        <row r="196">
          <cell r="S196">
            <v>0.16112978050807641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nblatt"/>
      <sheetName val="Kalkulationsbasis"/>
      <sheetName val="length"/>
      <sheetName val="Total Cost"/>
      <sheetName val="Cover Page"/>
      <sheetName val="Operating Costs"/>
      <sheetName val="Processes"/>
      <sheetName val="Controlling"/>
      <sheetName val="Investments"/>
      <sheetName val="Prices"/>
      <sheetName val="Profit and Loss"/>
      <sheetName val="Zones"/>
      <sheetName val="Sheet1"/>
    </sheetNames>
    <sheetDataSet>
      <sheetData sheetId="0" refreshError="1">
        <row r="18">
          <cell r="O18">
            <v>400000</v>
          </cell>
        </row>
        <row r="39">
          <cell r="O39">
            <v>61.355025743546221</v>
          </cell>
        </row>
        <row r="40">
          <cell r="O40">
            <v>3200</v>
          </cell>
        </row>
      </sheetData>
      <sheetData sheetId="1" refreshError="1">
        <row r="18">
          <cell r="O18">
            <v>400000</v>
          </cell>
        </row>
        <row r="196">
          <cell r="S196">
            <v>0.16112978050807641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ng_BASI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ng_BASIS"/>
      <sheetName val="JAHRESPLANUNGSPROGRAMM"/>
      <sheetName val="LOHNKOSTEN"/>
      <sheetName val="Packmaterialkosten"/>
      <sheetName val="EDL"/>
      <sheetName val="WEITERVERRECHNUNG"/>
      <sheetName val="Eing_Extra-Personal"/>
      <sheetName val="Thailand"/>
      <sheetName val="Indonesien"/>
      <sheetName val="Malaysia"/>
      <sheetName val="Philippinen"/>
      <sheetName val="Vietnam"/>
      <sheetName val="Mexiko ohne Karossen"/>
      <sheetName val="Mexiko mit Karossen"/>
      <sheetName val="Ägypten"/>
      <sheetName val="Russland ohne Karossen"/>
      <sheetName val="Russland mit Karossen"/>
      <sheetName val="Werker ohne Karossen "/>
      <sheetName val="Volumen"/>
      <sheetName val="Packmaterialkosten 2"/>
      <sheetName val="Programm VF-3"/>
      <sheetName val="Programm"/>
      <sheetName val="Programmänderungen"/>
      <sheetName val="Packkosten"/>
    </sheetNames>
    <sheetDataSet>
      <sheetData sheetId="0">
        <row r="8">
          <cell r="C8">
            <v>16</v>
          </cell>
          <cell r="D8">
            <v>21</v>
          </cell>
          <cell r="E8">
            <v>23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LUP"/>
      <sheetName val="Mengengerüst"/>
      <sheetName val="Mengengerüst TF kompakt"/>
      <sheetName val="Mengengerüst TF"/>
      <sheetName val="LOT-Teilegruppe"/>
      <sheetName val="Flächenverfügbarkeiten"/>
      <sheetName val="Fläche GT"/>
      <sheetName val="Fläche KT"/>
      <sheetName val="Blechteile"/>
      <sheetName val="Investitionen_Bau"/>
      <sheetName val="2012 BMW_Basis"/>
      <sheetName val="2013 BMW_Basis"/>
      <sheetName val="BMW_Master"/>
      <sheetName val="2014-2010 BMW_Basis"/>
      <sheetName val="BMW_TA"/>
      <sheetName val="Großblech E90"/>
      <sheetName val="GT"/>
      <sheetName val="KT"/>
      <sheetName val="Tabelle1"/>
      <sheetName val="Table examples and tools"/>
    </sheetNames>
    <sheetDataSet>
      <sheetData sheetId="0" refreshError="1">
        <row r="4">
          <cell r="B4">
            <v>250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gebnis"/>
      <sheetName val="Recherche"/>
      <sheetName val="Stammdaten"/>
      <sheetName val="_data_Argentina_2014"/>
      <sheetName val="Lohnnebenkosten"/>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klärung"/>
      <sheetName val="Recherche"/>
      <sheetName val="Lohnnebenkosten"/>
      <sheetName val="Löhne und Gehälter"/>
      <sheetName val="Berechnung SGK"/>
      <sheetName val="Energiekosten"/>
      <sheetName val="Flächenkosten"/>
      <sheetName val="Zinssatz"/>
      <sheetName val="Ergebnis"/>
      <sheetName val="Stammdaten"/>
      <sheetName val="_data_Argentina_2014"/>
    </sheetNames>
    <sheetDataSet>
      <sheetData sheetId="0" refreshError="1"/>
      <sheetData sheetId="1">
        <row r="3">
          <cell r="B3" t="str">
            <v>Argentinien</v>
          </cell>
        </row>
        <row r="6">
          <cell r="B6" t="str">
            <v>ARS</v>
          </cell>
        </row>
      </sheetData>
      <sheetData sheetId="2">
        <row r="6">
          <cell r="J6">
            <v>2008</v>
          </cell>
          <cell r="K6" t="e">
            <v>#N/A</v>
          </cell>
        </row>
        <row r="7">
          <cell r="J7">
            <v>2009</v>
          </cell>
          <cell r="K7" t="e">
            <v>#N/A</v>
          </cell>
        </row>
        <row r="8">
          <cell r="J8">
            <v>2010</v>
          </cell>
          <cell r="K8" t="e">
            <v>#N/A</v>
          </cell>
        </row>
        <row r="9">
          <cell r="J9">
            <v>2011</v>
          </cell>
          <cell r="K9" t="e">
            <v>#N/A</v>
          </cell>
        </row>
        <row r="10">
          <cell r="J10">
            <v>2012</v>
          </cell>
          <cell r="K10" t="e">
            <v>#N/A</v>
          </cell>
        </row>
        <row r="11">
          <cell r="J11">
            <v>2013</v>
          </cell>
          <cell r="K11">
            <v>0.26500000000000012</v>
          </cell>
        </row>
        <row r="12">
          <cell r="J12">
            <v>2014</v>
          </cell>
          <cell r="K12">
            <v>0</v>
          </cell>
        </row>
        <row r="15">
          <cell r="J15">
            <v>2008</v>
          </cell>
          <cell r="K15" t="e">
            <v>#N/A</v>
          </cell>
        </row>
        <row r="16">
          <cell r="J16">
            <v>2009</v>
          </cell>
          <cell r="K16" t="e">
            <v>#N/A</v>
          </cell>
        </row>
        <row r="17">
          <cell r="J17">
            <v>2010</v>
          </cell>
          <cell r="K17" t="e">
            <v>#N/A</v>
          </cell>
        </row>
        <row r="18">
          <cell r="J18">
            <v>2011</v>
          </cell>
          <cell r="K18" t="e">
            <v>#N/A</v>
          </cell>
        </row>
        <row r="19">
          <cell r="J19">
            <v>2012</v>
          </cell>
          <cell r="K19">
            <v>0.58251500000000012</v>
          </cell>
        </row>
        <row r="20">
          <cell r="J20">
            <v>2013</v>
          </cell>
          <cell r="K20">
            <v>0.26500000000000012</v>
          </cell>
        </row>
        <row r="21">
          <cell r="J21">
            <v>2014</v>
          </cell>
          <cell r="K21">
            <v>0</v>
          </cell>
        </row>
      </sheetData>
      <sheetData sheetId="3">
        <row r="13">
          <cell r="N13">
            <v>14032.645</v>
          </cell>
        </row>
      </sheetData>
      <sheetData sheetId="4" refreshError="1"/>
      <sheetData sheetId="5" refreshError="1"/>
      <sheetData sheetId="6"/>
      <sheetData sheetId="7"/>
      <sheetData sheetId="8">
        <row r="3">
          <cell r="E3" t="str">
            <v>Argentinien</v>
          </cell>
          <cell r="F3">
            <v>39.181266666666673</v>
          </cell>
          <cell r="G3">
            <v>49.509991666666679</v>
          </cell>
          <cell r="H3">
            <v>59.838716666666677</v>
          </cell>
          <cell r="I3">
            <v>59.838716666666677</v>
          </cell>
          <cell r="J3">
            <v>72.440225000000012</v>
          </cell>
          <cell r="K3">
            <v>72.440225000000012</v>
          </cell>
          <cell r="L3">
            <v>85.04173333333334</v>
          </cell>
          <cell r="M3">
            <v>85.04173333333334</v>
          </cell>
          <cell r="N3">
            <v>122.16105000000005</v>
          </cell>
          <cell r="O3">
            <v>122.16105000000005</v>
          </cell>
          <cell r="P3">
            <v>122.16105000000005</v>
          </cell>
          <cell r="Q3">
            <v>103.6013916666667</v>
          </cell>
          <cell r="R3">
            <v>98.341521666666679</v>
          </cell>
          <cell r="S3">
            <v>85.04173333333334</v>
          </cell>
          <cell r="T3">
            <v>59.83871666666667</v>
          </cell>
          <cell r="U3">
            <v>309.24189999999999</v>
          </cell>
          <cell r="V3">
            <v>314.25762500000002</v>
          </cell>
          <cell r="W3">
            <v>319.27334999999999</v>
          </cell>
          <cell r="X3">
            <v>0.61390498381877034</v>
          </cell>
          <cell r="Y3">
            <v>0.61390498381877034</v>
          </cell>
          <cell r="Z3">
            <v>0.61390498381877034</v>
          </cell>
          <cell r="AA3">
            <v>0.61390498381877034</v>
          </cell>
          <cell r="AB3">
            <v>2.594488188976378E-2</v>
          </cell>
          <cell r="AC3">
            <v>0.247</v>
          </cell>
          <cell r="AD3">
            <v>27.176666666666666</v>
          </cell>
          <cell r="AE3">
            <v>161.93333333333334</v>
          </cell>
          <cell r="AF3" t="str">
            <v>GTAI</v>
          </cell>
          <cell r="AG3" t="str">
            <v>www.Leitzinsen.info()</v>
          </cell>
          <cell r="AH3" t="str">
            <v xml:space="preserve"> / </v>
          </cell>
          <cell r="AI3" t="str">
            <v>Colliers</v>
          </cell>
          <cell r="AJ3">
            <v>41947</v>
          </cell>
          <cell r="AK3" t="str">
            <v xml:space="preserve">Siemens PLM based on following sources: Wages and Burden: GTAI; Interest rate: www.Leitzinsen.info(); Floor space: Colliers; Electricity:  / </v>
          </cell>
        </row>
        <row r="4">
          <cell r="E4" t="str">
            <v>Argentinien - high</v>
          </cell>
          <cell r="F4">
            <v>46.286350000000013</v>
          </cell>
          <cell r="G4">
            <v>58.487275000000018</v>
          </cell>
          <cell r="H4">
            <v>70.688200000000023</v>
          </cell>
          <cell r="I4">
            <v>70.688200000000023</v>
          </cell>
          <cell r="J4">
            <v>85.570925000000017</v>
          </cell>
          <cell r="K4">
            <v>85.570925000000017</v>
          </cell>
          <cell r="L4">
            <v>100.45365000000001</v>
          </cell>
          <cell r="M4">
            <v>100.45365000000001</v>
          </cell>
          <cell r="N4">
            <v>144.29855000000003</v>
          </cell>
          <cell r="O4">
            <v>144.29855000000003</v>
          </cell>
          <cell r="P4">
            <v>144.29855000000003</v>
          </cell>
          <cell r="Q4">
            <v>122.37610000000002</v>
          </cell>
          <cell r="R4">
            <v>116.16621500000001</v>
          </cell>
          <cell r="S4">
            <v>100.45365000000001</v>
          </cell>
          <cell r="T4">
            <v>70.688200000000009</v>
          </cell>
          <cell r="U4">
            <v>365.29404999999997</v>
          </cell>
          <cell r="V4">
            <v>371.220575</v>
          </cell>
          <cell r="W4">
            <v>377.14710000000002</v>
          </cell>
          <cell r="X4">
            <v>0.61390498381877034</v>
          </cell>
          <cell r="Y4">
            <v>0.61390498381877034</v>
          </cell>
          <cell r="Z4">
            <v>0.61390498381877034</v>
          </cell>
          <cell r="AA4">
            <v>0.61390498381877034</v>
          </cell>
          <cell r="AB4">
            <v>2.594488188976378E-2</v>
          </cell>
          <cell r="AC4">
            <v>0.247</v>
          </cell>
          <cell r="AD4">
            <v>32.380000000000003</v>
          </cell>
          <cell r="AE4">
            <v>192.96</v>
          </cell>
          <cell r="AF4" t="str">
            <v>GTAI</v>
          </cell>
          <cell r="AG4" t="str">
            <v>www.Leitzinsen.info()</v>
          </cell>
          <cell r="AH4" t="str">
            <v xml:space="preserve"> / </v>
          </cell>
          <cell r="AI4" t="str">
            <v>Colliers</v>
          </cell>
          <cell r="AJ4">
            <v>41947</v>
          </cell>
          <cell r="AK4" t="str">
            <v xml:space="preserve">Siemens PLM based on following sources: Wages and Burden: GTAI; Interest rate: www.Leitzinsen.info(); Floor space: Colliers; Electricity:  / </v>
          </cell>
        </row>
        <row r="5">
          <cell r="E5" t="str">
            <v>Argentinien - middle</v>
          </cell>
          <cell r="F5">
            <v>38.089150000000004</v>
          </cell>
          <cell r="G5">
            <v>48.133250000000004</v>
          </cell>
          <cell r="H5">
            <v>58.177350000000011</v>
          </cell>
          <cell r="I5">
            <v>58.177350000000011</v>
          </cell>
          <cell r="J5">
            <v>70.428875000000005</v>
          </cell>
          <cell r="K5">
            <v>70.428875000000005</v>
          </cell>
          <cell r="L5">
            <v>82.680400000000006</v>
          </cell>
          <cell r="M5">
            <v>82.680400000000006</v>
          </cell>
          <cell r="N5">
            <v>118.77085000000002</v>
          </cell>
          <cell r="O5">
            <v>118.77085000000002</v>
          </cell>
          <cell r="P5">
            <v>118.77085000000002</v>
          </cell>
          <cell r="Q5">
            <v>100.72562500000001</v>
          </cell>
          <cell r="R5">
            <v>95.608700000000013</v>
          </cell>
          <cell r="S5">
            <v>82.680400000000006</v>
          </cell>
          <cell r="T5">
            <v>58.177350000000004</v>
          </cell>
          <cell r="U5">
            <v>300.63990000000001</v>
          </cell>
          <cell r="V5">
            <v>305.51647500000001</v>
          </cell>
          <cell r="W5">
            <v>310.39305000000007</v>
          </cell>
          <cell r="X5">
            <v>0.61390498381877034</v>
          </cell>
          <cell r="Y5">
            <v>0.61390498381877034</v>
          </cell>
          <cell r="Z5">
            <v>0.61390498381877034</v>
          </cell>
          <cell r="AA5">
            <v>0.61390498381877034</v>
          </cell>
          <cell r="AB5">
            <v>2.594488188976378E-2</v>
          </cell>
          <cell r="AC5">
            <v>0.247</v>
          </cell>
          <cell r="AD5">
            <v>26.65</v>
          </cell>
          <cell r="AE5">
            <v>158.79</v>
          </cell>
          <cell r="AF5" t="str">
            <v>GTAI</v>
          </cell>
          <cell r="AG5" t="str">
            <v>www.Leitzinsen.info()</v>
          </cell>
          <cell r="AH5" t="str">
            <v xml:space="preserve"> / </v>
          </cell>
          <cell r="AI5" t="str">
            <v>Colliers</v>
          </cell>
          <cell r="AJ5">
            <v>41947</v>
          </cell>
          <cell r="AK5" t="str">
            <v xml:space="preserve">Siemens PLM based on following sources: Wages and Burden: GTAI; Interest rate: www.Leitzinsen.info(); Floor space: Colliers; Electricity:  / </v>
          </cell>
        </row>
        <row r="6">
          <cell r="E6" t="str">
            <v>Argentinien - low</v>
          </cell>
          <cell r="F6">
            <v>33.168300000000002</v>
          </cell>
          <cell r="G6">
            <v>41.909450000000007</v>
          </cell>
          <cell r="H6">
            <v>50.650600000000004</v>
          </cell>
          <cell r="I6">
            <v>50.650600000000004</v>
          </cell>
          <cell r="J6">
            <v>61.320875000000001</v>
          </cell>
          <cell r="K6">
            <v>61.320875000000001</v>
          </cell>
          <cell r="L6">
            <v>71.991150000000005</v>
          </cell>
          <cell r="M6">
            <v>71.991150000000005</v>
          </cell>
          <cell r="N6">
            <v>103.41375000000002</v>
          </cell>
          <cell r="O6">
            <v>103.41375000000002</v>
          </cell>
          <cell r="P6">
            <v>103.41375000000002</v>
          </cell>
          <cell r="Q6">
            <v>87.702450000000013</v>
          </cell>
          <cell r="R6">
            <v>83.249650000000017</v>
          </cell>
          <cell r="S6">
            <v>71.991150000000005</v>
          </cell>
          <cell r="T6">
            <v>50.650600000000004</v>
          </cell>
          <cell r="U6">
            <v>261.79175000000004</v>
          </cell>
          <cell r="V6">
            <v>266.03582500000005</v>
          </cell>
          <cell r="W6">
            <v>270.2799</v>
          </cell>
          <cell r="X6">
            <v>0.61390498381877034</v>
          </cell>
          <cell r="Y6">
            <v>0.61390498381877034</v>
          </cell>
          <cell r="Z6">
            <v>0.61390498381877034</v>
          </cell>
          <cell r="AA6">
            <v>0.61390498381877034</v>
          </cell>
          <cell r="AB6">
            <v>2.594488188976378E-2</v>
          </cell>
          <cell r="AC6">
            <v>0.247</v>
          </cell>
          <cell r="AD6">
            <v>22.5</v>
          </cell>
          <cell r="AE6">
            <v>134.05000000000001</v>
          </cell>
          <cell r="AF6" t="str">
            <v>GTAI</v>
          </cell>
          <cell r="AG6" t="str">
            <v>www.Leitzinsen.info()</v>
          </cell>
          <cell r="AH6" t="str">
            <v xml:space="preserve"> / </v>
          </cell>
          <cell r="AI6" t="str">
            <v>Colliers</v>
          </cell>
          <cell r="AJ6">
            <v>41947</v>
          </cell>
          <cell r="AK6" t="str">
            <v xml:space="preserve">Siemens PLM based on following sources: Wages and Burden: GTAI; Interest rate: www.Leitzinsen.info(); Floor space: Colliers; Electricity:  / </v>
          </cell>
        </row>
      </sheetData>
      <sheetData sheetId="9">
        <row r="2">
          <cell r="D2" t="str">
            <v>SF/Year</v>
          </cell>
          <cell r="E2">
            <v>0.89699166666666663</v>
          </cell>
        </row>
        <row r="3">
          <cell r="D3" t="str">
            <v>SF/Month</v>
          </cell>
          <cell r="E3">
            <v>10.7639</v>
          </cell>
        </row>
        <row r="4">
          <cell r="D4" t="str">
            <v>qm/Monat</v>
          </cell>
          <cell r="E4">
            <v>1</v>
          </cell>
        </row>
        <row r="5">
          <cell r="D5" t="str">
            <v>qm/Jahr</v>
          </cell>
          <cell r="E5">
            <v>8.3333333333333329E-2</v>
          </cell>
        </row>
      </sheetData>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Units"/>
      <sheetName val="Basic_Data_Packaging"/>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_Data"/>
      <sheetName val=" "/>
      <sheetName val="Packaging"/>
      <sheetName val="Transport"/>
      <sheetName val="Total_Costs"/>
      <sheetName val=" "/>
      <sheetName val="Basic_Data_Packaging"/>
      <sheetName val="Basic_Data_Transport"/>
      <sheetName val="  "/>
      <sheetName val="Basic_Units"/>
      <sheetName val="Changes"/>
    </sheetNames>
    <sheetDataSet>
      <sheetData sheetId="0"/>
      <sheetData sheetId="1"/>
      <sheetData sheetId="2"/>
      <sheetData sheetId="3"/>
      <sheetData sheetId="4"/>
      <sheetData sheetId="5"/>
      <sheetData sheetId="6">
        <row r="131">
          <cell r="B131">
            <v>0</v>
          </cell>
        </row>
        <row r="132">
          <cell r="B132" t="str">
            <v>FS 3250160 BC 2.9 231x176x107</v>
          </cell>
        </row>
        <row r="133">
          <cell r="B133" t="str">
            <v>FS 3250159 BC 2.9 360x230x107</v>
          </cell>
        </row>
        <row r="134">
          <cell r="B134" t="str">
            <v>FS 3250158 BC 2.9 360x230x204</v>
          </cell>
        </row>
        <row r="135">
          <cell r="B135" t="str">
            <v>FS 3250149 BC 2.9 465x355x102</v>
          </cell>
        </row>
        <row r="136">
          <cell r="B136" t="str">
            <v>FS 3250157 BC 2.9 464x352x196</v>
          </cell>
        </row>
        <row r="137">
          <cell r="B137" t="str">
            <v>FS 3250132 BC 2.9 720x230x107</v>
          </cell>
        </row>
        <row r="138">
          <cell r="B138" t="str">
            <v>FS 3250130 BC 2.9 720x225x196</v>
          </cell>
        </row>
        <row r="139">
          <cell r="B139" t="str">
            <v>FS 3250156 BC 2.9 720x462x196</v>
          </cell>
        </row>
        <row r="140">
          <cell r="B140" t="str">
            <v>FS 3250134 BC 2.9 723x465x295</v>
          </cell>
        </row>
        <row r="141">
          <cell r="B141" t="str">
            <v>FS 3250155 BC 2.9 723x465x407</v>
          </cell>
        </row>
        <row r="142">
          <cell r="B142" t="str">
            <v>FS 3250131 BC 2.9 937x359x199</v>
          </cell>
        </row>
        <row r="143">
          <cell r="B143" t="str">
            <v>FS 3250153 BC 2.9 937x723x199</v>
          </cell>
        </row>
        <row r="144">
          <cell r="B144" t="str">
            <v>FS 3250152 BC 2.9 1405x723x199</v>
          </cell>
        </row>
        <row r="145">
          <cell r="B145">
            <v>0</v>
          </cell>
        </row>
        <row r="146">
          <cell r="B146" t="str">
            <v>LT = LE</v>
          </cell>
        </row>
        <row r="147">
          <cell r="B147">
            <v>0</v>
          </cell>
        </row>
        <row r="151">
          <cell r="B151" t="str">
            <v>KLT 3147: 300x200x150</v>
          </cell>
        </row>
        <row r="152">
          <cell r="B152" t="str">
            <v>KLT 4147: 400x300x150</v>
          </cell>
        </row>
        <row r="153">
          <cell r="B153" t="str">
            <v>KLT 4280: 400x300x280</v>
          </cell>
        </row>
        <row r="154">
          <cell r="B154" t="str">
            <v>KLT 6147: 600x400x150</v>
          </cell>
        </row>
        <row r="155">
          <cell r="B155" t="str">
            <v>KLT 6280: 600x400x280</v>
          </cell>
        </row>
        <row r="156">
          <cell r="B156" t="str">
            <v xml:space="preserve">Falt-KLT 6410: 600x400x280 </v>
          </cell>
        </row>
        <row r="157">
          <cell r="B157" t="str">
            <v>KLT 8210: 800x600x210</v>
          </cell>
        </row>
        <row r="158">
          <cell r="B158" t="str">
            <v>KLT ESD 3148: 300x200x150</v>
          </cell>
        </row>
        <row r="159">
          <cell r="B159" t="str">
            <v>KLT ESD 4148: 400x300x150</v>
          </cell>
        </row>
        <row r="160">
          <cell r="B160" t="str">
            <v>KLT ESD 4286: 400x300x280</v>
          </cell>
        </row>
        <row r="161">
          <cell r="B161" t="str">
            <v>KLT ESD 6148: 600x400x150</v>
          </cell>
        </row>
        <row r="162">
          <cell r="B162" t="str">
            <v>KLT ESD 6411: 600x400x280</v>
          </cell>
        </row>
        <row r="163">
          <cell r="B163" t="str">
            <v>Falt-KLT ESD 6412: 600x400x280</v>
          </cell>
        </row>
        <row r="164">
          <cell r="B164">
            <v>0</v>
          </cell>
        </row>
        <row r="165">
          <cell r="B165" t="str">
            <v>KU-Einhängeboden mit Alu-Unterzügen</v>
          </cell>
        </row>
        <row r="166">
          <cell r="B166" t="str">
            <v>VDA-Kunststoffdeckel</v>
          </cell>
        </row>
        <row r="167">
          <cell r="B167" t="str">
            <v>Kunststoff-Zwischenlage</v>
          </cell>
        </row>
        <row r="168">
          <cell r="B168">
            <v>0</v>
          </cell>
        </row>
        <row r="169">
          <cell r="B169" t="str">
            <v>S1 KLT: 303x189x127</v>
          </cell>
        </row>
        <row r="170">
          <cell r="B170" t="str">
            <v>S2 KLT: 380x303x190</v>
          </cell>
        </row>
        <row r="171">
          <cell r="B171" t="str">
            <v>S3 KLT: 608x380x190</v>
          </cell>
        </row>
        <row r="172">
          <cell r="B172" t="str">
            <v>S3C KLT (klappbar): 608x380x190</v>
          </cell>
        </row>
        <row r="173">
          <cell r="B173" t="str">
            <v>S4 KLT: 608x380x368</v>
          </cell>
        </row>
        <row r="174">
          <cell r="B174" t="str">
            <v>S4C KLT (klappbar): 608x380x369</v>
          </cell>
        </row>
        <row r="175">
          <cell r="B175" t="str">
            <v>S5 KLT: 1219x380x275</v>
          </cell>
        </row>
        <row r="176">
          <cell r="B176" t="str">
            <v>S6 KLT: 608x380x340</v>
          </cell>
        </row>
        <row r="177">
          <cell r="B177" t="str">
            <v>S7 KLT: 608x572x221</v>
          </cell>
        </row>
        <row r="178">
          <cell r="B178" t="str">
            <v>S8 KLT: 608x572x277</v>
          </cell>
        </row>
        <row r="179">
          <cell r="B179" t="str">
            <v>S9 KLT: 608x572x368</v>
          </cell>
        </row>
        <row r="180">
          <cell r="B180" t="str">
            <v>S10 KLT: 608x380x127</v>
          </cell>
        </row>
        <row r="181">
          <cell r="B181" t="str">
            <v>S11 KLT: 608x572x185</v>
          </cell>
        </row>
        <row r="182">
          <cell r="B182" t="str">
            <v>S12 KLT: 810x380x191</v>
          </cell>
        </row>
        <row r="183">
          <cell r="B183">
            <v>0</v>
          </cell>
        </row>
        <row r="184">
          <cell r="B184" t="str">
            <v>S2E KLT: 385x308x192 (ESD)</v>
          </cell>
        </row>
        <row r="185">
          <cell r="B185" t="str">
            <v>S3E KLT: 616x385x192 (ESD)</v>
          </cell>
        </row>
        <row r="186">
          <cell r="B186" t="str">
            <v>S4E KLT: 613x382x371 (ESD)</v>
          </cell>
        </row>
        <row r="187">
          <cell r="B187">
            <v>0</v>
          </cell>
        </row>
        <row r="188">
          <cell r="B188" t="str">
            <v>LT = LE</v>
          </cell>
        </row>
        <row r="189">
          <cell r="B189" t="str">
            <v>n.a.</v>
          </cell>
        </row>
        <row r="194">
          <cell r="B194" t="str">
            <v>Einwegpalette 950x750</v>
          </cell>
        </row>
        <row r="195">
          <cell r="B195" t="str">
            <v>Einwegpalette 1435x755</v>
          </cell>
        </row>
        <row r="196">
          <cell r="B196" t="str">
            <v>Einwegpalette 1910x750</v>
          </cell>
        </row>
        <row r="197">
          <cell r="B197" t="str">
            <v>Einwegpalette 2280x750</v>
          </cell>
        </row>
        <row r="198">
          <cell r="B198">
            <v>0</v>
          </cell>
        </row>
        <row r="199">
          <cell r="B199" t="str">
            <v>FK 3250109 naßfest 960x760x585 inkl. Palette</v>
          </cell>
        </row>
        <row r="200">
          <cell r="B200" t="str">
            <v>FK 5626012 naßfest 955x760x624 inkl Palette</v>
          </cell>
        </row>
        <row r="201">
          <cell r="B201" t="str">
            <v>FK 3250928 (CORBOX) 1125x760x770</v>
          </cell>
        </row>
        <row r="202">
          <cell r="B202" t="str">
            <v>FK 3250925 (CORBOX) 1130x960x1032</v>
          </cell>
        </row>
        <row r="203">
          <cell r="B203" t="str">
            <v>FK 3250103 naßfest 1425x760x1057 inkl. Palette</v>
          </cell>
        </row>
        <row r="204">
          <cell r="B204" t="str">
            <v>FK 3250142 naßfest 1450x760x1200 inkl. Palette</v>
          </cell>
        </row>
        <row r="205">
          <cell r="B205" t="str">
            <v>FK 3250105 naßfest 1905x760x542 inkl. Palette</v>
          </cell>
        </row>
        <row r="206">
          <cell r="B206" t="str">
            <v>FK 3250100 naßfest 1905x760x1057 inkl. Palette</v>
          </cell>
        </row>
        <row r="207">
          <cell r="B207" t="str">
            <v>FK 3250101 naßfest 1905x760x1157 inkl. Palette</v>
          </cell>
        </row>
        <row r="208">
          <cell r="B208" t="str">
            <v>FK 5626011 naßfest 1905x760x624 inkl. Palette</v>
          </cell>
        </row>
        <row r="209">
          <cell r="B209" t="str">
            <v>FK 5626013 naßfest 1905x760x1264 inkl. Palette</v>
          </cell>
        </row>
        <row r="210">
          <cell r="B210" t="str">
            <v>FK 3250575  naßfest 3810x750x320</v>
          </cell>
        </row>
        <row r="211">
          <cell r="B211">
            <v>0</v>
          </cell>
        </row>
        <row r="212">
          <cell r="B212" t="str">
            <v>FK 3250252 Gefahrgutkarton 800 x 600 x 610</v>
          </cell>
        </row>
        <row r="216">
          <cell r="B216" t="str">
            <v>Euro-Palette</v>
          </cell>
        </row>
        <row r="217">
          <cell r="B217" t="str">
            <v>Euro-Palette mit VDA-Deckel</v>
          </cell>
        </row>
        <row r="218">
          <cell r="B218" t="str">
            <v>KST-Palette 800x1200</v>
          </cell>
        </row>
        <row r="219">
          <cell r="B219">
            <v>0</v>
          </cell>
        </row>
        <row r="220">
          <cell r="B220" t="str">
            <v>Gittercontainer klappbar 1600x1200x730</v>
          </cell>
        </row>
        <row r="221">
          <cell r="B221" t="str">
            <v>Gittercontainer klappbar 1600x1200x990</v>
          </cell>
        </row>
        <row r="222">
          <cell r="B222" t="str">
            <v>Gittercontainer klappbar 1600x1200x1450</v>
          </cell>
        </row>
        <row r="223">
          <cell r="B223" t="str">
            <v>Gittercontainer klappbar 1800x1235x730</v>
          </cell>
        </row>
        <row r="224">
          <cell r="B224" t="str">
            <v>BMW Gitterbox violett</v>
          </cell>
        </row>
        <row r="225">
          <cell r="B225" t="str">
            <v>Hybridbox</v>
          </cell>
        </row>
        <row r="226">
          <cell r="B226" t="str">
            <v>GLT-2000 (klappbar)</v>
          </cell>
        </row>
        <row r="227">
          <cell r="B227" t="str">
            <v>Vollwandbehälter 1240x835x500</v>
          </cell>
        </row>
        <row r="228">
          <cell r="B228" t="str">
            <v>Vollwandbehälter 1230x830x970</v>
          </cell>
        </row>
        <row r="229">
          <cell r="B229" t="str">
            <v>Schwergutbehälter 1240x840x675</v>
          </cell>
        </row>
        <row r="230">
          <cell r="B230" t="str">
            <v>Schwergutbehälter 840x640x615 mit Klappe</v>
          </cell>
        </row>
        <row r="231">
          <cell r="B231" t="str">
            <v>Rack mit Gitter 2000 x 1400</v>
          </cell>
        </row>
        <row r="232">
          <cell r="B232" t="str">
            <v>Rack mit Gitter 2000 x 1200</v>
          </cell>
        </row>
        <row r="233">
          <cell r="B233" t="str">
            <v>Flügeltürbehälter für EPP</v>
          </cell>
        </row>
        <row r="234">
          <cell r="B234" t="str">
            <v>Rungenbehälter 1240x835 für Formfolien</v>
          </cell>
        </row>
        <row r="235">
          <cell r="B235" t="str">
            <v>Rungenbehälter 1400x1200 für EPP</v>
          </cell>
        </row>
        <row r="236">
          <cell r="B236" t="str">
            <v>Rungenbehälter 1500x1200x500 für EPP</v>
          </cell>
        </row>
        <row r="237">
          <cell r="B237" t="str">
            <v>Rungenbehälter 1500x1200x995 für EPP</v>
          </cell>
        </row>
        <row r="238">
          <cell r="B238" t="str">
            <v>Rungenbehälter 1600x1200 für EPP</v>
          </cell>
        </row>
        <row r="239">
          <cell r="B239" t="str">
            <v>Außenbehälter Gefahrgut für EPP/Tiefziehfolien</v>
          </cell>
        </row>
        <row r="240">
          <cell r="B240" t="str">
            <v>Behälter für EPP-Tabletts</v>
          </cell>
        </row>
        <row r="241">
          <cell r="B241">
            <v>0</v>
          </cell>
        </row>
        <row r="242">
          <cell r="B242" t="str">
            <v>Pal. 1219x1143</v>
          </cell>
        </row>
        <row r="243">
          <cell r="B243" t="str">
            <v>"TCP" Deckel</v>
          </cell>
        </row>
        <row r="244">
          <cell r="B244" t="str">
            <v>Pal. mit Deckel</v>
          </cell>
        </row>
        <row r="245">
          <cell r="B245" t="str">
            <v xml:space="preserve">P1 813x762x864 </v>
          </cell>
        </row>
        <row r="246">
          <cell r="B246" t="str">
            <v>P2 1219x1143x864</v>
          </cell>
        </row>
        <row r="247">
          <cell r="B247" t="str">
            <v>P3 1638x1219x864</v>
          </cell>
        </row>
        <row r="248">
          <cell r="B248" t="str">
            <v>P4 1788x1219x864</v>
          </cell>
        </row>
        <row r="249">
          <cell r="B249" t="str">
            <v>P5 1981x1219x864</v>
          </cell>
        </row>
        <row r="250">
          <cell r="B250">
            <v>0</v>
          </cell>
        </row>
        <row r="251">
          <cell r="B251" t="str">
            <v>Ecopack E1006Lss</v>
          </cell>
        </row>
        <row r="252">
          <cell r="B252" t="str">
            <v>Ecopack E1006Ls</v>
          </cell>
        </row>
        <row r="253">
          <cell r="B253" t="str">
            <v>Ecopack E1208Ls</v>
          </cell>
        </row>
        <row r="254">
          <cell r="B254" t="str">
            <v xml:space="preserve">Ecopack E1208L </v>
          </cell>
        </row>
        <row r="255">
          <cell r="B255" t="str">
            <v>Ecopack E1210Ls</v>
          </cell>
        </row>
        <row r="256">
          <cell r="B256" t="str">
            <v xml:space="preserve">Ecopack E1210L </v>
          </cell>
        </row>
        <row r="257">
          <cell r="B257" t="str">
            <v>Ecopack E1512Ls</v>
          </cell>
        </row>
        <row r="258">
          <cell r="B258" t="str">
            <v>Ecopack E1512L</v>
          </cell>
        </row>
        <row r="259">
          <cell r="B259" t="str">
            <v>Ecopack E1612Ls</v>
          </cell>
        </row>
        <row r="260">
          <cell r="B260" t="str">
            <v>Ecopack E1612L</v>
          </cell>
        </row>
        <row r="261">
          <cell r="B261" t="str">
            <v>Ecopack E1812Ls</v>
          </cell>
        </row>
        <row r="262">
          <cell r="B262" t="str">
            <v>Ecopack E1812L</v>
          </cell>
        </row>
        <row r="263">
          <cell r="B263">
            <v>0</v>
          </cell>
        </row>
        <row r="264">
          <cell r="B264" t="str">
            <v>Flow Thru Klappbehälter (Gitter)</v>
          </cell>
        </row>
        <row r="265">
          <cell r="B265" t="str">
            <v>Flow Thru Klappbehälter (Vollwand)</v>
          </cell>
        </row>
      </sheetData>
      <sheetData sheetId="7"/>
      <sheetData sheetId="8"/>
      <sheetData sheetId="9">
        <row r="3">
          <cell r="H3" t="str">
            <v>one way</v>
          </cell>
          <cell r="N3" t="str">
            <v>AF</v>
          </cell>
          <cell r="Q3" t="str">
            <v>Claus Schmidbauer</v>
          </cell>
          <cell r="S3" t="str">
            <v>aufgenommen</v>
          </cell>
        </row>
        <row r="4">
          <cell r="H4" t="str">
            <v>returnables</v>
          </cell>
          <cell r="J4" t="str">
            <v>Cubic meter</v>
          </cell>
          <cell r="N4" t="str">
            <v>AL</v>
          </cell>
          <cell r="Q4" t="str">
            <v>Johannes Dauns</v>
          </cell>
          <cell r="S4" t="str">
            <v>in Arbeit</v>
          </cell>
        </row>
        <row r="5">
          <cell r="H5" t="str">
            <v>n.a.</v>
          </cell>
          <cell r="J5" t="str">
            <v>Per 100 kg</v>
          </cell>
          <cell r="N5" t="str">
            <v>DZ</v>
          </cell>
          <cell r="Q5" t="str">
            <v>Joyce Rodenberg</v>
          </cell>
          <cell r="S5" t="str">
            <v>umgesetzt</v>
          </cell>
        </row>
        <row r="6">
          <cell r="J6" t="str">
            <v>Load meter</v>
          </cell>
          <cell r="N6" t="str">
            <v>AS</v>
          </cell>
          <cell r="Q6" t="str">
            <v>Katrin Suetovius</v>
          </cell>
          <cell r="S6" t="str">
            <v>erledigt</v>
          </cell>
        </row>
        <row r="7">
          <cell r="J7" t="str">
            <v>FTL - per m³</v>
          </cell>
          <cell r="N7" t="str">
            <v>AD</v>
          </cell>
          <cell r="Q7" t="str">
            <v>Mike Haeffner</v>
          </cell>
        </row>
        <row r="8">
          <cell r="J8" t="str">
            <v>FTL - per truck</v>
          </cell>
          <cell r="N8" t="str">
            <v>AO</v>
          </cell>
          <cell r="Q8" t="str">
            <v>Patrick Rustler</v>
          </cell>
        </row>
        <row r="9">
          <cell r="J9" t="str">
            <v>---------------</v>
          </cell>
          <cell r="N9" t="str">
            <v>AI</v>
          </cell>
          <cell r="Q9" t="str">
            <v>Peter Steinmetz</v>
          </cell>
        </row>
        <row r="10">
          <cell r="J10" t="str">
            <v>LCL</v>
          </cell>
          <cell r="N10" t="str">
            <v>AQ</v>
          </cell>
          <cell r="Q10" t="str">
            <v>Simon Wagner</v>
          </cell>
        </row>
        <row r="11">
          <cell r="J11" t="str">
            <v>FCL</v>
          </cell>
          <cell r="N11" t="str">
            <v>AG</v>
          </cell>
          <cell r="Q11" t="str">
            <v>Sophia Zimmermann</v>
          </cell>
        </row>
        <row r="12">
          <cell r="N12" t="str">
            <v>AR</v>
          </cell>
          <cell r="Q12" t="str">
            <v>Stefan Mokosch</v>
          </cell>
        </row>
        <row r="13">
          <cell r="N13" t="str">
            <v>AM</v>
          </cell>
          <cell r="Q13" t="str">
            <v>Stefan Schmid</v>
          </cell>
        </row>
        <row r="14">
          <cell r="N14" t="str">
            <v>AW</v>
          </cell>
          <cell r="Q14" t="str">
            <v>Vincent Schlag</v>
          </cell>
        </row>
        <row r="15">
          <cell r="N15" t="str">
            <v>AU</v>
          </cell>
        </row>
        <row r="16">
          <cell r="N16" t="str">
            <v>AT</v>
          </cell>
        </row>
        <row r="17">
          <cell r="N17" t="str">
            <v>AZ</v>
          </cell>
        </row>
        <row r="18">
          <cell r="N18" t="str">
            <v>BS</v>
          </cell>
        </row>
        <row r="19">
          <cell r="N19" t="str">
            <v>BH</v>
          </cell>
        </row>
        <row r="20">
          <cell r="N20" t="str">
            <v>BD</v>
          </cell>
        </row>
        <row r="21">
          <cell r="N21" t="str">
            <v>BB</v>
          </cell>
        </row>
        <row r="22">
          <cell r="N22" t="str">
            <v>BY</v>
          </cell>
        </row>
        <row r="23">
          <cell r="N23" t="str">
            <v>BE</v>
          </cell>
        </row>
        <row r="24">
          <cell r="N24" t="str">
            <v>BZ</v>
          </cell>
        </row>
        <row r="25">
          <cell r="N25" t="str">
            <v>BJ</v>
          </cell>
        </row>
        <row r="26">
          <cell r="N26" t="str">
            <v>BM</v>
          </cell>
        </row>
        <row r="27">
          <cell r="N27" t="str">
            <v>BT</v>
          </cell>
        </row>
        <row r="28">
          <cell r="N28" t="str">
            <v>BO</v>
          </cell>
        </row>
        <row r="29">
          <cell r="N29" t="str">
            <v>BA</v>
          </cell>
        </row>
        <row r="30">
          <cell r="N30" t="str">
            <v>BW</v>
          </cell>
        </row>
        <row r="31">
          <cell r="N31" t="str">
            <v>BV</v>
          </cell>
        </row>
        <row r="32">
          <cell r="N32" t="str">
            <v>BR</v>
          </cell>
        </row>
        <row r="33">
          <cell r="N33" t="str">
            <v>IO</v>
          </cell>
        </row>
        <row r="34">
          <cell r="N34" t="str">
            <v>BN</v>
          </cell>
        </row>
        <row r="35">
          <cell r="N35" t="str">
            <v>BG</v>
          </cell>
        </row>
        <row r="36">
          <cell r="N36" t="str">
            <v>BF</v>
          </cell>
        </row>
        <row r="37">
          <cell r="N37" t="str">
            <v>BI</v>
          </cell>
        </row>
        <row r="38">
          <cell r="N38" t="str">
            <v>KH</v>
          </cell>
        </row>
        <row r="39">
          <cell r="N39" t="str">
            <v>CM</v>
          </cell>
        </row>
        <row r="40">
          <cell r="N40" t="str">
            <v>CA</v>
          </cell>
        </row>
        <row r="41">
          <cell r="N41" t="str">
            <v>CV</v>
          </cell>
        </row>
        <row r="42">
          <cell r="N42" t="str">
            <v>KY</v>
          </cell>
        </row>
        <row r="43">
          <cell r="N43" t="str">
            <v>CF</v>
          </cell>
        </row>
        <row r="44">
          <cell r="N44" t="str">
            <v>TD</v>
          </cell>
        </row>
        <row r="45">
          <cell r="N45" t="str">
            <v>CL</v>
          </cell>
        </row>
        <row r="46">
          <cell r="N46" t="str">
            <v>CN</v>
          </cell>
        </row>
        <row r="47">
          <cell r="N47" t="str">
            <v>CX</v>
          </cell>
        </row>
        <row r="48">
          <cell r="N48" t="str">
            <v>CC</v>
          </cell>
        </row>
        <row r="49">
          <cell r="N49" t="str">
            <v>CO</v>
          </cell>
        </row>
        <row r="50">
          <cell r="N50" t="str">
            <v>KM</v>
          </cell>
        </row>
        <row r="51">
          <cell r="N51" t="str">
            <v>CG</v>
          </cell>
        </row>
        <row r="52">
          <cell r="N52" t="str">
            <v>CK</v>
          </cell>
        </row>
        <row r="53">
          <cell r="N53" t="str">
            <v>CR</v>
          </cell>
        </row>
        <row r="54">
          <cell r="N54" t="str">
            <v>CI</v>
          </cell>
        </row>
        <row r="55">
          <cell r="N55" t="str">
            <v>HR</v>
          </cell>
        </row>
        <row r="56">
          <cell r="N56" t="str">
            <v>CU</v>
          </cell>
        </row>
        <row r="57">
          <cell r="N57" t="str">
            <v>CY</v>
          </cell>
        </row>
        <row r="58">
          <cell r="N58" t="str">
            <v>CZ</v>
          </cell>
        </row>
        <row r="59">
          <cell r="N59" t="str">
            <v>DK</v>
          </cell>
        </row>
        <row r="60">
          <cell r="N60" t="str">
            <v>DJ</v>
          </cell>
        </row>
        <row r="61">
          <cell r="N61" t="str">
            <v>DM</v>
          </cell>
        </row>
        <row r="62">
          <cell r="N62" t="str">
            <v>DO</v>
          </cell>
        </row>
        <row r="63">
          <cell r="N63" t="str">
            <v>TP</v>
          </cell>
        </row>
        <row r="64">
          <cell r="N64" t="str">
            <v>EC</v>
          </cell>
        </row>
        <row r="65">
          <cell r="N65" t="str">
            <v>EG</v>
          </cell>
        </row>
        <row r="66">
          <cell r="N66" t="str">
            <v>SV</v>
          </cell>
        </row>
        <row r="67">
          <cell r="N67" t="str">
            <v>GQ</v>
          </cell>
        </row>
        <row r="68">
          <cell r="N68" t="str">
            <v>ER</v>
          </cell>
        </row>
        <row r="69">
          <cell r="N69" t="str">
            <v>EE</v>
          </cell>
        </row>
        <row r="70">
          <cell r="N70" t="str">
            <v>ET</v>
          </cell>
        </row>
        <row r="71">
          <cell r="N71" t="str">
            <v>EU</v>
          </cell>
        </row>
        <row r="72">
          <cell r="N72" t="str">
            <v>FK</v>
          </cell>
        </row>
        <row r="73">
          <cell r="N73" t="str">
            <v>FO</v>
          </cell>
        </row>
        <row r="74">
          <cell r="N74" t="str">
            <v>FJ</v>
          </cell>
        </row>
        <row r="75">
          <cell r="N75" t="str">
            <v>FI</v>
          </cell>
        </row>
        <row r="76">
          <cell r="N76" t="str">
            <v>FR</v>
          </cell>
        </row>
        <row r="77">
          <cell r="N77" t="str">
            <v>FX</v>
          </cell>
        </row>
        <row r="78">
          <cell r="N78" t="str">
            <v>GF</v>
          </cell>
        </row>
        <row r="79">
          <cell r="N79" t="str">
            <v>PF</v>
          </cell>
        </row>
        <row r="80">
          <cell r="N80" t="str">
            <v>TF</v>
          </cell>
        </row>
        <row r="81">
          <cell r="N81" t="str">
            <v>GA</v>
          </cell>
        </row>
        <row r="82">
          <cell r="N82" t="str">
            <v>GM</v>
          </cell>
        </row>
        <row r="83">
          <cell r="N83" t="str">
            <v>GE</v>
          </cell>
        </row>
        <row r="84">
          <cell r="N84" t="str">
            <v>DE</v>
          </cell>
        </row>
        <row r="85">
          <cell r="N85" t="str">
            <v>GH</v>
          </cell>
        </row>
        <row r="86">
          <cell r="N86" t="str">
            <v>GI</v>
          </cell>
        </row>
        <row r="87">
          <cell r="N87" t="str">
            <v>GR</v>
          </cell>
        </row>
        <row r="88">
          <cell r="N88" t="str">
            <v>GL</v>
          </cell>
        </row>
        <row r="89">
          <cell r="N89" t="str">
            <v>GD</v>
          </cell>
        </row>
        <row r="90">
          <cell r="N90" t="str">
            <v>GP</v>
          </cell>
        </row>
        <row r="91">
          <cell r="N91" t="str">
            <v>GU</v>
          </cell>
        </row>
        <row r="92">
          <cell r="N92" t="str">
            <v>GT</v>
          </cell>
        </row>
        <row r="93">
          <cell r="N93" t="str">
            <v>GN</v>
          </cell>
        </row>
        <row r="94">
          <cell r="N94" t="str">
            <v>GW</v>
          </cell>
        </row>
        <row r="95">
          <cell r="N95" t="str">
            <v>GY</v>
          </cell>
        </row>
        <row r="96">
          <cell r="N96" t="str">
            <v>HT</v>
          </cell>
        </row>
        <row r="97">
          <cell r="N97" t="str">
            <v>HM</v>
          </cell>
        </row>
        <row r="98">
          <cell r="N98" t="str">
            <v>HN</v>
          </cell>
        </row>
        <row r="99">
          <cell r="N99" t="str">
            <v>HK</v>
          </cell>
        </row>
        <row r="100">
          <cell r="N100" t="str">
            <v>HU</v>
          </cell>
        </row>
        <row r="101">
          <cell r="N101" t="str">
            <v>IS</v>
          </cell>
        </row>
        <row r="102">
          <cell r="N102" t="str">
            <v>IN</v>
          </cell>
        </row>
        <row r="103">
          <cell r="N103" t="str">
            <v>ID</v>
          </cell>
        </row>
        <row r="104">
          <cell r="N104" t="str">
            <v>II</v>
          </cell>
        </row>
        <row r="105">
          <cell r="N105" t="str">
            <v>IR</v>
          </cell>
        </row>
        <row r="106">
          <cell r="N106" t="str">
            <v>IQ</v>
          </cell>
        </row>
        <row r="107">
          <cell r="N107" t="str">
            <v>IE</v>
          </cell>
        </row>
        <row r="108">
          <cell r="N108" t="str">
            <v>IL</v>
          </cell>
        </row>
        <row r="109">
          <cell r="N109" t="str">
            <v>IT</v>
          </cell>
        </row>
        <row r="110">
          <cell r="N110" t="str">
            <v>JM</v>
          </cell>
        </row>
        <row r="111">
          <cell r="N111" t="str">
            <v>JP</v>
          </cell>
        </row>
        <row r="112">
          <cell r="N112" t="str">
            <v>JO</v>
          </cell>
        </row>
        <row r="113">
          <cell r="N113" t="str">
            <v>KZ</v>
          </cell>
        </row>
        <row r="114">
          <cell r="N114" t="str">
            <v>KE</v>
          </cell>
        </row>
        <row r="115">
          <cell r="N115" t="str">
            <v>KI</v>
          </cell>
        </row>
        <row r="116">
          <cell r="N116" t="str">
            <v>KP</v>
          </cell>
        </row>
        <row r="117">
          <cell r="N117" t="str">
            <v>KR</v>
          </cell>
        </row>
        <row r="118">
          <cell r="N118" t="str">
            <v>KW</v>
          </cell>
        </row>
        <row r="119">
          <cell r="N119" t="str">
            <v>KG</v>
          </cell>
        </row>
        <row r="120">
          <cell r="N120" t="str">
            <v>LA</v>
          </cell>
        </row>
        <row r="121">
          <cell r="N121" t="str">
            <v>LV</v>
          </cell>
        </row>
        <row r="122">
          <cell r="N122" t="str">
            <v>LB</v>
          </cell>
        </row>
        <row r="123">
          <cell r="N123" t="str">
            <v>LS</v>
          </cell>
        </row>
        <row r="124">
          <cell r="N124" t="str">
            <v>LR</v>
          </cell>
        </row>
        <row r="125">
          <cell r="N125" t="str">
            <v>LY</v>
          </cell>
        </row>
        <row r="126">
          <cell r="N126" t="str">
            <v>LI</v>
          </cell>
        </row>
        <row r="127">
          <cell r="N127" t="str">
            <v>LT</v>
          </cell>
        </row>
        <row r="128">
          <cell r="N128" t="str">
            <v>LU</v>
          </cell>
        </row>
        <row r="129">
          <cell r="N129" t="str">
            <v>MO</v>
          </cell>
        </row>
        <row r="130">
          <cell r="N130" t="str">
            <v>MK</v>
          </cell>
        </row>
        <row r="131">
          <cell r="N131" t="str">
            <v>MG</v>
          </cell>
        </row>
        <row r="132">
          <cell r="N132" t="str">
            <v>MW</v>
          </cell>
        </row>
        <row r="133">
          <cell r="N133" t="str">
            <v>MY</v>
          </cell>
        </row>
        <row r="134">
          <cell r="N134" t="str">
            <v>MV</v>
          </cell>
        </row>
        <row r="135">
          <cell r="N135" t="str">
            <v>ML</v>
          </cell>
        </row>
        <row r="136">
          <cell r="N136" t="str">
            <v>MT</v>
          </cell>
        </row>
        <row r="137">
          <cell r="N137" t="str">
            <v>MH</v>
          </cell>
        </row>
        <row r="138">
          <cell r="N138" t="str">
            <v>MQ</v>
          </cell>
        </row>
        <row r="139">
          <cell r="N139" t="str">
            <v>MR</v>
          </cell>
        </row>
        <row r="140">
          <cell r="N140" t="str">
            <v>MU</v>
          </cell>
        </row>
        <row r="141">
          <cell r="N141" t="str">
            <v>YT</v>
          </cell>
        </row>
        <row r="142">
          <cell r="N142" t="str">
            <v>MX</v>
          </cell>
        </row>
        <row r="143">
          <cell r="N143" t="str">
            <v>FM</v>
          </cell>
        </row>
        <row r="144">
          <cell r="N144" t="str">
            <v>MD</v>
          </cell>
        </row>
        <row r="145">
          <cell r="N145" t="str">
            <v>MC</v>
          </cell>
        </row>
        <row r="146">
          <cell r="N146" t="str">
            <v>MN</v>
          </cell>
        </row>
        <row r="147">
          <cell r="N147" t="str">
            <v>MS</v>
          </cell>
        </row>
        <row r="148">
          <cell r="N148" t="str">
            <v>MA</v>
          </cell>
        </row>
        <row r="149">
          <cell r="N149" t="str">
            <v>MZ</v>
          </cell>
        </row>
        <row r="150">
          <cell r="N150" t="str">
            <v>MM</v>
          </cell>
        </row>
        <row r="151">
          <cell r="N151" t="str">
            <v>NA</v>
          </cell>
        </row>
        <row r="152">
          <cell r="N152" t="str">
            <v>NR</v>
          </cell>
        </row>
        <row r="153">
          <cell r="N153" t="str">
            <v>NP</v>
          </cell>
        </row>
        <row r="154">
          <cell r="N154" t="str">
            <v>NL</v>
          </cell>
        </row>
        <row r="155">
          <cell r="N155" t="str">
            <v>AN</v>
          </cell>
        </row>
        <row r="156">
          <cell r="N156" t="str">
            <v>NC</v>
          </cell>
        </row>
        <row r="157">
          <cell r="N157" t="str">
            <v>NZ</v>
          </cell>
        </row>
        <row r="158">
          <cell r="N158" t="str">
            <v>NI</v>
          </cell>
        </row>
        <row r="159">
          <cell r="N159" t="str">
            <v>NE</v>
          </cell>
        </row>
        <row r="160">
          <cell r="N160" t="str">
            <v>NG</v>
          </cell>
        </row>
        <row r="161">
          <cell r="N161" t="str">
            <v>NU</v>
          </cell>
        </row>
        <row r="162">
          <cell r="N162" t="str">
            <v>NF</v>
          </cell>
        </row>
        <row r="163">
          <cell r="N163" t="str">
            <v>MP</v>
          </cell>
        </row>
        <row r="164">
          <cell r="N164" t="str">
            <v>NO</v>
          </cell>
        </row>
        <row r="165">
          <cell r="N165" t="str">
            <v>OM</v>
          </cell>
        </row>
        <row r="166">
          <cell r="N166" t="str">
            <v>PK</v>
          </cell>
        </row>
        <row r="167">
          <cell r="N167" t="str">
            <v>PW</v>
          </cell>
        </row>
        <row r="168">
          <cell r="N168" t="str">
            <v>PA</v>
          </cell>
        </row>
        <row r="169">
          <cell r="N169" t="str">
            <v>PG</v>
          </cell>
        </row>
        <row r="170">
          <cell r="N170" t="str">
            <v>PY</v>
          </cell>
        </row>
        <row r="171">
          <cell r="N171" t="str">
            <v>PE</v>
          </cell>
        </row>
        <row r="172">
          <cell r="N172" t="str">
            <v>PH</v>
          </cell>
        </row>
        <row r="173">
          <cell r="N173" t="str">
            <v>PN</v>
          </cell>
        </row>
        <row r="174">
          <cell r="N174" t="str">
            <v>PL</v>
          </cell>
        </row>
        <row r="175">
          <cell r="N175" t="str">
            <v>PT</v>
          </cell>
        </row>
        <row r="176">
          <cell r="N176" t="str">
            <v>PR</v>
          </cell>
        </row>
        <row r="177">
          <cell r="N177" t="str">
            <v>QA</v>
          </cell>
        </row>
        <row r="178">
          <cell r="N178" t="str">
            <v>RE</v>
          </cell>
        </row>
        <row r="179">
          <cell r="N179" t="str">
            <v>RO</v>
          </cell>
        </row>
        <row r="180">
          <cell r="N180" t="str">
            <v>RU</v>
          </cell>
        </row>
        <row r="181">
          <cell r="N181" t="str">
            <v>RW</v>
          </cell>
        </row>
        <row r="182">
          <cell r="N182" t="str">
            <v>KN</v>
          </cell>
        </row>
        <row r="183">
          <cell r="N183" t="str">
            <v>LC</v>
          </cell>
        </row>
        <row r="184">
          <cell r="N184" t="str">
            <v>VC</v>
          </cell>
        </row>
        <row r="185">
          <cell r="N185" t="str">
            <v>WS</v>
          </cell>
        </row>
        <row r="186">
          <cell r="N186" t="str">
            <v>SM</v>
          </cell>
        </row>
        <row r="187">
          <cell r="N187" t="str">
            <v>ST</v>
          </cell>
        </row>
        <row r="188">
          <cell r="N188" t="str">
            <v>SA</v>
          </cell>
        </row>
        <row r="189">
          <cell r="N189" t="str">
            <v>SN</v>
          </cell>
        </row>
        <row r="190">
          <cell r="N190" t="str">
            <v>SC</v>
          </cell>
        </row>
        <row r="191">
          <cell r="N191" t="str">
            <v>SL</v>
          </cell>
        </row>
        <row r="192">
          <cell r="N192" t="str">
            <v>SG</v>
          </cell>
        </row>
        <row r="193">
          <cell r="N193" t="str">
            <v>SK</v>
          </cell>
        </row>
        <row r="194">
          <cell r="N194" t="str">
            <v>SI</v>
          </cell>
        </row>
        <row r="195">
          <cell r="N195" t="str">
            <v>SB</v>
          </cell>
        </row>
        <row r="196">
          <cell r="N196" t="str">
            <v>SO</v>
          </cell>
        </row>
        <row r="197">
          <cell r="N197" t="str">
            <v>ZA</v>
          </cell>
        </row>
        <row r="198">
          <cell r="N198" t="str">
            <v>GS</v>
          </cell>
        </row>
        <row r="199">
          <cell r="N199" t="str">
            <v>ES</v>
          </cell>
        </row>
        <row r="200">
          <cell r="N200" t="str">
            <v>LK</v>
          </cell>
        </row>
        <row r="201">
          <cell r="N201" t="str">
            <v>SH</v>
          </cell>
        </row>
        <row r="202">
          <cell r="N202" t="str">
            <v>PM</v>
          </cell>
        </row>
        <row r="203">
          <cell r="N203" t="str">
            <v>SD</v>
          </cell>
        </row>
        <row r="204">
          <cell r="N204" t="str">
            <v>SR</v>
          </cell>
        </row>
        <row r="205">
          <cell r="N205" t="str">
            <v>SJ</v>
          </cell>
        </row>
        <row r="206">
          <cell r="N206" t="str">
            <v>SZ</v>
          </cell>
        </row>
        <row r="207">
          <cell r="N207" t="str">
            <v>SE</v>
          </cell>
        </row>
        <row r="208">
          <cell r="N208" t="str">
            <v>CH</v>
          </cell>
        </row>
        <row r="209">
          <cell r="N209" t="str">
            <v>SY</v>
          </cell>
        </row>
        <row r="210">
          <cell r="N210" t="str">
            <v>TW</v>
          </cell>
        </row>
        <row r="211">
          <cell r="N211" t="str">
            <v>TJ</v>
          </cell>
        </row>
        <row r="212">
          <cell r="N212" t="str">
            <v>TZ</v>
          </cell>
        </row>
        <row r="213">
          <cell r="N213" t="str">
            <v>TH</v>
          </cell>
        </row>
        <row r="214">
          <cell r="N214" t="str">
            <v>TG</v>
          </cell>
        </row>
        <row r="215">
          <cell r="N215" t="str">
            <v>TK</v>
          </cell>
        </row>
        <row r="216">
          <cell r="N216" t="str">
            <v>TO</v>
          </cell>
        </row>
        <row r="217">
          <cell r="N217" t="str">
            <v>TT</v>
          </cell>
        </row>
        <row r="218">
          <cell r="N218" t="str">
            <v>TN</v>
          </cell>
        </row>
        <row r="219">
          <cell r="N219" t="str">
            <v>TR</v>
          </cell>
        </row>
        <row r="220">
          <cell r="N220" t="str">
            <v>TM</v>
          </cell>
        </row>
        <row r="221">
          <cell r="N221" t="str">
            <v>TC</v>
          </cell>
        </row>
        <row r="222">
          <cell r="N222" t="str">
            <v>TV</v>
          </cell>
        </row>
        <row r="223">
          <cell r="N223" t="str">
            <v>UG</v>
          </cell>
        </row>
        <row r="224">
          <cell r="N224" t="str">
            <v>UA</v>
          </cell>
        </row>
        <row r="225">
          <cell r="N225" t="str">
            <v>AE</v>
          </cell>
        </row>
        <row r="226">
          <cell r="N226" t="str">
            <v>UK</v>
          </cell>
        </row>
        <row r="227">
          <cell r="N227" t="str">
            <v>US</v>
          </cell>
        </row>
        <row r="228">
          <cell r="N228" t="str">
            <v>UM</v>
          </cell>
        </row>
        <row r="229">
          <cell r="N229" t="str">
            <v>UY</v>
          </cell>
        </row>
        <row r="230">
          <cell r="N230" t="str">
            <v>UZ</v>
          </cell>
        </row>
        <row r="231">
          <cell r="N231" t="str">
            <v>VU</v>
          </cell>
        </row>
        <row r="232">
          <cell r="N232" t="str">
            <v>VA</v>
          </cell>
        </row>
        <row r="233">
          <cell r="N233" t="str">
            <v>VE</v>
          </cell>
        </row>
        <row r="234">
          <cell r="N234" t="str">
            <v>VN</v>
          </cell>
        </row>
        <row r="235">
          <cell r="N235" t="str">
            <v>VG</v>
          </cell>
        </row>
        <row r="236">
          <cell r="N236" t="str">
            <v>VI</v>
          </cell>
        </row>
        <row r="237">
          <cell r="N237" t="str">
            <v>WF</v>
          </cell>
        </row>
        <row r="238">
          <cell r="N238" t="str">
            <v>EH</v>
          </cell>
        </row>
        <row r="239">
          <cell r="N239" t="str">
            <v>YE</v>
          </cell>
        </row>
        <row r="240">
          <cell r="N240" t="str">
            <v>YU</v>
          </cell>
        </row>
        <row r="241">
          <cell r="N241" t="str">
            <v>ZR</v>
          </cell>
        </row>
        <row r="242">
          <cell r="N242" t="str">
            <v>ZM</v>
          </cell>
        </row>
        <row r="243">
          <cell r="N243" t="str">
            <v>ZW</v>
          </cell>
        </row>
      </sheetData>
      <sheetData sheetId="1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
      <sheetName val="BasisFFZ"/>
      <sheetName val="BasisHandInfo"/>
      <sheetName val="BasisStapler "/>
      <sheetName val="Prozess Auslag Splitt und ESchl"/>
      <sheetName val="Prozessdata Bogy Montagevers"/>
      <sheetName val="Prozessdata Lager"/>
      <sheetName val="Processdata Sequencing"/>
      <sheetName val="0. Einlag HLR K"/>
      <sheetName val="0. Einlag Q K "/>
      <sheetName val="0. Rücklagern Q HRL K"/>
      <sheetName val="0. Rücklagern Q Block K"/>
      <sheetName val="0. Einlag Block Rack K"/>
      <sheetName val="1a. WABU HLR Gesamt K "/>
      <sheetName val="2 a. Auslag HLR K"/>
      <sheetName val="1b. Auslag HLR Splitt K"/>
      <sheetName val="Ergebnisblatt"/>
      <sheetName val="3. HRL Splitting Umlagerung "/>
      <sheetName val="A Auslag Seuqence Manuell"/>
      <sheetName val="B  Auslag Sequence Manuell"/>
      <sheetName val="C  Auslag Sequence Manuell"/>
      <sheetName val="D  Auslag Sequence Manuell "/>
      <sheetName val="E  Auslag Sequence Manuell"/>
      <sheetName val="F  Auslag Sequence Manuell "/>
      <sheetName val="G  Auslag Sequence Manuell"/>
      <sheetName val="H  Auslag Sequence Manuell"/>
      <sheetName val="1-2 Ergblt"/>
      <sheetName val="0. Beladung E-Schlepper K"/>
      <sheetName val="I-III. E-Schlepp Fittp GLTs"/>
      <sheetName val="IV. E-Schlepp LG Rück GLTs"/>
      <sheetName val="I-III. E-Schlepp Fittp KLTs"/>
      <sheetName val="IV. E-Schlepp LG Rück KLTs"/>
      <sheetName val="I-III. ESchlepp Fittp Seque BLO"/>
      <sheetName val="IV. E-Schlepp LG Rück Seque BLO"/>
      <sheetName val="I-III. ESchlepp Fittp Sequ RACK"/>
      <sheetName val="IV. ESchlepp LG Rück Seque RACK"/>
      <sheetName val="1-5 Ergblt"/>
      <sheetName val="XXX Transport 20-&gt;31"/>
      <sheetName val="XXX. LKW Ablad und Belad K "/>
      <sheetName val="XXXX. Transport 31-&gt;20"/>
    </sheetNames>
    <sheetDataSet>
      <sheetData sheetId="0" refreshError="1">
        <row r="3">
          <cell r="F3">
            <v>0</v>
          </cell>
        </row>
        <row r="4">
          <cell r="F4">
            <v>1</v>
          </cell>
          <cell r="G4">
            <v>10</v>
          </cell>
          <cell r="I4">
            <v>5</v>
          </cell>
          <cell r="L4">
            <v>50</v>
          </cell>
        </row>
        <row r="5">
          <cell r="F5">
            <v>2</v>
          </cell>
          <cell r="G5">
            <v>20</v>
          </cell>
          <cell r="I5">
            <v>10</v>
          </cell>
          <cell r="L5">
            <v>100</v>
          </cell>
        </row>
        <row r="6">
          <cell r="F6">
            <v>3</v>
          </cell>
          <cell r="G6">
            <v>30</v>
          </cell>
          <cell r="I6">
            <v>15</v>
          </cell>
          <cell r="L6">
            <v>150</v>
          </cell>
        </row>
        <row r="7">
          <cell r="F7">
            <v>4</v>
          </cell>
          <cell r="G7">
            <v>40</v>
          </cell>
          <cell r="I7">
            <v>20</v>
          </cell>
          <cell r="L7">
            <v>200</v>
          </cell>
        </row>
        <row r="8">
          <cell r="F8">
            <v>5</v>
          </cell>
          <cell r="G8">
            <v>50</v>
          </cell>
          <cell r="I8">
            <v>25</v>
          </cell>
          <cell r="L8">
            <v>250</v>
          </cell>
        </row>
        <row r="9">
          <cell r="F9">
            <v>6</v>
          </cell>
          <cell r="G9">
            <v>60</v>
          </cell>
          <cell r="I9">
            <v>30</v>
          </cell>
          <cell r="L9">
            <v>300</v>
          </cell>
        </row>
        <row r="10">
          <cell r="F10">
            <v>7</v>
          </cell>
          <cell r="G10">
            <v>70</v>
          </cell>
          <cell r="I10">
            <v>35</v>
          </cell>
          <cell r="L10">
            <v>350</v>
          </cell>
        </row>
        <row r="11">
          <cell r="F11">
            <v>8</v>
          </cell>
          <cell r="G11">
            <v>80</v>
          </cell>
          <cell r="I11">
            <v>40</v>
          </cell>
          <cell r="L11">
            <v>400</v>
          </cell>
        </row>
        <row r="12">
          <cell r="F12">
            <v>9</v>
          </cell>
          <cell r="G12">
            <v>90</v>
          </cell>
          <cell r="I12">
            <v>45</v>
          </cell>
          <cell r="L12">
            <v>450</v>
          </cell>
        </row>
        <row r="13">
          <cell r="F13">
            <v>10</v>
          </cell>
          <cell r="G13">
            <v>100</v>
          </cell>
          <cell r="I13">
            <v>50</v>
          </cell>
          <cell r="L13">
            <v>500</v>
          </cell>
        </row>
        <row r="14">
          <cell r="F14">
            <v>11</v>
          </cell>
          <cell r="G14">
            <v>110</v>
          </cell>
          <cell r="I14">
            <v>55</v>
          </cell>
          <cell r="L14">
            <v>550</v>
          </cell>
        </row>
        <row r="15">
          <cell r="F15">
            <v>12</v>
          </cell>
          <cell r="G15">
            <v>120</v>
          </cell>
          <cell r="I15">
            <v>60</v>
          </cell>
          <cell r="L15">
            <v>600</v>
          </cell>
        </row>
        <row r="16">
          <cell r="F16">
            <v>13</v>
          </cell>
          <cell r="G16">
            <v>130</v>
          </cell>
          <cell r="I16">
            <v>65</v>
          </cell>
          <cell r="L16">
            <v>650</v>
          </cell>
        </row>
        <row r="17">
          <cell r="F17">
            <v>14</v>
          </cell>
          <cell r="G17">
            <v>140</v>
          </cell>
          <cell r="I17">
            <v>70</v>
          </cell>
          <cell r="L17">
            <v>700</v>
          </cell>
        </row>
        <row r="18">
          <cell r="F18">
            <v>15</v>
          </cell>
          <cell r="G18">
            <v>150</v>
          </cell>
          <cell r="I18">
            <v>75</v>
          </cell>
          <cell r="L18">
            <v>750</v>
          </cell>
        </row>
        <row r="19">
          <cell r="F19">
            <v>16</v>
          </cell>
          <cell r="G19">
            <v>160</v>
          </cell>
          <cell r="I19">
            <v>80</v>
          </cell>
          <cell r="L19">
            <v>800</v>
          </cell>
        </row>
        <row r="20">
          <cell r="F20">
            <v>17</v>
          </cell>
          <cell r="G20">
            <v>170</v>
          </cell>
          <cell r="I20">
            <v>85</v>
          </cell>
          <cell r="L20">
            <v>850</v>
          </cell>
        </row>
        <row r="21">
          <cell r="F21">
            <v>18</v>
          </cell>
          <cell r="G21">
            <v>180</v>
          </cell>
          <cell r="I21">
            <v>90</v>
          </cell>
          <cell r="L21">
            <v>900</v>
          </cell>
        </row>
        <row r="22">
          <cell r="F22">
            <v>19</v>
          </cell>
          <cell r="G22">
            <v>190</v>
          </cell>
          <cell r="I22">
            <v>95</v>
          </cell>
          <cell r="L22">
            <v>950</v>
          </cell>
        </row>
        <row r="23">
          <cell r="C23" t="str">
            <v>&lt;=50 Kg</v>
          </cell>
          <cell r="F23">
            <v>20</v>
          </cell>
          <cell r="G23">
            <v>200</v>
          </cell>
          <cell r="I23">
            <v>100</v>
          </cell>
          <cell r="L23">
            <v>1000</v>
          </cell>
        </row>
        <row r="24">
          <cell r="C24" t="str">
            <v>&lt;=100 kg</v>
          </cell>
          <cell r="F24">
            <v>21</v>
          </cell>
          <cell r="G24">
            <v>210</v>
          </cell>
          <cell r="I24">
            <v>105</v>
          </cell>
          <cell r="L24">
            <v>1050</v>
          </cell>
        </row>
        <row r="25">
          <cell r="C25" t="str">
            <v>&lt;=200 kg</v>
          </cell>
          <cell r="F25">
            <v>22</v>
          </cell>
          <cell r="G25">
            <v>220</v>
          </cell>
          <cell r="I25">
            <v>110</v>
          </cell>
          <cell r="L25">
            <v>1100</v>
          </cell>
        </row>
        <row r="26">
          <cell r="C26" t="str">
            <v>&gt;200 kg</v>
          </cell>
          <cell r="F26">
            <v>23</v>
          </cell>
          <cell r="G26">
            <v>230</v>
          </cell>
          <cell r="I26">
            <v>115</v>
          </cell>
          <cell r="L26">
            <v>1150</v>
          </cell>
        </row>
        <row r="27">
          <cell r="F27">
            <v>24</v>
          </cell>
          <cell r="G27">
            <v>240</v>
          </cell>
          <cell r="I27">
            <v>120</v>
          </cell>
          <cell r="L27">
            <v>1200</v>
          </cell>
        </row>
        <row r="28">
          <cell r="F28">
            <v>25</v>
          </cell>
          <cell r="G28">
            <v>250</v>
          </cell>
          <cell r="L28">
            <v>1250</v>
          </cell>
        </row>
        <row r="29">
          <cell r="F29">
            <v>26</v>
          </cell>
          <cell r="G29">
            <v>260</v>
          </cell>
          <cell r="L29">
            <v>1300</v>
          </cell>
        </row>
        <row r="30">
          <cell r="F30">
            <v>27</v>
          </cell>
          <cell r="G30">
            <v>270</v>
          </cell>
          <cell r="L30">
            <v>1350</v>
          </cell>
        </row>
        <row r="31">
          <cell r="F31">
            <v>28</v>
          </cell>
          <cell r="G31">
            <v>280</v>
          </cell>
          <cell r="L31">
            <v>1400</v>
          </cell>
        </row>
        <row r="32">
          <cell r="F32">
            <v>29</v>
          </cell>
          <cell r="G32">
            <v>290</v>
          </cell>
          <cell r="L32">
            <v>1450</v>
          </cell>
        </row>
        <row r="33">
          <cell r="F33">
            <v>30</v>
          </cell>
          <cell r="G33">
            <v>300</v>
          </cell>
          <cell r="L33">
            <v>1500</v>
          </cell>
        </row>
        <row r="34">
          <cell r="F34">
            <v>31</v>
          </cell>
          <cell r="G34">
            <v>310</v>
          </cell>
          <cell r="L34">
            <v>1550</v>
          </cell>
        </row>
        <row r="35">
          <cell r="F35">
            <v>32</v>
          </cell>
          <cell r="G35">
            <v>320</v>
          </cell>
          <cell r="L35">
            <v>1600</v>
          </cell>
        </row>
        <row r="36">
          <cell r="F36">
            <v>33</v>
          </cell>
          <cell r="G36">
            <v>330</v>
          </cell>
          <cell r="L36">
            <v>1650</v>
          </cell>
        </row>
        <row r="37">
          <cell r="F37">
            <v>34</v>
          </cell>
          <cell r="G37">
            <v>340</v>
          </cell>
          <cell r="L37">
            <v>1700</v>
          </cell>
        </row>
        <row r="38">
          <cell r="F38">
            <v>35</v>
          </cell>
          <cell r="G38">
            <v>350</v>
          </cell>
          <cell r="L38">
            <v>1750</v>
          </cell>
        </row>
        <row r="39">
          <cell r="F39">
            <v>36</v>
          </cell>
          <cell r="G39">
            <v>360</v>
          </cell>
          <cell r="L39">
            <v>1800</v>
          </cell>
        </row>
        <row r="40">
          <cell r="F40">
            <v>37</v>
          </cell>
          <cell r="G40">
            <v>370</v>
          </cell>
          <cell r="L40">
            <v>1850</v>
          </cell>
        </row>
        <row r="41">
          <cell r="F41">
            <v>38</v>
          </cell>
          <cell r="G41">
            <v>380</v>
          </cell>
          <cell r="L41">
            <v>1900</v>
          </cell>
        </row>
        <row r="42">
          <cell r="F42">
            <v>39</v>
          </cell>
          <cell r="G42">
            <v>390</v>
          </cell>
          <cell r="L42">
            <v>1950</v>
          </cell>
        </row>
        <row r="43">
          <cell r="F43">
            <v>40</v>
          </cell>
          <cell r="G43">
            <v>400</v>
          </cell>
          <cell r="L43">
            <v>2000</v>
          </cell>
        </row>
        <row r="44">
          <cell r="F44">
            <v>41</v>
          </cell>
          <cell r="G44">
            <v>410</v>
          </cell>
          <cell r="L44">
            <v>2050</v>
          </cell>
        </row>
        <row r="45">
          <cell r="F45">
            <v>42</v>
          </cell>
          <cell r="G45">
            <v>420</v>
          </cell>
          <cell r="L45">
            <v>2100</v>
          </cell>
        </row>
        <row r="46">
          <cell r="F46">
            <v>43</v>
          </cell>
          <cell r="G46">
            <v>430</v>
          </cell>
          <cell r="L46">
            <v>2150</v>
          </cell>
        </row>
        <row r="47">
          <cell r="F47">
            <v>44</v>
          </cell>
          <cell r="G47">
            <v>440</v>
          </cell>
          <cell r="L47">
            <v>2200</v>
          </cell>
        </row>
        <row r="48">
          <cell r="F48">
            <v>45</v>
          </cell>
          <cell r="G48">
            <v>450</v>
          </cell>
          <cell r="L48">
            <v>2250</v>
          </cell>
        </row>
        <row r="49">
          <cell r="F49">
            <v>46</v>
          </cell>
          <cell r="G49">
            <v>460</v>
          </cell>
          <cell r="L49">
            <v>2300</v>
          </cell>
        </row>
        <row r="50">
          <cell r="F50">
            <v>47</v>
          </cell>
          <cell r="G50">
            <v>470</v>
          </cell>
          <cell r="L50">
            <v>2350</v>
          </cell>
        </row>
        <row r="51">
          <cell r="F51">
            <v>48</v>
          </cell>
          <cell r="G51">
            <v>480</v>
          </cell>
          <cell r="L51">
            <v>2400</v>
          </cell>
        </row>
        <row r="52">
          <cell r="F52">
            <v>49</v>
          </cell>
          <cell r="G52">
            <v>490</v>
          </cell>
          <cell r="L52">
            <v>2450</v>
          </cell>
        </row>
        <row r="53">
          <cell r="F53">
            <v>50</v>
          </cell>
          <cell r="G53">
            <v>500</v>
          </cell>
          <cell r="L53">
            <v>2500</v>
          </cell>
        </row>
        <row r="54">
          <cell r="F54">
            <v>51</v>
          </cell>
          <cell r="G54">
            <v>510</v>
          </cell>
          <cell r="L54">
            <v>2550</v>
          </cell>
        </row>
        <row r="55">
          <cell r="F55">
            <v>52</v>
          </cell>
          <cell r="G55">
            <v>520</v>
          </cell>
          <cell r="L55">
            <v>2600</v>
          </cell>
        </row>
        <row r="56">
          <cell r="F56">
            <v>53</v>
          </cell>
          <cell r="G56">
            <v>530</v>
          </cell>
          <cell r="L56">
            <v>2650</v>
          </cell>
        </row>
        <row r="57">
          <cell r="F57">
            <v>54</v>
          </cell>
          <cell r="G57">
            <v>540</v>
          </cell>
          <cell r="L57">
            <v>2700</v>
          </cell>
        </row>
        <row r="58">
          <cell r="F58">
            <v>55</v>
          </cell>
          <cell r="G58">
            <v>550</v>
          </cell>
          <cell r="L58">
            <v>2750</v>
          </cell>
        </row>
        <row r="59">
          <cell r="F59">
            <v>56</v>
          </cell>
          <cell r="G59">
            <v>560</v>
          </cell>
          <cell r="L59">
            <v>2800</v>
          </cell>
        </row>
        <row r="60">
          <cell r="F60">
            <v>57</v>
          </cell>
          <cell r="G60">
            <v>570</v>
          </cell>
          <cell r="L60">
            <v>2850</v>
          </cell>
        </row>
        <row r="61">
          <cell r="F61">
            <v>58</v>
          </cell>
          <cell r="G61">
            <v>580</v>
          </cell>
          <cell r="L61">
            <v>2900</v>
          </cell>
        </row>
        <row r="62">
          <cell r="F62">
            <v>59</v>
          </cell>
          <cell r="G62">
            <v>590</v>
          </cell>
          <cell r="L62">
            <v>2950</v>
          </cell>
        </row>
        <row r="63">
          <cell r="F63">
            <v>60</v>
          </cell>
          <cell r="G63">
            <v>600</v>
          </cell>
          <cell r="L63">
            <v>3000</v>
          </cell>
        </row>
        <row r="64">
          <cell r="F64">
            <v>61</v>
          </cell>
          <cell r="G64">
            <v>610</v>
          </cell>
          <cell r="L64">
            <v>3050</v>
          </cell>
        </row>
        <row r="65">
          <cell r="F65">
            <v>62</v>
          </cell>
          <cell r="G65">
            <v>620</v>
          </cell>
          <cell r="L65">
            <v>3100</v>
          </cell>
        </row>
        <row r="66">
          <cell r="F66">
            <v>63</v>
          </cell>
          <cell r="G66">
            <v>630</v>
          </cell>
          <cell r="L66">
            <v>3150</v>
          </cell>
        </row>
        <row r="67">
          <cell r="F67">
            <v>64</v>
          </cell>
          <cell r="G67">
            <v>640</v>
          </cell>
          <cell r="L67">
            <v>3200</v>
          </cell>
        </row>
        <row r="68">
          <cell r="F68">
            <v>65</v>
          </cell>
          <cell r="G68">
            <v>650</v>
          </cell>
          <cell r="L68">
            <v>3250</v>
          </cell>
        </row>
        <row r="69">
          <cell r="F69">
            <v>66</v>
          </cell>
          <cell r="G69">
            <v>660</v>
          </cell>
          <cell r="L69">
            <v>3300</v>
          </cell>
        </row>
        <row r="70">
          <cell r="F70">
            <v>67</v>
          </cell>
          <cell r="G70">
            <v>670</v>
          </cell>
          <cell r="L70">
            <v>3350</v>
          </cell>
        </row>
        <row r="71">
          <cell r="F71">
            <v>68</v>
          </cell>
          <cell r="G71">
            <v>680</v>
          </cell>
          <cell r="L71">
            <v>3400</v>
          </cell>
        </row>
        <row r="72">
          <cell r="F72">
            <v>69</v>
          </cell>
          <cell r="G72">
            <v>690</v>
          </cell>
          <cell r="L72">
            <v>3450</v>
          </cell>
        </row>
        <row r="73">
          <cell r="F73">
            <v>70</v>
          </cell>
          <cell r="G73">
            <v>700</v>
          </cell>
          <cell r="L73">
            <v>3500</v>
          </cell>
        </row>
        <row r="74">
          <cell r="F74">
            <v>71</v>
          </cell>
          <cell r="G74">
            <v>710</v>
          </cell>
          <cell r="L74">
            <v>3550</v>
          </cell>
        </row>
        <row r="75">
          <cell r="F75">
            <v>72</v>
          </cell>
          <cell r="G75">
            <v>720</v>
          </cell>
          <cell r="L75">
            <v>3600</v>
          </cell>
        </row>
        <row r="76">
          <cell r="F76">
            <v>73</v>
          </cell>
          <cell r="G76">
            <v>730</v>
          </cell>
          <cell r="L76">
            <v>3650</v>
          </cell>
        </row>
        <row r="77">
          <cell r="F77">
            <v>74</v>
          </cell>
          <cell r="G77">
            <v>740</v>
          </cell>
          <cell r="L77">
            <v>3700</v>
          </cell>
        </row>
        <row r="78">
          <cell r="F78">
            <v>75</v>
          </cell>
          <cell r="G78">
            <v>750</v>
          </cell>
          <cell r="L78">
            <v>3750</v>
          </cell>
        </row>
        <row r="79">
          <cell r="F79">
            <v>76</v>
          </cell>
          <cell r="G79">
            <v>760</v>
          </cell>
          <cell r="L79">
            <v>3800</v>
          </cell>
        </row>
        <row r="80">
          <cell r="F80">
            <v>77</v>
          </cell>
          <cell r="G80">
            <v>770</v>
          </cell>
          <cell r="L80">
            <v>3850</v>
          </cell>
        </row>
        <row r="81">
          <cell r="F81">
            <v>78</v>
          </cell>
          <cell r="G81">
            <v>780</v>
          </cell>
          <cell r="L81">
            <v>3900</v>
          </cell>
        </row>
        <row r="82">
          <cell r="F82">
            <v>79</v>
          </cell>
          <cell r="G82">
            <v>790</v>
          </cell>
          <cell r="L82">
            <v>3950</v>
          </cell>
        </row>
        <row r="83">
          <cell r="F83">
            <v>80</v>
          </cell>
          <cell r="G83">
            <v>800</v>
          </cell>
          <cell r="L83">
            <v>4000</v>
          </cell>
        </row>
        <row r="84">
          <cell r="F84">
            <v>81</v>
          </cell>
          <cell r="G84">
            <v>810</v>
          </cell>
          <cell r="L84">
            <v>4050</v>
          </cell>
        </row>
        <row r="85">
          <cell r="F85">
            <v>82</v>
          </cell>
          <cell r="G85">
            <v>820</v>
          </cell>
          <cell r="L85">
            <v>4100</v>
          </cell>
        </row>
        <row r="86">
          <cell r="F86">
            <v>83</v>
          </cell>
          <cell r="G86">
            <v>830</v>
          </cell>
          <cell r="L86">
            <v>4150</v>
          </cell>
        </row>
        <row r="87">
          <cell r="F87">
            <v>84</v>
          </cell>
          <cell r="G87">
            <v>840</v>
          </cell>
          <cell r="L87">
            <v>4200</v>
          </cell>
        </row>
        <row r="88">
          <cell r="F88">
            <v>85</v>
          </cell>
          <cell r="G88">
            <v>850</v>
          </cell>
          <cell r="L88">
            <v>4250</v>
          </cell>
        </row>
        <row r="89">
          <cell r="F89">
            <v>86</v>
          </cell>
          <cell r="G89">
            <v>860</v>
          </cell>
          <cell r="L89">
            <v>4300</v>
          </cell>
        </row>
        <row r="90">
          <cell r="F90">
            <v>87</v>
          </cell>
          <cell r="G90">
            <v>870</v>
          </cell>
          <cell r="L90">
            <v>4350</v>
          </cell>
        </row>
        <row r="91">
          <cell r="F91">
            <v>88</v>
          </cell>
          <cell r="G91">
            <v>880</v>
          </cell>
          <cell r="L91">
            <v>4400</v>
          </cell>
        </row>
        <row r="92">
          <cell r="F92">
            <v>89</v>
          </cell>
          <cell r="G92">
            <v>890</v>
          </cell>
          <cell r="L92">
            <v>4450</v>
          </cell>
        </row>
        <row r="93">
          <cell r="F93">
            <v>90</v>
          </cell>
          <cell r="G93">
            <v>900</v>
          </cell>
          <cell r="L93">
            <v>4500</v>
          </cell>
        </row>
        <row r="94">
          <cell r="F94">
            <v>91</v>
          </cell>
          <cell r="G94">
            <v>910</v>
          </cell>
          <cell r="L94">
            <v>4550</v>
          </cell>
        </row>
        <row r="95">
          <cell r="F95">
            <v>92</v>
          </cell>
          <cell r="G95">
            <v>920</v>
          </cell>
          <cell r="L95">
            <v>4600</v>
          </cell>
        </row>
        <row r="96">
          <cell r="F96">
            <v>93</v>
          </cell>
          <cell r="G96">
            <v>930</v>
          </cell>
          <cell r="L96">
            <v>4650</v>
          </cell>
        </row>
        <row r="97">
          <cell r="F97">
            <v>94</v>
          </cell>
          <cell r="G97">
            <v>940</v>
          </cell>
          <cell r="L97">
            <v>4700</v>
          </cell>
        </row>
        <row r="98">
          <cell r="F98">
            <v>95</v>
          </cell>
          <cell r="G98">
            <v>950</v>
          </cell>
          <cell r="L98">
            <v>4750</v>
          </cell>
        </row>
        <row r="99">
          <cell r="F99">
            <v>96</v>
          </cell>
          <cell r="G99">
            <v>960</v>
          </cell>
          <cell r="L99">
            <v>4800</v>
          </cell>
        </row>
        <row r="100">
          <cell r="F100">
            <v>97</v>
          </cell>
          <cell r="G100">
            <v>970</v>
          </cell>
          <cell r="L100">
            <v>4850</v>
          </cell>
        </row>
        <row r="101">
          <cell r="F101">
            <v>98</v>
          </cell>
          <cell r="G101">
            <v>980</v>
          </cell>
          <cell r="L101">
            <v>4900</v>
          </cell>
        </row>
        <row r="102">
          <cell r="F102">
            <v>99</v>
          </cell>
          <cell r="G102">
            <v>990</v>
          </cell>
          <cell r="L102">
            <v>4950</v>
          </cell>
        </row>
        <row r="103">
          <cell r="F103">
            <v>100</v>
          </cell>
          <cell r="G103">
            <v>1000</v>
          </cell>
          <cell r="L103">
            <v>5000</v>
          </cell>
        </row>
        <row r="104">
          <cell r="F104">
            <v>110</v>
          </cell>
          <cell r="G104">
            <v>1010</v>
          </cell>
        </row>
        <row r="105">
          <cell r="F105">
            <v>120</v>
          </cell>
          <cell r="G105">
            <v>1020</v>
          </cell>
        </row>
        <row r="106">
          <cell r="F106">
            <v>130</v>
          </cell>
          <cell r="G106">
            <v>1030</v>
          </cell>
        </row>
        <row r="107">
          <cell r="F107">
            <v>140</v>
          </cell>
          <cell r="G107">
            <v>1040</v>
          </cell>
        </row>
        <row r="108">
          <cell r="F108">
            <v>150</v>
          </cell>
          <cell r="G108">
            <v>1050</v>
          </cell>
        </row>
        <row r="109">
          <cell r="F109">
            <v>160</v>
          </cell>
          <cell r="G109">
            <v>1060</v>
          </cell>
        </row>
        <row r="110">
          <cell r="F110">
            <v>170</v>
          </cell>
          <cell r="G110">
            <v>1070</v>
          </cell>
        </row>
        <row r="111">
          <cell r="F111">
            <v>180</v>
          </cell>
          <cell r="G111">
            <v>1080</v>
          </cell>
        </row>
        <row r="112">
          <cell r="F112">
            <v>190</v>
          </cell>
          <cell r="G112">
            <v>1090</v>
          </cell>
        </row>
        <row r="113">
          <cell r="F113">
            <v>200</v>
          </cell>
          <cell r="G113">
            <v>1100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quencing static data"/>
      <sheetName val="Sequencing cost model"/>
      <sheetName val="Splitting"/>
      <sheetName val="Summary"/>
      <sheetName val="All parts that have demand"/>
      <sheetName val="High level"/>
      <sheetName val="Equipment matrix"/>
      <sheetName val="Sheet1"/>
      <sheetName val="Sheet2"/>
    </sheetNames>
    <sheetDataSet>
      <sheetData sheetId="0"/>
      <sheetData sheetId="1"/>
      <sheetData sheetId="2"/>
      <sheetData sheetId="3"/>
      <sheetData sheetId="4"/>
      <sheetData sheetId="5"/>
      <sheetData sheetId="6"/>
      <sheetData sheetId="7"/>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rn"/>
      <sheetName val="hinten"/>
      <sheetName val="Kalkulationsbasis"/>
      <sheetName val="Datenblatt"/>
      <sheetName val="TDS Auto Canada"/>
      <sheetName val="Data"/>
      <sheetName val="Zones"/>
      <sheetName val="validationInfo"/>
      <sheetName val="Dropdown"/>
      <sheetName val="LISTE"/>
      <sheetName val="Source"/>
      <sheetName val="Title"/>
      <sheetName val="Cost Allocation"/>
      <sheetName val="OPEX"/>
      <sheetName val="LABEX"/>
      <sheetName val="productivity (2)"/>
      <sheetName val="DATI"/>
      <sheetName val="Jan"/>
      <sheetName val="Sheet4"/>
      <sheetName val="391.各"/>
      <sheetName val="车次汇总"/>
      <sheetName val="数据库"/>
    </sheetNames>
    <sheetDataSet>
      <sheetData sheetId="0" refreshError="1">
        <row r="81">
          <cell r="H81">
            <v>6.8791326240000013</v>
          </cell>
          <cell r="I81">
            <v>0</v>
          </cell>
          <cell r="J81">
            <v>0</v>
          </cell>
        </row>
        <row r="105">
          <cell r="H105">
            <v>7.993544</v>
          </cell>
          <cell r="I105">
            <v>0</v>
          </cell>
          <cell r="J105">
            <v>0</v>
          </cell>
        </row>
        <row r="127">
          <cell r="H127">
            <v>7.9144609999999993</v>
          </cell>
          <cell r="I127">
            <v>0</v>
          </cell>
          <cell r="J127">
            <v>0</v>
          </cell>
        </row>
        <row r="150">
          <cell r="H150">
            <v>8.3298740000000002</v>
          </cell>
          <cell r="I150">
            <v>0</v>
          </cell>
          <cell r="J150">
            <v>0</v>
          </cell>
        </row>
        <row r="174">
          <cell r="H174">
            <v>8.3298740000000002</v>
          </cell>
          <cell r="I174">
            <v>0</v>
          </cell>
          <cell r="J174">
            <v>0</v>
          </cell>
        </row>
        <row r="184">
          <cell r="H184">
            <v>30.355699999999999</v>
          </cell>
          <cell r="I184">
            <v>0</v>
          </cell>
          <cell r="J184">
            <v>0</v>
          </cell>
        </row>
        <row r="193">
          <cell r="H193">
            <v>13.904674999999999</v>
          </cell>
          <cell r="I193">
            <v>0</v>
          </cell>
          <cell r="J193">
            <v>0</v>
          </cell>
        </row>
        <row r="203">
          <cell r="H203">
            <v>12.011999999999999</v>
          </cell>
          <cell r="I203">
            <v>0</v>
          </cell>
          <cell r="J203">
            <v>0</v>
          </cell>
        </row>
        <row r="213">
          <cell r="H213">
            <v>12.011999999999999</v>
          </cell>
          <cell r="I213">
            <v>0</v>
          </cell>
          <cell r="J213">
            <v>0</v>
          </cell>
        </row>
        <row r="222">
          <cell r="H222">
            <v>3.0029999999999997</v>
          </cell>
          <cell r="I222">
            <v>0</v>
          </cell>
          <cell r="J222">
            <v>0</v>
          </cell>
        </row>
        <row r="232">
          <cell r="H232">
            <v>3.0029999999999997</v>
          </cell>
          <cell r="I232">
            <v>0</v>
          </cell>
          <cell r="J232">
            <v>0</v>
          </cell>
        </row>
        <row r="251">
          <cell r="H251">
            <v>3.0029999999999997</v>
          </cell>
          <cell r="I251">
            <v>0</v>
          </cell>
          <cell r="J251">
            <v>0</v>
          </cell>
        </row>
        <row r="267">
          <cell r="H267">
            <v>5.6357999999999997</v>
          </cell>
          <cell r="I267">
            <v>0</v>
          </cell>
          <cell r="J267">
            <v>0</v>
          </cell>
        </row>
        <row r="284">
          <cell r="G284">
            <v>14.7</v>
          </cell>
        </row>
        <row r="288">
          <cell r="G288">
            <v>27.85</v>
          </cell>
        </row>
        <row r="293">
          <cell r="H293">
            <v>42.812764999999999</v>
          </cell>
          <cell r="I293">
            <v>1</v>
          </cell>
          <cell r="J293">
            <v>0</v>
          </cell>
        </row>
        <row r="304">
          <cell r="G304">
            <v>25.1</v>
          </cell>
        </row>
        <row r="309">
          <cell r="H309">
            <v>40.055889999999998</v>
          </cell>
          <cell r="I309">
            <v>1</v>
          </cell>
          <cell r="J309">
            <v>0</v>
          </cell>
        </row>
        <row r="326">
          <cell r="H326">
            <v>3.3474429999999997</v>
          </cell>
          <cell r="I326">
            <v>0</v>
          </cell>
          <cell r="J326">
            <v>0</v>
          </cell>
        </row>
        <row r="353">
          <cell r="H353">
            <v>2.680237</v>
          </cell>
          <cell r="I353">
            <v>0</v>
          </cell>
          <cell r="J353">
            <v>0</v>
          </cell>
        </row>
        <row r="379">
          <cell r="H379">
            <v>2.5092439999999998</v>
          </cell>
          <cell r="I379">
            <v>0</v>
          </cell>
          <cell r="J379">
            <v>0</v>
          </cell>
        </row>
        <row r="392">
          <cell r="H392">
            <v>3.0300000000000002</v>
          </cell>
          <cell r="I392">
            <v>0</v>
          </cell>
          <cell r="J392">
            <v>0</v>
          </cell>
        </row>
      </sheetData>
      <sheetData sheetId="1" refreshError="1">
        <row r="52">
          <cell r="H52">
            <v>3.038369264</v>
          </cell>
          <cell r="I52">
            <v>0</v>
          </cell>
          <cell r="J52">
            <v>0</v>
          </cell>
        </row>
        <row r="86">
          <cell r="H86">
            <v>7.1404980000000009</v>
          </cell>
          <cell r="I86">
            <v>0</v>
          </cell>
          <cell r="J86">
            <v>0</v>
          </cell>
        </row>
        <row r="123">
          <cell r="H123">
            <v>8.1362570000000023</v>
          </cell>
          <cell r="I123">
            <v>0</v>
          </cell>
          <cell r="J123">
            <v>0</v>
          </cell>
        </row>
        <row r="132">
          <cell r="H132">
            <v>28.691549999999999</v>
          </cell>
          <cell r="I132">
            <v>0</v>
          </cell>
          <cell r="J132">
            <v>0</v>
          </cell>
        </row>
        <row r="141">
          <cell r="H141">
            <v>14.69665</v>
          </cell>
          <cell r="I141">
            <v>0</v>
          </cell>
          <cell r="J141">
            <v>0</v>
          </cell>
        </row>
        <row r="150">
          <cell r="H150">
            <v>6.0059999999999993</v>
          </cell>
          <cell r="I150">
            <v>0</v>
          </cell>
          <cell r="J150">
            <v>0</v>
          </cell>
        </row>
        <row r="169">
          <cell r="H169">
            <v>3.0029999999999997</v>
          </cell>
          <cell r="I169">
            <v>0</v>
          </cell>
          <cell r="J169">
            <v>0</v>
          </cell>
        </row>
        <row r="175">
          <cell r="G175">
            <v>13.9</v>
          </cell>
        </row>
        <row r="179">
          <cell r="G179">
            <v>21.7</v>
          </cell>
        </row>
        <row r="184">
          <cell r="H184">
            <v>35.845389999999995</v>
          </cell>
          <cell r="I184">
            <v>0.8</v>
          </cell>
          <cell r="J184">
            <v>0</v>
          </cell>
        </row>
        <row r="197">
          <cell r="H197">
            <v>2.1511990000000001</v>
          </cell>
          <cell r="I197">
            <v>0</v>
          </cell>
          <cell r="J197">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
      <sheetName val="BasisFFZ"/>
      <sheetName val="BasisHandInfo"/>
      <sheetName val="BasisStapler "/>
      <sheetName val="KLT Prozess"/>
      <sheetName val="I. LKW Dummy KLT K"/>
      <sheetName val="II. WABU K "/>
      <sheetName val="III. LKW Belad K"/>
      <sheetName val="IV Transport 20-&gt;31"/>
      <sheetName val="V. LKW Ablad und Belad K "/>
      <sheetName val="VI. WEBU K"/>
      <sheetName val="VII. Transport 31-&gt;20"/>
      <sheetName val="VIII. LKW Ablad K "/>
      <sheetName val="1-5 Ergblt"/>
      <sheetName val="Tabelle3"/>
    </sheetNames>
    <sheetDataSet>
      <sheetData sheetId="0" refreshError="1">
        <row r="3">
          <cell r="F3">
            <v>0</v>
          </cell>
        </row>
        <row r="31">
          <cell r="C31" t="str">
            <v>ungefähr</v>
          </cell>
        </row>
        <row r="32">
          <cell r="C32" t="str">
            <v>genau</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_Paint (EUR)"/>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_Paint (EUR)"/>
    </sheetNames>
    <sheetDataSet>
      <sheetData sheetId="0"/>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_Paint (EUR)"/>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ächenumrechnungen"/>
      <sheetName val="Daten"/>
      <sheetName val="GTAI Niveaus Basis"/>
      <sheetName val="GTAI Niveaus j,m,h"/>
      <sheetName val="GTAI Haupt Basis"/>
      <sheetName val="Regionen Basis"/>
      <sheetName val="Pivot"/>
      <sheetName val="Währungen"/>
      <sheetName val="Zinssatz &amp; Energ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AI Niveaus j,m,h"/>
      <sheetName val="D-IGM j,m,h"/>
      <sheetName val="D-LOG (BMW) j,m,h"/>
      <sheetName val="D-IGM Basis"/>
      <sheetName val="D-LOG (BMW) Basis"/>
      <sheetName val="GTAI Haupt Basis"/>
      <sheetName val="GTAI Niveaus Basis"/>
      <sheetName val="Regionen Basis"/>
      <sheetName val="GTAI Haupt 2012"/>
      <sheetName val="GTAI Niveaus 2012"/>
      <sheetName val="Regionen 2012"/>
      <sheetName val="D-LOG (BMW) 2012"/>
      <sheetName val="GTAI Haupt 2012 pro h"/>
      <sheetName val="GTAI Niveaus 2012 pro h"/>
      <sheetName val="Regionen 2012 pro h"/>
      <sheetName val="D-LOG (BMW) 2012 pro h"/>
      <sheetName val="GTAI HAUPT 2012 PRO H PPC"/>
      <sheetName val="GTAI HAUPT 2012 Vergleich"/>
      <sheetName val="GTAI NIVEAUS 2012 PRO H PPC"/>
      <sheetName val="REGIONEN 2012 PRO H PPC"/>
      <sheetName val="REGIONEN 2012 Vergleich"/>
      <sheetName val="Brasilien"/>
      <sheetName val="China"/>
      <sheetName val="Deutschland"/>
      <sheetName val="Deutschland - IGM"/>
      <sheetName val="Frankreich"/>
      <sheetName val="Großbritannien"/>
      <sheetName val="Indien"/>
      <sheetName val="Italien"/>
      <sheetName val="Indonesien"/>
      <sheetName val="Japan"/>
      <sheetName val="Kanada"/>
      <sheetName val="Mexiko"/>
      <sheetName val="Niederlande"/>
      <sheetName val="Philippinen"/>
      <sheetName val="Polen"/>
      <sheetName val="Rumänien"/>
      <sheetName val="Russland"/>
      <sheetName val="Slowakei"/>
      <sheetName val="Slowenien"/>
      <sheetName val="Spanien"/>
      <sheetName val="Südafrika"/>
      <sheetName val="Süd-Korea"/>
      <sheetName val="Tschechien"/>
      <sheetName val="Tunesien"/>
      <sheetName val="Türkei"/>
      <sheetName val="Ukraine"/>
      <sheetName val="Ungarn"/>
      <sheetName val="USA"/>
      <sheetName val="Zinssatz &amp; Energie"/>
      <sheetName val="Rohdaten"/>
      <sheetName val="Pivot"/>
      <sheetName val="Flächenumrechnungen"/>
      <sheetName val="Währungen"/>
      <sheetName val="Qualifikationen"/>
      <sheetName val="Daten"/>
    </sheetNames>
    <sheetDataSet>
      <sheetData sheetId="0">
        <row r="2">
          <cell r="A2" t="str">
            <v>Brasilien - hoch</v>
          </cell>
          <cell r="B2" t="str">
            <v>Brasilien</v>
          </cell>
          <cell r="C2" t="str">
            <v>BRL</v>
          </cell>
          <cell r="D2">
            <v>2011</v>
          </cell>
          <cell r="E2" t="str">
            <v>m</v>
          </cell>
          <cell r="F2">
            <v>1346.6699999999998</v>
          </cell>
          <cell r="G2">
            <v>1986.6599999999999</v>
          </cell>
          <cell r="H2">
            <v>3882.06</v>
          </cell>
          <cell r="I2">
            <v>4906.9799999999996</v>
          </cell>
          <cell r="J2">
            <v>4102.0199999999995</v>
          </cell>
          <cell r="K2">
            <v>2804.49</v>
          </cell>
          <cell r="L2">
            <v>4967.82</v>
          </cell>
          <cell r="M2">
            <v>2407.8599999999997</v>
          </cell>
          <cell r="N2">
            <v>27823.769999999997</v>
          </cell>
          <cell r="O2">
            <v>49893.479999999996</v>
          </cell>
          <cell r="P2">
            <v>88130.25</v>
          </cell>
          <cell r="Q2" t="str">
            <v>m</v>
          </cell>
          <cell r="R2">
            <v>1554</v>
          </cell>
          <cell r="S2">
            <v>6.7699999999999996E-2</v>
          </cell>
          <cell r="T2">
            <v>7.8700000000000006E-2</v>
          </cell>
          <cell r="U2">
            <v>7.3999999999999996E-2</v>
          </cell>
          <cell r="V2">
            <v>1.0740000000000001</v>
          </cell>
          <cell r="W2">
            <v>1.0740000000000001</v>
          </cell>
        </row>
        <row r="3">
          <cell r="A3" t="str">
            <v>Brasilien - mittel</v>
          </cell>
          <cell r="B3" t="str">
            <v>Brasilien</v>
          </cell>
          <cell r="C3" t="str">
            <v>BRL</v>
          </cell>
          <cell r="F3">
            <v>1151</v>
          </cell>
          <cell r="G3">
            <v>1698</v>
          </cell>
          <cell r="H3">
            <v>3318</v>
          </cell>
          <cell r="I3">
            <v>4194</v>
          </cell>
          <cell r="J3">
            <v>3506</v>
          </cell>
          <cell r="K3">
            <v>2397</v>
          </cell>
          <cell r="L3">
            <v>4246</v>
          </cell>
          <cell r="M3">
            <v>2058</v>
          </cell>
          <cell r="N3">
            <v>23781</v>
          </cell>
          <cell r="O3">
            <v>42644</v>
          </cell>
          <cell r="P3">
            <v>75325</v>
          </cell>
          <cell r="W3">
            <v>1.0740000000000001</v>
          </cell>
        </row>
        <row r="4">
          <cell r="A4" t="str">
            <v>Brasilien - niedrig</v>
          </cell>
          <cell r="B4" t="str">
            <v>Brasilien</v>
          </cell>
          <cell r="C4" t="str">
            <v>BRL</v>
          </cell>
          <cell r="F4">
            <v>1104.96</v>
          </cell>
          <cell r="G4">
            <v>1630.08</v>
          </cell>
          <cell r="H4">
            <v>3185.2799999999997</v>
          </cell>
          <cell r="I4">
            <v>4026.24</v>
          </cell>
          <cell r="J4">
            <v>3365.7599999999998</v>
          </cell>
          <cell r="K4">
            <v>2301.12</v>
          </cell>
          <cell r="L4">
            <v>4076.16</v>
          </cell>
          <cell r="M4">
            <v>1975.6799999999998</v>
          </cell>
          <cell r="N4">
            <v>22829.759999999998</v>
          </cell>
          <cell r="O4">
            <v>40938.239999999998</v>
          </cell>
          <cell r="P4">
            <v>72312</v>
          </cell>
          <cell r="W4">
            <v>1.0740000000000001</v>
          </cell>
        </row>
        <row r="5">
          <cell r="A5" t="str">
            <v>China - hoch</v>
          </cell>
          <cell r="B5" t="str">
            <v>China</v>
          </cell>
          <cell r="C5" t="str">
            <v>CNY</v>
          </cell>
          <cell r="D5">
            <v>2010</v>
          </cell>
          <cell r="E5" t="str">
            <v>j</v>
          </cell>
          <cell r="F5">
            <v>23975</v>
          </cell>
          <cell r="G5">
            <v>37939</v>
          </cell>
          <cell r="H5">
            <v>45915</v>
          </cell>
          <cell r="I5">
            <v>53375</v>
          </cell>
          <cell r="J5">
            <v>36684</v>
          </cell>
          <cell r="K5">
            <v>41556</v>
          </cell>
          <cell r="L5">
            <v>79129</v>
          </cell>
          <cell r="M5">
            <v>86620</v>
          </cell>
          <cell r="N5">
            <v>275847</v>
          </cell>
          <cell r="O5">
            <v>299995</v>
          </cell>
          <cell r="P5">
            <v>378126</v>
          </cell>
          <cell r="S5">
            <v>0.13300000000000001</v>
          </cell>
          <cell r="T5">
            <v>0.124</v>
          </cell>
          <cell r="U5">
            <v>0.1</v>
          </cell>
          <cell r="V5">
            <v>1.2364000000000002</v>
          </cell>
          <cell r="W5">
            <v>1.2364000000000002</v>
          </cell>
        </row>
        <row r="6">
          <cell r="A6" t="str">
            <v>China - mittel</v>
          </cell>
          <cell r="B6" t="str">
            <v>China</v>
          </cell>
          <cell r="C6" t="str">
            <v>CNY</v>
          </cell>
          <cell r="F6">
            <v>16500</v>
          </cell>
          <cell r="G6">
            <v>23000</v>
          </cell>
          <cell r="H6">
            <v>33800</v>
          </cell>
          <cell r="I6">
            <v>39498</v>
          </cell>
          <cell r="J6">
            <v>22248</v>
          </cell>
          <cell r="K6">
            <v>24660</v>
          </cell>
          <cell r="L6">
            <v>47700</v>
          </cell>
          <cell r="M6">
            <v>43433</v>
          </cell>
          <cell r="N6">
            <v>69733</v>
          </cell>
          <cell r="O6">
            <v>124933</v>
          </cell>
          <cell r="P6">
            <v>291700</v>
          </cell>
          <cell r="W6">
            <v>1.2364000000000002</v>
          </cell>
        </row>
        <row r="7">
          <cell r="A7" t="str">
            <v>China - niedrig</v>
          </cell>
          <cell r="B7" t="str">
            <v>China</v>
          </cell>
          <cell r="C7" t="str">
            <v>CNY</v>
          </cell>
          <cell r="F7">
            <v>11640</v>
          </cell>
          <cell r="G7">
            <v>14760</v>
          </cell>
          <cell r="H7">
            <v>18000</v>
          </cell>
          <cell r="I7">
            <v>20934</v>
          </cell>
          <cell r="J7">
            <v>11791</v>
          </cell>
          <cell r="K7">
            <v>13070</v>
          </cell>
          <cell r="L7">
            <v>19800</v>
          </cell>
          <cell r="M7">
            <v>21840</v>
          </cell>
          <cell r="N7">
            <v>31080</v>
          </cell>
          <cell r="O7">
            <v>45000</v>
          </cell>
          <cell r="P7">
            <v>96480</v>
          </cell>
          <cell r="W7">
            <v>1.2364000000000002</v>
          </cell>
        </row>
        <row r="8">
          <cell r="A8" t="str">
            <v>Deutschland - Baden-Württemberg</v>
          </cell>
          <cell r="B8" t="str">
            <v>Deutschland</v>
          </cell>
          <cell r="C8" t="str">
            <v>EUR</v>
          </cell>
          <cell r="D8">
            <v>2011</v>
          </cell>
          <cell r="E8" t="str">
            <v>m</v>
          </cell>
          <cell r="F8">
            <v>3784</v>
          </cell>
          <cell r="G8">
            <v>4158</v>
          </cell>
          <cell r="H8">
            <v>5525</v>
          </cell>
          <cell r="I8">
            <v>7367</v>
          </cell>
          <cell r="J8">
            <v>5722</v>
          </cell>
          <cell r="K8">
            <v>5512</v>
          </cell>
          <cell r="L8">
            <v>3417</v>
          </cell>
          <cell r="M8">
            <v>4485</v>
          </cell>
          <cell r="N8">
            <v>11392</v>
          </cell>
          <cell r="O8">
            <v>11905</v>
          </cell>
          <cell r="P8">
            <v>17776</v>
          </cell>
          <cell r="S8">
            <v>5.5E-2</v>
          </cell>
          <cell r="T8">
            <v>8.3000000000000004E-2</v>
          </cell>
          <cell r="U8">
            <v>4.2999999999999997E-2</v>
          </cell>
          <cell r="V8">
            <v>1.0429999999999999</v>
          </cell>
          <cell r="W8">
            <v>1.0429999999999999</v>
          </cell>
        </row>
        <row r="9">
          <cell r="A9" t="str">
            <v>Deutschland - Baden-Württemberg Stuttgart</v>
          </cell>
          <cell r="B9" t="str">
            <v>Deutschland</v>
          </cell>
          <cell r="C9" t="str">
            <v>EUR</v>
          </cell>
          <cell r="F9">
            <v>4200.2400000000007</v>
          </cell>
          <cell r="G9">
            <v>4615.38</v>
          </cell>
          <cell r="H9">
            <v>6132.7500000000009</v>
          </cell>
          <cell r="I9">
            <v>8177.3700000000008</v>
          </cell>
          <cell r="J9">
            <v>6351.420000000001</v>
          </cell>
          <cell r="K9">
            <v>6118.3200000000006</v>
          </cell>
          <cell r="L9">
            <v>3792.8700000000003</v>
          </cell>
          <cell r="M9">
            <v>4978.3500000000004</v>
          </cell>
          <cell r="N9">
            <v>12645.12</v>
          </cell>
          <cell r="O9">
            <v>13214.550000000001</v>
          </cell>
          <cell r="P9">
            <v>19731.36</v>
          </cell>
          <cell r="W9">
            <v>1.0429999999999999</v>
          </cell>
        </row>
        <row r="10">
          <cell r="A10" t="str">
            <v>Deutschland - Bayern</v>
          </cell>
          <cell r="B10" t="str">
            <v>Deutschland</v>
          </cell>
          <cell r="C10" t="str">
            <v>EUR</v>
          </cell>
          <cell r="F10">
            <v>3007</v>
          </cell>
          <cell r="G10">
            <v>3394</v>
          </cell>
          <cell r="H10">
            <v>4186</v>
          </cell>
          <cell r="I10">
            <v>6667</v>
          </cell>
          <cell r="J10">
            <v>5775</v>
          </cell>
          <cell r="K10">
            <v>5563</v>
          </cell>
          <cell r="L10">
            <v>4000</v>
          </cell>
          <cell r="M10">
            <v>4527</v>
          </cell>
          <cell r="N10">
            <v>11498</v>
          </cell>
          <cell r="O10">
            <v>12015</v>
          </cell>
          <cell r="P10">
            <v>17940</v>
          </cell>
          <cell r="W10">
            <v>1.0429999999999999</v>
          </cell>
        </row>
        <row r="11">
          <cell r="A11" t="str">
            <v>Deutschland - Bayern München</v>
          </cell>
          <cell r="B11" t="str">
            <v>Deutschland</v>
          </cell>
          <cell r="C11" t="str">
            <v>EUR</v>
          </cell>
          <cell r="F11">
            <v>3458.0499999999997</v>
          </cell>
          <cell r="G11">
            <v>3903.1</v>
          </cell>
          <cell r="H11">
            <v>4813.8999999999996</v>
          </cell>
          <cell r="I11">
            <v>7667.0499999999993</v>
          </cell>
          <cell r="J11">
            <v>6641.2499999999991</v>
          </cell>
          <cell r="K11">
            <v>6397.45</v>
          </cell>
          <cell r="L11">
            <v>4600</v>
          </cell>
          <cell r="M11">
            <v>5206.0499999999993</v>
          </cell>
          <cell r="N11">
            <v>13222.699999999999</v>
          </cell>
          <cell r="O11">
            <v>13817.249999999998</v>
          </cell>
          <cell r="P11">
            <v>20631</v>
          </cell>
          <cell r="W11">
            <v>1.0429999999999999</v>
          </cell>
        </row>
        <row r="12">
          <cell r="A12" t="str">
            <v>Deutschland - Berlin</v>
          </cell>
          <cell r="B12" t="str">
            <v>Deutschland</v>
          </cell>
          <cell r="C12" t="str">
            <v>EUR</v>
          </cell>
          <cell r="F12">
            <v>2492</v>
          </cell>
          <cell r="G12">
            <v>2929</v>
          </cell>
          <cell r="H12">
            <v>4008</v>
          </cell>
          <cell r="I12">
            <v>6288</v>
          </cell>
          <cell r="J12">
            <v>5086</v>
          </cell>
          <cell r="K12">
            <v>4900</v>
          </cell>
          <cell r="L12">
            <v>3375</v>
          </cell>
          <cell r="M12">
            <v>3987</v>
          </cell>
          <cell r="N12">
            <v>10126</v>
          </cell>
          <cell r="O12">
            <v>10582</v>
          </cell>
          <cell r="P12">
            <v>15801</v>
          </cell>
          <cell r="W12">
            <v>1.0429999999999999</v>
          </cell>
        </row>
        <row r="13">
          <cell r="A13" t="str">
            <v>Deutschland - Brandenburg</v>
          </cell>
          <cell r="B13" t="str">
            <v>Deutschland</v>
          </cell>
          <cell r="C13" t="str">
            <v>EUR</v>
          </cell>
          <cell r="F13">
            <v>1934</v>
          </cell>
          <cell r="G13">
            <v>2283</v>
          </cell>
          <cell r="H13">
            <v>3212</v>
          </cell>
          <cell r="I13">
            <v>5311</v>
          </cell>
          <cell r="J13">
            <v>4239</v>
          </cell>
          <cell r="K13">
            <v>4083</v>
          </cell>
          <cell r="M13">
            <v>3322</v>
          </cell>
          <cell r="N13">
            <v>8439</v>
          </cell>
          <cell r="O13">
            <v>8818</v>
          </cell>
          <cell r="P13">
            <v>13167</v>
          </cell>
          <cell r="W13">
            <v>1.0429999999999999</v>
          </cell>
        </row>
        <row r="14">
          <cell r="A14" t="str">
            <v>Deutschland - Bremen</v>
          </cell>
          <cell r="B14" t="str">
            <v>Deutschland</v>
          </cell>
          <cell r="C14" t="str">
            <v>EUR</v>
          </cell>
          <cell r="G14">
            <v>4061</v>
          </cell>
          <cell r="H14">
            <v>5967</v>
          </cell>
          <cell r="I14">
            <v>8708</v>
          </cell>
          <cell r="J14">
            <v>5245</v>
          </cell>
          <cell r="K14">
            <v>5053</v>
          </cell>
          <cell r="M14">
            <v>4111</v>
          </cell>
          <cell r="N14">
            <v>10443</v>
          </cell>
          <cell r="O14">
            <v>10913</v>
          </cell>
          <cell r="P14">
            <v>16294</v>
          </cell>
          <cell r="W14">
            <v>1.0429999999999999</v>
          </cell>
        </row>
        <row r="15">
          <cell r="A15" t="str">
            <v>Deutschland - Hamburg</v>
          </cell>
          <cell r="B15" t="str">
            <v>Deutschland</v>
          </cell>
          <cell r="C15" t="str">
            <v>EUR</v>
          </cell>
          <cell r="G15">
            <v>3989</v>
          </cell>
          <cell r="H15">
            <v>5699</v>
          </cell>
          <cell r="I15">
            <v>7002</v>
          </cell>
          <cell r="J15">
            <v>5669</v>
          </cell>
          <cell r="K15">
            <v>5461</v>
          </cell>
          <cell r="M15">
            <v>4443</v>
          </cell>
          <cell r="N15">
            <v>11287</v>
          </cell>
          <cell r="O15">
            <v>11795</v>
          </cell>
          <cell r="P15">
            <v>17611</v>
          </cell>
          <cell r="W15">
            <v>1.0429999999999999</v>
          </cell>
        </row>
        <row r="16">
          <cell r="A16" t="str">
            <v>Deutschland - Hessen</v>
          </cell>
          <cell r="B16" t="str">
            <v>Deutschland</v>
          </cell>
          <cell r="C16" t="str">
            <v>EUR</v>
          </cell>
          <cell r="F16">
            <v>3029</v>
          </cell>
          <cell r="G16">
            <v>3718</v>
          </cell>
          <cell r="H16">
            <v>4761</v>
          </cell>
          <cell r="I16">
            <v>6527</v>
          </cell>
          <cell r="J16">
            <v>5722</v>
          </cell>
          <cell r="K16">
            <v>5512</v>
          </cell>
          <cell r="L16">
            <v>3750</v>
          </cell>
          <cell r="M16">
            <v>4485</v>
          </cell>
          <cell r="N16">
            <v>11392</v>
          </cell>
          <cell r="O16">
            <v>11905</v>
          </cell>
          <cell r="P16">
            <v>17776</v>
          </cell>
          <cell r="W16">
            <v>1.0429999999999999</v>
          </cell>
        </row>
        <row r="17">
          <cell r="A17" t="str">
            <v>Deutschland - Mecklenburg-Vorpommern</v>
          </cell>
          <cell r="B17" t="str">
            <v>Deutschland</v>
          </cell>
          <cell r="C17" t="str">
            <v>EUR</v>
          </cell>
          <cell r="F17">
            <v>1801</v>
          </cell>
          <cell r="G17">
            <v>2263</v>
          </cell>
          <cell r="H17">
            <v>3216</v>
          </cell>
          <cell r="I17">
            <v>4828</v>
          </cell>
          <cell r="J17">
            <v>4239</v>
          </cell>
          <cell r="K17">
            <v>4083</v>
          </cell>
          <cell r="M17">
            <v>3322</v>
          </cell>
          <cell r="N17">
            <v>8439</v>
          </cell>
          <cell r="O17">
            <v>8818</v>
          </cell>
          <cell r="P17">
            <v>13167</v>
          </cell>
          <cell r="W17">
            <v>1.0429999999999999</v>
          </cell>
        </row>
        <row r="18">
          <cell r="A18" t="str">
            <v>Deutschland - Niedersachsen</v>
          </cell>
          <cell r="B18" t="str">
            <v>Deutschland</v>
          </cell>
          <cell r="C18" t="str">
            <v>EUR</v>
          </cell>
          <cell r="F18">
            <v>2759</v>
          </cell>
          <cell r="G18">
            <v>3111</v>
          </cell>
          <cell r="H18">
            <v>3971</v>
          </cell>
          <cell r="I18">
            <v>6281</v>
          </cell>
          <cell r="J18">
            <v>5298</v>
          </cell>
          <cell r="K18">
            <v>5104</v>
          </cell>
          <cell r="L18">
            <v>3250</v>
          </cell>
          <cell r="M18">
            <v>4153</v>
          </cell>
          <cell r="N18">
            <v>10548</v>
          </cell>
          <cell r="O18">
            <v>11023</v>
          </cell>
          <cell r="P18">
            <v>16459</v>
          </cell>
          <cell r="W18">
            <v>1.0429999999999999</v>
          </cell>
        </row>
        <row r="19">
          <cell r="A19" t="str">
            <v>Deutschland - Nordrhein-Westfalen</v>
          </cell>
          <cell r="B19" t="str">
            <v>Deutschland</v>
          </cell>
          <cell r="C19" t="str">
            <v>EUR</v>
          </cell>
          <cell r="F19">
            <v>3051</v>
          </cell>
          <cell r="G19">
            <v>3284</v>
          </cell>
          <cell r="H19">
            <v>4319</v>
          </cell>
          <cell r="I19">
            <v>6367</v>
          </cell>
          <cell r="J19">
            <v>5510</v>
          </cell>
          <cell r="K19">
            <v>5308</v>
          </cell>
          <cell r="L19">
            <v>3667</v>
          </cell>
          <cell r="M19">
            <v>4319</v>
          </cell>
          <cell r="N19">
            <v>10970</v>
          </cell>
          <cell r="O19">
            <v>11464</v>
          </cell>
          <cell r="P19">
            <v>17117</v>
          </cell>
          <cell r="W19">
            <v>1.0429999999999999</v>
          </cell>
        </row>
        <row r="20">
          <cell r="A20" t="str">
            <v>Deutschland - Rheinland-Pfalz</v>
          </cell>
          <cell r="B20" t="str">
            <v>Deutschland</v>
          </cell>
          <cell r="C20" t="str">
            <v>EUR</v>
          </cell>
          <cell r="F20">
            <v>3179</v>
          </cell>
          <cell r="G20">
            <v>3419</v>
          </cell>
          <cell r="H20">
            <v>5050</v>
          </cell>
          <cell r="I20">
            <v>6285</v>
          </cell>
          <cell r="J20">
            <v>5510</v>
          </cell>
          <cell r="K20">
            <v>5308</v>
          </cell>
          <cell r="M20">
            <v>4319</v>
          </cell>
          <cell r="N20">
            <v>10970</v>
          </cell>
          <cell r="O20">
            <v>11464</v>
          </cell>
          <cell r="P20">
            <v>17117</v>
          </cell>
          <cell r="W20">
            <v>1.0429999999999999</v>
          </cell>
        </row>
        <row r="21">
          <cell r="A21" t="str">
            <v>Deutschland - Saarland</v>
          </cell>
          <cell r="B21" t="str">
            <v>Deutschland</v>
          </cell>
          <cell r="C21" t="str">
            <v>EUR</v>
          </cell>
          <cell r="F21">
            <v>3501</v>
          </cell>
          <cell r="G21">
            <v>3788</v>
          </cell>
          <cell r="H21">
            <v>4187</v>
          </cell>
          <cell r="I21">
            <v>5990</v>
          </cell>
          <cell r="J21">
            <v>5722</v>
          </cell>
          <cell r="K21">
            <v>5512</v>
          </cell>
          <cell r="M21">
            <v>4485</v>
          </cell>
          <cell r="N21">
            <v>11392</v>
          </cell>
          <cell r="O21">
            <v>11905</v>
          </cell>
          <cell r="P21">
            <v>17776</v>
          </cell>
          <cell r="W21">
            <v>1.0429999999999999</v>
          </cell>
        </row>
        <row r="22">
          <cell r="A22" t="str">
            <v>Deutschland - Sachsen</v>
          </cell>
          <cell r="B22" t="str">
            <v>Deutschland</v>
          </cell>
          <cell r="C22" t="str">
            <v>EUR</v>
          </cell>
          <cell r="F22">
            <v>2355</v>
          </cell>
          <cell r="G22">
            <v>2874</v>
          </cell>
          <cell r="H22">
            <v>3450</v>
          </cell>
          <cell r="I22">
            <v>4932</v>
          </cell>
          <cell r="J22">
            <v>4239</v>
          </cell>
          <cell r="K22">
            <v>4083</v>
          </cell>
          <cell r="L22">
            <v>2917</v>
          </cell>
          <cell r="M22">
            <v>3322</v>
          </cell>
          <cell r="N22">
            <v>8439</v>
          </cell>
          <cell r="O22">
            <v>8818</v>
          </cell>
          <cell r="P22">
            <v>13167</v>
          </cell>
          <cell r="W22">
            <v>1.0429999999999999</v>
          </cell>
        </row>
        <row r="23">
          <cell r="A23" t="str">
            <v>Deutschland - Sachsen Dresden</v>
          </cell>
          <cell r="B23" t="str">
            <v>Deutschland</v>
          </cell>
          <cell r="C23" t="str">
            <v>EUR</v>
          </cell>
          <cell r="F23">
            <v>2472.75</v>
          </cell>
          <cell r="G23">
            <v>3017.7000000000003</v>
          </cell>
          <cell r="H23">
            <v>3622.5</v>
          </cell>
          <cell r="I23">
            <v>5178.6000000000004</v>
          </cell>
          <cell r="J23">
            <v>4450.95</v>
          </cell>
          <cell r="K23">
            <v>4287.1500000000005</v>
          </cell>
          <cell r="L23">
            <v>3062.85</v>
          </cell>
          <cell r="M23">
            <v>3488.1000000000004</v>
          </cell>
          <cell r="N23">
            <v>8860.9500000000007</v>
          </cell>
          <cell r="O23">
            <v>9258.9</v>
          </cell>
          <cell r="P23">
            <v>13825.35</v>
          </cell>
          <cell r="W23">
            <v>1.0429999999999999</v>
          </cell>
        </row>
        <row r="24">
          <cell r="A24" t="str">
            <v>Deutschland - Sachsen-Anhalt</v>
          </cell>
          <cell r="B24" t="str">
            <v>Deutschland</v>
          </cell>
          <cell r="C24" t="str">
            <v>EUR</v>
          </cell>
          <cell r="F24">
            <v>1941</v>
          </cell>
          <cell r="G24">
            <v>2058</v>
          </cell>
          <cell r="H24">
            <v>2918</v>
          </cell>
          <cell r="I24">
            <v>5577</v>
          </cell>
          <cell r="J24">
            <v>4239</v>
          </cell>
          <cell r="K24">
            <v>4083</v>
          </cell>
          <cell r="L24">
            <v>2917</v>
          </cell>
          <cell r="M24">
            <v>3322</v>
          </cell>
          <cell r="N24">
            <v>8439</v>
          </cell>
          <cell r="O24">
            <v>8818</v>
          </cell>
          <cell r="P24">
            <v>13167</v>
          </cell>
          <cell r="W24">
            <v>1.0429999999999999</v>
          </cell>
        </row>
        <row r="25">
          <cell r="A25" t="str">
            <v>Deutschland - Schleswig-Holstein</v>
          </cell>
          <cell r="B25" t="str">
            <v>Deutschland</v>
          </cell>
          <cell r="C25" t="str">
            <v>EUR</v>
          </cell>
          <cell r="F25">
            <v>3160</v>
          </cell>
          <cell r="G25">
            <v>2967</v>
          </cell>
          <cell r="H25">
            <v>4484</v>
          </cell>
          <cell r="I25">
            <v>6650</v>
          </cell>
          <cell r="J25">
            <v>5245</v>
          </cell>
          <cell r="K25">
            <v>5053</v>
          </cell>
          <cell r="M25">
            <v>4111</v>
          </cell>
          <cell r="N25">
            <v>10443</v>
          </cell>
          <cell r="O25">
            <v>10913</v>
          </cell>
          <cell r="P25">
            <v>16294</v>
          </cell>
          <cell r="W25">
            <v>1.0429999999999999</v>
          </cell>
        </row>
        <row r="26">
          <cell r="A26" t="str">
            <v>Deutschland - Thüringen</v>
          </cell>
          <cell r="B26" t="str">
            <v>Deutschland</v>
          </cell>
          <cell r="C26" t="str">
            <v>EUR</v>
          </cell>
          <cell r="F26">
            <v>2057</v>
          </cell>
          <cell r="G26">
            <v>2371</v>
          </cell>
          <cell r="H26">
            <v>3266</v>
          </cell>
          <cell r="I26">
            <v>4476</v>
          </cell>
          <cell r="J26">
            <v>4239</v>
          </cell>
          <cell r="K26">
            <v>4083</v>
          </cell>
          <cell r="M26">
            <v>3322</v>
          </cell>
          <cell r="N26">
            <v>8439</v>
          </cell>
          <cell r="O26">
            <v>8818</v>
          </cell>
          <cell r="P26">
            <v>13167</v>
          </cell>
          <cell r="W26">
            <v>1.0429999999999999</v>
          </cell>
        </row>
        <row r="27">
          <cell r="A27" t="str">
            <v>Frankreich - hoch</v>
          </cell>
          <cell r="B27" t="str">
            <v>Frankreich</v>
          </cell>
          <cell r="C27" t="str">
            <v>EUR</v>
          </cell>
          <cell r="D27">
            <v>2010</v>
          </cell>
          <cell r="E27" t="str">
            <v>j</v>
          </cell>
          <cell r="F27">
            <v>28187</v>
          </cell>
          <cell r="G27">
            <v>30998</v>
          </cell>
          <cell r="H27">
            <v>37248</v>
          </cell>
          <cell r="I27">
            <v>78820</v>
          </cell>
          <cell r="J27">
            <v>38051</v>
          </cell>
          <cell r="K27">
            <v>27467</v>
          </cell>
          <cell r="L27">
            <v>38000</v>
          </cell>
          <cell r="M27">
            <v>65000</v>
          </cell>
          <cell r="N27">
            <v>65000</v>
          </cell>
          <cell r="O27">
            <v>130000</v>
          </cell>
          <cell r="P27">
            <v>215000</v>
          </cell>
          <cell r="Q27" t="str">
            <v>m</v>
          </cell>
          <cell r="R27">
            <v>2756</v>
          </cell>
          <cell r="S27">
            <v>1.7999999999999999E-2</v>
          </cell>
          <cell r="T27">
            <v>1.2E-2</v>
          </cell>
          <cell r="U27">
            <v>1.2E-2</v>
          </cell>
          <cell r="V27">
            <v>1.0241439999999999</v>
          </cell>
          <cell r="W27">
            <v>1.0241439999999999</v>
          </cell>
        </row>
        <row r="28">
          <cell r="A28" t="str">
            <v>Frankreich - mittel</v>
          </cell>
          <cell r="B28" t="str">
            <v>Frankreich</v>
          </cell>
          <cell r="C28" t="str">
            <v>EUR</v>
          </cell>
          <cell r="F28">
            <v>26463</v>
          </cell>
          <cell r="G28">
            <v>28538</v>
          </cell>
          <cell r="H28">
            <v>35013</v>
          </cell>
          <cell r="I28">
            <v>66586</v>
          </cell>
          <cell r="J28">
            <v>36800</v>
          </cell>
          <cell r="K28">
            <v>25766</v>
          </cell>
          <cell r="L28">
            <v>30000</v>
          </cell>
          <cell r="M28">
            <v>48000</v>
          </cell>
          <cell r="N28">
            <v>63000</v>
          </cell>
          <cell r="O28">
            <v>100000</v>
          </cell>
          <cell r="P28">
            <v>145000</v>
          </cell>
          <cell r="W28">
            <v>1.0241439999999999</v>
          </cell>
        </row>
        <row r="29">
          <cell r="A29" t="str">
            <v>Frankreich - niedrig</v>
          </cell>
          <cell r="B29" t="str">
            <v>Frankreich</v>
          </cell>
          <cell r="C29" t="str">
            <v>EUR</v>
          </cell>
          <cell r="F29">
            <v>25563</v>
          </cell>
          <cell r="G29">
            <v>27350</v>
          </cell>
          <cell r="H29">
            <v>34148</v>
          </cell>
          <cell r="I29">
            <v>60598</v>
          </cell>
          <cell r="J29">
            <v>34298</v>
          </cell>
          <cell r="K29">
            <v>24658</v>
          </cell>
          <cell r="L29">
            <v>26000</v>
          </cell>
          <cell r="M29">
            <v>39500</v>
          </cell>
          <cell r="N29">
            <v>60000</v>
          </cell>
          <cell r="O29">
            <v>78000</v>
          </cell>
          <cell r="P29">
            <v>92000</v>
          </cell>
          <cell r="W29">
            <v>1.0241439999999999</v>
          </cell>
        </row>
        <row r="30">
          <cell r="A30" t="str">
            <v>Großbritannien - hoch</v>
          </cell>
          <cell r="B30" t="str">
            <v>Großbritannien</v>
          </cell>
          <cell r="C30" t="str">
            <v>GBP</v>
          </cell>
          <cell r="D30">
            <v>2011</v>
          </cell>
          <cell r="E30" t="str">
            <v>j</v>
          </cell>
          <cell r="F30">
            <v>24300</v>
          </cell>
          <cell r="G30">
            <v>32400</v>
          </cell>
          <cell r="H30">
            <v>37125</v>
          </cell>
          <cell r="I30">
            <v>43200</v>
          </cell>
          <cell r="J30">
            <v>36000</v>
          </cell>
          <cell r="K30">
            <v>38000</v>
          </cell>
          <cell r="L30">
            <v>32750</v>
          </cell>
          <cell r="M30">
            <v>35450</v>
          </cell>
          <cell r="N30">
            <v>38500</v>
          </cell>
          <cell r="O30">
            <v>70000</v>
          </cell>
          <cell r="P30">
            <v>99000</v>
          </cell>
          <cell r="S30">
            <v>0.02</v>
          </cell>
          <cell r="T30">
            <v>1.4E-2</v>
          </cell>
          <cell r="U30">
            <v>2.5000000000000001E-2</v>
          </cell>
          <cell r="V30">
            <v>1.0249999999999999</v>
          </cell>
          <cell r="W30">
            <v>1.0249999999999999</v>
          </cell>
        </row>
        <row r="31">
          <cell r="A31" t="str">
            <v>Großbritannien - mittel</v>
          </cell>
          <cell r="B31" t="str">
            <v>Großbritannien</v>
          </cell>
          <cell r="C31" t="str">
            <v>GBP</v>
          </cell>
          <cell r="F31">
            <v>18900</v>
          </cell>
          <cell r="G31">
            <v>25200</v>
          </cell>
          <cell r="H31">
            <v>28875</v>
          </cell>
          <cell r="I31">
            <v>33600</v>
          </cell>
          <cell r="J31">
            <v>32000</v>
          </cell>
          <cell r="K31">
            <v>34000</v>
          </cell>
          <cell r="L31">
            <v>23580</v>
          </cell>
          <cell r="M31">
            <v>28400</v>
          </cell>
          <cell r="N31">
            <v>32500</v>
          </cell>
          <cell r="O31">
            <v>60000</v>
          </cell>
          <cell r="P31">
            <v>87000</v>
          </cell>
          <cell r="W31">
            <v>1.0249999999999999</v>
          </cell>
        </row>
        <row r="32">
          <cell r="A32" t="str">
            <v>Großbritannien - niedrig</v>
          </cell>
          <cell r="B32" t="str">
            <v>Großbritannien</v>
          </cell>
          <cell r="C32" t="str">
            <v>GBP</v>
          </cell>
          <cell r="F32">
            <v>16740</v>
          </cell>
          <cell r="G32">
            <v>22320</v>
          </cell>
          <cell r="H32">
            <v>25575</v>
          </cell>
          <cell r="I32">
            <v>29760</v>
          </cell>
          <cell r="J32">
            <v>30000</v>
          </cell>
          <cell r="K32">
            <v>30500</v>
          </cell>
          <cell r="L32">
            <v>22139</v>
          </cell>
          <cell r="M32">
            <v>25950</v>
          </cell>
          <cell r="N32">
            <v>28000</v>
          </cell>
          <cell r="O32">
            <v>57000</v>
          </cell>
          <cell r="P32">
            <v>83000</v>
          </cell>
          <cell r="W32">
            <v>1.0249999999999999</v>
          </cell>
        </row>
        <row r="33">
          <cell r="A33" t="str">
            <v>Indien - hoch</v>
          </cell>
          <cell r="B33" t="str">
            <v>Indien</v>
          </cell>
          <cell r="C33" t="str">
            <v>INR</v>
          </cell>
          <cell r="D33">
            <v>2012</v>
          </cell>
          <cell r="E33" t="str">
            <v>m</v>
          </cell>
          <cell r="F33">
            <v>6100</v>
          </cell>
          <cell r="G33">
            <v>9600</v>
          </cell>
          <cell r="H33">
            <v>14800</v>
          </cell>
          <cell r="I33">
            <v>20400</v>
          </cell>
          <cell r="J33">
            <v>23400</v>
          </cell>
          <cell r="K33">
            <v>28800</v>
          </cell>
          <cell r="L33">
            <v>12500</v>
          </cell>
          <cell r="M33">
            <v>12800</v>
          </cell>
          <cell r="N33">
            <v>1000000</v>
          </cell>
          <cell r="S33">
            <v>0.11700000000000001</v>
          </cell>
          <cell r="T33">
            <v>0.126</v>
          </cell>
          <cell r="U33">
            <v>0.1215</v>
          </cell>
          <cell r="V33">
            <v>1</v>
          </cell>
          <cell r="W33">
            <v>1</v>
          </cell>
        </row>
        <row r="34">
          <cell r="A34" t="str">
            <v>Indien - mittel</v>
          </cell>
          <cell r="B34" t="str">
            <v>Indien</v>
          </cell>
          <cell r="C34" t="str">
            <v>INR</v>
          </cell>
          <cell r="F34">
            <v>6100</v>
          </cell>
          <cell r="G34">
            <v>9400</v>
          </cell>
          <cell r="H34">
            <v>13500</v>
          </cell>
          <cell r="I34">
            <v>18400</v>
          </cell>
          <cell r="J34">
            <v>20800</v>
          </cell>
          <cell r="K34">
            <v>27500</v>
          </cell>
          <cell r="L34">
            <v>11000</v>
          </cell>
          <cell r="M34">
            <v>11200</v>
          </cell>
          <cell r="N34">
            <v>850000</v>
          </cell>
          <cell r="W34">
            <v>1</v>
          </cell>
        </row>
        <row r="35">
          <cell r="A35" t="str">
            <v>Indien - niedrig</v>
          </cell>
          <cell r="B35" t="str">
            <v>Indien</v>
          </cell>
          <cell r="C35" t="str">
            <v>INR</v>
          </cell>
          <cell r="F35">
            <v>6100</v>
          </cell>
          <cell r="G35">
            <v>8700</v>
          </cell>
          <cell r="H35">
            <v>12200</v>
          </cell>
          <cell r="I35">
            <v>12700</v>
          </cell>
          <cell r="J35">
            <v>13900</v>
          </cell>
          <cell r="K35">
            <v>20900</v>
          </cell>
          <cell r="L35">
            <v>10200</v>
          </cell>
          <cell r="M35">
            <v>8400</v>
          </cell>
          <cell r="N35">
            <v>700000</v>
          </cell>
          <cell r="W35">
            <v>1</v>
          </cell>
        </row>
        <row r="36">
          <cell r="A36" t="str">
            <v>Indonesien - hoch</v>
          </cell>
          <cell r="B36" t="str">
            <v>Indonesien</v>
          </cell>
          <cell r="C36" t="str">
            <v>IDR</v>
          </cell>
          <cell r="D36">
            <v>2011</v>
          </cell>
          <cell r="E36" t="str">
            <v>m</v>
          </cell>
          <cell r="F36">
            <v>1625000</v>
          </cell>
          <cell r="G36">
            <v>3150000</v>
          </cell>
          <cell r="H36">
            <v>7500000</v>
          </cell>
          <cell r="I36">
            <v>12500000</v>
          </cell>
          <cell r="J36">
            <v>9000000</v>
          </cell>
          <cell r="K36">
            <v>8500000</v>
          </cell>
          <cell r="L36">
            <v>8250000</v>
          </cell>
          <cell r="M36">
            <v>13500000</v>
          </cell>
          <cell r="N36">
            <v>17500000</v>
          </cell>
          <cell r="O36">
            <v>21000000</v>
          </cell>
          <cell r="P36">
            <v>70000000</v>
          </cell>
          <cell r="S36">
            <v>0.08</v>
          </cell>
          <cell r="T36">
            <v>0.1</v>
          </cell>
          <cell r="U36">
            <v>0.17</v>
          </cell>
          <cell r="V36">
            <v>1.17</v>
          </cell>
          <cell r="W36">
            <v>1.17</v>
          </cell>
        </row>
        <row r="37">
          <cell r="A37" t="str">
            <v>Indonesien - mittel</v>
          </cell>
          <cell r="B37" t="str">
            <v>Indonesien</v>
          </cell>
          <cell r="C37" t="str">
            <v>IDR</v>
          </cell>
          <cell r="F37">
            <v>1300000</v>
          </cell>
          <cell r="G37">
            <v>2400000</v>
          </cell>
          <cell r="H37">
            <v>5500000</v>
          </cell>
          <cell r="I37">
            <v>10000000</v>
          </cell>
          <cell r="J37">
            <v>7500000</v>
          </cell>
          <cell r="K37">
            <v>6000000</v>
          </cell>
          <cell r="L37">
            <v>6250000</v>
          </cell>
          <cell r="M37">
            <v>8500000</v>
          </cell>
          <cell r="N37">
            <v>13500000</v>
          </cell>
          <cell r="O37">
            <v>16000000</v>
          </cell>
          <cell r="P37">
            <v>47500000</v>
          </cell>
          <cell r="W37">
            <v>1.17</v>
          </cell>
        </row>
        <row r="38">
          <cell r="A38" t="str">
            <v>Indonesien - niedrig</v>
          </cell>
          <cell r="B38" t="str">
            <v>Indonesien</v>
          </cell>
          <cell r="C38" t="str">
            <v>IDR</v>
          </cell>
          <cell r="F38">
            <v>990000</v>
          </cell>
          <cell r="G38">
            <v>2150000</v>
          </cell>
          <cell r="H38">
            <v>3500000</v>
          </cell>
          <cell r="I38">
            <v>8000000</v>
          </cell>
          <cell r="J38">
            <v>5500000</v>
          </cell>
          <cell r="K38">
            <v>4000000</v>
          </cell>
          <cell r="L38">
            <v>4250000</v>
          </cell>
          <cell r="M38">
            <v>5250000</v>
          </cell>
          <cell r="N38">
            <v>11000000</v>
          </cell>
          <cell r="O38">
            <v>12500000</v>
          </cell>
          <cell r="P38">
            <v>25000000</v>
          </cell>
          <cell r="W38">
            <v>1.17</v>
          </cell>
        </row>
        <row r="39">
          <cell r="A39" t="str">
            <v>Italien - hoch</v>
          </cell>
          <cell r="B39" t="str">
            <v>Italien</v>
          </cell>
          <cell r="C39" t="str">
            <v>EUR</v>
          </cell>
          <cell r="D39">
            <v>2010</v>
          </cell>
          <cell r="E39" t="str">
            <v>m</v>
          </cell>
          <cell r="F39">
            <v>1380</v>
          </cell>
          <cell r="G39">
            <v>1730</v>
          </cell>
          <cell r="H39">
            <v>1930</v>
          </cell>
          <cell r="I39">
            <v>2700</v>
          </cell>
          <cell r="J39">
            <v>4100</v>
          </cell>
          <cell r="K39">
            <v>1970</v>
          </cell>
          <cell r="L39">
            <v>2300</v>
          </cell>
          <cell r="M39">
            <v>1980</v>
          </cell>
          <cell r="N39">
            <v>4260</v>
          </cell>
          <cell r="O39">
            <v>12000</v>
          </cell>
          <cell r="P39">
            <v>17500</v>
          </cell>
          <cell r="Q39" t="str">
            <v>m</v>
          </cell>
          <cell r="R39">
            <v>2312</v>
          </cell>
          <cell r="S39">
            <v>2.7E-2</v>
          </cell>
          <cell r="T39">
            <v>2.5000000000000001E-2</v>
          </cell>
          <cell r="U39">
            <v>2.3E-2</v>
          </cell>
          <cell r="V39">
            <v>1.0485749999999998</v>
          </cell>
          <cell r="W39">
            <v>1.0485749999999998</v>
          </cell>
        </row>
        <row r="40">
          <cell r="A40" t="str">
            <v>Italien - mittel</v>
          </cell>
          <cell r="B40" t="str">
            <v>Italien</v>
          </cell>
          <cell r="C40" t="str">
            <v>EUR</v>
          </cell>
          <cell r="F40">
            <v>1250</v>
          </cell>
          <cell r="G40">
            <v>1570</v>
          </cell>
          <cell r="H40">
            <v>1750</v>
          </cell>
          <cell r="I40">
            <v>2430</v>
          </cell>
          <cell r="J40">
            <v>3200</v>
          </cell>
          <cell r="K40">
            <v>1800</v>
          </cell>
          <cell r="L40">
            <v>2050</v>
          </cell>
          <cell r="M40">
            <v>1800</v>
          </cell>
          <cell r="N40">
            <v>3870</v>
          </cell>
          <cell r="O40">
            <v>8800</v>
          </cell>
          <cell r="P40">
            <v>12150</v>
          </cell>
          <cell r="W40">
            <v>1.0485749999999998</v>
          </cell>
        </row>
        <row r="41">
          <cell r="A41" t="str">
            <v>Italien - niedrig</v>
          </cell>
          <cell r="B41" t="str">
            <v>Italien</v>
          </cell>
          <cell r="C41" t="str">
            <v>EUR</v>
          </cell>
          <cell r="F41">
            <v>1100</v>
          </cell>
          <cell r="G41">
            <v>1410</v>
          </cell>
          <cell r="H41">
            <v>1600</v>
          </cell>
          <cell r="I41">
            <v>2200</v>
          </cell>
          <cell r="J41">
            <v>3200</v>
          </cell>
          <cell r="K41">
            <v>1800</v>
          </cell>
          <cell r="L41">
            <v>2050</v>
          </cell>
          <cell r="M41">
            <v>1620</v>
          </cell>
          <cell r="N41">
            <v>3500</v>
          </cell>
          <cell r="O41">
            <v>5600</v>
          </cell>
          <cell r="P41">
            <v>6800</v>
          </cell>
          <cell r="W41">
            <v>1.0485749999999998</v>
          </cell>
        </row>
        <row r="42">
          <cell r="A42" t="str">
            <v>Japan - hoch</v>
          </cell>
          <cell r="B42" t="str">
            <v>Japan</v>
          </cell>
          <cell r="C42" t="str">
            <v>JPY</v>
          </cell>
          <cell r="D42">
            <v>2010</v>
          </cell>
          <cell r="E42" t="str">
            <v>m</v>
          </cell>
          <cell r="F42">
            <v>214750.8</v>
          </cell>
          <cell r="G42">
            <v>258456</v>
          </cell>
          <cell r="H42">
            <v>417934</v>
          </cell>
          <cell r="I42">
            <v>635129</v>
          </cell>
          <cell r="J42">
            <v>490897</v>
          </cell>
          <cell r="K42">
            <v>389983</v>
          </cell>
          <cell r="N42">
            <v>591206</v>
          </cell>
          <cell r="O42">
            <v>679536</v>
          </cell>
          <cell r="P42">
            <v>876282</v>
          </cell>
          <cell r="Q42" t="str">
            <v>m</v>
          </cell>
          <cell r="R42">
            <v>323600</v>
          </cell>
          <cell r="S42">
            <v>5.0000000000000001E-3</v>
          </cell>
          <cell r="T42">
            <v>0</v>
          </cell>
          <cell r="U42">
            <v>7.0000000000000001E-3</v>
          </cell>
          <cell r="V42">
            <v>1.0069999999999999</v>
          </cell>
          <cell r="W42">
            <v>1.0069999999999999</v>
          </cell>
        </row>
        <row r="43">
          <cell r="A43" t="str">
            <v>Japan - mittel</v>
          </cell>
          <cell r="B43" t="str">
            <v>Japan</v>
          </cell>
          <cell r="C43" t="str">
            <v>JPY</v>
          </cell>
          <cell r="F43">
            <v>177480</v>
          </cell>
          <cell r="G43">
            <v>213600</v>
          </cell>
          <cell r="H43">
            <v>345400</v>
          </cell>
          <cell r="I43">
            <v>524900</v>
          </cell>
          <cell r="J43">
            <v>405700</v>
          </cell>
          <cell r="K43">
            <v>322300</v>
          </cell>
          <cell r="N43">
            <v>488600</v>
          </cell>
          <cell r="O43">
            <v>561600</v>
          </cell>
          <cell r="P43">
            <v>724200</v>
          </cell>
          <cell r="W43">
            <v>1.0069999999999999</v>
          </cell>
        </row>
        <row r="44">
          <cell r="A44" t="str">
            <v>Japan - niedrig</v>
          </cell>
          <cell r="B44" t="str">
            <v>Japan</v>
          </cell>
          <cell r="C44" t="str">
            <v>JPY</v>
          </cell>
          <cell r="F44">
            <v>141274.08000000002</v>
          </cell>
          <cell r="G44">
            <v>170025.60000000001</v>
          </cell>
          <cell r="H44">
            <v>274938.40000000002</v>
          </cell>
          <cell r="I44">
            <v>417820.4</v>
          </cell>
          <cell r="J44">
            <v>322937.2</v>
          </cell>
          <cell r="K44">
            <v>256550.80000000002</v>
          </cell>
          <cell r="N44">
            <v>388925.60000000003</v>
          </cell>
          <cell r="O44">
            <v>447033.60000000003</v>
          </cell>
          <cell r="P44">
            <v>576463.20000000007</v>
          </cell>
          <cell r="W44">
            <v>1.0069999999999999</v>
          </cell>
        </row>
        <row r="45">
          <cell r="A45" t="str">
            <v>Kanada - hoch</v>
          </cell>
          <cell r="B45" t="str">
            <v>Kanada</v>
          </cell>
          <cell r="C45" t="str">
            <v>CAD</v>
          </cell>
          <cell r="D45">
            <v>2011</v>
          </cell>
          <cell r="E45" t="str">
            <v>h</v>
          </cell>
          <cell r="F45">
            <v>11</v>
          </cell>
          <cell r="G45">
            <v>18</v>
          </cell>
          <cell r="H45">
            <v>22</v>
          </cell>
          <cell r="I45">
            <v>30</v>
          </cell>
          <cell r="J45">
            <v>29</v>
          </cell>
          <cell r="K45">
            <v>30</v>
          </cell>
          <cell r="L45">
            <v>23</v>
          </cell>
          <cell r="M45">
            <v>20</v>
          </cell>
          <cell r="N45">
            <v>35</v>
          </cell>
          <cell r="O45">
            <v>68.486590038314176</v>
          </cell>
          <cell r="P45">
            <v>73.754789272030649</v>
          </cell>
          <cell r="Q45" t="str">
            <v>h</v>
          </cell>
          <cell r="R45">
            <v>22.2</v>
          </cell>
          <cell r="S45">
            <v>2.5000000000000001E-2</v>
          </cell>
          <cell r="T45">
            <v>2.9000000000000001E-2</v>
          </cell>
          <cell r="U45">
            <v>2.3E-2</v>
          </cell>
          <cell r="V45">
            <v>1.0229999999999999</v>
          </cell>
          <cell r="W45">
            <v>1.0229999999999999</v>
          </cell>
        </row>
        <row r="46">
          <cell r="A46" t="str">
            <v>Kanada - mittel</v>
          </cell>
          <cell r="B46" t="str">
            <v>Kanada</v>
          </cell>
          <cell r="C46" t="str">
            <v>CAD</v>
          </cell>
          <cell r="F46">
            <v>10</v>
          </cell>
          <cell r="G46">
            <v>16</v>
          </cell>
          <cell r="H46">
            <v>18</v>
          </cell>
          <cell r="I46">
            <v>26</v>
          </cell>
          <cell r="J46">
            <v>22</v>
          </cell>
          <cell r="K46">
            <v>28</v>
          </cell>
          <cell r="L46">
            <v>22</v>
          </cell>
          <cell r="M46">
            <v>17</v>
          </cell>
          <cell r="N46">
            <v>27</v>
          </cell>
          <cell r="O46">
            <v>65.613026819923377</v>
          </cell>
          <cell r="P46">
            <v>69.444444444444443</v>
          </cell>
          <cell r="W46">
            <v>1.0229999999999999</v>
          </cell>
        </row>
        <row r="47">
          <cell r="A47" t="str">
            <v>Kanada - niedrig</v>
          </cell>
          <cell r="B47" t="str">
            <v>Kanada</v>
          </cell>
          <cell r="C47" t="str">
            <v>CAD</v>
          </cell>
          <cell r="F47">
            <v>9</v>
          </cell>
          <cell r="G47">
            <v>14</v>
          </cell>
          <cell r="H47">
            <v>16</v>
          </cell>
          <cell r="I47">
            <v>22</v>
          </cell>
          <cell r="J47">
            <v>18</v>
          </cell>
          <cell r="K47">
            <v>26</v>
          </cell>
          <cell r="L47">
            <v>19</v>
          </cell>
          <cell r="M47">
            <v>14</v>
          </cell>
          <cell r="N47">
            <v>21</v>
          </cell>
          <cell r="O47">
            <v>44.061302681992338</v>
          </cell>
          <cell r="P47">
            <v>51.245210727969351</v>
          </cell>
          <cell r="W47">
            <v>1.0229999999999999</v>
          </cell>
        </row>
        <row r="48">
          <cell r="A48" t="str">
            <v>Mexiko - hoch</v>
          </cell>
          <cell r="B48" t="str">
            <v>Mexiko</v>
          </cell>
          <cell r="C48" t="str">
            <v>MXN</v>
          </cell>
          <cell r="D48">
            <v>2012</v>
          </cell>
          <cell r="E48" t="str">
            <v>m</v>
          </cell>
          <cell r="F48">
            <v>3250</v>
          </cell>
          <cell r="G48">
            <v>7000</v>
          </cell>
          <cell r="H48">
            <v>12250</v>
          </cell>
          <cell r="I48">
            <v>16000</v>
          </cell>
          <cell r="J48">
            <v>18000</v>
          </cell>
          <cell r="K48">
            <v>17000</v>
          </cell>
          <cell r="L48">
            <v>21000</v>
          </cell>
          <cell r="M48">
            <v>30000</v>
          </cell>
          <cell r="N48">
            <v>70000</v>
          </cell>
          <cell r="O48">
            <v>160000</v>
          </cell>
          <cell r="P48">
            <v>185000</v>
          </cell>
          <cell r="S48">
            <v>1.9E-2</v>
          </cell>
          <cell r="T48">
            <v>2.5000000000000001E-2</v>
          </cell>
          <cell r="U48">
            <v>0.03</v>
          </cell>
          <cell r="V48">
            <v>1</v>
          </cell>
          <cell r="W48">
            <v>1</v>
          </cell>
        </row>
        <row r="49">
          <cell r="A49" t="str">
            <v>Mexiko - mittel</v>
          </cell>
          <cell r="B49" t="str">
            <v>Mexiko</v>
          </cell>
          <cell r="C49" t="str">
            <v>MXN</v>
          </cell>
          <cell r="F49">
            <v>3200</v>
          </cell>
          <cell r="G49">
            <v>6500</v>
          </cell>
          <cell r="H49">
            <v>11500</v>
          </cell>
          <cell r="I49">
            <v>15000</v>
          </cell>
          <cell r="J49">
            <v>17000</v>
          </cell>
          <cell r="K49">
            <v>16000</v>
          </cell>
          <cell r="L49">
            <v>20000</v>
          </cell>
          <cell r="M49">
            <v>25000</v>
          </cell>
          <cell r="N49">
            <v>60000</v>
          </cell>
          <cell r="O49">
            <v>150000</v>
          </cell>
          <cell r="P49">
            <v>180000</v>
          </cell>
          <cell r="W49">
            <v>1</v>
          </cell>
        </row>
        <row r="50">
          <cell r="A50" t="str">
            <v>Mexiko - niedrig</v>
          </cell>
          <cell r="B50" t="str">
            <v>Mexiko</v>
          </cell>
          <cell r="C50" t="str">
            <v>MXN</v>
          </cell>
          <cell r="F50">
            <v>3150</v>
          </cell>
          <cell r="G50">
            <v>6000</v>
          </cell>
          <cell r="H50">
            <v>11000</v>
          </cell>
          <cell r="I50">
            <v>14000</v>
          </cell>
          <cell r="J50">
            <v>15000</v>
          </cell>
          <cell r="K50">
            <v>14000</v>
          </cell>
          <cell r="L50">
            <v>20000</v>
          </cell>
          <cell r="M50">
            <v>23000</v>
          </cell>
          <cell r="N50">
            <v>55000</v>
          </cell>
          <cell r="O50">
            <v>140000</v>
          </cell>
          <cell r="P50">
            <v>175000</v>
          </cell>
          <cell r="W50">
            <v>1</v>
          </cell>
        </row>
        <row r="51">
          <cell r="A51" t="str">
            <v>Niederlande - hoch</v>
          </cell>
          <cell r="B51" t="str">
            <v>Niederlande</v>
          </cell>
          <cell r="C51" t="str">
            <v>EUR</v>
          </cell>
          <cell r="D51">
            <v>2011</v>
          </cell>
          <cell r="E51" t="str">
            <v>m</v>
          </cell>
          <cell r="F51">
            <v>1635.8999999999999</v>
          </cell>
          <cell r="G51">
            <v>2116.98</v>
          </cell>
          <cell r="H51">
            <v>2588.9399999999996</v>
          </cell>
          <cell r="I51">
            <v>3481.5599999999995</v>
          </cell>
          <cell r="J51">
            <v>2883.06</v>
          </cell>
          <cell r="K51">
            <v>3343.62</v>
          </cell>
          <cell r="L51">
            <v>4037.8799999999997</v>
          </cell>
          <cell r="M51">
            <v>3134.9999999999995</v>
          </cell>
          <cell r="N51">
            <v>7124.9999999999991</v>
          </cell>
          <cell r="O51">
            <v>7124.9999999999991</v>
          </cell>
          <cell r="P51">
            <v>15161.999999999998</v>
          </cell>
          <cell r="S51">
            <v>1.2999999999999999E-2</v>
          </cell>
          <cell r="T51">
            <v>1.2999999999999999E-2</v>
          </cell>
          <cell r="U51">
            <v>1.7500000000000002E-2</v>
          </cell>
          <cell r="V51">
            <v>1.0175000000000001</v>
          </cell>
          <cell r="W51">
            <v>1.0175000000000001</v>
          </cell>
        </row>
        <row r="52">
          <cell r="A52" t="str">
            <v>Niederlande - mittel</v>
          </cell>
          <cell r="B52" t="str">
            <v>Niederlande</v>
          </cell>
          <cell r="C52" t="str">
            <v>EUR</v>
          </cell>
          <cell r="F52">
            <v>1435</v>
          </cell>
          <cell r="G52">
            <v>1857</v>
          </cell>
          <cell r="H52">
            <v>2271</v>
          </cell>
          <cell r="I52">
            <v>3054</v>
          </cell>
          <cell r="J52">
            <v>2529</v>
          </cell>
          <cell r="K52">
            <v>2933</v>
          </cell>
          <cell r="L52">
            <v>3542</v>
          </cell>
          <cell r="M52">
            <v>2750</v>
          </cell>
          <cell r="N52">
            <v>6250</v>
          </cell>
          <cell r="O52">
            <v>6250</v>
          </cell>
          <cell r="P52">
            <v>13300</v>
          </cell>
          <cell r="W52">
            <v>1.0175000000000001</v>
          </cell>
        </row>
        <row r="53">
          <cell r="A53" t="str">
            <v>Niederlande - niedrig</v>
          </cell>
          <cell r="B53" t="str">
            <v>Niederlande</v>
          </cell>
          <cell r="C53" t="str">
            <v>EUR</v>
          </cell>
          <cell r="F53">
            <v>1348.8999999999999</v>
          </cell>
          <cell r="G53">
            <v>1745.58</v>
          </cell>
          <cell r="H53">
            <v>2134.7399999999998</v>
          </cell>
          <cell r="I53">
            <v>2870.7599999999998</v>
          </cell>
          <cell r="J53">
            <v>2377.2599999999998</v>
          </cell>
          <cell r="K53">
            <v>2757.02</v>
          </cell>
          <cell r="L53">
            <v>3329.48</v>
          </cell>
          <cell r="M53">
            <v>2585</v>
          </cell>
          <cell r="N53">
            <v>5875</v>
          </cell>
          <cell r="O53">
            <v>5875</v>
          </cell>
          <cell r="P53">
            <v>12502</v>
          </cell>
          <cell r="W53">
            <v>1.0175000000000001</v>
          </cell>
        </row>
        <row r="54">
          <cell r="A54" t="str">
            <v>Philippinen - hoch</v>
          </cell>
          <cell r="B54" t="str">
            <v>Philippinen</v>
          </cell>
          <cell r="C54" t="str">
            <v>PHP</v>
          </cell>
          <cell r="D54">
            <v>2010</v>
          </cell>
          <cell r="E54" t="str">
            <v>m</v>
          </cell>
          <cell r="F54">
            <v>13000</v>
          </cell>
          <cell r="G54">
            <v>16900</v>
          </cell>
          <cell r="H54">
            <v>19500</v>
          </cell>
          <cell r="I54">
            <v>32500</v>
          </cell>
          <cell r="J54">
            <v>91000</v>
          </cell>
          <cell r="K54">
            <v>78000</v>
          </cell>
          <cell r="L54">
            <v>52000</v>
          </cell>
          <cell r="M54">
            <v>36400</v>
          </cell>
          <cell r="N54">
            <v>104000</v>
          </cell>
          <cell r="O54">
            <v>325000</v>
          </cell>
          <cell r="P54">
            <v>682500</v>
          </cell>
          <cell r="S54">
            <v>8.5000000000000006E-2</v>
          </cell>
          <cell r="U54">
            <v>7.0000000000000007E-2</v>
          </cell>
          <cell r="V54">
            <v>1.07</v>
          </cell>
          <cell r="W54">
            <v>1.07</v>
          </cell>
        </row>
        <row r="55">
          <cell r="A55" t="str">
            <v>Philippinen - mittel</v>
          </cell>
          <cell r="B55" t="str">
            <v>Philippinen</v>
          </cell>
          <cell r="C55" t="str">
            <v>PHP</v>
          </cell>
          <cell r="F55">
            <v>10000</v>
          </cell>
          <cell r="G55">
            <v>13000</v>
          </cell>
          <cell r="H55">
            <v>15000</v>
          </cell>
          <cell r="I55">
            <v>25000</v>
          </cell>
          <cell r="J55">
            <v>70000</v>
          </cell>
          <cell r="K55">
            <v>60000</v>
          </cell>
          <cell r="L55">
            <v>40000</v>
          </cell>
          <cell r="M55">
            <v>28000</v>
          </cell>
          <cell r="N55">
            <v>80000</v>
          </cell>
          <cell r="O55">
            <v>250000</v>
          </cell>
          <cell r="P55">
            <v>525000</v>
          </cell>
          <cell r="W55">
            <v>1.07</v>
          </cell>
        </row>
        <row r="56">
          <cell r="A56" t="str">
            <v>Philippinen - niedrig</v>
          </cell>
          <cell r="B56" t="str">
            <v>Philippinen</v>
          </cell>
          <cell r="C56" t="str">
            <v>PHP</v>
          </cell>
          <cell r="F56">
            <v>6000</v>
          </cell>
          <cell r="G56">
            <v>7800</v>
          </cell>
          <cell r="H56">
            <v>9000</v>
          </cell>
          <cell r="I56">
            <v>15000</v>
          </cell>
          <cell r="J56">
            <v>42000</v>
          </cell>
          <cell r="K56">
            <v>36000</v>
          </cell>
          <cell r="L56">
            <v>24000</v>
          </cell>
          <cell r="M56">
            <v>16800</v>
          </cell>
          <cell r="N56">
            <v>48000</v>
          </cell>
          <cell r="O56">
            <v>150000</v>
          </cell>
          <cell r="P56">
            <v>315000</v>
          </cell>
          <cell r="W56">
            <v>1.07</v>
          </cell>
        </row>
        <row r="57">
          <cell r="A57" t="str">
            <v>Polen - hoch</v>
          </cell>
          <cell r="B57" t="str">
            <v>Polen</v>
          </cell>
          <cell r="C57" t="str">
            <v>PLN</v>
          </cell>
          <cell r="D57">
            <v>2010</v>
          </cell>
          <cell r="E57" t="str">
            <v>m</v>
          </cell>
          <cell r="F57">
            <v>2690</v>
          </cell>
          <cell r="G57">
            <v>3740</v>
          </cell>
          <cell r="H57">
            <v>4900</v>
          </cell>
          <cell r="I57">
            <v>5850</v>
          </cell>
          <cell r="J57">
            <v>4212</v>
          </cell>
          <cell r="K57">
            <v>5265</v>
          </cell>
          <cell r="L57">
            <v>3803</v>
          </cell>
          <cell r="M57">
            <v>2984</v>
          </cell>
          <cell r="N57">
            <v>6377</v>
          </cell>
          <cell r="O57">
            <v>11700</v>
          </cell>
          <cell r="P57">
            <v>18632</v>
          </cell>
          <cell r="S57">
            <v>3.3000000000000002E-2</v>
          </cell>
          <cell r="T57">
            <v>0.05</v>
          </cell>
          <cell r="U57">
            <v>5.7000000000000002E-2</v>
          </cell>
          <cell r="V57">
            <v>1.10985</v>
          </cell>
          <cell r="W57">
            <v>1.10985</v>
          </cell>
        </row>
        <row r="58">
          <cell r="A58" t="str">
            <v>Polen - mittel</v>
          </cell>
          <cell r="B58" t="str">
            <v>Polen</v>
          </cell>
          <cell r="C58" t="str">
            <v>PLN</v>
          </cell>
          <cell r="F58">
            <v>2300</v>
          </cell>
          <cell r="G58">
            <v>3200</v>
          </cell>
          <cell r="H58">
            <v>4200</v>
          </cell>
          <cell r="I58">
            <v>5000</v>
          </cell>
          <cell r="J58">
            <v>3600</v>
          </cell>
          <cell r="K58">
            <v>4500</v>
          </cell>
          <cell r="L58">
            <v>3250</v>
          </cell>
          <cell r="M58">
            <v>2550</v>
          </cell>
          <cell r="N58">
            <v>5450</v>
          </cell>
          <cell r="O58">
            <v>10000</v>
          </cell>
          <cell r="P58">
            <v>15925</v>
          </cell>
          <cell r="W58">
            <v>1.10985</v>
          </cell>
        </row>
        <row r="59">
          <cell r="A59" t="str">
            <v>Polen - niedrig</v>
          </cell>
          <cell r="B59" t="str">
            <v>Polen</v>
          </cell>
          <cell r="C59" t="str">
            <v>PLN</v>
          </cell>
          <cell r="F59">
            <v>1960</v>
          </cell>
          <cell r="G59">
            <v>2720</v>
          </cell>
          <cell r="H59">
            <v>3570</v>
          </cell>
          <cell r="I59">
            <v>4250</v>
          </cell>
          <cell r="J59">
            <v>3060</v>
          </cell>
          <cell r="K59">
            <v>3825</v>
          </cell>
          <cell r="L59">
            <v>2763</v>
          </cell>
          <cell r="M59">
            <v>2168</v>
          </cell>
          <cell r="N59">
            <v>4630</v>
          </cell>
          <cell r="O59">
            <v>8500</v>
          </cell>
          <cell r="P59">
            <v>13536</v>
          </cell>
          <cell r="W59">
            <v>1.10985</v>
          </cell>
        </row>
        <row r="60">
          <cell r="A60" t="str">
            <v>Rumänien - hoch</v>
          </cell>
          <cell r="B60" t="str">
            <v>Rumänien</v>
          </cell>
          <cell r="C60" t="str">
            <v>RON</v>
          </cell>
          <cell r="D60">
            <v>2012</v>
          </cell>
          <cell r="E60" t="str">
            <v>j</v>
          </cell>
          <cell r="F60">
            <v>23000</v>
          </cell>
          <cell r="G60">
            <v>38000</v>
          </cell>
          <cell r="H60">
            <v>52000</v>
          </cell>
          <cell r="I60">
            <v>71000</v>
          </cell>
          <cell r="J60">
            <v>91000</v>
          </cell>
          <cell r="K60">
            <v>91000</v>
          </cell>
          <cell r="L60">
            <v>92000</v>
          </cell>
          <cell r="M60">
            <v>82000</v>
          </cell>
          <cell r="N60">
            <v>220000</v>
          </cell>
          <cell r="O60">
            <v>270000</v>
          </cell>
          <cell r="P60">
            <v>450000</v>
          </cell>
          <cell r="S60">
            <v>3.1E-2</v>
          </cell>
          <cell r="T60">
            <v>6.5000000000000002E-2</v>
          </cell>
          <cell r="U60">
            <v>4.4999999999999998E-2</v>
          </cell>
          <cell r="V60">
            <v>1</v>
          </cell>
          <cell r="W60">
            <v>1</v>
          </cell>
        </row>
        <row r="61">
          <cell r="A61" t="str">
            <v>Rumänien - mittel</v>
          </cell>
          <cell r="B61" t="str">
            <v>Rumänien</v>
          </cell>
          <cell r="C61" t="str">
            <v>RON</v>
          </cell>
          <cell r="F61">
            <v>16000</v>
          </cell>
          <cell r="G61">
            <v>23000</v>
          </cell>
          <cell r="H61">
            <v>46000</v>
          </cell>
          <cell r="I61">
            <v>62000</v>
          </cell>
          <cell r="J61">
            <v>81000</v>
          </cell>
          <cell r="K61">
            <v>91000</v>
          </cell>
          <cell r="L61">
            <v>68000</v>
          </cell>
          <cell r="M61">
            <v>68000</v>
          </cell>
          <cell r="N61">
            <v>180000</v>
          </cell>
          <cell r="O61">
            <v>225000</v>
          </cell>
          <cell r="P61">
            <v>270000</v>
          </cell>
          <cell r="W61">
            <v>1</v>
          </cell>
        </row>
        <row r="62">
          <cell r="A62" t="str">
            <v>Rumänien - niedrig</v>
          </cell>
          <cell r="B62" t="str">
            <v>Rumänien</v>
          </cell>
          <cell r="C62" t="str">
            <v>RON</v>
          </cell>
          <cell r="F62">
            <v>10500</v>
          </cell>
          <cell r="G62">
            <v>16000</v>
          </cell>
          <cell r="H62">
            <v>23000</v>
          </cell>
          <cell r="I62">
            <v>51000</v>
          </cell>
          <cell r="J62">
            <v>57000</v>
          </cell>
          <cell r="K62">
            <v>63000</v>
          </cell>
          <cell r="L62">
            <v>54000</v>
          </cell>
          <cell r="M62">
            <v>46000</v>
          </cell>
          <cell r="N62">
            <v>160000</v>
          </cell>
          <cell r="O62">
            <v>165000</v>
          </cell>
          <cell r="P62">
            <v>225000</v>
          </cell>
          <cell r="W62">
            <v>1</v>
          </cell>
        </row>
        <row r="63">
          <cell r="A63" t="str">
            <v>Russland - hoch</v>
          </cell>
          <cell r="B63" t="str">
            <v>Russland</v>
          </cell>
          <cell r="C63" t="str">
            <v>RUB</v>
          </cell>
          <cell r="D63">
            <v>2011</v>
          </cell>
          <cell r="E63" t="str">
            <v>m</v>
          </cell>
          <cell r="F63">
            <v>34000</v>
          </cell>
          <cell r="G63">
            <v>54000</v>
          </cell>
          <cell r="H63">
            <v>93000</v>
          </cell>
          <cell r="I63">
            <v>153000</v>
          </cell>
          <cell r="J63">
            <v>92000</v>
          </cell>
          <cell r="K63">
            <v>123000</v>
          </cell>
          <cell r="L63">
            <v>62000</v>
          </cell>
          <cell r="M63">
            <v>80000</v>
          </cell>
          <cell r="N63">
            <v>250000</v>
          </cell>
          <cell r="O63">
            <v>320000</v>
          </cell>
          <cell r="P63">
            <v>575000</v>
          </cell>
          <cell r="S63">
            <v>0.113</v>
          </cell>
          <cell r="T63">
            <v>0.13500000000000001</v>
          </cell>
          <cell r="U63">
            <v>0.15</v>
          </cell>
          <cell r="V63">
            <v>1.1499999999999999</v>
          </cell>
          <cell r="W63">
            <v>1.1499999999999999</v>
          </cell>
        </row>
        <row r="64">
          <cell r="A64" t="str">
            <v>Russland - mittel</v>
          </cell>
          <cell r="B64" t="str">
            <v>Russland</v>
          </cell>
          <cell r="C64" t="str">
            <v>RUB</v>
          </cell>
          <cell r="F64">
            <v>27000</v>
          </cell>
          <cell r="G64">
            <v>39000</v>
          </cell>
          <cell r="H64">
            <v>62000</v>
          </cell>
          <cell r="I64">
            <v>136000</v>
          </cell>
          <cell r="J64">
            <v>75000</v>
          </cell>
          <cell r="K64">
            <v>82000</v>
          </cell>
          <cell r="L64">
            <v>54000</v>
          </cell>
          <cell r="M64">
            <v>54000</v>
          </cell>
          <cell r="N64">
            <v>130000</v>
          </cell>
          <cell r="O64">
            <v>280000</v>
          </cell>
          <cell r="P64">
            <v>420000</v>
          </cell>
          <cell r="W64">
            <v>1.1499999999999999</v>
          </cell>
        </row>
        <row r="65">
          <cell r="A65" t="str">
            <v>Russland - niedrig</v>
          </cell>
          <cell r="B65" t="str">
            <v>Russland</v>
          </cell>
          <cell r="C65" t="str">
            <v>RUB</v>
          </cell>
          <cell r="F65">
            <v>17000</v>
          </cell>
          <cell r="G65">
            <v>25000</v>
          </cell>
          <cell r="H65">
            <v>27000</v>
          </cell>
          <cell r="I65">
            <v>85000</v>
          </cell>
          <cell r="J65">
            <v>53000</v>
          </cell>
          <cell r="K65">
            <v>48000</v>
          </cell>
          <cell r="L65">
            <v>35000</v>
          </cell>
          <cell r="M65">
            <v>35000</v>
          </cell>
          <cell r="N65">
            <v>95000</v>
          </cell>
          <cell r="O65">
            <v>170000</v>
          </cell>
          <cell r="P65">
            <v>280000</v>
          </cell>
          <cell r="W65">
            <v>1.1499999999999999</v>
          </cell>
        </row>
        <row r="66">
          <cell r="A66" t="str">
            <v>Slowakei - hoch</v>
          </cell>
          <cell r="B66" t="str">
            <v>Slowakei</v>
          </cell>
          <cell r="C66" t="str">
            <v>EUR</v>
          </cell>
          <cell r="D66">
            <v>2010</v>
          </cell>
          <cell r="E66" t="str">
            <v>m</v>
          </cell>
          <cell r="F66">
            <v>600</v>
          </cell>
          <cell r="G66">
            <v>800</v>
          </cell>
          <cell r="H66">
            <v>1100</v>
          </cell>
          <cell r="I66">
            <v>1300</v>
          </cell>
          <cell r="J66">
            <v>1300</v>
          </cell>
          <cell r="K66">
            <v>1600</v>
          </cell>
          <cell r="L66">
            <v>860</v>
          </cell>
          <cell r="M66">
            <v>815</v>
          </cell>
          <cell r="N66">
            <v>2300</v>
          </cell>
          <cell r="O66">
            <v>2000</v>
          </cell>
          <cell r="P66">
            <v>3700</v>
          </cell>
          <cell r="Q66" t="str">
            <v>m</v>
          </cell>
          <cell r="R66">
            <v>863</v>
          </cell>
          <cell r="S66">
            <v>3.2000000000000001E-2</v>
          </cell>
          <cell r="T66">
            <v>2.1999999999999999E-2</v>
          </cell>
          <cell r="U66">
            <v>3.4000000000000002E-2</v>
          </cell>
          <cell r="V66">
            <v>1.056748</v>
          </cell>
          <cell r="W66">
            <v>1.056748</v>
          </cell>
        </row>
        <row r="67">
          <cell r="A67" t="str">
            <v>Slowakei - mittel</v>
          </cell>
          <cell r="B67" t="str">
            <v>Slowakei</v>
          </cell>
          <cell r="C67" t="str">
            <v>EUR</v>
          </cell>
          <cell r="F67">
            <v>600</v>
          </cell>
          <cell r="G67">
            <v>800</v>
          </cell>
          <cell r="H67">
            <v>1100</v>
          </cell>
          <cell r="I67">
            <v>1300</v>
          </cell>
          <cell r="J67">
            <v>1300</v>
          </cell>
          <cell r="K67">
            <v>1600</v>
          </cell>
          <cell r="L67">
            <v>860</v>
          </cell>
          <cell r="M67">
            <v>815</v>
          </cell>
          <cell r="N67">
            <v>2300</v>
          </cell>
          <cell r="O67">
            <v>2000</v>
          </cell>
          <cell r="P67">
            <v>3700</v>
          </cell>
          <cell r="W67">
            <v>1.056748</v>
          </cell>
        </row>
        <row r="68">
          <cell r="A68" t="str">
            <v>Slowakei - niedrig</v>
          </cell>
          <cell r="B68" t="str">
            <v>Slowakei</v>
          </cell>
          <cell r="C68" t="str">
            <v>EUR</v>
          </cell>
          <cell r="F68">
            <v>600</v>
          </cell>
          <cell r="G68">
            <v>800</v>
          </cell>
          <cell r="H68">
            <v>1100</v>
          </cell>
          <cell r="I68">
            <v>1300</v>
          </cell>
          <cell r="J68">
            <v>1300</v>
          </cell>
          <cell r="K68">
            <v>1600</v>
          </cell>
          <cell r="L68">
            <v>860</v>
          </cell>
          <cell r="M68">
            <v>815</v>
          </cell>
          <cell r="N68">
            <v>2300</v>
          </cell>
          <cell r="O68">
            <v>2000</v>
          </cell>
          <cell r="P68">
            <v>3700</v>
          </cell>
          <cell r="W68">
            <v>1.056748</v>
          </cell>
        </row>
        <row r="69">
          <cell r="A69" t="str">
            <v>Slowenien - hoch</v>
          </cell>
          <cell r="B69" t="str">
            <v>Slowenien</v>
          </cell>
          <cell r="C69" t="str">
            <v>EUR</v>
          </cell>
          <cell r="D69">
            <v>2012</v>
          </cell>
          <cell r="E69" t="str">
            <v>j</v>
          </cell>
          <cell r="F69">
            <v>12500</v>
          </cell>
          <cell r="G69">
            <v>15140</v>
          </cell>
          <cell r="H69">
            <v>16700</v>
          </cell>
          <cell r="I69">
            <v>22050</v>
          </cell>
          <cell r="S69">
            <v>5.0999999999999997E-2</v>
          </cell>
          <cell r="T69">
            <v>2.7E-2</v>
          </cell>
          <cell r="U69">
            <v>2.4E-2</v>
          </cell>
          <cell r="V69">
            <v>1</v>
          </cell>
          <cell r="W69">
            <v>1</v>
          </cell>
        </row>
        <row r="70">
          <cell r="A70" t="str">
            <v>Slowenien - mittel</v>
          </cell>
          <cell r="B70" t="str">
            <v>Slowenien</v>
          </cell>
          <cell r="C70" t="str">
            <v>EUR</v>
          </cell>
          <cell r="F70">
            <v>10350</v>
          </cell>
          <cell r="G70">
            <v>12500</v>
          </cell>
          <cell r="H70">
            <v>15450</v>
          </cell>
          <cell r="I70">
            <v>18200</v>
          </cell>
          <cell r="J70">
            <v>15650</v>
          </cell>
          <cell r="K70">
            <v>18750</v>
          </cell>
          <cell r="L70">
            <v>14250</v>
          </cell>
          <cell r="M70">
            <v>16550</v>
          </cell>
          <cell r="N70">
            <v>66000</v>
          </cell>
          <cell r="O70">
            <v>86500</v>
          </cell>
          <cell r="P70">
            <v>115500</v>
          </cell>
          <cell r="W70">
            <v>1</v>
          </cell>
        </row>
        <row r="71">
          <cell r="A71" t="str">
            <v>Slowenien - niedrig</v>
          </cell>
          <cell r="B71" t="str">
            <v>Slowenien</v>
          </cell>
          <cell r="C71" t="str">
            <v>EUR</v>
          </cell>
          <cell r="F71">
            <v>9550</v>
          </cell>
          <cell r="G71">
            <v>11600</v>
          </cell>
          <cell r="H71">
            <v>14300</v>
          </cell>
          <cell r="I71">
            <v>16850</v>
          </cell>
          <cell r="W71">
            <v>1</v>
          </cell>
        </row>
        <row r="72">
          <cell r="A72" t="str">
            <v>Spanien - hoch</v>
          </cell>
          <cell r="B72" t="str">
            <v>Spanien</v>
          </cell>
          <cell r="C72" t="str">
            <v>EUR</v>
          </cell>
          <cell r="D72">
            <v>2011</v>
          </cell>
          <cell r="E72" t="str">
            <v>j</v>
          </cell>
          <cell r="F72">
            <v>23330.027000000002</v>
          </cell>
          <cell r="G72">
            <v>28076.587</v>
          </cell>
          <cell r="H72">
            <v>34275.64</v>
          </cell>
          <cell r="I72">
            <v>41745.767</v>
          </cell>
          <cell r="J72">
            <v>58785.461000000003</v>
          </cell>
          <cell r="K72">
            <v>48382.964</v>
          </cell>
          <cell r="L72">
            <v>42987.175000000003</v>
          </cell>
          <cell r="M72">
            <v>40623.023000000001</v>
          </cell>
          <cell r="N72">
            <v>82489.736000000004</v>
          </cell>
          <cell r="O72">
            <v>227179.946</v>
          </cell>
          <cell r="P72">
            <v>278092.50699999998</v>
          </cell>
          <cell r="S72">
            <v>4.0000000000000001E-3</v>
          </cell>
          <cell r="T72">
            <v>1.2E-2</v>
          </cell>
          <cell r="U72">
            <v>0.01</v>
          </cell>
          <cell r="V72">
            <v>1.01</v>
          </cell>
          <cell r="W72">
            <v>1.01</v>
          </cell>
        </row>
        <row r="73">
          <cell r="A73" t="str">
            <v>Spanien - mittel</v>
          </cell>
          <cell r="B73" t="str">
            <v>Spanien</v>
          </cell>
          <cell r="C73" t="str">
            <v>EUR</v>
          </cell>
          <cell r="F73">
            <v>20447</v>
          </cell>
          <cell r="G73">
            <v>24607</v>
          </cell>
          <cell r="H73">
            <v>30040</v>
          </cell>
          <cell r="I73">
            <v>36587</v>
          </cell>
          <cell r="J73">
            <v>51521</v>
          </cell>
          <cell r="K73">
            <v>42404</v>
          </cell>
          <cell r="L73">
            <v>37675</v>
          </cell>
          <cell r="M73">
            <v>35603</v>
          </cell>
          <cell r="N73">
            <v>72296</v>
          </cell>
          <cell r="O73">
            <v>199106</v>
          </cell>
          <cell r="P73">
            <v>243727</v>
          </cell>
          <cell r="W73">
            <v>1.01</v>
          </cell>
        </row>
        <row r="74">
          <cell r="A74" t="str">
            <v>Spanien - niedrig</v>
          </cell>
          <cell r="B74" t="str">
            <v>Spanien</v>
          </cell>
          <cell r="C74" t="str">
            <v>EUR</v>
          </cell>
          <cell r="F74">
            <v>18116.042000000001</v>
          </cell>
          <cell r="G74">
            <v>21801.802</v>
          </cell>
          <cell r="H74">
            <v>26615.439999999999</v>
          </cell>
          <cell r="I74">
            <v>32416.082000000002</v>
          </cell>
          <cell r="J74">
            <v>45647.606</v>
          </cell>
          <cell r="K74">
            <v>37569.944000000003</v>
          </cell>
          <cell r="L74">
            <v>33380.050000000003</v>
          </cell>
          <cell r="M74">
            <v>31544.258000000002</v>
          </cell>
          <cell r="N74">
            <v>64054.256000000001</v>
          </cell>
          <cell r="O74">
            <v>176407.916</v>
          </cell>
          <cell r="P74">
            <v>215942.122</v>
          </cell>
          <cell r="W74">
            <v>1.01</v>
          </cell>
        </row>
        <row r="75">
          <cell r="A75" t="str">
            <v>Südafrika - hoch</v>
          </cell>
          <cell r="B75" t="str">
            <v>Südafrika</v>
          </cell>
          <cell r="C75" t="str">
            <v>ZAR</v>
          </cell>
          <cell r="D75">
            <v>2012</v>
          </cell>
          <cell r="E75" t="str">
            <v>j</v>
          </cell>
          <cell r="F75">
            <v>108284</v>
          </cell>
          <cell r="G75">
            <v>133695</v>
          </cell>
          <cell r="H75">
            <v>160421</v>
          </cell>
          <cell r="I75">
            <v>192513</v>
          </cell>
          <cell r="J75">
            <v>800000</v>
          </cell>
          <cell r="K75">
            <v>600000</v>
          </cell>
          <cell r="L75">
            <v>216000</v>
          </cell>
          <cell r="M75">
            <v>330000</v>
          </cell>
          <cell r="N75">
            <v>820000</v>
          </cell>
          <cell r="S75">
            <v>0.115</v>
          </cell>
          <cell r="T75">
            <v>9.6000000000000002E-2</v>
          </cell>
          <cell r="U75">
            <v>0.09</v>
          </cell>
          <cell r="V75">
            <v>1</v>
          </cell>
          <cell r="W75">
            <v>1</v>
          </cell>
        </row>
        <row r="76">
          <cell r="A76" t="str">
            <v>Südafrika - mittel</v>
          </cell>
          <cell r="B76" t="str">
            <v>Südafrika</v>
          </cell>
          <cell r="C76" t="str">
            <v>ZAR</v>
          </cell>
          <cell r="F76">
            <v>108284</v>
          </cell>
          <cell r="G76">
            <v>133695</v>
          </cell>
          <cell r="H76">
            <v>160421</v>
          </cell>
          <cell r="I76">
            <v>192513</v>
          </cell>
          <cell r="J76">
            <v>680000</v>
          </cell>
          <cell r="K76">
            <v>475000</v>
          </cell>
          <cell r="L76">
            <v>180000</v>
          </cell>
          <cell r="M76">
            <v>285000</v>
          </cell>
          <cell r="N76">
            <v>650000</v>
          </cell>
          <cell r="W76">
            <v>1</v>
          </cell>
        </row>
        <row r="77">
          <cell r="A77" t="str">
            <v>Südafrika - niedrig</v>
          </cell>
          <cell r="B77" t="str">
            <v>Südafrika</v>
          </cell>
          <cell r="C77" t="str">
            <v>ZAR</v>
          </cell>
          <cell r="F77">
            <v>108284</v>
          </cell>
          <cell r="G77">
            <v>133695</v>
          </cell>
          <cell r="H77">
            <v>160421</v>
          </cell>
          <cell r="I77">
            <v>192513</v>
          </cell>
          <cell r="J77">
            <v>560000</v>
          </cell>
          <cell r="K77">
            <v>350000</v>
          </cell>
          <cell r="L77">
            <v>144000</v>
          </cell>
          <cell r="M77">
            <v>240000</v>
          </cell>
          <cell r="N77">
            <v>500000</v>
          </cell>
          <cell r="W77">
            <v>1</v>
          </cell>
        </row>
        <row r="78">
          <cell r="A78" t="str">
            <v>Süd-Korea - hoch</v>
          </cell>
          <cell r="B78" t="str">
            <v>Süd-Korea</v>
          </cell>
          <cell r="C78" t="str">
            <v>KRW</v>
          </cell>
          <cell r="D78">
            <v>2010</v>
          </cell>
          <cell r="E78" t="str">
            <v>m</v>
          </cell>
          <cell r="F78">
            <v>1363590</v>
          </cell>
          <cell r="G78">
            <v>2490650</v>
          </cell>
          <cell r="H78">
            <v>3140290</v>
          </cell>
          <cell r="I78">
            <v>5774820</v>
          </cell>
          <cell r="J78">
            <v>3636240.0000000005</v>
          </cell>
          <cell r="K78">
            <v>4653210</v>
          </cell>
          <cell r="L78">
            <v>2342410</v>
          </cell>
          <cell r="M78">
            <v>2757700</v>
          </cell>
          <cell r="N78">
            <v>6034240</v>
          </cell>
          <cell r="O78">
            <v>12736650.000000002</v>
          </cell>
          <cell r="P78">
            <v>12736650.000000002</v>
          </cell>
          <cell r="Q78" t="str">
            <v>m</v>
          </cell>
          <cell r="R78">
            <v>2325000</v>
          </cell>
          <cell r="S78">
            <v>6.8000000000000005E-2</v>
          </cell>
          <cell r="T78">
            <v>0.01</v>
          </cell>
          <cell r="U78">
            <v>0.05</v>
          </cell>
          <cell r="V78">
            <v>1.0605</v>
          </cell>
          <cell r="W78">
            <v>1.0605</v>
          </cell>
        </row>
        <row r="79">
          <cell r="A79" t="str">
            <v>Süd-Korea - mittel</v>
          </cell>
          <cell r="B79" t="str">
            <v>Süd-Korea</v>
          </cell>
          <cell r="C79" t="str">
            <v>KRW</v>
          </cell>
          <cell r="F79">
            <v>1251000</v>
          </cell>
          <cell r="G79">
            <v>2285000</v>
          </cell>
          <cell r="H79">
            <v>2881000</v>
          </cell>
          <cell r="I79">
            <v>5298000</v>
          </cell>
          <cell r="J79">
            <v>3336000</v>
          </cell>
          <cell r="K79">
            <v>4269000</v>
          </cell>
          <cell r="L79">
            <v>2149000</v>
          </cell>
          <cell r="M79">
            <v>2530000</v>
          </cell>
          <cell r="N79">
            <v>5536000</v>
          </cell>
          <cell r="O79">
            <v>11685000</v>
          </cell>
          <cell r="P79">
            <v>11685000</v>
          </cell>
          <cell r="W79">
            <v>1.0605</v>
          </cell>
        </row>
        <row r="80">
          <cell r="A80" t="str">
            <v>Süd-Korea - niedrig</v>
          </cell>
          <cell r="B80" t="str">
            <v>Süd-Korea</v>
          </cell>
          <cell r="C80" t="str">
            <v>KRW</v>
          </cell>
          <cell r="F80">
            <v>1125900</v>
          </cell>
          <cell r="G80">
            <v>2056500</v>
          </cell>
          <cell r="H80">
            <v>2592900</v>
          </cell>
          <cell r="I80">
            <v>4768200</v>
          </cell>
          <cell r="J80">
            <v>3002400</v>
          </cell>
          <cell r="K80">
            <v>3842100</v>
          </cell>
          <cell r="L80">
            <v>1934100</v>
          </cell>
          <cell r="M80">
            <v>2277000</v>
          </cell>
          <cell r="N80">
            <v>4982400</v>
          </cell>
          <cell r="O80">
            <v>10516500</v>
          </cell>
          <cell r="P80">
            <v>10516500</v>
          </cell>
          <cell r="W80">
            <v>1.0605</v>
          </cell>
        </row>
        <row r="81">
          <cell r="A81" t="str">
            <v>Tschechien - hoch</v>
          </cell>
          <cell r="B81" t="str">
            <v>Tschechien</v>
          </cell>
          <cell r="C81" t="str">
            <v>CZK</v>
          </cell>
          <cell r="D81">
            <v>2010</v>
          </cell>
          <cell r="E81" t="str">
            <v>m</v>
          </cell>
          <cell r="F81">
            <v>24300</v>
          </cell>
          <cell r="G81">
            <v>32000</v>
          </cell>
          <cell r="H81">
            <v>36500</v>
          </cell>
          <cell r="I81">
            <v>32200</v>
          </cell>
          <cell r="J81">
            <v>43200</v>
          </cell>
          <cell r="K81">
            <v>38200</v>
          </cell>
          <cell r="L81">
            <v>26700</v>
          </cell>
          <cell r="M81">
            <v>23200</v>
          </cell>
          <cell r="N81">
            <v>56300</v>
          </cell>
          <cell r="O81">
            <v>60600</v>
          </cell>
          <cell r="P81">
            <v>107200</v>
          </cell>
          <cell r="Q81" t="str">
            <v>m</v>
          </cell>
          <cell r="R81">
            <v>23797</v>
          </cell>
          <cell r="S81">
            <v>1.9E-2</v>
          </cell>
          <cell r="T81">
            <v>2.1999999999999999E-2</v>
          </cell>
          <cell r="U81">
            <v>0.02</v>
          </cell>
          <cell r="V81">
            <v>1.04244</v>
          </cell>
          <cell r="W81">
            <v>1.04244</v>
          </cell>
        </row>
        <row r="82">
          <cell r="A82" t="str">
            <v>Tschechien - mittel</v>
          </cell>
          <cell r="B82" t="str">
            <v>Tschechien</v>
          </cell>
          <cell r="C82" t="str">
            <v>CZK</v>
          </cell>
          <cell r="F82">
            <v>25100</v>
          </cell>
          <cell r="G82">
            <v>24400</v>
          </cell>
          <cell r="H82">
            <v>27200</v>
          </cell>
          <cell r="I82">
            <v>32200</v>
          </cell>
          <cell r="J82">
            <v>37500</v>
          </cell>
          <cell r="K82">
            <v>38000</v>
          </cell>
          <cell r="L82">
            <v>19200</v>
          </cell>
          <cell r="M82">
            <v>22700</v>
          </cell>
          <cell r="N82">
            <v>51100</v>
          </cell>
          <cell r="O82">
            <v>49800</v>
          </cell>
          <cell r="P82">
            <v>83200</v>
          </cell>
          <cell r="W82">
            <v>1.04244</v>
          </cell>
        </row>
        <row r="83">
          <cell r="A83" t="str">
            <v>Tschechien - niedrig</v>
          </cell>
          <cell r="B83" t="str">
            <v>Tschechien</v>
          </cell>
          <cell r="C83" t="str">
            <v>CZK</v>
          </cell>
          <cell r="F83">
            <v>18500</v>
          </cell>
          <cell r="G83">
            <v>23000</v>
          </cell>
          <cell r="H83">
            <v>25000</v>
          </cell>
          <cell r="I83">
            <v>32200</v>
          </cell>
          <cell r="J83">
            <v>32100</v>
          </cell>
          <cell r="K83">
            <v>29700</v>
          </cell>
          <cell r="L83">
            <v>21500</v>
          </cell>
          <cell r="M83">
            <v>21600</v>
          </cell>
          <cell r="N83">
            <v>45100</v>
          </cell>
          <cell r="O83">
            <v>46900</v>
          </cell>
          <cell r="P83">
            <v>87900</v>
          </cell>
          <cell r="W83">
            <v>1.04244</v>
          </cell>
        </row>
        <row r="84">
          <cell r="A84" t="str">
            <v>Tunesien - hoch</v>
          </cell>
          <cell r="B84" t="str">
            <v>Tunesien</v>
          </cell>
          <cell r="C84" t="str">
            <v>TND</v>
          </cell>
          <cell r="D84">
            <v>2012</v>
          </cell>
          <cell r="E84" t="str">
            <v>j</v>
          </cell>
          <cell r="F84">
            <v>4420</v>
          </cell>
          <cell r="G84">
            <v>7066</v>
          </cell>
          <cell r="H84">
            <v>12825</v>
          </cell>
          <cell r="I84">
            <v>18319</v>
          </cell>
          <cell r="J84">
            <v>25515</v>
          </cell>
          <cell r="L84">
            <v>12365</v>
          </cell>
          <cell r="M84">
            <v>12365</v>
          </cell>
          <cell r="O84">
            <v>52340</v>
          </cell>
          <cell r="P84">
            <v>130850</v>
          </cell>
          <cell r="S84">
            <v>4.4999999999999998E-2</v>
          </cell>
          <cell r="T84">
            <v>0.05</v>
          </cell>
          <cell r="U84">
            <v>4.9000000000000002E-2</v>
          </cell>
          <cell r="V84">
            <v>1</v>
          </cell>
          <cell r="W84">
            <v>1</v>
          </cell>
        </row>
        <row r="85">
          <cell r="A85" t="str">
            <v>Tunesien - mittel</v>
          </cell>
          <cell r="B85" t="str">
            <v>Tunesien</v>
          </cell>
          <cell r="C85" t="str">
            <v>TND</v>
          </cell>
          <cell r="F85">
            <v>4420</v>
          </cell>
          <cell r="G85">
            <v>7066</v>
          </cell>
          <cell r="H85">
            <v>12825</v>
          </cell>
          <cell r="I85">
            <v>18319</v>
          </cell>
          <cell r="J85">
            <v>25515</v>
          </cell>
          <cell r="L85">
            <v>12365</v>
          </cell>
          <cell r="M85">
            <v>12365</v>
          </cell>
          <cell r="O85">
            <v>52340</v>
          </cell>
          <cell r="P85">
            <v>130850</v>
          </cell>
          <cell r="W85">
            <v>1</v>
          </cell>
        </row>
        <row r="86">
          <cell r="A86" t="str">
            <v>Tunesien - niedrig</v>
          </cell>
          <cell r="B86" t="str">
            <v>Tunesien</v>
          </cell>
          <cell r="C86" t="str">
            <v>TND</v>
          </cell>
          <cell r="F86">
            <v>2652</v>
          </cell>
          <cell r="G86">
            <v>4239.5999999999995</v>
          </cell>
          <cell r="H86">
            <v>7695</v>
          </cell>
          <cell r="I86">
            <v>10991.4</v>
          </cell>
          <cell r="J86">
            <v>15309</v>
          </cell>
          <cell r="L86">
            <v>7419</v>
          </cell>
          <cell r="M86">
            <v>7419</v>
          </cell>
          <cell r="O86">
            <v>31404</v>
          </cell>
          <cell r="P86">
            <v>78510</v>
          </cell>
          <cell r="W86">
            <v>1</v>
          </cell>
        </row>
        <row r="87">
          <cell r="A87" t="str">
            <v>Türkei - hoch</v>
          </cell>
          <cell r="B87" t="str">
            <v>Türkei</v>
          </cell>
          <cell r="C87" t="str">
            <v>TRY</v>
          </cell>
          <cell r="D87">
            <v>2011</v>
          </cell>
          <cell r="E87" t="str">
            <v>j</v>
          </cell>
          <cell r="F87">
            <v>19225</v>
          </cell>
          <cell r="G87">
            <v>26023</v>
          </cell>
          <cell r="H87">
            <v>31617</v>
          </cell>
          <cell r="I87">
            <v>37559</v>
          </cell>
          <cell r="J87">
            <v>55220</v>
          </cell>
          <cell r="K87">
            <v>57438</v>
          </cell>
          <cell r="L87">
            <v>48270</v>
          </cell>
          <cell r="M87">
            <v>27313</v>
          </cell>
          <cell r="N87">
            <v>64985</v>
          </cell>
          <cell r="O87">
            <v>353614</v>
          </cell>
          <cell r="P87">
            <v>577264</v>
          </cell>
          <cell r="S87">
            <v>0.158</v>
          </cell>
          <cell r="T87">
            <v>0.14899999999999999</v>
          </cell>
          <cell r="U87">
            <v>7.4999999999999997E-2</v>
          </cell>
          <cell r="V87">
            <v>1.075</v>
          </cell>
          <cell r="W87">
            <v>1.075</v>
          </cell>
        </row>
        <row r="88">
          <cell r="A88" t="str">
            <v>Türkei - mittel</v>
          </cell>
          <cell r="B88" t="str">
            <v>Türkei</v>
          </cell>
          <cell r="C88" t="str">
            <v>TRY</v>
          </cell>
          <cell r="F88">
            <v>19225</v>
          </cell>
          <cell r="G88">
            <v>26023</v>
          </cell>
          <cell r="H88">
            <v>31617</v>
          </cell>
          <cell r="I88">
            <v>37559</v>
          </cell>
          <cell r="J88">
            <v>55220</v>
          </cell>
          <cell r="K88">
            <v>57438</v>
          </cell>
          <cell r="L88">
            <v>48270</v>
          </cell>
          <cell r="M88">
            <v>27313</v>
          </cell>
          <cell r="N88">
            <v>64985</v>
          </cell>
          <cell r="O88">
            <v>353614</v>
          </cell>
          <cell r="P88">
            <v>577264</v>
          </cell>
          <cell r="W88">
            <v>1.075</v>
          </cell>
        </row>
        <row r="89">
          <cell r="A89" t="str">
            <v>Türkei - niedrig</v>
          </cell>
          <cell r="B89" t="str">
            <v>Türkei</v>
          </cell>
          <cell r="C89" t="str">
            <v>TRY</v>
          </cell>
          <cell r="F89">
            <v>19225</v>
          </cell>
          <cell r="G89">
            <v>26023</v>
          </cell>
          <cell r="H89">
            <v>31617</v>
          </cell>
          <cell r="I89">
            <v>37559</v>
          </cell>
          <cell r="J89">
            <v>55220</v>
          </cell>
          <cell r="K89">
            <v>57438</v>
          </cell>
          <cell r="L89">
            <v>48270</v>
          </cell>
          <cell r="M89">
            <v>27313</v>
          </cell>
          <cell r="N89">
            <v>64985</v>
          </cell>
          <cell r="O89">
            <v>353614</v>
          </cell>
          <cell r="P89">
            <v>577264</v>
          </cell>
          <cell r="W89">
            <v>1.075</v>
          </cell>
        </row>
        <row r="90">
          <cell r="A90" t="str">
            <v>Ukraine - hoch</v>
          </cell>
          <cell r="B90" t="str">
            <v>Ukraine</v>
          </cell>
          <cell r="C90" t="str">
            <v>UAH</v>
          </cell>
          <cell r="D90">
            <v>2010</v>
          </cell>
          <cell r="E90" t="str">
            <v>m</v>
          </cell>
          <cell r="F90">
            <v>250</v>
          </cell>
          <cell r="J90">
            <v>1350</v>
          </cell>
          <cell r="K90">
            <v>1250</v>
          </cell>
          <cell r="L90">
            <v>450</v>
          </cell>
          <cell r="M90">
            <v>750</v>
          </cell>
          <cell r="N90">
            <v>2600</v>
          </cell>
          <cell r="P90">
            <v>4500</v>
          </cell>
          <cell r="Q90" t="str">
            <v>j</v>
          </cell>
          <cell r="R90">
            <v>2633</v>
          </cell>
          <cell r="S90">
            <v>0.2</v>
          </cell>
          <cell r="T90">
            <v>0.17899999999999999</v>
          </cell>
          <cell r="U90">
            <v>0.11</v>
          </cell>
          <cell r="V90">
            <v>1.3086900000000001</v>
          </cell>
          <cell r="W90">
            <v>1.3086900000000001</v>
          </cell>
        </row>
        <row r="91">
          <cell r="A91" t="str">
            <v>Ukraine - mittel</v>
          </cell>
          <cell r="B91" t="str">
            <v>Ukraine</v>
          </cell>
          <cell r="C91" t="str">
            <v>UAH</v>
          </cell>
          <cell r="F91">
            <v>207</v>
          </cell>
          <cell r="J91">
            <v>1114</v>
          </cell>
          <cell r="K91">
            <v>1032</v>
          </cell>
          <cell r="L91">
            <v>372</v>
          </cell>
          <cell r="M91">
            <v>619</v>
          </cell>
          <cell r="N91">
            <v>2145</v>
          </cell>
          <cell r="P91">
            <v>3713</v>
          </cell>
          <cell r="W91">
            <v>1.3086900000000001</v>
          </cell>
        </row>
        <row r="92">
          <cell r="A92" t="str">
            <v>Ukraine - niedrig</v>
          </cell>
          <cell r="B92" t="str">
            <v>Ukraine</v>
          </cell>
          <cell r="C92" t="str">
            <v>UAH</v>
          </cell>
          <cell r="F92">
            <v>157</v>
          </cell>
          <cell r="J92">
            <v>844</v>
          </cell>
          <cell r="K92">
            <v>754</v>
          </cell>
          <cell r="L92">
            <v>282</v>
          </cell>
          <cell r="M92">
            <v>469</v>
          </cell>
          <cell r="N92">
            <v>1625</v>
          </cell>
          <cell r="P92">
            <v>2813</v>
          </cell>
          <cell r="W92">
            <v>1.3086900000000001</v>
          </cell>
        </row>
        <row r="93">
          <cell r="A93" t="str">
            <v>Ungarn - hoch</v>
          </cell>
          <cell r="B93" t="str">
            <v>Ungarn</v>
          </cell>
          <cell r="C93" t="str">
            <v>HUF</v>
          </cell>
          <cell r="D93">
            <v>2010</v>
          </cell>
          <cell r="E93" t="str">
            <v>m</v>
          </cell>
          <cell r="F93">
            <v>142684</v>
          </cell>
          <cell r="G93">
            <v>162422</v>
          </cell>
          <cell r="H93">
            <v>174827</v>
          </cell>
          <cell r="I93">
            <v>314926</v>
          </cell>
          <cell r="J93">
            <v>460018</v>
          </cell>
          <cell r="K93">
            <v>491286</v>
          </cell>
          <cell r="L93">
            <v>243693</v>
          </cell>
          <cell r="M93">
            <v>520375</v>
          </cell>
          <cell r="N93">
            <v>580337</v>
          </cell>
          <cell r="O93">
            <v>629657</v>
          </cell>
          <cell r="P93">
            <v>760714</v>
          </cell>
          <cell r="S93">
            <v>1.4E-2</v>
          </cell>
          <cell r="T93">
            <v>5.1999999999999998E-2</v>
          </cell>
          <cell r="U93">
            <v>3.2000000000000001E-2</v>
          </cell>
          <cell r="V93">
            <v>1.0856640000000002</v>
          </cell>
          <cell r="W93">
            <v>1.0856640000000002</v>
          </cell>
        </row>
        <row r="94">
          <cell r="A94" t="str">
            <v>Ungarn - mittel</v>
          </cell>
          <cell r="B94" t="str">
            <v>Ungarn</v>
          </cell>
          <cell r="C94" t="str">
            <v>HUF</v>
          </cell>
          <cell r="F94">
            <v>90491</v>
          </cell>
          <cell r="G94">
            <v>103009</v>
          </cell>
          <cell r="H94">
            <v>110876</v>
          </cell>
          <cell r="I94">
            <v>199727</v>
          </cell>
          <cell r="J94">
            <v>291746</v>
          </cell>
          <cell r="K94">
            <v>311575</v>
          </cell>
          <cell r="L94">
            <v>154551</v>
          </cell>
          <cell r="M94">
            <v>330024</v>
          </cell>
          <cell r="N94">
            <v>368052</v>
          </cell>
          <cell r="O94">
            <v>399331</v>
          </cell>
          <cell r="P94">
            <v>482448</v>
          </cell>
          <cell r="W94">
            <v>1.0856640000000002</v>
          </cell>
        </row>
        <row r="95">
          <cell r="A95" t="str">
            <v>Ungarn - niedrig</v>
          </cell>
          <cell r="B95" t="str">
            <v>Ungarn</v>
          </cell>
          <cell r="C95" t="str">
            <v>HUF</v>
          </cell>
          <cell r="F95">
            <v>82921</v>
          </cell>
          <cell r="G95">
            <v>94393</v>
          </cell>
          <cell r="H95">
            <v>101602</v>
          </cell>
          <cell r="I95">
            <v>183021</v>
          </cell>
          <cell r="J95">
            <v>267342</v>
          </cell>
          <cell r="K95">
            <v>285514</v>
          </cell>
          <cell r="L95">
            <v>141624</v>
          </cell>
          <cell r="M95">
            <v>302419</v>
          </cell>
          <cell r="N95">
            <v>337266</v>
          </cell>
          <cell r="O95">
            <v>365929</v>
          </cell>
          <cell r="P95">
            <v>442093</v>
          </cell>
          <cell r="W95">
            <v>1.0856640000000002</v>
          </cell>
        </row>
        <row r="96">
          <cell r="A96" t="str">
            <v>USA - hoch</v>
          </cell>
          <cell r="B96" t="str">
            <v>USA</v>
          </cell>
          <cell r="C96" t="str">
            <v>USD</v>
          </cell>
          <cell r="D96">
            <v>2010</v>
          </cell>
          <cell r="E96" t="str">
            <v>j</v>
          </cell>
          <cell r="F96">
            <v>25970</v>
          </cell>
          <cell r="G96">
            <v>46900</v>
          </cell>
          <cell r="H96">
            <v>54470</v>
          </cell>
          <cell r="I96">
            <v>64150</v>
          </cell>
          <cell r="J96">
            <v>83560</v>
          </cell>
          <cell r="K96">
            <v>71740</v>
          </cell>
          <cell r="L96">
            <v>34450</v>
          </cell>
          <cell r="M96">
            <v>37260</v>
          </cell>
          <cell r="N96">
            <v>116200</v>
          </cell>
          <cell r="O96">
            <v>120550</v>
          </cell>
          <cell r="P96">
            <v>180130</v>
          </cell>
          <cell r="S96">
            <v>2.5999999999999999E-2</v>
          </cell>
          <cell r="T96">
            <v>2.7E-2</v>
          </cell>
          <cell r="U96">
            <v>2.1999999999999999E-2</v>
          </cell>
          <cell r="V96">
            <v>1.0495939999999999</v>
          </cell>
          <cell r="W96">
            <v>1.0495939999999999</v>
          </cell>
        </row>
        <row r="97">
          <cell r="A97" t="str">
            <v>USA - mittel</v>
          </cell>
          <cell r="B97" t="str">
            <v>USA</v>
          </cell>
          <cell r="C97" t="str">
            <v>USD</v>
          </cell>
          <cell r="F97">
            <v>23730</v>
          </cell>
          <cell r="G97">
            <v>38030</v>
          </cell>
          <cell r="H97">
            <v>46900</v>
          </cell>
          <cell r="I97">
            <v>55610</v>
          </cell>
          <cell r="J97">
            <v>72790</v>
          </cell>
          <cell r="K97">
            <v>64060</v>
          </cell>
          <cell r="L97">
            <v>31460</v>
          </cell>
          <cell r="M97">
            <v>33910</v>
          </cell>
          <cell r="N97">
            <v>110860</v>
          </cell>
          <cell r="O97">
            <v>118350</v>
          </cell>
          <cell r="P97">
            <v>201410</v>
          </cell>
          <cell r="W97">
            <v>1.0495939999999999</v>
          </cell>
        </row>
        <row r="98">
          <cell r="A98" t="str">
            <v>USA - niedrig</v>
          </cell>
          <cell r="B98" t="str">
            <v>USA</v>
          </cell>
          <cell r="C98" t="str">
            <v>USD</v>
          </cell>
          <cell r="F98">
            <v>22770</v>
          </cell>
          <cell r="G98">
            <v>32680</v>
          </cell>
          <cell r="H98">
            <v>41370</v>
          </cell>
          <cell r="I98">
            <v>58570</v>
          </cell>
          <cell r="J98">
            <v>68110</v>
          </cell>
          <cell r="K98">
            <v>79580</v>
          </cell>
          <cell r="L98">
            <v>31220</v>
          </cell>
          <cell r="M98">
            <v>30870</v>
          </cell>
          <cell r="N98">
            <v>117910</v>
          </cell>
          <cell r="O98">
            <v>100390</v>
          </cell>
          <cell r="P98">
            <v>171460</v>
          </cell>
          <cell r="W98">
            <v>1.0495939999999999</v>
          </cell>
        </row>
      </sheetData>
      <sheetData sheetId="1" refreshError="1"/>
      <sheetData sheetId="2" refreshError="1"/>
      <sheetData sheetId="3" refreshError="1"/>
      <sheetData sheetId="4" refreshError="1"/>
      <sheetData sheetId="5">
        <row r="2">
          <cell r="C2" t="str">
            <v>Brasilien</v>
          </cell>
          <cell r="D2" t="str">
            <v>BRL</v>
          </cell>
        </row>
        <row r="3">
          <cell r="C3" t="str">
            <v>China</v>
          </cell>
          <cell r="D3" t="str">
            <v>CNY</v>
          </cell>
        </row>
        <row r="4">
          <cell r="C4" t="str">
            <v>Deutschland</v>
          </cell>
          <cell r="D4" t="str">
            <v>EUR</v>
          </cell>
        </row>
        <row r="5">
          <cell r="C5" t="str">
            <v>Deutschland - IGM</v>
          </cell>
          <cell r="D5" t="str">
            <v>EUR</v>
          </cell>
        </row>
        <row r="6">
          <cell r="C6" t="str">
            <v>Frankreich</v>
          </cell>
          <cell r="D6" t="str">
            <v>EUR</v>
          </cell>
        </row>
        <row r="7">
          <cell r="C7" t="str">
            <v>Großbritannien</v>
          </cell>
          <cell r="D7" t="str">
            <v>GBP</v>
          </cell>
        </row>
        <row r="8">
          <cell r="C8" t="str">
            <v>Indien</v>
          </cell>
          <cell r="D8" t="str">
            <v>INR</v>
          </cell>
        </row>
        <row r="9">
          <cell r="C9" t="str">
            <v>Indonesien</v>
          </cell>
          <cell r="D9" t="str">
            <v>IDR</v>
          </cell>
        </row>
        <row r="10">
          <cell r="C10" t="str">
            <v>Italien</v>
          </cell>
          <cell r="D10" t="str">
            <v>EUR</v>
          </cell>
        </row>
        <row r="11">
          <cell r="C11" t="str">
            <v>Japan</v>
          </cell>
          <cell r="D11" t="str">
            <v>JPY</v>
          </cell>
        </row>
        <row r="12">
          <cell r="C12" t="str">
            <v>Kanada</v>
          </cell>
          <cell r="D12" t="str">
            <v>CAD</v>
          </cell>
        </row>
        <row r="13">
          <cell r="C13" t="str">
            <v>Mexiko</v>
          </cell>
          <cell r="D13" t="str">
            <v>MXN</v>
          </cell>
        </row>
        <row r="14">
          <cell r="C14" t="str">
            <v>Niederlande</v>
          </cell>
          <cell r="D14" t="str">
            <v>EUR</v>
          </cell>
        </row>
        <row r="15">
          <cell r="C15" t="str">
            <v>Philippinen</v>
          </cell>
          <cell r="D15" t="str">
            <v>PHP</v>
          </cell>
        </row>
        <row r="16">
          <cell r="C16" t="str">
            <v>Polen</v>
          </cell>
          <cell r="D16" t="str">
            <v>PLN</v>
          </cell>
        </row>
        <row r="17">
          <cell r="C17" t="str">
            <v>Rumänien</v>
          </cell>
          <cell r="D17" t="str">
            <v>RON</v>
          </cell>
        </row>
        <row r="18">
          <cell r="C18" t="str">
            <v>Russland</v>
          </cell>
          <cell r="D18" t="str">
            <v>RUB</v>
          </cell>
        </row>
        <row r="19">
          <cell r="C19" t="str">
            <v>Slowakei</v>
          </cell>
          <cell r="D19" t="str">
            <v>EUR</v>
          </cell>
        </row>
        <row r="20">
          <cell r="C20" t="str">
            <v>Slowenien</v>
          </cell>
          <cell r="D20" t="str">
            <v>EUR</v>
          </cell>
        </row>
        <row r="21">
          <cell r="C21" t="str">
            <v>Spanien</v>
          </cell>
          <cell r="D21" t="str">
            <v>EUR</v>
          </cell>
        </row>
        <row r="22">
          <cell r="C22" t="str">
            <v>Südafrika</v>
          </cell>
          <cell r="D22" t="str">
            <v>ZAR</v>
          </cell>
        </row>
        <row r="23">
          <cell r="C23" t="str">
            <v>Süd-Korea</v>
          </cell>
          <cell r="D23" t="str">
            <v>KRW</v>
          </cell>
        </row>
        <row r="24">
          <cell r="C24" t="str">
            <v>Tschechien</v>
          </cell>
          <cell r="D24" t="str">
            <v>CZK</v>
          </cell>
        </row>
        <row r="25">
          <cell r="C25" t="str">
            <v>Tunesien</v>
          </cell>
          <cell r="D25" t="str">
            <v>TND</v>
          </cell>
        </row>
        <row r="26">
          <cell r="C26" t="str">
            <v>Türkei</v>
          </cell>
          <cell r="D26" t="str">
            <v>TRY</v>
          </cell>
        </row>
        <row r="27">
          <cell r="C27" t="str">
            <v>Ukraine</v>
          </cell>
          <cell r="D27" t="str">
            <v>UAH</v>
          </cell>
        </row>
        <row r="28">
          <cell r="C28" t="str">
            <v>Ungarn</v>
          </cell>
          <cell r="D28" t="str">
            <v>HUF</v>
          </cell>
        </row>
        <row r="29">
          <cell r="C29" t="str">
            <v>USA</v>
          </cell>
          <cell r="D29" t="str">
            <v>USD</v>
          </cell>
        </row>
      </sheetData>
      <sheetData sheetId="6">
        <row r="2">
          <cell r="A2" t="str">
            <v>Brasilien - hoch</v>
          </cell>
          <cell r="B2" t="str">
            <v>BRL</v>
          </cell>
          <cell r="C2">
            <v>16160.039999999999</v>
          </cell>
          <cell r="D2">
            <v>23839.919999999998</v>
          </cell>
          <cell r="E2">
            <v>46584.72</v>
          </cell>
          <cell r="F2">
            <v>58883.76</v>
          </cell>
          <cell r="G2">
            <v>49224.24</v>
          </cell>
          <cell r="H2">
            <v>33653.879999999997</v>
          </cell>
          <cell r="I2">
            <v>59613.84</v>
          </cell>
          <cell r="J2">
            <v>28894.319999999996</v>
          </cell>
          <cell r="K2">
            <v>333885.24</v>
          </cell>
          <cell r="L2">
            <v>598721.76</v>
          </cell>
          <cell r="M2">
            <v>1057563</v>
          </cell>
          <cell r="N2">
            <v>18648</v>
          </cell>
          <cell r="O2">
            <v>1.0740000000000001</v>
          </cell>
          <cell r="P2">
            <v>1.0740000000000001</v>
          </cell>
        </row>
        <row r="3">
          <cell r="A3" t="str">
            <v>Brasilien - mittel</v>
          </cell>
          <cell r="B3" t="str">
            <v>BRL</v>
          </cell>
          <cell r="C3">
            <v>13812</v>
          </cell>
          <cell r="D3">
            <v>20376.000000000004</v>
          </cell>
          <cell r="E3">
            <v>39816</v>
          </cell>
          <cell r="F3">
            <v>50328</v>
          </cell>
          <cell r="G3">
            <v>42072.000000000007</v>
          </cell>
          <cell r="H3">
            <v>28764.000000000004</v>
          </cell>
          <cell r="I3">
            <v>50952</v>
          </cell>
          <cell r="J3">
            <v>24696.000000000004</v>
          </cell>
          <cell r="K3">
            <v>285372</v>
          </cell>
          <cell r="L3">
            <v>511728</v>
          </cell>
          <cell r="M3">
            <v>903900</v>
          </cell>
          <cell r="P3">
            <v>1.0740000000000001</v>
          </cell>
        </row>
        <row r="4">
          <cell r="A4" t="str">
            <v>Brasilien - niedrig</v>
          </cell>
          <cell r="B4" t="str">
            <v>BRL</v>
          </cell>
          <cell r="C4">
            <v>13259.52</v>
          </cell>
          <cell r="D4">
            <v>19560.96</v>
          </cell>
          <cell r="E4">
            <v>38223.360000000001</v>
          </cell>
          <cell r="F4">
            <v>48314.879999999997</v>
          </cell>
          <cell r="G4">
            <v>40389.120000000003</v>
          </cell>
          <cell r="H4">
            <v>27613.440000000002</v>
          </cell>
          <cell r="I4">
            <v>48913.920000000006</v>
          </cell>
          <cell r="J4">
            <v>23708.16</v>
          </cell>
          <cell r="K4">
            <v>273957.12</v>
          </cell>
          <cell r="L4">
            <v>491258.88</v>
          </cell>
          <cell r="M4">
            <v>867744.00000000012</v>
          </cell>
          <cell r="P4">
            <v>1.0740000000000001</v>
          </cell>
        </row>
        <row r="5">
          <cell r="A5" t="str">
            <v>China - hoch</v>
          </cell>
          <cell r="B5" t="str">
            <v>CNY</v>
          </cell>
          <cell r="C5">
            <v>23975</v>
          </cell>
          <cell r="D5">
            <v>37939</v>
          </cell>
          <cell r="E5">
            <v>45915</v>
          </cell>
          <cell r="F5">
            <v>53375</v>
          </cell>
          <cell r="G5">
            <v>36684</v>
          </cell>
          <cell r="H5">
            <v>41556</v>
          </cell>
          <cell r="I5">
            <v>79129</v>
          </cell>
          <cell r="J5">
            <v>86620</v>
          </cell>
          <cell r="K5">
            <v>275847</v>
          </cell>
          <cell r="L5">
            <v>299995</v>
          </cell>
          <cell r="M5">
            <v>378126</v>
          </cell>
          <cell r="N5" t="b">
            <v>0</v>
          </cell>
          <cell r="O5">
            <v>1.2364000000000002</v>
          </cell>
          <cell r="P5">
            <v>1.2364000000000002</v>
          </cell>
        </row>
        <row r="6">
          <cell r="A6" t="str">
            <v>China - mittel</v>
          </cell>
          <cell r="B6" t="str">
            <v>CNY</v>
          </cell>
          <cell r="C6">
            <v>16500</v>
          </cell>
          <cell r="D6">
            <v>23000</v>
          </cell>
          <cell r="E6">
            <v>33800</v>
          </cell>
          <cell r="F6">
            <v>39498</v>
          </cell>
          <cell r="G6">
            <v>22248</v>
          </cell>
          <cell r="H6">
            <v>24660</v>
          </cell>
          <cell r="I6">
            <v>47700</v>
          </cell>
          <cell r="J6">
            <v>43433</v>
          </cell>
          <cell r="K6">
            <v>69733</v>
          </cell>
          <cell r="L6">
            <v>124933</v>
          </cell>
          <cell r="M6">
            <v>291700</v>
          </cell>
          <cell r="P6">
            <v>1.2364000000000002</v>
          </cell>
        </row>
        <row r="7">
          <cell r="A7" t="str">
            <v>China - niedrig</v>
          </cell>
          <cell r="B7" t="str">
            <v>CNY</v>
          </cell>
          <cell r="C7">
            <v>11640</v>
          </cell>
          <cell r="D7">
            <v>14760</v>
          </cell>
          <cell r="E7">
            <v>18000</v>
          </cell>
          <cell r="F7">
            <v>20934</v>
          </cell>
          <cell r="G7">
            <v>11791</v>
          </cell>
          <cell r="H7">
            <v>13070</v>
          </cell>
          <cell r="I7">
            <v>19800</v>
          </cell>
          <cell r="J7">
            <v>21840</v>
          </cell>
          <cell r="K7">
            <v>31080</v>
          </cell>
          <cell r="L7">
            <v>45000</v>
          </cell>
          <cell r="M7">
            <v>96480</v>
          </cell>
          <cell r="P7">
            <v>1.2364000000000002</v>
          </cell>
        </row>
        <row r="8">
          <cell r="A8" t="str">
            <v>Deutschland - Baden-Württemberg</v>
          </cell>
          <cell r="B8" t="str">
            <v>EUR</v>
          </cell>
          <cell r="C8">
            <v>45408</v>
          </cell>
          <cell r="D8">
            <v>49896</v>
          </cell>
          <cell r="E8">
            <v>66300</v>
          </cell>
          <cell r="F8">
            <v>88404</v>
          </cell>
          <cell r="G8">
            <v>68664</v>
          </cell>
          <cell r="H8">
            <v>66144</v>
          </cell>
          <cell r="I8">
            <v>41004</v>
          </cell>
          <cell r="J8">
            <v>53820</v>
          </cell>
          <cell r="K8">
            <v>136704</v>
          </cell>
          <cell r="L8">
            <v>142860</v>
          </cell>
          <cell r="M8">
            <v>213312</v>
          </cell>
          <cell r="N8" t="b">
            <v>0</v>
          </cell>
          <cell r="O8">
            <v>1.0429999999999999</v>
          </cell>
          <cell r="P8">
            <v>1.0429999999999999</v>
          </cell>
        </row>
        <row r="9">
          <cell r="A9" t="str">
            <v>Deutschland - Baden-Württemberg Stuttgart</v>
          </cell>
          <cell r="B9" t="str">
            <v>EUR</v>
          </cell>
          <cell r="C9">
            <v>50402.880000000005</v>
          </cell>
          <cell r="D9">
            <v>55384.560000000005</v>
          </cell>
          <cell r="E9">
            <v>73593.000000000015</v>
          </cell>
          <cell r="F9">
            <v>98128.440000000017</v>
          </cell>
          <cell r="G9">
            <v>76217.040000000023</v>
          </cell>
          <cell r="H9">
            <v>73419.840000000011</v>
          </cell>
          <cell r="I9">
            <v>45514.44</v>
          </cell>
          <cell r="J9">
            <v>59740.200000000004</v>
          </cell>
          <cell r="K9">
            <v>151741.44</v>
          </cell>
          <cell r="L9">
            <v>158574.6</v>
          </cell>
          <cell r="M9">
            <v>236776.32000000001</v>
          </cell>
          <cell r="P9">
            <v>1.0429999999999999</v>
          </cell>
        </row>
        <row r="10">
          <cell r="A10" t="str">
            <v>Deutschland - Bayern</v>
          </cell>
          <cell r="B10" t="str">
            <v>EUR</v>
          </cell>
          <cell r="C10">
            <v>36084</v>
          </cell>
          <cell r="D10">
            <v>40728</v>
          </cell>
          <cell r="E10">
            <v>50232</v>
          </cell>
          <cell r="F10">
            <v>80004</v>
          </cell>
          <cell r="G10">
            <v>69300</v>
          </cell>
          <cell r="H10">
            <v>66756</v>
          </cell>
          <cell r="I10">
            <v>48000</v>
          </cell>
          <cell r="J10">
            <v>54324</v>
          </cell>
          <cell r="K10">
            <v>137976</v>
          </cell>
          <cell r="L10">
            <v>144180</v>
          </cell>
          <cell r="M10">
            <v>215280</v>
          </cell>
          <cell r="P10">
            <v>1.0429999999999999</v>
          </cell>
        </row>
        <row r="11">
          <cell r="A11" t="str">
            <v>Deutschland - Bayern München</v>
          </cell>
          <cell r="B11" t="str">
            <v>EUR</v>
          </cell>
          <cell r="C11">
            <v>41496.599999999991</v>
          </cell>
          <cell r="D11">
            <v>46837.2</v>
          </cell>
          <cell r="E11">
            <v>57766.799999999996</v>
          </cell>
          <cell r="F11">
            <v>92004.599999999991</v>
          </cell>
          <cell r="G11">
            <v>79694.999999999985</v>
          </cell>
          <cell r="H11">
            <v>76769.400000000009</v>
          </cell>
          <cell r="I11">
            <v>55200</v>
          </cell>
          <cell r="J11">
            <v>62472.599999999991</v>
          </cell>
          <cell r="K11">
            <v>158672.4</v>
          </cell>
          <cell r="L11">
            <v>165807</v>
          </cell>
          <cell r="M11">
            <v>247572</v>
          </cell>
          <cell r="P11">
            <v>1.0429999999999999</v>
          </cell>
        </row>
        <row r="12">
          <cell r="A12" t="str">
            <v>Deutschland - Berlin</v>
          </cell>
          <cell r="B12" t="str">
            <v>EUR</v>
          </cell>
          <cell r="C12">
            <v>29904</v>
          </cell>
          <cell r="D12">
            <v>35148</v>
          </cell>
          <cell r="E12">
            <v>48096</v>
          </cell>
          <cell r="F12">
            <v>75456</v>
          </cell>
          <cell r="G12">
            <v>61032</v>
          </cell>
          <cell r="H12">
            <v>58800</v>
          </cell>
          <cell r="I12">
            <v>40500</v>
          </cell>
          <cell r="J12">
            <v>47844</v>
          </cell>
          <cell r="K12">
            <v>121512</v>
          </cell>
          <cell r="L12">
            <v>126984</v>
          </cell>
          <cell r="M12">
            <v>189612</v>
          </cell>
          <cell r="P12">
            <v>1.0429999999999999</v>
          </cell>
        </row>
        <row r="13">
          <cell r="A13" t="str">
            <v>Deutschland - Brandenburg</v>
          </cell>
          <cell r="B13" t="str">
            <v>EUR</v>
          </cell>
          <cell r="C13">
            <v>23208</v>
          </cell>
          <cell r="D13">
            <v>27396</v>
          </cell>
          <cell r="E13">
            <v>38544</v>
          </cell>
          <cell r="F13">
            <v>63732</v>
          </cell>
          <cell r="G13">
            <v>50868</v>
          </cell>
          <cell r="H13">
            <v>48996</v>
          </cell>
          <cell r="I13">
            <v>0</v>
          </cell>
          <cell r="J13">
            <v>39864</v>
          </cell>
          <cell r="K13">
            <v>101268</v>
          </cell>
          <cell r="L13">
            <v>105816</v>
          </cell>
          <cell r="M13">
            <v>158004</v>
          </cell>
          <cell r="P13">
            <v>1.0429999999999999</v>
          </cell>
        </row>
        <row r="14">
          <cell r="A14" t="str">
            <v>Deutschland - Bremen</v>
          </cell>
          <cell r="B14" t="str">
            <v>EUR</v>
          </cell>
          <cell r="C14">
            <v>0</v>
          </cell>
          <cell r="D14">
            <v>48732</v>
          </cell>
          <cell r="E14">
            <v>71604</v>
          </cell>
          <cell r="F14">
            <v>104496</v>
          </cell>
          <cell r="G14">
            <v>62940</v>
          </cell>
          <cell r="H14">
            <v>60636</v>
          </cell>
          <cell r="I14">
            <v>0</v>
          </cell>
          <cell r="J14">
            <v>49332</v>
          </cell>
          <cell r="K14">
            <v>125316</v>
          </cell>
          <cell r="L14">
            <v>130956</v>
          </cell>
          <cell r="M14">
            <v>195528</v>
          </cell>
          <cell r="P14">
            <v>1.0429999999999999</v>
          </cell>
        </row>
        <row r="15">
          <cell r="A15" t="str">
            <v>Deutschland - Hamburg</v>
          </cell>
          <cell r="B15" t="str">
            <v>EUR</v>
          </cell>
          <cell r="C15">
            <v>0</v>
          </cell>
          <cell r="D15">
            <v>47868</v>
          </cell>
          <cell r="E15">
            <v>68388</v>
          </cell>
          <cell r="F15">
            <v>84024</v>
          </cell>
          <cell r="G15">
            <v>68028</v>
          </cell>
          <cell r="H15">
            <v>65532</v>
          </cell>
          <cell r="I15">
            <v>0</v>
          </cell>
          <cell r="J15">
            <v>53316</v>
          </cell>
          <cell r="K15">
            <v>135444</v>
          </cell>
          <cell r="L15">
            <v>141540</v>
          </cell>
          <cell r="M15">
            <v>211332</v>
          </cell>
          <cell r="P15">
            <v>1.0429999999999999</v>
          </cell>
        </row>
        <row r="16">
          <cell r="A16" t="str">
            <v>Deutschland - Hessen</v>
          </cell>
          <cell r="B16" t="str">
            <v>EUR</v>
          </cell>
          <cell r="C16">
            <v>36348</v>
          </cell>
          <cell r="D16">
            <v>44616</v>
          </cell>
          <cell r="E16">
            <v>57132</v>
          </cell>
          <cell r="F16">
            <v>78324</v>
          </cell>
          <cell r="G16">
            <v>68664</v>
          </cell>
          <cell r="H16">
            <v>66144</v>
          </cell>
          <cell r="I16">
            <v>45000</v>
          </cell>
          <cell r="J16">
            <v>53820</v>
          </cell>
          <cell r="K16">
            <v>136704</v>
          </cell>
          <cell r="L16">
            <v>142860</v>
          </cell>
          <cell r="M16">
            <v>213312</v>
          </cell>
          <cell r="P16">
            <v>1.0429999999999999</v>
          </cell>
        </row>
        <row r="17">
          <cell r="A17" t="str">
            <v>Deutschland - Mecklenburg-Vorpommern</v>
          </cell>
          <cell r="B17" t="str">
            <v>EUR</v>
          </cell>
          <cell r="C17">
            <v>21612</v>
          </cell>
          <cell r="D17">
            <v>27156</v>
          </cell>
          <cell r="E17">
            <v>38592</v>
          </cell>
          <cell r="F17">
            <v>57936</v>
          </cell>
          <cell r="G17">
            <v>50868</v>
          </cell>
          <cell r="H17">
            <v>48996</v>
          </cell>
          <cell r="I17">
            <v>0</v>
          </cell>
          <cell r="J17">
            <v>39864</v>
          </cell>
          <cell r="K17">
            <v>101268</v>
          </cell>
          <cell r="L17">
            <v>105816</v>
          </cell>
          <cell r="M17">
            <v>158004</v>
          </cell>
          <cell r="P17">
            <v>1.0429999999999999</v>
          </cell>
        </row>
        <row r="18">
          <cell r="A18" t="str">
            <v>Deutschland - Niedersachsen</v>
          </cell>
          <cell r="B18" t="str">
            <v>EUR</v>
          </cell>
          <cell r="C18">
            <v>33108</v>
          </cell>
          <cell r="D18">
            <v>37332</v>
          </cell>
          <cell r="E18">
            <v>47652</v>
          </cell>
          <cell r="F18">
            <v>75372</v>
          </cell>
          <cell r="G18">
            <v>63576</v>
          </cell>
          <cell r="H18">
            <v>61248</v>
          </cell>
          <cell r="I18">
            <v>39000</v>
          </cell>
          <cell r="J18">
            <v>49836</v>
          </cell>
          <cell r="K18">
            <v>126576</v>
          </cell>
          <cell r="L18">
            <v>132276</v>
          </cell>
          <cell r="M18">
            <v>197508</v>
          </cell>
          <cell r="P18">
            <v>1.0429999999999999</v>
          </cell>
        </row>
        <row r="19">
          <cell r="A19" t="str">
            <v>Deutschland - Nordrhein-Westfalen</v>
          </cell>
          <cell r="B19" t="str">
            <v>EUR</v>
          </cell>
          <cell r="C19">
            <v>36612</v>
          </cell>
          <cell r="D19">
            <v>39408</v>
          </cell>
          <cell r="E19">
            <v>51828</v>
          </cell>
          <cell r="F19">
            <v>76404</v>
          </cell>
          <cell r="G19">
            <v>66120</v>
          </cell>
          <cell r="H19">
            <v>63696</v>
          </cell>
          <cell r="I19">
            <v>44004</v>
          </cell>
          <cell r="J19">
            <v>51828</v>
          </cell>
          <cell r="K19">
            <v>131640</v>
          </cell>
          <cell r="L19">
            <v>137568.00000000003</v>
          </cell>
          <cell r="M19">
            <v>205404</v>
          </cell>
          <cell r="P19">
            <v>1.0429999999999999</v>
          </cell>
        </row>
        <row r="20">
          <cell r="A20" t="str">
            <v>Deutschland - Rheinland-Pfalz</v>
          </cell>
          <cell r="B20" t="str">
            <v>EUR</v>
          </cell>
          <cell r="C20">
            <v>38148</v>
          </cell>
          <cell r="D20">
            <v>41028</v>
          </cell>
          <cell r="E20">
            <v>60600</v>
          </cell>
          <cell r="F20">
            <v>75420</v>
          </cell>
          <cell r="G20">
            <v>66120</v>
          </cell>
          <cell r="H20">
            <v>63696</v>
          </cell>
          <cell r="I20">
            <v>0</v>
          </cell>
          <cell r="J20">
            <v>51828</v>
          </cell>
          <cell r="K20">
            <v>131640</v>
          </cell>
          <cell r="L20">
            <v>137568.00000000003</v>
          </cell>
          <cell r="M20">
            <v>205404</v>
          </cell>
          <cell r="P20">
            <v>1.0429999999999999</v>
          </cell>
        </row>
        <row r="21">
          <cell r="A21" t="str">
            <v>Deutschland - Saarland</v>
          </cell>
          <cell r="B21" t="str">
            <v>EUR</v>
          </cell>
          <cell r="C21">
            <v>42012</v>
          </cell>
          <cell r="D21">
            <v>45456</v>
          </cell>
          <cell r="E21">
            <v>50244</v>
          </cell>
          <cell r="F21">
            <v>71880</v>
          </cell>
          <cell r="G21">
            <v>68664</v>
          </cell>
          <cell r="H21">
            <v>66144</v>
          </cell>
          <cell r="I21">
            <v>0</v>
          </cell>
          <cell r="J21">
            <v>53820</v>
          </cell>
          <cell r="K21">
            <v>136704</v>
          </cell>
          <cell r="L21">
            <v>142860</v>
          </cell>
          <cell r="M21">
            <v>213312</v>
          </cell>
          <cell r="P21">
            <v>1.0429999999999999</v>
          </cell>
        </row>
        <row r="22">
          <cell r="A22" t="str">
            <v>Deutschland - Sachsen</v>
          </cell>
          <cell r="B22" t="str">
            <v>EUR</v>
          </cell>
          <cell r="C22">
            <v>28260</v>
          </cell>
          <cell r="D22">
            <v>34488</v>
          </cell>
          <cell r="E22">
            <v>41400</v>
          </cell>
          <cell r="F22">
            <v>59184</v>
          </cell>
          <cell r="G22">
            <v>50868</v>
          </cell>
          <cell r="H22">
            <v>48996</v>
          </cell>
          <cell r="I22">
            <v>35004</v>
          </cell>
          <cell r="J22">
            <v>39864</v>
          </cell>
          <cell r="K22">
            <v>101268</v>
          </cell>
          <cell r="L22">
            <v>105816</v>
          </cell>
          <cell r="M22">
            <v>158004</v>
          </cell>
          <cell r="P22">
            <v>1.0429999999999999</v>
          </cell>
        </row>
        <row r="23">
          <cell r="A23" t="str">
            <v>Deutschland - Sachsen Dresden</v>
          </cell>
          <cell r="B23" t="str">
            <v>EUR</v>
          </cell>
          <cell r="C23">
            <v>29673</v>
          </cell>
          <cell r="D23">
            <v>36212.400000000001</v>
          </cell>
          <cell r="E23">
            <v>43470</v>
          </cell>
          <cell r="F23">
            <v>62143.200000000004</v>
          </cell>
          <cell r="G23">
            <v>53411.4</v>
          </cell>
          <cell r="H23">
            <v>51445.8</v>
          </cell>
          <cell r="I23">
            <v>36754.199999999997</v>
          </cell>
          <cell r="J23">
            <v>41857.200000000004</v>
          </cell>
          <cell r="K23">
            <v>106331.40000000001</v>
          </cell>
          <cell r="L23">
            <v>111106.8</v>
          </cell>
          <cell r="M23">
            <v>165904.20000000001</v>
          </cell>
          <cell r="P23">
            <v>1.0429999999999999</v>
          </cell>
        </row>
        <row r="24">
          <cell r="A24" t="str">
            <v>Deutschland - Sachsen-Anhalt</v>
          </cell>
          <cell r="B24" t="str">
            <v>EUR</v>
          </cell>
          <cell r="C24">
            <v>23292</v>
          </cell>
          <cell r="D24">
            <v>24696</v>
          </cell>
          <cell r="E24">
            <v>35016</v>
          </cell>
          <cell r="F24">
            <v>66924</v>
          </cell>
          <cell r="G24">
            <v>50868</v>
          </cell>
          <cell r="H24">
            <v>48996</v>
          </cell>
          <cell r="I24">
            <v>35004</v>
          </cell>
          <cell r="J24">
            <v>39864</v>
          </cell>
          <cell r="K24">
            <v>101268</v>
          </cell>
          <cell r="L24">
            <v>105816</v>
          </cell>
          <cell r="M24">
            <v>158004</v>
          </cell>
          <cell r="P24">
            <v>1.0429999999999999</v>
          </cell>
        </row>
        <row r="25">
          <cell r="A25" t="str">
            <v>Deutschland - Schleswig-Holstein</v>
          </cell>
          <cell r="B25" t="str">
            <v>EUR</v>
          </cell>
          <cell r="C25">
            <v>37920</v>
          </cell>
          <cell r="D25">
            <v>35604</v>
          </cell>
          <cell r="E25">
            <v>53808</v>
          </cell>
          <cell r="F25">
            <v>79800</v>
          </cell>
          <cell r="G25">
            <v>62940</v>
          </cell>
          <cell r="H25">
            <v>60636</v>
          </cell>
          <cell r="I25">
            <v>0</v>
          </cell>
          <cell r="J25">
            <v>49332</v>
          </cell>
          <cell r="K25">
            <v>125316</v>
          </cell>
          <cell r="L25">
            <v>130956</v>
          </cell>
          <cell r="M25">
            <v>195528</v>
          </cell>
          <cell r="P25">
            <v>1.0429999999999999</v>
          </cell>
        </row>
        <row r="26">
          <cell r="A26" t="str">
            <v>Deutschland - Thüringen</v>
          </cell>
          <cell r="B26" t="str">
            <v>EUR</v>
          </cell>
          <cell r="C26">
            <v>24684</v>
          </cell>
          <cell r="D26">
            <v>28452</v>
          </cell>
          <cell r="E26">
            <v>39192</v>
          </cell>
          <cell r="F26">
            <v>53712</v>
          </cell>
          <cell r="G26">
            <v>50868</v>
          </cell>
          <cell r="H26">
            <v>48996</v>
          </cell>
          <cell r="I26">
            <v>0</v>
          </cell>
          <cell r="J26">
            <v>39864</v>
          </cell>
          <cell r="K26">
            <v>101268</v>
          </cell>
          <cell r="L26">
            <v>105816</v>
          </cell>
          <cell r="M26">
            <v>158004</v>
          </cell>
          <cell r="P26">
            <v>1.0429999999999999</v>
          </cell>
        </row>
        <row r="27">
          <cell r="A27" t="str">
            <v>Frankreich - hoch</v>
          </cell>
          <cell r="B27" t="str">
            <v>EUR</v>
          </cell>
          <cell r="C27">
            <v>28187</v>
          </cell>
          <cell r="D27">
            <v>30998</v>
          </cell>
          <cell r="E27">
            <v>37248</v>
          </cell>
          <cell r="F27">
            <v>78820</v>
          </cell>
          <cell r="G27">
            <v>38051</v>
          </cell>
          <cell r="H27">
            <v>27467</v>
          </cell>
          <cell r="I27">
            <v>38000</v>
          </cell>
          <cell r="J27">
            <v>65000</v>
          </cell>
          <cell r="K27">
            <v>65000</v>
          </cell>
          <cell r="L27">
            <v>130000</v>
          </cell>
          <cell r="M27">
            <v>215000</v>
          </cell>
          <cell r="N27">
            <v>33072</v>
          </cell>
          <cell r="O27">
            <v>1.0241439999999999</v>
          </cell>
          <cell r="P27">
            <v>1.0241439999999999</v>
          </cell>
        </row>
        <row r="28">
          <cell r="A28" t="str">
            <v>Frankreich - mittel</v>
          </cell>
          <cell r="B28" t="str">
            <v>EUR</v>
          </cell>
          <cell r="C28">
            <v>26463</v>
          </cell>
          <cell r="D28">
            <v>28538</v>
          </cell>
          <cell r="E28">
            <v>35013</v>
          </cell>
          <cell r="F28">
            <v>66586</v>
          </cell>
          <cell r="G28">
            <v>36800</v>
          </cell>
          <cell r="H28">
            <v>25766</v>
          </cell>
          <cell r="I28">
            <v>30000</v>
          </cell>
          <cell r="J28">
            <v>48000</v>
          </cell>
          <cell r="K28">
            <v>63000</v>
          </cell>
          <cell r="L28">
            <v>100000</v>
          </cell>
          <cell r="M28">
            <v>145000</v>
          </cell>
          <cell r="P28">
            <v>1.0241439999999999</v>
          </cell>
        </row>
        <row r="29">
          <cell r="A29" t="str">
            <v>Frankreich - niedrig</v>
          </cell>
          <cell r="B29" t="str">
            <v>EUR</v>
          </cell>
          <cell r="C29">
            <v>25563</v>
          </cell>
          <cell r="D29">
            <v>27350</v>
          </cell>
          <cell r="E29">
            <v>34148</v>
          </cell>
          <cell r="F29">
            <v>60598</v>
          </cell>
          <cell r="G29">
            <v>34298</v>
          </cell>
          <cell r="H29">
            <v>24658</v>
          </cell>
          <cell r="I29">
            <v>26000</v>
          </cell>
          <cell r="J29">
            <v>39500</v>
          </cell>
          <cell r="K29">
            <v>60000</v>
          </cell>
          <cell r="L29">
            <v>78000</v>
          </cell>
          <cell r="M29">
            <v>92000</v>
          </cell>
          <cell r="P29">
            <v>1.0241439999999999</v>
          </cell>
        </row>
        <row r="30">
          <cell r="A30" t="str">
            <v>Großbritannien - hoch</v>
          </cell>
          <cell r="B30" t="str">
            <v>GBP</v>
          </cell>
          <cell r="C30">
            <v>24300</v>
          </cell>
          <cell r="D30">
            <v>32400</v>
          </cell>
          <cell r="E30">
            <v>37125</v>
          </cell>
          <cell r="F30">
            <v>43200</v>
          </cell>
          <cell r="G30">
            <v>36000</v>
          </cell>
          <cell r="H30">
            <v>38000</v>
          </cell>
          <cell r="I30">
            <v>32750</v>
          </cell>
          <cell r="J30">
            <v>35450</v>
          </cell>
          <cell r="K30">
            <v>38500</v>
          </cell>
          <cell r="L30">
            <v>70000</v>
          </cell>
          <cell r="M30">
            <v>99000</v>
          </cell>
          <cell r="N30" t="b">
            <v>0</v>
          </cell>
          <cell r="O30">
            <v>1.0249999999999999</v>
          </cell>
          <cell r="P30">
            <v>1.0249999999999999</v>
          </cell>
        </row>
        <row r="31">
          <cell r="A31" t="str">
            <v>Großbritannien - mittel</v>
          </cell>
          <cell r="B31" t="str">
            <v>GBP</v>
          </cell>
          <cell r="C31">
            <v>18900</v>
          </cell>
          <cell r="D31">
            <v>25200</v>
          </cell>
          <cell r="E31">
            <v>28875</v>
          </cell>
          <cell r="F31">
            <v>33600</v>
          </cell>
          <cell r="G31">
            <v>32000</v>
          </cell>
          <cell r="H31">
            <v>34000</v>
          </cell>
          <cell r="I31">
            <v>23580</v>
          </cell>
          <cell r="J31">
            <v>28400</v>
          </cell>
          <cell r="K31">
            <v>32500</v>
          </cell>
          <cell r="L31">
            <v>60000</v>
          </cell>
          <cell r="M31">
            <v>87000</v>
          </cell>
          <cell r="P31">
            <v>1.0249999999999999</v>
          </cell>
        </row>
        <row r="32">
          <cell r="A32" t="str">
            <v>Großbritannien - niedrig</v>
          </cell>
          <cell r="B32" t="str">
            <v>GBP</v>
          </cell>
          <cell r="C32">
            <v>16740</v>
          </cell>
          <cell r="D32">
            <v>22320</v>
          </cell>
          <cell r="E32">
            <v>25575</v>
          </cell>
          <cell r="F32">
            <v>29760</v>
          </cell>
          <cell r="G32">
            <v>30000</v>
          </cell>
          <cell r="H32">
            <v>30500</v>
          </cell>
          <cell r="I32">
            <v>22139</v>
          </cell>
          <cell r="J32">
            <v>25950</v>
          </cell>
          <cell r="K32">
            <v>28000</v>
          </cell>
          <cell r="L32">
            <v>57000</v>
          </cell>
          <cell r="M32">
            <v>83000</v>
          </cell>
          <cell r="P32">
            <v>1.0249999999999999</v>
          </cell>
        </row>
        <row r="33">
          <cell r="A33" t="str">
            <v>Indien - hoch</v>
          </cell>
          <cell r="B33" t="str">
            <v>INR</v>
          </cell>
          <cell r="C33">
            <v>73200</v>
          </cell>
          <cell r="D33">
            <v>115200</v>
          </cell>
          <cell r="E33">
            <v>177600</v>
          </cell>
          <cell r="F33">
            <v>244800.00000000003</v>
          </cell>
          <cell r="G33">
            <v>280800</v>
          </cell>
          <cell r="H33">
            <v>345600</v>
          </cell>
          <cell r="I33">
            <v>150000</v>
          </cell>
          <cell r="J33">
            <v>153600</v>
          </cell>
          <cell r="K33">
            <v>12000000</v>
          </cell>
          <cell r="L33">
            <v>0</v>
          </cell>
          <cell r="M33">
            <v>0</v>
          </cell>
          <cell r="N33" t="b">
            <v>0</v>
          </cell>
          <cell r="O33">
            <v>1</v>
          </cell>
          <cell r="P33">
            <v>1</v>
          </cell>
        </row>
        <row r="34">
          <cell r="A34" t="str">
            <v>Indien - mittel</v>
          </cell>
          <cell r="B34" t="str">
            <v>INR</v>
          </cell>
          <cell r="C34">
            <v>73200</v>
          </cell>
          <cell r="D34">
            <v>112800</v>
          </cell>
          <cell r="E34">
            <v>162000</v>
          </cell>
          <cell r="F34">
            <v>220800.00000000003</v>
          </cell>
          <cell r="G34">
            <v>249600</v>
          </cell>
          <cell r="H34">
            <v>330000</v>
          </cell>
          <cell r="I34">
            <v>132000</v>
          </cell>
          <cell r="J34">
            <v>134400</v>
          </cell>
          <cell r="K34">
            <v>10200000</v>
          </cell>
          <cell r="L34">
            <v>0</v>
          </cell>
          <cell r="M34">
            <v>0</v>
          </cell>
          <cell r="P34">
            <v>1</v>
          </cell>
        </row>
        <row r="35">
          <cell r="A35" t="str">
            <v>Indien - niedrig</v>
          </cell>
          <cell r="B35" t="str">
            <v>INR</v>
          </cell>
          <cell r="C35">
            <v>73200</v>
          </cell>
          <cell r="D35">
            <v>104400</v>
          </cell>
          <cell r="E35">
            <v>146400</v>
          </cell>
          <cell r="F35">
            <v>152400</v>
          </cell>
          <cell r="G35">
            <v>166800</v>
          </cell>
          <cell r="H35">
            <v>250800.00000000003</v>
          </cell>
          <cell r="I35">
            <v>122400.00000000001</v>
          </cell>
          <cell r="J35">
            <v>100800</v>
          </cell>
          <cell r="K35">
            <v>8400000</v>
          </cell>
          <cell r="L35">
            <v>0</v>
          </cell>
          <cell r="M35">
            <v>0</v>
          </cell>
          <cell r="P35">
            <v>1</v>
          </cell>
        </row>
        <row r="36">
          <cell r="A36" t="str">
            <v>Indonesien - hoch</v>
          </cell>
          <cell r="B36" t="str">
            <v>IDR</v>
          </cell>
          <cell r="C36">
            <v>19500000</v>
          </cell>
          <cell r="D36">
            <v>37800000</v>
          </cell>
          <cell r="E36">
            <v>90000000</v>
          </cell>
          <cell r="F36">
            <v>150000000</v>
          </cell>
          <cell r="G36">
            <v>108000000</v>
          </cell>
          <cell r="H36">
            <v>102000000</v>
          </cell>
          <cell r="I36">
            <v>99000000</v>
          </cell>
          <cell r="J36">
            <v>162000000</v>
          </cell>
          <cell r="K36">
            <v>210000000</v>
          </cell>
          <cell r="L36">
            <v>252000000</v>
          </cell>
          <cell r="M36">
            <v>840000000</v>
          </cell>
          <cell r="N36" t="b">
            <v>0</v>
          </cell>
          <cell r="O36">
            <v>1.17</v>
          </cell>
          <cell r="P36">
            <v>1.17</v>
          </cell>
        </row>
        <row r="37">
          <cell r="A37" t="str">
            <v>Indonesien - mittel</v>
          </cell>
          <cell r="B37" t="str">
            <v>IDR</v>
          </cell>
          <cell r="C37">
            <v>15600000</v>
          </cell>
          <cell r="D37">
            <v>28800000</v>
          </cell>
          <cell r="E37">
            <v>66000000</v>
          </cell>
          <cell r="F37">
            <v>120000000</v>
          </cell>
          <cell r="G37">
            <v>90000000</v>
          </cell>
          <cell r="H37">
            <v>72000000</v>
          </cell>
          <cell r="I37">
            <v>75000000</v>
          </cell>
          <cell r="J37">
            <v>102000000</v>
          </cell>
          <cell r="K37">
            <v>162000000</v>
          </cell>
          <cell r="L37">
            <v>192000000</v>
          </cell>
          <cell r="M37">
            <v>570000000</v>
          </cell>
          <cell r="P37">
            <v>1.17</v>
          </cell>
        </row>
        <row r="38">
          <cell r="A38" t="str">
            <v>Indonesien - niedrig</v>
          </cell>
          <cell r="B38" t="str">
            <v>IDR</v>
          </cell>
          <cell r="C38">
            <v>11880000</v>
          </cell>
          <cell r="D38">
            <v>25800000</v>
          </cell>
          <cell r="E38">
            <v>42000000</v>
          </cell>
          <cell r="F38">
            <v>96000000</v>
          </cell>
          <cell r="G38">
            <v>66000000</v>
          </cell>
          <cell r="H38">
            <v>48000000</v>
          </cell>
          <cell r="I38">
            <v>51000000</v>
          </cell>
          <cell r="J38">
            <v>63000000</v>
          </cell>
          <cell r="K38">
            <v>132000000</v>
          </cell>
          <cell r="L38">
            <v>150000000</v>
          </cell>
          <cell r="M38">
            <v>300000000</v>
          </cell>
          <cell r="P38">
            <v>1.17</v>
          </cell>
        </row>
        <row r="39">
          <cell r="A39" t="str">
            <v>Italien - hoch</v>
          </cell>
          <cell r="B39" t="str">
            <v>EUR</v>
          </cell>
          <cell r="C39">
            <v>16560</v>
          </cell>
          <cell r="D39">
            <v>20760</v>
          </cell>
          <cell r="E39">
            <v>23160</v>
          </cell>
          <cell r="F39">
            <v>32400</v>
          </cell>
          <cell r="G39">
            <v>49200</v>
          </cell>
          <cell r="H39">
            <v>23640</v>
          </cell>
          <cell r="I39">
            <v>27600</v>
          </cell>
          <cell r="J39">
            <v>23760</v>
          </cell>
          <cell r="K39">
            <v>51120</v>
          </cell>
          <cell r="L39">
            <v>144000</v>
          </cell>
          <cell r="M39">
            <v>210000</v>
          </cell>
          <cell r="N39">
            <v>27744</v>
          </cell>
          <cell r="O39">
            <v>1.0485749999999998</v>
          </cell>
          <cell r="P39">
            <v>1.0485749999999998</v>
          </cell>
        </row>
        <row r="40">
          <cell r="A40" t="str">
            <v>Italien - mittel</v>
          </cell>
          <cell r="B40" t="str">
            <v>EUR</v>
          </cell>
          <cell r="C40">
            <v>15000</v>
          </cell>
          <cell r="D40">
            <v>18840</v>
          </cell>
          <cell r="E40">
            <v>21000</v>
          </cell>
          <cell r="F40">
            <v>29160</v>
          </cell>
          <cell r="G40">
            <v>38400</v>
          </cell>
          <cell r="H40">
            <v>21600</v>
          </cell>
          <cell r="I40">
            <v>24600</v>
          </cell>
          <cell r="J40">
            <v>21600</v>
          </cell>
          <cell r="K40">
            <v>46440</v>
          </cell>
          <cell r="L40">
            <v>105600</v>
          </cell>
          <cell r="M40">
            <v>145800</v>
          </cell>
          <cell r="P40">
            <v>1.0485749999999998</v>
          </cell>
        </row>
        <row r="41">
          <cell r="A41" t="str">
            <v>Italien - niedrig</v>
          </cell>
          <cell r="B41" t="str">
            <v>EUR</v>
          </cell>
          <cell r="C41">
            <v>13200</v>
          </cell>
          <cell r="D41">
            <v>16920</v>
          </cell>
          <cell r="E41">
            <v>19200</v>
          </cell>
          <cell r="F41">
            <v>26400</v>
          </cell>
          <cell r="G41">
            <v>38400</v>
          </cell>
          <cell r="H41">
            <v>21600</v>
          </cell>
          <cell r="I41">
            <v>24600</v>
          </cell>
          <cell r="J41">
            <v>19440</v>
          </cell>
          <cell r="K41">
            <v>42000</v>
          </cell>
          <cell r="L41">
            <v>67200</v>
          </cell>
          <cell r="M41">
            <v>81600</v>
          </cell>
          <cell r="P41">
            <v>1.0485749999999998</v>
          </cell>
        </row>
        <row r="42">
          <cell r="A42" t="str">
            <v>Japan - hoch</v>
          </cell>
          <cell r="B42" t="str">
            <v>JPY</v>
          </cell>
          <cell r="C42">
            <v>2577009.6</v>
          </cell>
          <cell r="D42">
            <v>3101472</v>
          </cell>
          <cell r="E42">
            <v>5015208</v>
          </cell>
          <cell r="F42">
            <v>7621548</v>
          </cell>
          <cell r="G42">
            <v>5890764</v>
          </cell>
          <cell r="H42">
            <v>4679796</v>
          </cell>
          <cell r="I42">
            <v>0</v>
          </cell>
          <cell r="J42">
            <v>0</v>
          </cell>
          <cell r="K42">
            <v>7094472</v>
          </cell>
          <cell r="L42">
            <v>8154432</v>
          </cell>
          <cell r="M42">
            <v>10515384</v>
          </cell>
          <cell r="N42">
            <v>3883200</v>
          </cell>
          <cell r="O42">
            <v>1.0069999999999999</v>
          </cell>
          <cell r="P42">
            <v>1.0069999999999999</v>
          </cell>
        </row>
        <row r="43">
          <cell r="A43" t="str">
            <v>Japan - mittel</v>
          </cell>
          <cell r="B43" t="str">
            <v>JPY</v>
          </cell>
          <cell r="C43">
            <v>2129760</v>
          </cell>
          <cell r="D43">
            <v>2563200</v>
          </cell>
          <cell r="E43">
            <v>4144800</v>
          </cell>
          <cell r="F43">
            <v>6298800</v>
          </cell>
          <cell r="G43">
            <v>4868400</v>
          </cell>
          <cell r="H43">
            <v>3867600</v>
          </cell>
          <cell r="I43">
            <v>0</v>
          </cell>
          <cell r="J43">
            <v>0</v>
          </cell>
          <cell r="K43">
            <v>5863200</v>
          </cell>
          <cell r="L43">
            <v>6739200</v>
          </cell>
          <cell r="M43">
            <v>8690400</v>
          </cell>
          <cell r="P43">
            <v>1.0069999999999999</v>
          </cell>
        </row>
        <row r="44">
          <cell r="A44" t="str">
            <v>Japan - niedrig</v>
          </cell>
          <cell r="B44" t="str">
            <v>JPY</v>
          </cell>
          <cell r="C44">
            <v>1695288.9600000002</v>
          </cell>
          <cell r="D44">
            <v>2040307.2000000002</v>
          </cell>
          <cell r="E44">
            <v>3299260.8000000003</v>
          </cell>
          <cell r="F44">
            <v>5013844.8000000007</v>
          </cell>
          <cell r="G44">
            <v>3875246.4000000004</v>
          </cell>
          <cell r="H44">
            <v>3078609.6000000006</v>
          </cell>
          <cell r="I44">
            <v>0</v>
          </cell>
          <cell r="J44">
            <v>0</v>
          </cell>
          <cell r="K44">
            <v>4667107.2000000011</v>
          </cell>
          <cell r="L44">
            <v>5364403.2</v>
          </cell>
          <cell r="M44">
            <v>6917558.4000000004</v>
          </cell>
          <cell r="P44">
            <v>1.0069999999999999</v>
          </cell>
        </row>
        <row r="45">
          <cell r="A45" t="str">
            <v>Kanada - hoch</v>
          </cell>
          <cell r="B45" t="str">
            <v>CAD</v>
          </cell>
          <cell r="C45">
            <v>22968</v>
          </cell>
          <cell r="D45">
            <v>37584</v>
          </cell>
          <cell r="E45">
            <v>45936</v>
          </cell>
          <cell r="F45">
            <v>62640</v>
          </cell>
          <cell r="G45">
            <v>60552</v>
          </cell>
          <cell r="H45">
            <v>62640</v>
          </cell>
          <cell r="I45">
            <v>48024</v>
          </cell>
          <cell r="J45">
            <v>41760</v>
          </cell>
          <cell r="K45">
            <v>73080</v>
          </cell>
          <cell r="L45">
            <v>143000</v>
          </cell>
          <cell r="M45">
            <v>154000</v>
          </cell>
          <cell r="N45">
            <v>46353.599999999999</v>
          </cell>
          <cell r="O45">
            <v>1.0229999999999999</v>
          </cell>
          <cell r="P45">
            <v>1.0229999999999999</v>
          </cell>
        </row>
        <row r="46">
          <cell r="A46" t="str">
            <v>Kanada - mittel</v>
          </cell>
          <cell r="B46" t="str">
            <v>CAD</v>
          </cell>
          <cell r="C46">
            <v>20880</v>
          </cell>
          <cell r="D46">
            <v>33408</v>
          </cell>
          <cell r="E46">
            <v>37584</v>
          </cell>
          <cell r="F46">
            <v>54288</v>
          </cell>
          <cell r="G46">
            <v>45936</v>
          </cell>
          <cell r="H46">
            <v>58464</v>
          </cell>
          <cell r="I46">
            <v>45936</v>
          </cell>
          <cell r="J46">
            <v>35496</v>
          </cell>
          <cell r="K46">
            <v>56376</v>
          </cell>
          <cell r="L46">
            <v>137000</v>
          </cell>
          <cell r="M46">
            <v>145000</v>
          </cell>
          <cell r="P46">
            <v>1.0229999999999999</v>
          </cell>
        </row>
        <row r="47">
          <cell r="A47" t="str">
            <v>Kanada - niedrig</v>
          </cell>
          <cell r="B47" t="str">
            <v>CAD</v>
          </cell>
          <cell r="C47">
            <v>18792</v>
          </cell>
          <cell r="D47">
            <v>29232</v>
          </cell>
          <cell r="E47">
            <v>33408</v>
          </cell>
          <cell r="F47">
            <v>45936</v>
          </cell>
          <cell r="G47">
            <v>37584</v>
          </cell>
          <cell r="H47">
            <v>54288</v>
          </cell>
          <cell r="I47">
            <v>39672</v>
          </cell>
          <cell r="J47">
            <v>29232</v>
          </cell>
          <cell r="K47">
            <v>43848</v>
          </cell>
          <cell r="L47">
            <v>92000</v>
          </cell>
          <cell r="M47">
            <v>107000</v>
          </cell>
          <cell r="P47">
            <v>1.0229999999999999</v>
          </cell>
        </row>
        <row r="48">
          <cell r="A48" t="str">
            <v>Mexiko - hoch</v>
          </cell>
          <cell r="B48" t="str">
            <v>MXN</v>
          </cell>
          <cell r="C48">
            <v>39000</v>
          </cell>
          <cell r="D48">
            <v>84000</v>
          </cell>
          <cell r="E48">
            <v>147000</v>
          </cell>
          <cell r="F48">
            <v>192000</v>
          </cell>
          <cell r="G48">
            <v>216000</v>
          </cell>
          <cell r="H48">
            <v>204000</v>
          </cell>
          <cell r="I48">
            <v>252000</v>
          </cell>
          <cell r="J48">
            <v>360000</v>
          </cell>
          <cell r="K48">
            <v>840000</v>
          </cell>
          <cell r="L48">
            <v>1920000</v>
          </cell>
          <cell r="M48">
            <v>2220000</v>
          </cell>
          <cell r="N48" t="b">
            <v>0</v>
          </cell>
          <cell r="O48">
            <v>1</v>
          </cell>
          <cell r="P48">
            <v>1</v>
          </cell>
        </row>
        <row r="49">
          <cell r="A49" t="str">
            <v>Mexiko - mittel</v>
          </cell>
          <cell r="B49" t="str">
            <v>MXN</v>
          </cell>
          <cell r="C49">
            <v>38400</v>
          </cell>
          <cell r="D49">
            <v>78000</v>
          </cell>
          <cell r="E49">
            <v>138000</v>
          </cell>
          <cell r="F49">
            <v>180000</v>
          </cell>
          <cell r="G49">
            <v>204000</v>
          </cell>
          <cell r="H49">
            <v>192000</v>
          </cell>
          <cell r="I49">
            <v>240000</v>
          </cell>
          <cell r="J49">
            <v>300000</v>
          </cell>
          <cell r="K49">
            <v>720000</v>
          </cell>
          <cell r="L49">
            <v>1800000</v>
          </cell>
          <cell r="M49">
            <v>2160000</v>
          </cell>
          <cell r="P49">
            <v>1</v>
          </cell>
        </row>
        <row r="50">
          <cell r="A50" t="str">
            <v>Mexiko - niedrig</v>
          </cell>
          <cell r="B50" t="str">
            <v>MXN</v>
          </cell>
          <cell r="C50">
            <v>37800</v>
          </cell>
          <cell r="D50">
            <v>72000</v>
          </cell>
          <cell r="E50">
            <v>132000</v>
          </cell>
          <cell r="F50">
            <v>168000</v>
          </cell>
          <cell r="G50">
            <v>180000</v>
          </cell>
          <cell r="H50">
            <v>168000</v>
          </cell>
          <cell r="I50">
            <v>240000</v>
          </cell>
          <cell r="J50">
            <v>276000</v>
          </cell>
          <cell r="K50">
            <v>660000</v>
          </cell>
          <cell r="L50">
            <v>1680000</v>
          </cell>
          <cell r="M50">
            <v>2100000</v>
          </cell>
          <cell r="P50">
            <v>1</v>
          </cell>
        </row>
        <row r="51">
          <cell r="A51" t="str">
            <v>Niederlande - hoch</v>
          </cell>
          <cell r="B51" t="str">
            <v>EUR</v>
          </cell>
          <cell r="C51">
            <v>19630.799999999996</v>
          </cell>
          <cell r="D51">
            <v>25403.759999999998</v>
          </cell>
          <cell r="E51">
            <v>31067.279999999995</v>
          </cell>
          <cell r="F51">
            <v>41778.719999999987</v>
          </cell>
          <cell r="G51">
            <v>34596.719999999994</v>
          </cell>
          <cell r="H51">
            <v>40123.439999999995</v>
          </cell>
          <cell r="I51">
            <v>48454.55999999999</v>
          </cell>
          <cell r="J51">
            <v>37619.999999999993</v>
          </cell>
          <cell r="K51">
            <v>85499.999999999985</v>
          </cell>
          <cell r="L51">
            <v>85499.999999999985</v>
          </cell>
          <cell r="M51">
            <v>181943.99999999997</v>
          </cell>
          <cell r="N51" t="b">
            <v>0</v>
          </cell>
          <cell r="O51">
            <v>1.0175000000000001</v>
          </cell>
          <cell r="P51">
            <v>1.0175000000000001</v>
          </cell>
        </row>
        <row r="52">
          <cell r="A52" t="str">
            <v>Niederlande - mittel</v>
          </cell>
          <cell r="B52" t="str">
            <v>EUR</v>
          </cell>
          <cell r="C52">
            <v>17220</v>
          </cell>
          <cell r="D52">
            <v>22283.999999999996</v>
          </cell>
          <cell r="E52">
            <v>27251.999999999996</v>
          </cell>
          <cell r="F52">
            <v>36648</v>
          </cell>
          <cell r="G52">
            <v>30347.999999999996</v>
          </cell>
          <cell r="H52">
            <v>35195.999999999993</v>
          </cell>
          <cell r="I52">
            <v>42504</v>
          </cell>
          <cell r="J52">
            <v>33000</v>
          </cell>
          <cell r="K52">
            <v>74999.999999999985</v>
          </cell>
          <cell r="L52">
            <v>74999.999999999985</v>
          </cell>
          <cell r="M52">
            <v>159600</v>
          </cell>
          <cell r="P52">
            <v>1.0175000000000001</v>
          </cell>
        </row>
        <row r="53">
          <cell r="A53" t="str">
            <v>Niederlande - niedrig</v>
          </cell>
          <cell r="B53" t="str">
            <v>EUR</v>
          </cell>
          <cell r="C53">
            <v>16186.799999999997</v>
          </cell>
          <cell r="D53">
            <v>20946.959999999995</v>
          </cell>
          <cell r="E53">
            <v>25616.879999999997</v>
          </cell>
          <cell r="F53">
            <v>34449.119999999995</v>
          </cell>
          <cell r="G53">
            <v>28527.119999999995</v>
          </cell>
          <cell r="H53">
            <v>33084.239999999998</v>
          </cell>
          <cell r="I53">
            <v>39953.760000000002</v>
          </cell>
          <cell r="J53">
            <v>31020</v>
          </cell>
          <cell r="K53">
            <v>70500</v>
          </cell>
          <cell r="L53">
            <v>70500</v>
          </cell>
          <cell r="M53">
            <v>150024</v>
          </cell>
          <cell r="P53">
            <v>1.0175000000000001</v>
          </cell>
        </row>
        <row r="54">
          <cell r="A54" t="str">
            <v>Philippinen - hoch</v>
          </cell>
          <cell r="B54" t="str">
            <v>PHP</v>
          </cell>
          <cell r="C54">
            <v>156000</v>
          </cell>
          <cell r="D54">
            <v>202800.00000000003</v>
          </cell>
          <cell r="E54">
            <v>234000.00000000003</v>
          </cell>
          <cell r="F54">
            <v>390000.00000000006</v>
          </cell>
          <cell r="G54">
            <v>1092000</v>
          </cell>
          <cell r="H54">
            <v>936000.00000000012</v>
          </cell>
          <cell r="I54">
            <v>624000</v>
          </cell>
          <cell r="J54">
            <v>436800.00000000006</v>
          </cell>
          <cell r="K54">
            <v>1248000</v>
          </cell>
          <cell r="L54">
            <v>3900000</v>
          </cell>
          <cell r="M54">
            <v>8190000</v>
          </cell>
          <cell r="N54" t="b">
            <v>0</v>
          </cell>
          <cell r="O54">
            <v>1.07</v>
          </cell>
          <cell r="P54">
            <v>1.07</v>
          </cell>
        </row>
        <row r="55">
          <cell r="A55" t="str">
            <v>Philippinen - mittel</v>
          </cell>
          <cell r="B55" t="str">
            <v>PHP</v>
          </cell>
          <cell r="C55">
            <v>120000.00000000001</v>
          </cell>
          <cell r="D55">
            <v>156000</v>
          </cell>
          <cell r="E55">
            <v>180000</v>
          </cell>
          <cell r="F55">
            <v>300000</v>
          </cell>
          <cell r="G55">
            <v>840000</v>
          </cell>
          <cell r="H55">
            <v>720000</v>
          </cell>
          <cell r="I55">
            <v>480000.00000000006</v>
          </cell>
          <cell r="J55">
            <v>336000.00000000006</v>
          </cell>
          <cell r="K55">
            <v>960000.00000000012</v>
          </cell>
          <cell r="L55">
            <v>3000000</v>
          </cell>
          <cell r="M55">
            <v>6300000.0000000009</v>
          </cell>
          <cell r="P55">
            <v>1.07</v>
          </cell>
        </row>
        <row r="56">
          <cell r="A56" t="str">
            <v>Philippinen - niedrig</v>
          </cell>
          <cell r="B56" t="str">
            <v>PHP</v>
          </cell>
          <cell r="C56">
            <v>72000</v>
          </cell>
          <cell r="D56">
            <v>93600</v>
          </cell>
          <cell r="E56">
            <v>108000.00000000001</v>
          </cell>
          <cell r="F56">
            <v>180000</v>
          </cell>
          <cell r="G56">
            <v>504000</v>
          </cell>
          <cell r="H56">
            <v>432000.00000000006</v>
          </cell>
          <cell r="I56">
            <v>288000</v>
          </cell>
          <cell r="J56">
            <v>201600</v>
          </cell>
          <cell r="K56">
            <v>576000</v>
          </cell>
          <cell r="L56">
            <v>1800000</v>
          </cell>
          <cell r="M56">
            <v>3780000</v>
          </cell>
          <cell r="P56">
            <v>1.07</v>
          </cell>
        </row>
        <row r="57">
          <cell r="A57" t="str">
            <v>Polen - hoch</v>
          </cell>
          <cell r="B57" t="str">
            <v>PLN</v>
          </cell>
          <cell r="C57">
            <v>32280</v>
          </cell>
          <cell r="D57">
            <v>44880</v>
          </cell>
          <cell r="E57">
            <v>58800</v>
          </cell>
          <cell r="F57">
            <v>70200</v>
          </cell>
          <cell r="G57">
            <v>50544</v>
          </cell>
          <cell r="H57">
            <v>63180</v>
          </cell>
          <cell r="I57">
            <v>45636</v>
          </cell>
          <cell r="J57">
            <v>35808</v>
          </cell>
          <cell r="K57">
            <v>76524</v>
          </cell>
          <cell r="L57">
            <v>140400</v>
          </cell>
          <cell r="M57">
            <v>223584</v>
          </cell>
          <cell r="N57" t="b">
            <v>0</v>
          </cell>
          <cell r="O57">
            <v>1.10985</v>
          </cell>
          <cell r="P57">
            <v>1.10985</v>
          </cell>
        </row>
        <row r="58">
          <cell r="A58" t="str">
            <v>Polen - mittel</v>
          </cell>
          <cell r="B58" t="str">
            <v>PLN</v>
          </cell>
          <cell r="C58">
            <v>27600</v>
          </cell>
          <cell r="D58">
            <v>38400</v>
          </cell>
          <cell r="E58">
            <v>50400</v>
          </cell>
          <cell r="F58">
            <v>60000</v>
          </cell>
          <cell r="G58">
            <v>43200</v>
          </cell>
          <cell r="H58">
            <v>54000</v>
          </cell>
          <cell r="I58">
            <v>39000</v>
          </cell>
          <cell r="J58">
            <v>30600</v>
          </cell>
          <cell r="K58">
            <v>65400</v>
          </cell>
          <cell r="L58">
            <v>120000</v>
          </cell>
          <cell r="M58">
            <v>191100</v>
          </cell>
          <cell r="P58">
            <v>1.10985</v>
          </cell>
        </row>
        <row r="59">
          <cell r="A59" t="str">
            <v>Polen - niedrig</v>
          </cell>
          <cell r="B59" t="str">
            <v>PLN</v>
          </cell>
          <cell r="C59">
            <v>23519.999999999996</v>
          </cell>
          <cell r="D59">
            <v>32640</v>
          </cell>
          <cell r="E59">
            <v>42840</v>
          </cell>
          <cell r="F59">
            <v>51000</v>
          </cell>
          <cell r="G59">
            <v>36720</v>
          </cell>
          <cell r="H59">
            <v>45900</v>
          </cell>
          <cell r="I59">
            <v>33156</v>
          </cell>
          <cell r="J59">
            <v>26016</v>
          </cell>
          <cell r="K59">
            <v>55560</v>
          </cell>
          <cell r="L59">
            <v>102000</v>
          </cell>
          <cell r="M59">
            <v>162432</v>
          </cell>
          <cell r="P59">
            <v>1.10985</v>
          </cell>
        </row>
        <row r="60">
          <cell r="A60" t="str">
            <v>Rumänien - hoch</v>
          </cell>
          <cell r="B60" t="str">
            <v>RON</v>
          </cell>
          <cell r="C60">
            <v>23000</v>
          </cell>
          <cell r="D60">
            <v>38000</v>
          </cell>
          <cell r="E60">
            <v>52000</v>
          </cell>
          <cell r="F60">
            <v>71000</v>
          </cell>
          <cell r="G60">
            <v>91000</v>
          </cell>
          <cell r="H60">
            <v>91000</v>
          </cell>
          <cell r="I60">
            <v>92000</v>
          </cell>
          <cell r="J60">
            <v>82000</v>
          </cell>
          <cell r="K60">
            <v>220000</v>
          </cell>
          <cell r="L60">
            <v>270000</v>
          </cell>
          <cell r="M60">
            <v>450000</v>
          </cell>
          <cell r="N60" t="b">
            <v>0</v>
          </cell>
          <cell r="O60">
            <v>1</v>
          </cell>
          <cell r="P60">
            <v>1</v>
          </cell>
        </row>
        <row r="61">
          <cell r="A61" t="str">
            <v>Rumänien - mittel</v>
          </cell>
          <cell r="B61" t="str">
            <v>RON</v>
          </cell>
          <cell r="C61">
            <v>16000</v>
          </cell>
          <cell r="D61">
            <v>23000</v>
          </cell>
          <cell r="E61">
            <v>46000</v>
          </cell>
          <cell r="F61">
            <v>62000</v>
          </cell>
          <cell r="G61">
            <v>81000</v>
          </cell>
          <cell r="H61">
            <v>91000</v>
          </cell>
          <cell r="I61">
            <v>68000</v>
          </cell>
          <cell r="J61">
            <v>68000</v>
          </cell>
          <cell r="K61">
            <v>180000</v>
          </cell>
          <cell r="L61">
            <v>225000</v>
          </cell>
          <cell r="M61">
            <v>270000</v>
          </cell>
          <cell r="P61">
            <v>1</v>
          </cell>
        </row>
        <row r="62">
          <cell r="A62" t="str">
            <v>Rumänien - niedrig</v>
          </cell>
          <cell r="B62" t="str">
            <v>RON</v>
          </cell>
          <cell r="C62">
            <v>10500</v>
          </cell>
          <cell r="D62">
            <v>16000</v>
          </cell>
          <cell r="E62">
            <v>23000</v>
          </cell>
          <cell r="F62">
            <v>51000</v>
          </cell>
          <cell r="G62">
            <v>57000</v>
          </cell>
          <cell r="H62">
            <v>63000</v>
          </cell>
          <cell r="I62">
            <v>54000</v>
          </cell>
          <cell r="J62">
            <v>46000</v>
          </cell>
          <cell r="K62">
            <v>160000</v>
          </cell>
          <cell r="L62">
            <v>165000</v>
          </cell>
          <cell r="M62">
            <v>225000</v>
          </cell>
          <cell r="P62">
            <v>1</v>
          </cell>
        </row>
        <row r="63">
          <cell r="A63" t="str">
            <v>Russland - hoch</v>
          </cell>
          <cell r="B63" t="str">
            <v>RUB</v>
          </cell>
          <cell r="C63">
            <v>408000</v>
          </cell>
          <cell r="D63">
            <v>648000</v>
          </cell>
          <cell r="E63">
            <v>1116000</v>
          </cell>
          <cell r="F63">
            <v>1836000</v>
          </cell>
          <cell r="G63">
            <v>1104000</v>
          </cell>
          <cell r="H63">
            <v>1476000</v>
          </cell>
          <cell r="I63">
            <v>744000</v>
          </cell>
          <cell r="J63">
            <v>960000</v>
          </cell>
          <cell r="K63">
            <v>3000000</v>
          </cell>
          <cell r="L63">
            <v>3840000</v>
          </cell>
          <cell r="M63">
            <v>6900000</v>
          </cell>
          <cell r="N63" t="b">
            <v>0</v>
          </cell>
          <cell r="O63">
            <v>1.1499999999999999</v>
          </cell>
          <cell r="P63">
            <v>1.1499999999999999</v>
          </cell>
        </row>
        <row r="64">
          <cell r="A64" t="str">
            <v>Russland - mittel</v>
          </cell>
          <cell r="B64" t="str">
            <v>RUB</v>
          </cell>
          <cell r="C64">
            <v>324000</v>
          </cell>
          <cell r="D64">
            <v>468000</v>
          </cell>
          <cell r="E64">
            <v>744000</v>
          </cell>
          <cell r="F64">
            <v>1632000</v>
          </cell>
          <cell r="G64">
            <v>900000</v>
          </cell>
          <cell r="H64">
            <v>984000</v>
          </cell>
          <cell r="I64">
            <v>648000</v>
          </cell>
          <cell r="J64">
            <v>648000</v>
          </cell>
          <cell r="K64">
            <v>1560000</v>
          </cell>
          <cell r="L64">
            <v>3360000</v>
          </cell>
          <cell r="M64">
            <v>5040000</v>
          </cell>
          <cell r="P64">
            <v>1.1499999999999999</v>
          </cell>
        </row>
        <row r="65">
          <cell r="A65" t="str">
            <v>Russland - niedrig</v>
          </cell>
          <cell r="B65" t="str">
            <v>RUB</v>
          </cell>
          <cell r="C65">
            <v>204000</v>
          </cell>
          <cell r="D65">
            <v>300000</v>
          </cell>
          <cell r="E65">
            <v>324000</v>
          </cell>
          <cell r="F65">
            <v>1020000</v>
          </cell>
          <cell r="G65">
            <v>636000</v>
          </cell>
          <cell r="H65">
            <v>576000</v>
          </cell>
          <cell r="I65">
            <v>420000</v>
          </cell>
          <cell r="J65">
            <v>420000</v>
          </cell>
          <cell r="K65">
            <v>1140000</v>
          </cell>
          <cell r="L65">
            <v>2040000</v>
          </cell>
          <cell r="M65">
            <v>3360000</v>
          </cell>
          <cell r="P65">
            <v>1.1499999999999999</v>
          </cell>
        </row>
        <row r="66">
          <cell r="A66" t="str">
            <v>Slowakei - hoch</v>
          </cell>
          <cell r="B66" t="str">
            <v>EUR</v>
          </cell>
          <cell r="C66">
            <v>7200</v>
          </cell>
          <cell r="D66">
            <v>9600</v>
          </cell>
          <cell r="E66">
            <v>13200</v>
          </cell>
          <cell r="F66">
            <v>15600</v>
          </cell>
          <cell r="G66">
            <v>15600</v>
          </cell>
          <cell r="H66">
            <v>19200</v>
          </cell>
          <cell r="I66">
            <v>10320</v>
          </cell>
          <cell r="J66">
            <v>9780</v>
          </cell>
          <cell r="K66">
            <v>27600</v>
          </cell>
          <cell r="L66">
            <v>24000</v>
          </cell>
          <cell r="M66">
            <v>44400</v>
          </cell>
          <cell r="N66">
            <v>10356</v>
          </cell>
          <cell r="O66">
            <v>1.056748</v>
          </cell>
          <cell r="P66">
            <v>1.056748</v>
          </cell>
        </row>
        <row r="67">
          <cell r="A67" t="str">
            <v>Slowakei - mittel</v>
          </cell>
          <cell r="B67" t="str">
            <v>EUR</v>
          </cell>
          <cell r="C67">
            <v>7200</v>
          </cell>
          <cell r="D67">
            <v>9600</v>
          </cell>
          <cell r="E67">
            <v>13200</v>
          </cell>
          <cell r="F67">
            <v>15600</v>
          </cell>
          <cell r="G67">
            <v>15600</v>
          </cell>
          <cell r="H67">
            <v>19200</v>
          </cell>
          <cell r="I67">
            <v>10320</v>
          </cell>
          <cell r="J67">
            <v>9780</v>
          </cell>
          <cell r="K67">
            <v>27600</v>
          </cell>
          <cell r="L67">
            <v>24000</v>
          </cell>
          <cell r="M67">
            <v>44400</v>
          </cell>
          <cell r="P67">
            <v>1.056748</v>
          </cell>
        </row>
        <row r="68">
          <cell r="A68" t="str">
            <v>Slowakei - niedrig</v>
          </cell>
          <cell r="B68" t="str">
            <v>EUR</v>
          </cell>
          <cell r="C68">
            <v>7200</v>
          </cell>
          <cell r="D68">
            <v>9600</v>
          </cell>
          <cell r="E68">
            <v>13200</v>
          </cell>
          <cell r="F68">
            <v>15600</v>
          </cell>
          <cell r="G68">
            <v>15600</v>
          </cell>
          <cell r="H68">
            <v>19200</v>
          </cell>
          <cell r="I68">
            <v>10320</v>
          </cell>
          <cell r="J68">
            <v>9780</v>
          </cell>
          <cell r="K68">
            <v>27600</v>
          </cell>
          <cell r="L68">
            <v>24000</v>
          </cell>
          <cell r="M68">
            <v>44400</v>
          </cell>
          <cell r="P68">
            <v>1.056748</v>
          </cell>
        </row>
        <row r="69">
          <cell r="A69" t="str">
            <v>Slowenien - hoch</v>
          </cell>
          <cell r="B69" t="str">
            <v>EUR</v>
          </cell>
          <cell r="C69">
            <v>12500</v>
          </cell>
          <cell r="D69">
            <v>15140</v>
          </cell>
          <cell r="E69">
            <v>16700</v>
          </cell>
          <cell r="F69">
            <v>22050</v>
          </cell>
          <cell r="G69">
            <v>0</v>
          </cell>
          <cell r="H69">
            <v>0</v>
          </cell>
          <cell r="I69">
            <v>0</v>
          </cell>
          <cell r="J69">
            <v>0</v>
          </cell>
          <cell r="K69">
            <v>0</v>
          </cell>
          <cell r="L69">
            <v>0</v>
          </cell>
          <cell r="M69">
            <v>0</v>
          </cell>
          <cell r="N69" t="b">
            <v>0</v>
          </cell>
          <cell r="O69">
            <v>1</v>
          </cell>
          <cell r="P69">
            <v>1</v>
          </cell>
        </row>
        <row r="70">
          <cell r="A70" t="str">
            <v>Slowenien - mittel</v>
          </cell>
          <cell r="B70" t="str">
            <v>EUR</v>
          </cell>
          <cell r="C70">
            <v>10350</v>
          </cell>
          <cell r="D70">
            <v>12500</v>
          </cell>
          <cell r="E70">
            <v>15450</v>
          </cell>
          <cell r="F70">
            <v>18200</v>
          </cell>
          <cell r="G70">
            <v>15650</v>
          </cell>
          <cell r="H70">
            <v>18750</v>
          </cell>
          <cell r="I70">
            <v>14250</v>
          </cell>
          <cell r="J70">
            <v>16550</v>
          </cell>
          <cell r="K70">
            <v>66000</v>
          </cell>
          <cell r="L70">
            <v>86500</v>
          </cell>
          <cell r="M70">
            <v>115500</v>
          </cell>
          <cell r="P70">
            <v>1</v>
          </cell>
        </row>
        <row r="71">
          <cell r="A71" t="str">
            <v>Slowenien - niedrig</v>
          </cell>
          <cell r="B71" t="str">
            <v>EUR</v>
          </cell>
          <cell r="C71">
            <v>9550</v>
          </cell>
          <cell r="D71">
            <v>11600</v>
          </cell>
          <cell r="E71">
            <v>14300</v>
          </cell>
          <cell r="F71">
            <v>16850</v>
          </cell>
          <cell r="G71">
            <v>0</v>
          </cell>
          <cell r="H71">
            <v>0</v>
          </cell>
          <cell r="I71">
            <v>0</v>
          </cell>
          <cell r="J71">
            <v>0</v>
          </cell>
          <cell r="K71">
            <v>0</v>
          </cell>
          <cell r="L71">
            <v>0</v>
          </cell>
          <cell r="M71">
            <v>0</v>
          </cell>
          <cell r="P71">
            <v>1</v>
          </cell>
        </row>
        <row r="72">
          <cell r="A72" t="str">
            <v>Spanien - hoch</v>
          </cell>
          <cell r="B72" t="str">
            <v>EUR</v>
          </cell>
          <cell r="C72">
            <v>23330.027000000002</v>
          </cell>
          <cell r="D72">
            <v>28076.587</v>
          </cell>
          <cell r="E72">
            <v>34275.64</v>
          </cell>
          <cell r="F72">
            <v>41745.767</v>
          </cell>
          <cell r="G72">
            <v>58785.461000000003</v>
          </cell>
          <cell r="H72">
            <v>48382.964</v>
          </cell>
          <cell r="I72">
            <v>42987.175000000003</v>
          </cell>
          <cell r="J72">
            <v>40623.023000000001</v>
          </cell>
          <cell r="K72">
            <v>82489.736000000004</v>
          </cell>
          <cell r="L72">
            <v>227179.946</v>
          </cell>
          <cell r="M72">
            <v>278092.50699999998</v>
          </cell>
          <cell r="N72" t="b">
            <v>0</v>
          </cell>
          <cell r="O72">
            <v>1.01</v>
          </cell>
          <cell r="P72">
            <v>1.01</v>
          </cell>
        </row>
        <row r="73">
          <cell r="A73" t="str">
            <v>Spanien - mittel</v>
          </cell>
          <cell r="B73" t="str">
            <v>EUR</v>
          </cell>
          <cell r="C73">
            <v>20447</v>
          </cell>
          <cell r="D73">
            <v>24607</v>
          </cell>
          <cell r="E73">
            <v>30040</v>
          </cell>
          <cell r="F73">
            <v>36587</v>
          </cell>
          <cell r="G73">
            <v>51521</v>
          </cell>
          <cell r="H73">
            <v>42404</v>
          </cell>
          <cell r="I73">
            <v>37675</v>
          </cell>
          <cell r="J73">
            <v>35603</v>
          </cell>
          <cell r="K73">
            <v>72296</v>
          </cell>
          <cell r="L73">
            <v>199106</v>
          </cell>
          <cell r="M73">
            <v>243727</v>
          </cell>
          <cell r="P73">
            <v>1.01</v>
          </cell>
        </row>
        <row r="74">
          <cell r="A74" t="str">
            <v>Spanien - niedrig</v>
          </cell>
          <cell r="B74" t="str">
            <v>EUR</v>
          </cell>
          <cell r="C74">
            <v>18116.042000000001</v>
          </cell>
          <cell r="D74">
            <v>21801.802</v>
          </cell>
          <cell r="E74">
            <v>26615.439999999999</v>
          </cell>
          <cell r="F74">
            <v>32416.082000000002</v>
          </cell>
          <cell r="G74">
            <v>45647.606</v>
          </cell>
          <cell r="H74">
            <v>37569.944000000003</v>
          </cell>
          <cell r="I74">
            <v>33380.050000000003</v>
          </cell>
          <cell r="J74">
            <v>31544.258000000002</v>
          </cell>
          <cell r="K74">
            <v>64054.256000000001</v>
          </cell>
          <cell r="L74">
            <v>176407.916</v>
          </cell>
          <cell r="M74">
            <v>215942.122</v>
          </cell>
          <cell r="P74">
            <v>1.01</v>
          </cell>
        </row>
        <row r="75">
          <cell r="A75" t="str">
            <v>Südafrika - hoch</v>
          </cell>
          <cell r="B75" t="str">
            <v>ZAR</v>
          </cell>
          <cell r="C75">
            <v>108284</v>
          </cell>
          <cell r="D75">
            <v>133695</v>
          </cell>
          <cell r="E75">
            <v>160421</v>
          </cell>
          <cell r="F75">
            <v>192513</v>
          </cell>
          <cell r="G75">
            <v>800000</v>
          </cell>
          <cell r="H75">
            <v>600000</v>
          </cell>
          <cell r="I75">
            <v>216000</v>
          </cell>
          <cell r="J75">
            <v>330000</v>
          </cell>
          <cell r="K75">
            <v>820000</v>
          </cell>
          <cell r="L75">
            <v>0</v>
          </cell>
          <cell r="M75">
            <v>0</v>
          </cell>
          <cell r="N75" t="b">
            <v>0</v>
          </cell>
          <cell r="O75">
            <v>1</v>
          </cell>
          <cell r="P75">
            <v>1</v>
          </cell>
        </row>
        <row r="76">
          <cell r="A76" t="str">
            <v>Südafrika - mittel</v>
          </cell>
          <cell r="B76" t="str">
            <v>ZAR</v>
          </cell>
          <cell r="C76">
            <v>108284</v>
          </cell>
          <cell r="D76">
            <v>133695</v>
          </cell>
          <cell r="E76">
            <v>160421</v>
          </cell>
          <cell r="F76">
            <v>192513</v>
          </cell>
          <cell r="G76">
            <v>680000</v>
          </cell>
          <cell r="H76">
            <v>475000</v>
          </cell>
          <cell r="I76">
            <v>180000</v>
          </cell>
          <cell r="J76">
            <v>285000</v>
          </cell>
          <cell r="K76">
            <v>650000</v>
          </cell>
          <cell r="L76">
            <v>0</v>
          </cell>
          <cell r="M76">
            <v>0</v>
          </cell>
          <cell r="P76">
            <v>1</v>
          </cell>
        </row>
        <row r="77">
          <cell r="A77" t="str">
            <v>Südafrika - niedrig</v>
          </cell>
          <cell r="B77" t="str">
            <v>ZAR</v>
          </cell>
          <cell r="C77">
            <v>108284</v>
          </cell>
          <cell r="D77">
            <v>133695</v>
          </cell>
          <cell r="E77">
            <v>160421</v>
          </cell>
          <cell r="F77">
            <v>192513</v>
          </cell>
          <cell r="G77">
            <v>560000</v>
          </cell>
          <cell r="H77">
            <v>350000</v>
          </cell>
          <cell r="I77">
            <v>144000</v>
          </cell>
          <cell r="J77">
            <v>240000</v>
          </cell>
          <cell r="K77">
            <v>500000</v>
          </cell>
          <cell r="L77">
            <v>0</v>
          </cell>
          <cell r="M77">
            <v>0</v>
          </cell>
          <cell r="P77">
            <v>1</v>
          </cell>
        </row>
        <row r="78">
          <cell r="A78" t="str">
            <v>Süd-Korea - hoch</v>
          </cell>
          <cell r="B78" t="str">
            <v>KRW</v>
          </cell>
          <cell r="C78">
            <v>16363080</v>
          </cell>
          <cell r="D78">
            <v>29887800</v>
          </cell>
          <cell r="E78">
            <v>37683480</v>
          </cell>
          <cell r="F78">
            <v>69297840</v>
          </cell>
          <cell r="G78">
            <v>43634880</v>
          </cell>
          <cell r="H78">
            <v>55838520</v>
          </cell>
          <cell r="I78">
            <v>28108920</v>
          </cell>
          <cell r="J78">
            <v>33092399.999999996</v>
          </cell>
          <cell r="K78">
            <v>72410880</v>
          </cell>
          <cell r="L78">
            <v>152839800.00000003</v>
          </cell>
          <cell r="M78">
            <v>152839800.00000003</v>
          </cell>
          <cell r="N78">
            <v>27900000</v>
          </cell>
          <cell r="O78">
            <v>1.0605</v>
          </cell>
          <cell r="P78">
            <v>1.0605</v>
          </cell>
        </row>
        <row r="79">
          <cell r="A79" t="str">
            <v>Süd-Korea - mittel</v>
          </cell>
          <cell r="B79" t="str">
            <v>KRW</v>
          </cell>
          <cell r="C79">
            <v>15011999.999999998</v>
          </cell>
          <cell r="D79">
            <v>27419999.999999996</v>
          </cell>
          <cell r="E79">
            <v>34572000</v>
          </cell>
          <cell r="F79">
            <v>63575999.999999993</v>
          </cell>
          <cell r="G79">
            <v>40032000</v>
          </cell>
          <cell r="H79">
            <v>51228000</v>
          </cell>
          <cell r="I79">
            <v>25788000</v>
          </cell>
          <cell r="J79">
            <v>30360000</v>
          </cell>
          <cell r="K79">
            <v>66432000</v>
          </cell>
          <cell r="L79">
            <v>140220000</v>
          </cell>
          <cell r="M79">
            <v>140220000</v>
          </cell>
          <cell r="P79">
            <v>1.0605</v>
          </cell>
        </row>
        <row r="80">
          <cell r="A80" t="str">
            <v>Süd-Korea - niedrig</v>
          </cell>
          <cell r="B80" t="str">
            <v>KRW</v>
          </cell>
          <cell r="C80">
            <v>13510800</v>
          </cell>
          <cell r="D80">
            <v>24678000</v>
          </cell>
          <cell r="E80">
            <v>31114799.999999996</v>
          </cell>
          <cell r="F80">
            <v>57218399.999999993</v>
          </cell>
          <cell r="G80">
            <v>36028800</v>
          </cell>
          <cell r="H80">
            <v>46105200</v>
          </cell>
          <cell r="I80">
            <v>23209199.999999996</v>
          </cell>
          <cell r="J80">
            <v>27324000</v>
          </cell>
          <cell r="K80">
            <v>59788800</v>
          </cell>
          <cell r="L80">
            <v>126197999.99999999</v>
          </cell>
          <cell r="M80">
            <v>126197999.99999999</v>
          </cell>
          <cell r="P80">
            <v>1.0605</v>
          </cell>
        </row>
        <row r="81">
          <cell r="A81" t="str">
            <v>Tschechien - hoch</v>
          </cell>
          <cell r="B81" t="str">
            <v>CZK</v>
          </cell>
          <cell r="C81">
            <v>291600</v>
          </cell>
          <cell r="D81">
            <v>384000</v>
          </cell>
          <cell r="E81">
            <v>438000.00000000006</v>
          </cell>
          <cell r="F81">
            <v>386400</v>
          </cell>
          <cell r="G81">
            <v>518400</v>
          </cell>
          <cell r="H81">
            <v>458400</v>
          </cell>
          <cell r="I81">
            <v>320400</v>
          </cell>
          <cell r="J81">
            <v>278400</v>
          </cell>
          <cell r="K81">
            <v>675600</v>
          </cell>
          <cell r="L81">
            <v>727200</v>
          </cell>
          <cell r="M81">
            <v>1286400</v>
          </cell>
          <cell r="N81">
            <v>285564</v>
          </cell>
          <cell r="O81">
            <v>1.04244</v>
          </cell>
          <cell r="P81">
            <v>1.04244</v>
          </cell>
        </row>
        <row r="82">
          <cell r="A82" t="str">
            <v>Tschechien - mittel</v>
          </cell>
          <cell r="B82" t="str">
            <v>CZK</v>
          </cell>
          <cell r="C82">
            <v>301200</v>
          </cell>
          <cell r="D82">
            <v>292799.99999999994</v>
          </cell>
          <cell r="E82">
            <v>326400</v>
          </cell>
          <cell r="F82">
            <v>386400</v>
          </cell>
          <cell r="G82">
            <v>450000</v>
          </cell>
          <cell r="H82">
            <v>456000</v>
          </cell>
          <cell r="I82">
            <v>230400</v>
          </cell>
          <cell r="J82">
            <v>272400</v>
          </cell>
          <cell r="K82">
            <v>613200</v>
          </cell>
          <cell r="L82">
            <v>597600</v>
          </cell>
          <cell r="M82">
            <v>998400</v>
          </cell>
          <cell r="P82">
            <v>1.04244</v>
          </cell>
        </row>
        <row r="83">
          <cell r="A83" t="str">
            <v>Tschechien - niedrig</v>
          </cell>
          <cell r="B83" t="str">
            <v>CZK</v>
          </cell>
          <cell r="C83">
            <v>222000</v>
          </cell>
          <cell r="D83">
            <v>276000</v>
          </cell>
          <cell r="E83">
            <v>300000</v>
          </cell>
          <cell r="F83">
            <v>386400</v>
          </cell>
          <cell r="G83">
            <v>385200</v>
          </cell>
          <cell r="H83">
            <v>356400</v>
          </cell>
          <cell r="I83">
            <v>258000</v>
          </cell>
          <cell r="J83">
            <v>259200</v>
          </cell>
          <cell r="K83">
            <v>541200</v>
          </cell>
          <cell r="L83">
            <v>562800.00000000012</v>
          </cell>
          <cell r="M83">
            <v>1054800</v>
          </cell>
          <cell r="P83">
            <v>1.04244</v>
          </cell>
        </row>
        <row r="84">
          <cell r="A84" t="str">
            <v>Tunesien - hoch</v>
          </cell>
          <cell r="B84" t="str">
            <v>TND</v>
          </cell>
          <cell r="C84">
            <v>4420</v>
          </cell>
          <cell r="D84">
            <v>7066</v>
          </cell>
          <cell r="E84">
            <v>12825</v>
          </cell>
          <cell r="F84">
            <v>18319</v>
          </cell>
          <cell r="G84">
            <v>25515</v>
          </cell>
          <cell r="H84">
            <v>0</v>
          </cell>
          <cell r="I84">
            <v>12365</v>
          </cell>
          <cell r="J84">
            <v>12365</v>
          </cell>
          <cell r="K84">
            <v>0</v>
          </cell>
          <cell r="L84">
            <v>52340</v>
          </cell>
          <cell r="M84">
            <v>130850</v>
          </cell>
          <cell r="N84" t="b">
            <v>0</v>
          </cell>
          <cell r="O84">
            <v>1</v>
          </cell>
          <cell r="P84">
            <v>1</v>
          </cell>
        </row>
        <row r="85">
          <cell r="A85" t="str">
            <v>Tunesien - mittel</v>
          </cell>
          <cell r="B85" t="str">
            <v>TND</v>
          </cell>
          <cell r="C85">
            <v>4420</v>
          </cell>
          <cell r="D85">
            <v>7066</v>
          </cell>
          <cell r="E85">
            <v>12825</v>
          </cell>
          <cell r="F85">
            <v>18319</v>
          </cell>
          <cell r="G85">
            <v>25515</v>
          </cell>
          <cell r="H85">
            <v>0</v>
          </cell>
          <cell r="I85">
            <v>12365</v>
          </cell>
          <cell r="J85">
            <v>12365</v>
          </cell>
          <cell r="K85">
            <v>0</v>
          </cell>
          <cell r="L85">
            <v>52340</v>
          </cell>
          <cell r="M85">
            <v>130850</v>
          </cell>
          <cell r="P85">
            <v>1</v>
          </cell>
        </row>
        <row r="86">
          <cell r="A86" t="str">
            <v>Tunesien - niedrig</v>
          </cell>
          <cell r="B86" t="str">
            <v>TND</v>
          </cell>
          <cell r="C86">
            <v>2652</v>
          </cell>
          <cell r="D86">
            <v>4239.5999999999995</v>
          </cell>
          <cell r="E86">
            <v>7695</v>
          </cell>
          <cell r="F86">
            <v>10991.4</v>
          </cell>
          <cell r="G86">
            <v>15309</v>
          </cell>
          <cell r="H86">
            <v>0</v>
          </cell>
          <cell r="I86">
            <v>7419</v>
          </cell>
          <cell r="J86">
            <v>7419</v>
          </cell>
          <cell r="K86">
            <v>0</v>
          </cell>
          <cell r="L86">
            <v>31404</v>
          </cell>
          <cell r="M86">
            <v>78510</v>
          </cell>
          <cell r="P86">
            <v>1</v>
          </cell>
        </row>
        <row r="87">
          <cell r="A87" t="str">
            <v>Türkei - hoch</v>
          </cell>
          <cell r="B87" t="str">
            <v>TRY</v>
          </cell>
          <cell r="C87">
            <v>19225</v>
          </cell>
          <cell r="D87">
            <v>26023</v>
          </cell>
          <cell r="E87">
            <v>31617</v>
          </cell>
          <cell r="F87">
            <v>37559</v>
          </cell>
          <cell r="G87">
            <v>55220</v>
          </cell>
          <cell r="H87">
            <v>57438</v>
          </cell>
          <cell r="I87">
            <v>48270</v>
          </cell>
          <cell r="J87">
            <v>27313</v>
          </cell>
          <cell r="K87">
            <v>64985</v>
          </cell>
          <cell r="L87">
            <v>353614</v>
          </cell>
          <cell r="M87">
            <v>577264</v>
          </cell>
          <cell r="N87" t="b">
            <v>0</v>
          </cell>
          <cell r="O87">
            <v>1.075</v>
          </cell>
          <cell r="P87">
            <v>1.075</v>
          </cell>
        </row>
        <row r="88">
          <cell r="A88" t="str">
            <v>Türkei - mittel</v>
          </cell>
          <cell r="B88" t="str">
            <v>TRY</v>
          </cell>
          <cell r="C88">
            <v>19225</v>
          </cell>
          <cell r="D88">
            <v>26023</v>
          </cell>
          <cell r="E88">
            <v>31617</v>
          </cell>
          <cell r="F88">
            <v>37559</v>
          </cell>
          <cell r="G88">
            <v>55220</v>
          </cell>
          <cell r="H88">
            <v>57438</v>
          </cell>
          <cell r="I88">
            <v>48270</v>
          </cell>
          <cell r="J88">
            <v>27313</v>
          </cell>
          <cell r="K88">
            <v>64985</v>
          </cell>
          <cell r="L88">
            <v>353614</v>
          </cell>
          <cell r="M88">
            <v>577264</v>
          </cell>
          <cell r="P88">
            <v>1.075</v>
          </cell>
        </row>
        <row r="89">
          <cell r="A89" t="str">
            <v>Türkei - niedrig</v>
          </cell>
          <cell r="B89" t="str">
            <v>TRY</v>
          </cell>
          <cell r="C89">
            <v>19225</v>
          </cell>
          <cell r="D89">
            <v>26023</v>
          </cell>
          <cell r="E89">
            <v>31617</v>
          </cell>
          <cell r="F89">
            <v>37559</v>
          </cell>
          <cell r="G89">
            <v>55220</v>
          </cell>
          <cell r="H89">
            <v>57438</v>
          </cell>
          <cell r="I89">
            <v>48270</v>
          </cell>
          <cell r="J89">
            <v>27313</v>
          </cell>
          <cell r="K89">
            <v>64985</v>
          </cell>
          <cell r="L89">
            <v>353614</v>
          </cell>
          <cell r="M89">
            <v>577264</v>
          </cell>
          <cell r="P89">
            <v>1.075</v>
          </cell>
        </row>
        <row r="90">
          <cell r="A90" t="str">
            <v>Ukraine - hoch</v>
          </cell>
          <cell r="B90" t="str">
            <v>UAH</v>
          </cell>
          <cell r="C90">
            <v>3000</v>
          </cell>
          <cell r="D90">
            <v>0</v>
          </cell>
          <cell r="E90">
            <v>0</v>
          </cell>
          <cell r="F90">
            <v>0</v>
          </cell>
          <cell r="G90">
            <v>16200</v>
          </cell>
          <cell r="H90">
            <v>15000</v>
          </cell>
          <cell r="I90">
            <v>5400</v>
          </cell>
          <cell r="J90">
            <v>9000</v>
          </cell>
          <cell r="K90">
            <v>31200</v>
          </cell>
          <cell r="L90">
            <v>0</v>
          </cell>
          <cell r="M90">
            <v>54000</v>
          </cell>
          <cell r="N90">
            <v>2633</v>
          </cell>
          <cell r="O90">
            <v>1.3086900000000001</v>
          </cell>
          <cell r="P90">
            <v>1.3086900000000001</v>
          </cell>
        </row>
        <row r="91">
          <cell r="A91" t="str">
            <v>Ukraine - mittel</v>
          </cell>
          <cell r="B91" t="str">
            <v>UAH</v>
          </cell>
          <cell r="C91">
            <v>2484</v>
          </cell>
          <cell r="D91">
            <v>0</v>
          </cell>
          <cell r="E91">
            <v>0</v>
          </cell>
          <cell r="F91">
            <v>0</v>
          </cell>
          <cell r="G91">
            <v>13368</v>
          </cell>
          <cell r="H91">
            <v>12384</v>
          </cell>
          <cell r="I91">
            <v>4464</v>
          </cell>
          <cell r="J91">
            <v>7428</v>
          </cell>
          <cell r="K91">
            <v>25740</v>
          </cell>
          <cell r="L91">
            <v>0</v>
          </cell>
          <cell r="M91">
            <v>44556</v>
          </cell>
          <cell r="P91">
            <v>1.3086900000000001</v>
          </cell>
        </row>
        <row r="92">
          <cell r="A92" t="str">
            <v>Ukraine - niedrig</v>
          </cell>
          <cell r="B92" t="str">
            <v>UAH</v>
          </cell>
          <cell r="C92">
            <v>1884</v>
          </cell>
          <cell r="D92">
            <v>0</v>
          </cell>
          <cell r="E92">
            <v>0</v>
          </cell>
          <cell r="F92">
            <v>0</v>
          </cell>
          <cell r="G92">
            <v>10128</v>
          </cell>
          <cell r="H92">
            <v>9048</v>
          </cell>
          <cell r="I92">
            <v>3384</v>
          </cell>
          <cell r="J92">
            <v>5628</v>
          </cell>
          <cell r="K92">
            <v>19500</v>
          </cell>
          <cell r="L92">
            <v>0</v>
          </cell>
          <cell r="M92">
            <v>33756</v>
          </cell>
          <cell r="P92">
            <v>1.3086900000000001</v>
          </cell>
        </row>
        <row r="93">
          <cell r="A93" t="str">
            <v>Ungarn - hoch</v>
          </cell>
          <cell r="B93" t="str">
            <v>HUF</v>
          </cell>
          <cell r="C93">
            <v>1712208</v>
          </cell>
          <cell r="D93">
            <v>1949064</v>
          </cell>
          <cell r="E93">
            <v>2097924</v>
          </cell>
          <cell r="F93">
            <v>3779112</v>
          </cell>
          <cell r="G93">
            <v>5520216</v>
          </cell>
          <cell r="H93">
            <v>5895432</v>
          </cell>
          <cell r="I93">
            <v>2924316</v>
          </cell>
          <cell r="J93">
            <v>6244500</v>
          </cell>
          <cell r="K93">
            <v>6964044</v>
          </cell>
          <cell r="L93">
            <v>7555884</v>
          </cell>
          <cell r="M93">
            <v>9128568</v>
          </cell>
          <cell r="N93" t="b">
            <v>0</v>
          </cell>
          <cell r="O93">
            <v>1.0856640000000002</v>
          </cell>
          <cell r="P93">
            <v>1.0856640000000002</v>
          </cell>
        </row>
        <row r="94">
          <cell r="A94" t="str">
            <v>Ungarn - mittel</v>
          </cell>
          <cell r="B94" t="str">
            <v>HUF</v>
          </cell>
          <cell r="C94">
            <v>1085892</v>
          </cell>
          <cell r="D94">
            <v>1236108</v>
          </cell>
          <cell r="E94">
            <v>1330512</v>
          </cell>
          <cell r="F94">
            <v>2396724</v>
          </cell>
          <cell r="G94">
            <v>3500952</v>
          </cell>
          <cell r="H94">
            <v>3738900.0000000005</v>
          </cell>
          <cell r="I94">
            <v>1854612</v>
          </cell>
          <cell r="J94">
            <v>3960288</v>
          </cell>
          <cell r="K94">
            <v>4416624</v>
          </cell>
          <cell r="L94">
            <v>4791972</v>
          </cell>
          <cell r="M94">
            <v>5789376</v>
          </cell>
          <cell r="P94">
            <v>1.0856640000000002</v>
          </cell>
        </row>
        <row r="95">
          <cell r="A95" t="str">
            <v>Ungarn - niedrig</v>
          </cell>
          <cell r="B95" t="str">
            <v>HUF</v>
          </cell>
          <cell r="C95">
            <v>995052</v>
          </cell>
          <cell r="D95">
            <v>1132716</v>
          </cell>
          <cell r="E95">
            <v>1219223.9999999998</v>
          </cell>
          <cell r="F95">
            <v>2196252</v>
          </cell>
          <cell r="G95">
            <v>3208104</v>
          </cell>
          <cell r="H95">
            <v>3426168</v>
          </cell>
          <cell r="I95">
            <v>1699488</v>
          </cell>
          <cell r="J95">
            <v>3629028</v>
          </cell>
          <cell r="K95">
            <v>4047192</v>
          </cell>
          <cell r="L95">
            <v>4391148</v>
          </cell>
          <cell r="M95">
            <v>5305116</v>
          </cell>
          <cell r="P95">
            <v>1.0856640000000002</v>
          </cell>
        </row>
        <row r="96">
          <cell r="A96" t="str">
            <v>USA - hoch</v>
          </cell>
          <cell r="B96" t="str">
            <v>USD</v>
          </cell>
          <cell r="C96">
            <v>25970</v>
          </cell>
          <cell r="D96">
            <v>46900</v>
          </cell>
          <cell r="E96">
            <v>54470</v>
          </cell>
          <cell r="F96">
            <v>64150</v>
          </cell>
          <cell r="G96">
            <v>83560</v>
          </cell>
          <cell r="H96">
            <v>71740</v>
          </cell>
          <cell r="I96">
            <v>34450</v>
          </cell>
          <cell r="J96">
            <v>37260</v>
          </cell>
          <cell r="K96">
            <v>116200</v>
          </cell>
          <cell r="L96">
            <v>120550</v>
          </cell>
          <cell r="M96">
            <v>180130</v>
          </cell>
          <cell r="N96" t="b">
            <v>0</v>
          </cell>
          <cell r="O96">
            <v>1.0495939999999999</v>
          </cell>
          <cell r="P96">
            <v>1.0495939999999999</v>
          </cell>
        </row>
        <row r="97">
          <cell r="A97" t="str">
            <v>USA - mittel</v>
          </cell>
          <cell r="B97" t="str">
            <v>USD</v>
          </cell>
          <cell r="C97">
            <v>23730</v>
          </cell>
          <cell r="D97">
            <v>38030</v>
          </cell>
          <cell r="E97">
            <v>46900</v>
          </cell>
          <cell r="F97">
            <v>55610</v>
          </cell>
          <cell r="G97">
            <v>72790</v>
          </cell>
          <cell r="H97">
            <v>64060</v>
          </cell>
          <cell r="I97">
            <v>31460</v>
          </cell>
          <cell r="J97">
            <v>33910</v>
          </cell>
          <cell r="K97">
            <v>110860</v>
          </cell>
          <cell r="L97">
            <v>118350</v>
          </cell>
          <cell r="M97">
            <v>201410</v>
          </cell>
          <cell r="P97">
            <v>1.0495939999999999</v>
          </cell>
        </row>
        <row r="98">
          <cell r="A98" t="str">
            <v>USA - niedrig</v>
          </cell>
          <cell r="B98" t="str">
            <v>USD</v>
          </cell>
          <cell r="C98">
            <v>22770</v>
          </cell>
          <cell r="D98">
            <v>32680</v>
          </cell>
          <cell r="E98">
            <v>41370</v>
          </cell>
          <cell r="F98">
            <v>58570</v>
          </cell>
          <cell r="G98">
            <v>68110</v>
          </cell>
          <cell r="H98">
            <v>79580</v>
          </cell>
          <cell r="I98">
            <v>31220</v>
          </cell>
          <cell r="J98">
            <v>30870</v>
          </cell>
          <cell r="K98">
            <v>117910</v>
          </cell>
          <cell r="L98">
            <v>100390</v>
          </cell>
          <cell r="M98">
            <v>171460</v>
          </cell>
          <cell r="P98">
            <v>1.0495939999999999</v>
          </cell>
        </row>
      </sheetData>
      <sheetData sheetId="7">
        <row r="2">
          <cell r="C2" t="str">
            <v>Ägypten</v>
          </cell>
          <cell r="D2" t="str">
            <v>EGP</v>
          </cell>
        </row>
        <row r="3">
          <cell r="C3" t="str">
            <v>Albanien</v>
          </cell>
          <cell r="D3" t="str">
            <v>ALL</v>
          </cell>
        </row>
        <row r="4">
          <cell r="C4" t="str">
            <v>Algerien</v>
          </cell>
          <cell r="D4" t="str">
            <v>DZD</v>
          </cell>
        </row>
        <row r="5">
          <cell r="C5" t="str">
            <v>Argentinien</v>
          </cell>
          <cell r="D5" t="str">
            <v>ARS</v>
          </cell>
        </row>
        <row r="6">
          <cell r="C6" t="str">
            <v>Argentinien - Buenos Aires (Hauptstadtbezirk)</v>
          </cell>
          <cell r="D6" t="str">
            <v>ARS</v>
          </cell>
        </row>
        <row r="7">
          <cell r="C7" t="str">
            <v>Argentinien - Córdoba</v>
          </cell>
          <cell r="D7" t="str">
            <v>ARS</v>
          </cell>
        </row>
        <row r="8">
          <cell r="C8" t="str">
            <v>Argentinien - Großraum Buenos Aires</v>
          </cell>
          <cell r="D8" t="str">
            <v>ARS</v>
          </cell>
        </row>
        <row r="9">
          <cell r="C9" t="str">
            <v>Argentinien - Santa Fe</v>
          </cell>
          <cell r="D9" t="str">
            <v>ARS</v>
          </cell>
        </row>
        <row r="10">
          <cell r="C10" t="str">
            <v>Australien</v>
          </cell>
          <cell r="D10" t="str">
            <v>AUD</v>
          </cell>
        </row>
        <row r="11">
          <cell r="C11" t="str">
            <v>Australien - Großraum Brisbane</v>
          </cell>
          <cell r="D11" t="str">
            <v>AUD</v>
          </cell>
        </row>
        <row r="12">
          <cell r="C12" t="str">
            <v>Australien - Melbourne</v>
          </cell>
          <cell r="D12" t="str">
            <v>AUD</v>
          </cell>
        </row>
        <row r="13">
          <cell r="C13" t="str">
            <v>Australien - Perth</v>
          </cell>
          <cell r="D13" t="str">
            <v>AUD</v>
          </cell>
        </row>
        <row r="14">
          <cell r="C14" t="str">
            <v>Australien - Sydney</v>
          </cell>
          <cell r="D14" t="str">
            <v>AUD</v>
          </cell>
        </row>
        <row r="15">
          <cell r="C15" t="str">
            <v>Belgien</v>
          </cell>
          <cell r="D15" t="str">
            <v>EUR</v>
          </cell>
        </row>
        <row r="16">
          <cell r="C16" t="str">
            <v>Belgien - Flandern</v>
          </cell>
          <cell r="D16" t="str">
            <v>EUR</v>
          </cell>
        </row>
        <row r="17">
          <cell r="C17" t="str">
            <v>Belgien - Region, Hauptstadt Brüssel</v>
          </cell>
          <cell r="D17" t="str">
            <v>EUR</v>
          </cell>
        </row>
        <row r="18">
          <cell r="C18" t="str">
            <v>Belgien - Wallonien</v>
          </cell>
          <cell r="D18" t="str">
            <v>EUR</v>
          </cell>
        </row>
        <row r="19">
          <cell r="C19" t="str">
            <v>Bosnien und Herzegowina</v>
          </cell>
          <cell r="D19" t="str">
            <v>BAM</v>
          </cell>
        </row>
        <row r="20">
          <cell r="C20" t="str">
            <v>Bosnien und Herzegowina - FBuH</v>
          </cell>
          <cell r="D20" t="str">
            <v>BAM</v>
          </cell>
        </row>
        <row r="21">
          <cell r="C21" t="str">
            <v>Bosnien und Herzegowina - Kanton Sarajevo</v>
          </cell>
          <cell r="D21" t="str">
            <v>BAM</v>
          </cell>
        </row>
        <row r="22">
          <cell r="C22" t="str">
            <v>Bosnien und Herzegowina - RS</v>
          </cell>
          <cell r="D22" t="str">
            <v>BAM</v>
          </cell>
        </row>
        <row r="23">
          <cell r="C23" t="str">
            <v>Brasilien - Amazonas</v>
          </cell>
          <cell r="D23" t="str">
            <v>BRL</v>
          </cell>
        </row>
        <row r="24">
          <cell r="C24" t="str">
            <v>Brasilien - Paraná</v>
          </cell>
          <cell r="D24" t="str">
            <v>BRL</v>
          </cell>
        </row>
        <row r="25">
          <cell r="C25" t="str">
            <v>Brasilien - Region Bahia (Salvador)</v>
          </cell>
          <cell r="D25" t="str">
            <v>BRL</v>
          </cell>
        </row>
        <row r="26">
          <cell r="C26" t="str">
            <v>Brasilien - Region Minas Gerais (Belo Horizonte)</v>
          </cell>
          <cell r="D26" t="str">
            <v>BRL</v>
          </cell>
        </row>
        <row r="27">
          <cell r="C27" t="str">
            <v>Brasilien - Region Pernambuco (Recife)</v>
          </cell>
          <cell r="D27" t="str">
            <v>BRL</v>
          </cell>
        </row>
        <row r="28">
          <cell r="C28" t="str">
            <v>Brasilien - Region Rio de Janeiro</v>
          </cell>
          <cell r="D28" t="str">
            <v>BRL</v>
          </cell>
        </row>
        <row r="29">
          <cell r="C29" t="str">
            <v>Brasilien - Region Rio Grande do Sul (Porto Alegre)</v>
          </cell>
          <cell r="D29" t="str">
            <v>BRL</v>
          </cell>
        </row>
        <row r="30">
          <cell r="C30" t="str">
            <v>Brasilien - Region Sao Paulo</v>
          </cell>
          <cell r="D30" t="str">
            <v>BRL</v>
          </cell>
        </row>
        <row r="31">
          <cell r="C31" t="str">
            <v>Brasilien - Santa Catarina</v>
          </cell>
          <cell r="D31" t="str">
            <v>BRL</v>
          </cell>
        </row>
        <row r="32">
          <cell r="C32" t="str">
            <v>Bulgarien</v>
          </cell>
          <cell r="D32" t="str">
            <v>BGN</v>
          </cell>
        </row>
        <row r="33">
          <cell r="C33" t="str">
            <v>Bulgarien - Nord-Osten</v>
          </cell>
          <cell r="D33" t="str">
            <v>BGN</v>
          </cell>
        </row>
        <row r="34">
          <cell r="C34" t="str">
            <v>Bulgarien - Nord-Westen</v>
          </cell>
          <cell r="D34" t="str">
            <v>BGN</v>
          </cell>
        </row>
        <row r="35">
          <cell r="C35" t="str">
            <v>Bulgarien - Sofia</v>
          </cell>
          <cell r="D35" t="str">
            <v>BGN</v>
          </cell>
        </row>
        <row r="36">
          <cell r="C36" t="str">
            <v>Bulgarien - Süd-Osten</v>
          </cell>
          <cell r="D36" t="str">
            <v>BGN</v>
          </cell>
        </row>
        <row r="37">
          <cell r="C37" t="str">
            <v>Bulgarien - Süd-Westen</v>
          </cell>
          <cell r="D37" t="str">
            <v>BGN</v>
          </cell>
        </row>
        <row r="38">
          <cell r="C38" t="str">
            <v>China - Beijing Region  (Nord)</v>
          </cell>
          <cell r="D38" t="str">
            <v>CNY</v>
          </cell>
        </row>
        <row r="39">
          <cell r="C39" t="str">
            <v>China - Changsha Region</v>
          </cell>
          <cell r="D39" t="str">
            <v>CNY</v>
          </cell>
        </row>
        <row r="40">
          <cell r="C40" t="str">
            <v>China - Chongqing</v>
          </cell>
          <cell r="D40" t="str">
            <v>CNY</v>
          </cell>
        </row>
        <row r="41">
          <cell r="C41" t="str">
            <v>China - Guangzhou Region  (Süd-Ost)</v>
          </cell>
          <cell r="D41" t="str">
            <v>CNY</v>
          </cell>
        </row>
        <row r="42">
          <cell r="C42" t="str">
            <v>China - Shanghai Region (Ost)</v>
          </cell>
          <cell r="D42" t="str">
            <v>CNY</v>
          </cell>
        </row>
        <row r="43">
          <cell r="C43" t="str">
            <v>China - Shenyang Region</v>
          </cell>
          <cell r="D43" t="str">
            <v>CNY</v>
          </cell>
        </row>
        <row r="44">
          <cell r="C44" t="str">
            <v>China - Wuxi Suzhou</v>
          </cell>
          <cell r="D44" t="str">
            <v>CNY</v>
          </cell>
        </row>
        <row r="45">
          <cell r="C45" t="str">
            <v>Dänemark</v>
          </cell>
          <cell r="D45" t="str">
            <v>DKK</v>
          </cell>
        </row>
        <row r="46">
          <cell r="C46" t="str">
            <v>Deutschland - Baden-Württemberg</v>
          </cell>
          <cell r="D46" t="str">
            <v>EUR</v>
          </cell>
        </row>
        <row r="47">
          <cell r="C47" t="str">
            <v>Deutschland - Baden-Württemberg Stuttgart</v>
          </cell>
          <cell r="D47" t="str">
            <v>EUR</v>
          </cell>
        </row>
        <row r="48">
          <cell r="C48" t="str">
            <v>Deutschland - Bayern</v>
          </cell>
          <cell r="D48" t="str">
            <v>EUR</v>
          </cell>
        </row>
        <row r="49">
          <cell r="C49" t="str">
            <v>Deutschland - Bayern München</v>
          </cell>
          <cell r="D49" t="str">
            <v>EUR</v>
          </cell>
        </row>
        <row r="50">
          <cell r="C50" t="str">
            <v>Deutschland - Berlin</v>
          </cell>
          <cell r="D50" t="str">
            <v>EUR</v>
          </cell>
        </row>
        <row r="51">
          <cell r="C51" t="str">
            <v>Deutschland - Brandenburg</v>
          </cell>
          <cell r="D51" t="str">
            <v>EUR</v>
          </cell>
        </row>
        <row r="52">
          <cell r="C52" t="str">
            <v>Deutschland - Bremen</v>
          </cell>
          <cell r="D52" t="str">
            <v>EUR</v>
          </cell>
        </row>
        <row r="53">
          <cell r="C53" t="str">
            <v>Deutschland - Hamburg</v>
          </cell>
          <cell r="D53" t="str">
            <v>EUR</v>
          </cell>
        </row>
        <row r="54">
          <cell r="C54" t="str">
            <v>Deutschland - Hessen</v>
          </cell>
          <cell r="D54" t="str">
            <v>EUR</v>
          </cell>
        </row>
        <row r="55">
          <cell r="C55" t="str">
            <v>Deutschland - IGM - Baden-Württemberg</v>
          </cell>
          <cell r="D55" t="str">
            <v>EUR</v>
          </cell>
        </row>
        <row r="56">
          <cell r="C56" t="str">
            <v>Deutschland - IGM - Baden-Württemberg Stuttgart</v>
          </cell>
          <cell r="D56" t="str">
            <v>EUR</v>
          </cell>
        </row>
        <row r="57">
          <cell r="C57" t="str">
            <v>Deutschland - IGM - Bayern</v>
          </cell>
          <cell r="D57" t="str">
            <v>EUR</v>
          </cell>
        </row>
        <row r="58">
          <cell r="C58" t="str">
            <v>Deutschland - IGM - Bayern München</v>
          </cell>
          <cell r="D58" t="str">
            <v>EUR</v>
          </cell>
        </row>
        <row r="59">
          <cell r="C59" t="str">
            <v>Deutschland - IGM - Berlin</v>
          </cell>
          <cell r="D59" t="str">
            <v>EUR</v>
          </cell>
        </row>
        <row r="60">
          <cell r="C60" t="str">
            <v>Deutschland - IGM - Brandenburg</v>
          </cell>
          <cell r="D60" t="str">
            <v>EUR</v>
          </cell>
        </row>
        <row r="61">
          <cell r="C61" t="str">
            <v>Deutschland - IGM - Bremen</v>
          </cell>
          <cell r="D61" t="str">
            <v>EUR</v>
          </cell>
        </row>
        <row r="62">
          <cell r="C62" t="str">
            <v>Deutschland - IGM - Hamburg</v>
          </cell>
          <cell r="D62" t="str">
            <v>EUR</v>
          </cell>
        </row>
        <row r="63">
          <cell r="C63" t="str">
            <v>Deutschland - IGM - Hessen</v>
          </cell>
          <cell r="D63" t="str">
            <v>EUR</v>
          </cell>
        </row>
        <row r="64">
          <cell r="C64" t="str">
            <v>Deutschland - IGM - Mecklenburg-Vorpommern</v>
          </cell>
          <cell r="D64" t="str">
            <v>EUR</v>
          </cell>
        </row>
        <row r="65">
          <cell r="C65" t="str">
            <v>Deutschland - IGM - Niedersachsen</v>
          </cell>
          <cell r="D65" t="str">
            <v>EUR</v>
          </cell>
        </row>
        <row r="66">
          <cell r="C66" t="str">
            <v>Deutschland - IGM - Nordrhein-Westfalen</v>
          </cell>
          <cell r="D66" t="str">
            <v>EUR</v>
          </cell>
        </row>
        <row r="67">
          <cell r="C67" t="str">
            <v>Deutschland - IGM - Rheinland-Pfalz</v>
          </cell>
          <cell r="D67" t="str">
            <v>EUR</v>
          </cell>
        </row>
        <row r="68">
          <cell r="C68" t="str">
            <v>Deutschland - IGM - Saarland</v>
          </cell>
          <cell r="D68" t="str">
            <v>EUR</v>
          </cell>
        </row>
        <row r="69">
          <cell r="C69" t="str">
            <v>Deutschland - IGM - Sachsen</v>
          </cell>
          <cell r="D69" t="str">
            <v>EUR</v>
          </cell>
        </row>
        <row r="70">
          <cell r="C70" t="str">
            <v>Deutschland - IGM - Sachsen Dresden</v>
          </cell>
          <cell r="D70" t="str">
            <v>EUR</v>
          </cell>
        </row>
        <row r="71">
          <cell r="C71" t="str">
            <v>Deutschland - IGM - Sachsen-Anhalt</v>
          </cell>
          <cell r="D71" t="str">
            <v>EUR</v>
          </cell>
        </row>
        <row r="72">
          <cell r="C72" t="str">
            <v>Deutschland - IGM - Schleswig-Holstein</v>
          </cell>
          <cell r="D72" t="str">
            <v>EUR</v>
          </cell>
        </row>
        <row r="73">
          <cell r="C73" t="str">
            <v>Deutschland - IGM - Thüringen</v>
          </cell>
          <cell r="D73" t="str">
            <v>EUR</v>
          </cell>
        </row>
        <row r="74">
          <cell r="C74" t="str">
            <v>Deutschland - Mecklenburg-Vorpommern</v>
          </cell>
          <cell r="D74" t="str">
            <v>EUR</v>
          </cell>
        </row>
        <row r="75">
          <cell r="C75" t="str">
            <v>Deutschland - Niedersachsen</v>
          </cell>
          <cell r="D75" t="str">
            <v>EUR</v>
          </cell>
        </row>
        <row r="76">
          <cell r="C76" t="str">
            <v>Deutschland - Nordrhein-Westfalen</v>
          </cell>
          <cell r="D76" t="str">
            <v>EUR</v>
          </cell>
        </row>
        <row r="77">
          <cell r="C77" t="str">
            <v>Deutschland - Rheinland-Pfalz</v>
          </cell>
          <cell r="D77" t="str">
            <v>EUR</v>
          </cell>
        </row>
        <row r="78">
          <cell r="C78" t="str">
            <v>Deutschland - Saarland</v>
          </cell>
          <cell r="D78" t="str">
            <v>EUR</v>
          </cell>
        </row>
        <row r="79">
          <cell r="C79" t="str">
            <v>Deutschland - Sachsen</v>
          </cell>
          <cell r="D79" t="str">
            <v>EUR</v>
          </cell>
        </row>
        <row r="80">
          <cell r="C80" t="str">
            <v>Deutschland - Sachsen Dresden</v>
          </cell>
          <cell r="D80" t="str">
            <v>EUR</v>
          </cell>
        </row>
        <row r="81">
          <cell r="C81" t="str">
            <v>Deutschland - Sachsen-Anhalt</v>
          </cell>
          <cell r="D81" t="str">
            <v>EUR</v>
          </cell>
        </row>
        <row r="82">
          <cell r="C82" t="str">
            <v>Deutschland - Schleswig-Holstein</v>
          </cell>
          <cell r="D82" t="str">
            <v>EUR</v>
          </cell>
        </row>
        <row r="83">
          <cell r="C83" t="str">
            <v>Deutschland - Thüringen</v>
          </cell>
          <cell r="D83" t="str">
            <v>EUR</v>
          </cell>
        </row>
        <row r="84">
          <cell r="C84" t="str">
            <v>Estland</v>
          </cell>
          <cell r="D84" t="str">
            <v>EUR</v>
          </cell>
        </row>
        <row r="85">
          <cell r="C85" t="str">
            <v>Finnland</v>
          </cell>
          <cell r="D85" t="str">
            <v>EUR</v>
          </cell>
        </row>
        <row r="86">
          <cell r="C86" t="str">
            <v>Finnland - Helsinki</v>
          </cell>
          <cell r="D86" t="str">
            <v>EUR</v>
          </cell>
        </row>
        <row r="87">
          <cell r="C87" t="str">
            <v>Finnland - Pirkanmaa (Tampere)</v>
          </cell>
          <cell r="D87" t="str">
            <v>EUR</v>
          </cell>
        </row>
        <row r="88">
          <cell r="C88" t="str">
            <v>Finnland - Südwest</v>
          </cell>
          <cell r="D88" t="str">
            <v>EUR</v>
          </cell>
        </row>
        <row r="89">
          <cell r="C89" t="str">
            <v>Finnland - Uusimaa</v>
          </cell>
          <cell r="D89" t="str">
            <v>EUR</v>
          </cell>
        </row>
        <row r="90">
          <cell r="C90" t="str">
            <v>Frankreich - Lyon</v>
          </cell>
          <cell r="D90" t="str">
            <v>EUR</v>
          </cell>
        </row>
        <row r="91">
          <cell r="C91" t="str">
            <v>Frankreich - Nord</v>
          </cell>
          <cell r="D91" t="str">
            <v>EUR</v>
          </cell>
        </row>
        <row r="92">
          <cell r="C92" t="str">
            <v>Frankreich - Ost</v>
          </cell>
          <cell r="D92" t="str">
            <v>EUR</v>
          </cell>
        </row>
        <row r="93">
          <cell r="C93" t="str">
            <v>Frankreich - Paris</v>
          </cell>
          <cell r="D93" t="str">
            <v>EUR</v>
          </cell>
        </row>
        <row r="94">
          <cell r="C94" t="str">
            <v>Frankreich - West</v>
          </cell>
          <cell r="D94" t="str">
            <v>EUR</v>
          </cell>
        </row>
        <row r="95">
          <cell r="C95" t="str">
            <v>Griechenland</v>
          </cell>
          <cell r="D95" t="str">
            <v>EUR</v>
          </cell>
        </row>
        <row r="96">
          <cell r="C96" t="str">
            <v>Großbritannien - Belfast Area</v>
          </cell>
          <cell r="D96" t="str">
            <v>GBP</v>
          </cell>
        </row>
        <row r="97">
          <cell r="C97" t="str">
            <v>Großbritannien - London</v>
          </cell>
          <cell r="D97" t="str">
            <v>GBP</v>
          </cell>
        </row>
        <row r="98">
          <cell r="C98" t="str">
            <v>Großbritannien - Nordengland</v>
          </cell>
          <cell r="D98" t="str">
            <v>GBP</v>
          </cell>
        </row>
        <row r="99">
          <cell r="C99" t="str">
            <v>Großbritannien - Südwales</v>
          </cell>
          <cell r="D99" t="str">
            <v>GBP</v>
          </cell>
        </row>
        <row r="100">
          <cell r="C100" t="str">
            <v>Großbritannien - Zentralengland (Großraum Birmingham)</v>
          </cell>
          <cell r="D100" t="str">
            <v>GBP</v>
          </cell>
        </row>
        <row r="101">
          <cell r="C101" t="str">
            <v>Hongkong</v>
          </cell>
          <cell r="D101" t="str">
            <v>HKD</v>
          </cell>
        </row>
        <row r="102">
          <cell r="C102" t="str">
            <v>Indien - Region Bangalore</v>
          </cell>
          <cell r="D102" t="str">
            <v>INR</v>
          </cell>
        </row>
        <row r="103">
          <cell r="C103" t="str">
            <v>Indien - Region Mumbai</v>
          </cell>
          <cell r="D103" t="str">
            <v>INR</v>
          </cell>
        </row>
        <row r="104">
          <cell r="C104" t="str">
            <v>Indien - Region Nasik</v>
          </cell>
          <cell r="D104" t="str">
            <v>INR</v>
          </cell>
        </row>
        <row r="105">
          <cell r="C105" t="str">
            <v>Irland</v>
          </cell>
          <cell r="D105" t="str">
            <v>EUR</v>
          </cell>
        </row>
        <row r="106">
          <cell r="C106" t="str">
            <v>Irland - Border</v>
          </cell>
          <cell r="D106" t="str">
            <v>EUR</v>
          </cell>
        </row>
        <row r="107">
          <cell r="C107" t="str">
            <v>Irland - Dublin</v>
          </cell>
          <cell r="D107" t="str">
            <v>EUR</v>
          </cell>
        </row>
        <row r="108">
          <cell r="C108" t="str">
            <v>Irland - Mid East</v>
          </cell>
          <cell r="D108" t="str">
            <v>EUR</v>
          </cell>
        </row>
        <row r="109">
          <cell r="C109" t="str">
            <v>Irland - Mid West</v>
          </cell>
          <cell r="D109" t="str">
            <v>EUR</v>
          </cell>
        </row>
        <row r="110">
          <cell r="C110" t="str">
            <v>Irland - Midland</v>
          </cell>
          <cell r="D110" t="str">
            <v>EUR</v>
          </cell>
        </row>
        <row r="111">
          <cell r="C111" t="str">
            <v>Irland - South East</v>
          </cell>
          <cell r="D111" t="str">
            <v>EUR</v>
          </cell>
        </row>
        <row r="112">
          <cell r="C112" t="str">
            <v>Irland - South West</v>
          </cell>
          <cell r="D112" t="str">
            <v>EUR</v>
          </cell>
        </row>
        <row r="113">
          <cell r="C113" t="str">
            <v>Irland - West</v>
          </cell>
          <cell r="D113" t="str">
            <v>EUR</v>
          </cell>
        </row>
        <row r="114">
          <cell r="C114" t="str">
            <v>Israel</v>
          </cell>
          <cell r="D114" t="str">
            <v>ILS</v>
          </cell>
        </row>
        <row r="115">
          <cell r="C115" t="str">
            <v>Italien - Mailand</v>
          </cell>
          <cell r="D115" t="str">
            <v>EUR</v>
          </cell>
        </row>
        <row r="116">
          <cell r="C116" t="str">
            <v>Italien - Mitte</v>
          </cell>
          <cell r="D116" t="str">
            <v>EUR</v>
          </cell>
        </row>
        <row r="117">
          <cell r="C117" t="str">
            <v>Italien - Nord</v>
          </cell>
          <cell r="D117" t="str">
            <v>EUR</v>
          </cell>
        </row>
        <row r="118">
          <cell r="C118" t="str">
            <v>Italien - Süd</v>
          </cell>
          <cell r="D118" t="str">
            <v>EUR</v>
          </cell>
        </row>
        <row r="119">
          <cell r="C119" t="str">
            <v>Italien - Turin</v>
          </cell>
          <cell r="D119" t="str">
            <v>EUR</v>
          </cell>
        </row>
        <row r="120">
          <cell r="C120" t="str">
            <v>Japan - Aichi</v>
          </cell>
          <cell r="D120" t="str">
            <v>JPY</v>
          </cell>
        </row>
        <row r="121">
          <cell r="C121" t="str">
            <v>Japan - Chubu</v>
          </cell>
          <cell r="D121" t="str">
            <v>JPY</v>
          </cell>
        </row>
        <row r="122">
          <cell r="C122" t="str">
            <v>Japan - Chugoku</v>
          </cell>
          <cell r="D122" t="str">
            <v>JPY</v>
          </cell>
        </row>
        <row r="123">
          <cell r="C123" t="str">
            <v>Japan - Großraum Tokyo</v>
          </cell>
          <cell r="D123" t="str">
            <v>JPY</v>
          </cell>
        </row>
        <row r="124">
          <cell r="C124" t="str">
            <v>Japan - Gunma</v>
          </cell>
          <cell r="D124" t="str">
            <v>JPY</v>
          </cell>
        </row>
        <row r="125">
          <cell r="C125" t="str">
            <v>Japan - Hokkaido</v>
          </cell>
          <cell r="D125" t="str">
            <v>JPY</v>
          </cell>
        </row>
        <row r="126">
          <cell r="C126" t="str">
            <v>Japan - Kansai</v>
          </cell>
          <cell r="D126" t="str">
            <v>JPY</v>
          </cell>
        </row>
        <row r="127">
          <cell r="C127" t="str">
            <v>Japan - Kanto</v>
          </cell>
          <cell r="D127" t="str">
            <v>JPY</v>
          </cell>
        </row>
        <row r="128">
          <cell r="C128" t="str">
            <v>Japan - Kyushu</v>
          </cell>
          <cell r="D128" t="str">
            <v>JPY</v>
          </cell>
        </row>
        <row r="129">
          <cell r="C129" t="str">
            <v>Japan - Nagoya City</v>
          </cell>
          <cell r="D129" t="str">
            <v>JPY</v>
          </cell>
        </row>
        <row r="130">
          <cell r="C130" t="str">
            <v>Japan - Osaka</v>
          </cell>
          <cell r="D130" t="str">
            <v>JPY</v>
          </cell>
        </row>
        <row r="131">
          <cell r="C131" t="str">
            <v>Japan - Shikoku</v>
          </cell>
          <cell r="D131" t="str">
            <v>JPY</v>
          </cell>
        </row>
        <row r="132">
          <cell r="C132" t="str">
            <v>Japan - südlicher Teil</v>
          </cell>
          <cell r="D132" t="str">
            <v>JPY</v>
          </cell>
        </row>
        <row r="133">
          <cell r="C133" t="str">
            <v>Japan - Tochigi</v>
          </cell>
          <cell r="D133" t="str">
            <v>JPY</v>
          </cell>
        </row>
        <row r="134">
          <cell r="C134" t="str">
            <v>Japan - Tohoku</v>
          </cell>
          <cell r="D134" t="str">
            <v>JPY</v>
          </cell>
        </row>
        <row r="135">
          <cell r="C135" t="str">
            <v>Kanada - Manitoba</v>
          </cell>
          <cell r="D135" t="str">
            <v>CAD</v>
          </cell>
        </row>
        <row r="136">
          <cell r="C136" t="str">
            <v>Kanada - Ontario / Süd + Toronto Area</v>
          </cell>
          <cell r="D136" t="str">
            <v>CAD</v>
          </cell>
        </row>
        <row r="137">
          <cell r="C137" t="str">
            <v>Kanada - Québec</v>
          </cell>
          <cell r="D137" t="str">
            <v>CAD</v>
          </cell>
        </row>
        <row r="138">
          <cell r="C138" t="str">
            <v>Kroatien</v>
          </cell>
          <cell r="D138" t="str">
            <v>HRK</v>
          </cell>
        </row>
        <row r="139">
          <cell r="C139" t="str">
            <v>Lettland</v>
          </cell>
          <cell r="D139" t="str">
            <v>LVL</v>
          </cell>
        </row>
        <row r="140">
          <cell r="C140" t="str">
            <v>Litauen</v>
          </cell>
          <cell r="D140" t="str">
            <v>LTL</v>
          </cell>
        </row>
        <row r="141">
          <cell r="C141" t="str">
            <v>Luxemburg</v>
          </cell>
          <cell r="D141" t="str">
            <v>EUR</v>
          </cell>
        </row>
        <row r="142">
          <cell r="C142" t="str">
            <v>Malaysia</v>
          </cell>
          <cell r="D142" t="str">
            <v>MYR</v>
          </cell>
        </row>
        <row r="143">
          <cell r="C143" t="str">
            <v>Malta</v>
          </cell>
          <cell r="D143" t="str">
            <v>EUR</v>
          </cell>
        </row>
        <row r="144">
          <cell r="C144" t="str">
            <v>Marokko</v>
          </cell>
          <cell r="D144" t="str">
            <v>MAD</v>
          </cell>
        </row>
        <row r="145">
          <cell r="C145" t="str">
            <v>Mazedonien</v>
          </cell>
          <cell r="D145" t="str">
            <v>MKD</v>
          </cell>
        </row>
        <row r="146">
          <cell r="C146" t="str">
            <v>Mexiko - Aguasclientes</v>
          </cell>
          <cell r="D146" t="str">
            <v>MXN</v>
          </cell>
        </row>
        <row r="147">
          <cell r="C147" t="str">
            <v>Mexiko - Baja California</v>
          </cell>
          <cell r="D147" t="str">
            <v>MXN</v>
          </cell>
        </row>
        <row r="148">
          <cell r="C148" t="str">
            <v>Mexiko - Chihuahua</v>
          </cell>
          <cell r="D148" t="str">
            <v>MXN</v>
          </cell>
        </row>
        <row r="149">
          <cell r="C149" t="str">
            <v>Mexiko - Ciudad Juárez</v>
          </cell>
          <cell r="D149" t="str">
            <v>MXN</v>
          </cell>
        </row>
        <row r="150">
          <cell r="C150" t="str">
            <v>Mexiko - Coahuila</v>
          </cell>
          <cell r="D150" t="str">
            <v>MXN</v>
          </cell>
        </row>
        <row r="151">
          <cell r="C151" t="str">
            <v>Mexiko - Großraum Mexico Stadt</v>
          </cell>
          <cell r="D151" t="str">
            <v>MXN</v>
          </cell>
        </row>
        <row r="152">
          <cell r="C152" t="str">
            <v>Mexiko - Jalisco</v>
          </cell>
          <cell r="D152" t="str">
            <v>MXN</v>
          </cell>
        </row>
        <row r="153">
          <cell r="C153" t="str">
            <v>Mexiko - Nuevo Leon</v>
          </cell>
          <cell r="D153" t="str">
            <v>MXN</v>
          </cell>
        </row>
        <row r="154">
          <cell r="C154" t="str">
            <v>Mexiko - Puebla</v>
          </cell>
          <cell r="D154" t="str">
            <v>MXN</v>
          </cell>
        </row>
        <row r="155">
          <cell r="C155" t="str">
            <v>Mexiko - Queretaro</v>
          </cell>
          <cell r="D155" t="str">
            <v>MXN</v>
          </cell>
        </row>
        <row r="156">
          <cell r="C156" t="str">
            <v>Mexiko - San Luis Potosi</v>
          </cell>
          <cell r="D156" t="str">
            <v>MXN</v>
          </cell>
        </row>
        <row r="157">
          <cell r="C157" t="str">
            <v>Mexiko - Sonora</v>
          </cell>
          <cell r="D157" t="str">
            <v>MXN</v>
          </cell>
        </row>
        <row r="158">
          <cell r="C158" t="str">
            <v>Mexiko - Tamaulipas</v>
          </cell>
          <cell r="D158" t="str">
            <v>MXN</v>
          </cell>
        </row>
        <row r="159">
          <cell r="C159" t="str">
            <v>Montenegro</v>
          </cell>
          <cell r="D159" t="str">
            <v>EUR</v>
          </cell>
        </row>
        <row r="160">
          <cell r="C160" t="str">
            <v>Neuseeland</v>
          </cell>
          <cell r="D160" t="str">
            <v>NZD</v>
          </cell>
        </row>
        <row r="161">
          <cell r="C161" t="str">
            <v>Norwegen</v>
          </cell>
          <cell r="D161" t="str">
            <v>NOK</v>
          </cell>
        </row>
        <row r="162">
          <cell r="C162" t="str">
            <v>Österreich</v>
          </cell>
          <cell r="D162" t="str">
            <v>EUR</v>
          </cell>
        </row>
        <row r="163">
          <cell r="C163" t="str">
            <v>Österreich - Graz</v>
          </cell>
          <cell r="D163" t="str">
            <v>EUR</v>
          </cell>
        </row>
        <row r="164">
          <cell r="C164" t="str">
            <v>Österreich - Linz</v>
          </cell>
          <cell r="D164" t="str">
            <v>EUR</v>
          </cell>
        </row>
        <row r="165">
          <cell r="C165" t="str">
            <v>Österreich - Ost</v>
          </cell>
          <cell r="D165" t="str">
            <v>EUR</v>
          </cell>
        </row>
        <row r="166">
          <cell r="C166" t="str">
            <v>Österreich - Salzburg</v>
          </cell>
          <cell r="D166" t="str">
            <v>EUR</v>
          </cell>
        </row>
        <row r="167">
          <cell r="C167" t="str">
            <v>Österreich - Süd</v>
          </cell>
          <cell r="D167" t="str">
            <v>EUR</v>
          </cell>
        </row>
        <row r="168">
          <cell r="C168" t="str">
            <v>Österreich - West</v>
          </cell>
          <cell r="D168" t="str">
            <v>EUR</v>
          </cell>
        </row>
        <row r="169">
          <cell r="C169" t="str">
            <v>Österreich - Wien</v>
          </cell>
          <cell r="D169" t="str">
            <v>EUR</v>
          </cell>
        </row>
        <row r="170">
          <cell r="C170" t="str">
            <v>Polen - Raum Poznan</v>
          </cell>
          <cell r="D170" t="str">
            <v>PLN</v>
          </cell>
        </row>
        <row r="171">
          <cell r="C171" t="str">
            <v>Polen - Raum Warschau</v>
          </cell>
          <cell r="D171" t="str">
            <v>PLN</v>
          </cell>
        </row>
        <row r="172">
          <cell r="C172" t="str">
            <v>Polen - Süden</v>
          </cell>
          <cell r="D172" t="str">
            <v>PLN</v>
          </cell>
        </row>
        <row r="173">
          <cell r="C173" t="str">
            <v>Portugal</v>
          </cell>
          <cell r="D173" t="str">
            <v>EUR</v>
          </cell>
        </row>
        <row r="174">
          <cell r="C174" t="str">
            <v>Portugal - Lissabon</v>
          </cell>
          <cell r="D174" t="str">
            <v>EUR</v>
          </cell>
        </row>
        <row r="175">
          <cell r="C175" t="str">
            <v>Rumänien - Süden / Raum Bukarest</v>
          </cell>
          <cell r="D175" t="str">
            <v>RON</v>
          </cell>
        </row>
        <row r="176">
          <cell r="C176" t="str">
            <v>Rumänien - West</v>
          </cell>
          <cell r="D176" t="str">
            <v>RON</v>
          </cell>
        </row>
        <row r="177">
          <cell r="C177" t="str">
            <v>Rumänien - Zentrum</v>
          </cell>
          <cell r="D177" t="str">
            <v>RON</v>
          </cell>
        </row>
        <row r="178">
          <cell r="C178" t="str">
            <v>Russland - Moskau</v>
          </cell>
          <cell r="D178" t="str">
            <v>RUB</v>
          </cell>
        </row>
        <row r="179">
          <cell r="C179" t="str">
            <v>Russland - Nizhniy Novgorod</v>
          </cell>
          <cell r="D179" t="str">
            <v>RUB</v>
          </cell>
        </row>
        <row r="180">
          <cell r="C180" t="str">
            <v>Russland - Nordwestlicher Föderalbezirk</v>
          </cell>
          <cell r="D180" t="str">
            <v>RUB</v>
          </cell>
        </row>
        <row r="181">
          <cell r="C181" t="str">
            <v>Russland - Novosibirsk</v>
          </cell>
          <cell r="D181" t="str">
            <v>RUB</v>
          </cell>
        </row>
        <row r="182">
          <cell r="C182" t="str">
            <v>Russland - sibirischer Föderalbezirk</v>
          </cell>
          <cell r="D182" t="str">
            <v>RUB</v>
          </cell>
        </row>
        <row r="183">
          <cell r="C183" t="str">
            <v>Russland - St. Petersburg</v>
          </cell>
          <cell r="D183" t="str">
            <v>RUB</v>
          </cell>
        </row>
        <row r="184">
          <cell r="C184" t="str">
            <v>Russland - Tol'yatti - Samara</v>
          </cell>
          <cell r="D184" t="str">
            <v>RUB</v>
          </cell>
        </row>
        <row r="185">
          <cell r="C185" t="str">
            <v>Russland - Wolga Föderalbezirk</v>
          </cell>
          <cell r="D185" t="str">
            <v>RUB</v>
          </cell>
        </row>
        <row r="186">
          <cell r="C186" t="str">
            <v>Russland - Zentraler Föderalbezirk</v>
          </cell>
          <cell r="D186" t="str">
            <v>RUB</v>
          </cell>
        </row>
        <row r="187">
          <cell r="C187" t="str">
            <v>Schweden</v>
          </cell>
          <cell r="D187" t="str">
            <v>SEK</v>
          </cell>
        </row>
        <row r="188">
          <cell r="C188" t="str">
            <v>Schweiz</v>
          </cell>
          <cell r="D188" t="str">
            <v>CHF</v>
          </cell>
        </row>
        <row r="189">
          <cell r="C189" t="str">
            <v>Serbien</v>
          </cell>
          <cell r="D189" t="str">
            <v>RSD</v>
          </cell>
        </row>
        <row r="190">
          <cell r="C190" t="str">
            <v>Singapur</v>
          </cell>
          <cell r="D190" t="str">
            <v>SGD</v>
          </cell>
        </row>
        <row r="191">
          <cell r="C191" t="str">
            <v>Slowakei - Ost</v>
          </cell>
          <cell r="D191" t="str">
            <v>EUR</v>
          </cell>
        </row>
        <row r="192">
          <cell r="C192" t="str">
            <v>Slowakei - West Bratislava</v>
          </cell>
          <cell r="D192" t="str">
            <v>EUR</v>
          </cell>
        </row>
        <row r="193">
          <cell r="C193" t="str">
            <v>Spanien - Baskenland</v>
          </cell>
          <cell r="D193" t="str">
            <v>EUR</v>
          </cell>
        </row>
        <row r="194">
          <cell r="C194" t="str">
            <v>Spanien - Galicien</v>
          </cell>
          <cell r="D194" t="str">
            <v>EUR</v>
          </cell>
        </row>
        <row r="195">
          <cell r="C195" t="str">
            <v>Spanien - Raum Barcelona (Katalonien)</v>
          </cell>
          <cell r="D195" t="str">
            <v>EUR</v>
          </cell>
        </row>
        <row r="196">
          <cell r="C196" t="str">
            <v>Spanien - Raum Madrid</v>
          </cell>
          <cell r="D196" t="str">
            <v>EUR</v>
          </cell>
        </row>
        <row r="197">
          <cell r="C197" t="str">
            <v>Spanien - Raum Saragoza</v>
          </cell>
          <cell r="D197" t="str">
            <v>EUR</v>
          </cell>
        </row>
        <row r="198">
          <cell r="C198" t="str">
            <v>Südafrika - Gauteng (Johannesburg)</v>
          </cell>
          <cell r="D198" t="str">
            <v>ZAR</v>
          </cell>
        </row>
        <row r="199">
          <cell r="C199" t="str">
            <v>Südafrika - Kwa-Zulu Natal</v>
          </cell>
          <cell r="D199" t="str">
            <v>ZAR</v>
          </cell>
        </row>
        <row r="200">
          <cell r="C200" t="str">
            <v>Südafrika - Western Cape (Cape Town)</v>
          </cell>
          <cell r="D200" t="str">
            <v>ZAR</v>
          </cell>
        </row>
        <row r="201">
          <cell r="C201" t="str">
            <v>Süd-Korea - Provinz</v>
          </cell>
          <cell r="D201" t="str">
            <v>KRW</v>
          </cell>
        </row>
        <row r="202">
          <cell r="C202" t="str">
            <v>Süd-Korea - Seoul</v>
          </cell>
          <cell r="D202" t="str">
            <v>KRW</v>
          </cell>
        </row>
        <row r="203">
          <cell r="C203" t="str">
            <v>Taiwan</v>
          </cell>
          <cell r="D203" t="str">
            <v>TWD</v>
          </cell>
        </row>
        <row r="204">
          <cell r="C204" t="str">
            <v>Thailand</v>
          </cell>
          <cell r="D204" t="str">
            <v>THB</v>
          </cell>
        </row>
        <row r="205">
          <cell r="C205" t="str">
            <v>Tschechien - Nordböhmen</v>
          </cell>
          <cell r="D205" t="str">
            <v>CZK</v>
          </cell>
        </row>
        <row r="206">
          <cell r="C206" t="str">
            <v>Tschechien - Prag</v>
          </cell>
          <cell r="D206" t="str">
            <v>CZK</v>
          </cell>
        </row>
        <row r="207">
          <cell r="C207" t="str">
            <v>Tschechien - Südböhmen</v>
          </cell>
          <cell r="D207" t="str">
            <v>CZK</v>
          </cell>
        </row>
        <row r="208">
          <cell r="C208" t="str">
            <v>Türkei - Istanbul</v>
          </cell>
          <cell r="D208" t="str">
            <v>TRY</v>
          </cell>
        </row>
        <row r="209">
          <cell r="C209" t="str">
            <v>Türkei - Westanatolien (Ankara, Konya)</v>
          </cell>
          <cell r="D209" t="str">
            <v>TRY</v>
          </cell>
        </row>
        <row r="210">
          <cell r="C210" t="str">
            <v>Türkei - Westen (Izmir)</v>
          </cell>
          <cell r="D210" t="str">
            <v>TRY</v>
          </cell>
        </row>
        <row r="211">
          <cell r="C211" t="str">
            <v>Türkei - Westliches Schwarzmeer</v>
          </cell>
          <cell r="D211" t="str">
            <v>TRY</v>
          </cell>
        </row>
        <row r="212">
          <cell r="C212" t="str">
            <v>Türkei - Zentrum</v>
          </cell>
          <cell r="D212" t="str">
            <v>TRY</v>
          </cell>
        </row>
        <row r="213">
          <cell r="C213" t="str">
            <v>Ukraine - Kiew Region</v>
          </cell>
          <cell r="D213" t="str">
            <v>UAH</v>
          </cell>
        </row>
        <row r="214">
          <cell r="C214" t="str">
            <v>Ukraine - Kiew Stadt</v>
          </cell>
          <cell r="D214" t="str">
            <v>UAH</v>
          </cell>
        </row>
        <row r="215">
          <cell r="C215" t="str">
            <v>Ukraine - Nord</v>
          </cell>
          <cell r="D215" t="str">
            <v>UAH</v>
          </cell>
        </row>
        <row r="216">
          <cell r="C216" t="str">
            <v>Ukraine - Ost</v>
          </cell>
          <cell r="D216" t="str">
            <v>UAH</v>
          </cell>
        </row>
        <row r="217">
          <cell r="C217" t="str">
            <v>Ukraine - Süd</v>
          </cell>
          <cell r="D217" t="str">
            <v>UAH</v>
          </cell>
        </row>
        <row r="218">
          <cell r="C218" t="str">
            <v>Ukraine - West</v>
          </cell>
          <cell r="D218" t="str">
            <v>UAH</v>
          </cell>
        </row>
        <row r="219">
          <cell r="C219" t="str">
            <v>Ungarn - Budapest</v>
          </cell>
          <cell r="D219" t="str">
            <v>HUF</v>
          </cell>
        </row>
        <row r="220">
          <cell r="C220" t="str">
            <v>Ungarn - Ost</v>
          </cell>
          <cell r="D220" t="str">
            <v>HUF</v>
          </cell>
        </row>
        <row r="221">
          <cell r="C221" t="str">
            <v>Ungarn - West</v>
          </cell>
          <cell r="D221" t="str">
            <v>HUF</v>
          </cell>
        </row>
        <row r="222">
          <cell r="C222" t="str">
            <v>USA - Alabama</v>
          </cell>
          <cell r="D222" t="str">
            <v>USD</v>
          </cell>
        </row>
        <row r="223">
          <cell r="C223" t="str">
            <v>USA - Arizona</v>
          </cell>
          <cell r="D223" t="str">
            <v>USD</v>
          </cell>
        </row>
        <row r="224">
          <cell r="C224" t="str">
            <v>USA - Colorado</v>
          </cell>
          <cell r="D224" t="str">
            <v>USD</v>
          </cell>
        </row>
        <row r="225">
          <cell r="C225" t="str">
            <v>USA - Connecticut</v>
          </cell>
          <cell r="D225" t="str">
            <v>USD</v>
          </cell>
        </row>
        <row r="226">
          <cell r="C226" t="str">
            <v>USA - Florida</v>
          </cell>
          <cell r="D226" t="str">
            <v>USD</v>
          </cell>
        </row>
        <row r="227">
          <cell r="C227" t="str">
            <v>USA - Georgia</v>
          </cell>
          <cell r="D227" t="str">
            <v>USD</v>
          </cell>
        </row>
        <row r="228">
          <cell r="C228" t="str">
            <v>USA - Illinois</v>
          </cell>
          <cell r="D228" t="str">
            <v>USD</v>
          </cell>
        </row>
        <row r="229">
          <cell r="C229" t="str">
            <v>USA - Indiana</v>
          </cell>
          <cell r="D229" t="str">
            <v>USD</v>
          </cell>
        </row>
        <row r="230">
          <cell r="C230" t="str">
            <v>USA - Iowa</v>
          </cell>
          <cell r="D230" t="str">
            <v>USD</v>
          </cell>
        </row>
        <row r="231">
          <cell r="C231" t="str">
            <v>USA - Kalifornien</v>
          </cell>
          <cell r="D231" t="str">
            <v>USD</v>
          </cell>
        </row>
        <row r="232">
          <cell r="C232" t="str">
            <v>USA - Kentucky</v>
          </cell>
          <cell r="D232" t="str">
            <v>USD</v>
          </cell>
        </row>
        <row r="233">
          <cell r="C233" t="str">
            <v>USA - Maine</v>
          </cell>
          <cell r="D233" t="str">
            <v>USD</v>
          </cell>
        </row>
        <row r="234">
          <cell r="C234" t="str">
            <v>USA - Maryland</v>
          </cell>
          <cell r="D234" t="str">
            <v>USD</v>
          </cell>
        </row>
        <row r="235">
          <cell r="C235" t="str">
            <v>USA - Massachusetts</v>
          </cell>
          <cell r="D235" t="str">
            <v>USD</v>
          </cell>
        </row>
        <row r="236">
          <cell r="C236" t="str">
            <v>USA - Michigan</v>
          </cell>
          <cell r="D236" t="str">
            <v>USD</v>
          </cell>
        </row>
        <row r="237">
          <cell r="C237" t="str">
            <v>USA - Minnesota</v>
          </cell>
          <cell r="D237" t="str">
            <v>USD</v>
          </cell>
        </row>
        <row r="238">
          <cell r="C238" t="str">
            <v>USA - Missouri</v>
          </cell>
          <cell r="D238" t="str">
            <v>USD</v>
          </cell>
        </row>
        <row r="239">
          <cell r="C239" t="str">
            <v>USA - New Hampshire</v>
          </cell>
          <cell r="D239" t="str">
            <v>USD</v>
          </cell>
        </row>
        <row r="240">
          <cell r="C240" t="str">
            <v>USA - New Mexico</v>
          </cell>
          <cell r="D240" t="str">
            <v>USD</v>
          </cell>
        </row>
        <row r="241">
          <cell r="C241" t="str">
            <v>USA - New York</v>
          </cell>
          <cell r="D241" t="str">
            <v>USD</v>
          </cell>
        </row>
        <row r="242">
          <cell r="C242" t="str">
            <v>USA - North Carolina</v>
          </cell>
          <cell r="D242" t="str">
            <v>USD</v>
          </cell>
        </row>
        <row r="243">
          <cell r="C243" t="str">
            <v>USA - Ohio</v>
          </cell>
          <cell r="D243" t="str">
            <v>USD</v>
          </cell>
        </row>
        <row r="244">
          <cell r="C244" t="str">
            <v>USA - Pennsylvania</v>
          </cell>
          <cell r="D244" t="str">
            <v>USD</v>
          </cell>
        </row>
        <row r="245">
          <cell r="C245" t="str">
            <v>USA - South Carolina</v>
          </cell>
          <cell r="D245" t="str">
            <v>USD</v>
          </cell>
        </row>
        <row r="246">
          <cell r="C246" t="str">
            <v>USA - Texas</v>
          </cell>
          <cell r="D246" t="str">
            <v>USD</v>
          </cell>
        </row>
        <row r="247">
          <cell r="C247" t="str">
            <v>USA - Washington</v>
          </cell>
          <cell r="D247" t="str">
            <v>USD</v>
          </cell>
        </row>
        <row r="248">
          <cell r="C248" t="str">
            <v>USA - Wisconsin</v>
          </cell>
          <cell r="D248" t="str">
            <v>USD</v>
          </cell>
        </row>
        <row r="249">
          <cell r="C249" t="str">
            <v>Vietnam</v>
          </cell>
          <cell r="D249" t="str">
            <v>VND</v>
          </cell>
        </row>
        <row r="250">
          <cell r="C250" t="str">
            <v>Weißrussland</v>
          </cell>
          <cell r="D250" t="str">
            <v>BYR</v>
          </cell>
        </row>
        <row r="251">
          <cell r="C251" t="str">
            <v>Weißrussland - Brest</v>
          </cell>
          <cell r="D251" t="str">
            <v>BYR</v>
          </cell>
        </row>
        <row r="252">
          <cell r="C252" t="str">
            <v>Weißrussland - Minsk</v>
          </cell>
          <cell r="D252" t="str">
            <v>BYR</v>
          </cell>
        </row>
        <row r="253">
          <cell r="C253" t="str">
            <v>Weißrussland - Mogiljew/Mahiljou</v>
          </cell>
          <cell r="D253" t="str">
            <v>BYR</v>
          </cell>
        </row>
        <row r="254">
          <cell r="C254" t="str">
            <v>Zypern</v>
          </cell>
          <cell r="D254" t="str">
            <v>EUR</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3">
          <cell r="A3" t="str">
            <v>Ägypten</v>
          </cell>
          <cell r="B3" t="str">
            <v>EGP</v>
          </cell>
          <cell r="C3" t="str">
            <v>www.leitzinsen.info</v>
          </cell>
          <cell r="E3" t="str">
            <v>Febr.2012</v>
          </cell>
          <cell r="I3">
            <v>9.2499999999999999E-2</v>
          </cell>
          <cell r="J3">
            <v>0.1075</v>
          </cell>
          <cell r="K3">
            <v>1.6771653543307088E-2</v>
          </cell>
          <cell r="L3">
            <v>0.12427165354330709</v>
          </cell>
          <cell r="M3">
            <v>0.114</v>
          </cell>
          <cell r="N3">
            <v>-1.0271653543307085E-2</v>
          </cell>
          <cell r="R3" t="e">
            <v>#N/A</v>
          </cell>
          <cell r="S3" t="e">
            <v>#N/A</v>
          </cell>
          <cell r="T3" t="e">
            <v>#N/A</v>
          </cell>
        </row>
        <row r="4">
          <cell r="A4" t="str">
            <v>Albanien</v>
          </cell>
          <cell r="B4" t="str">
            <v>ALL</v>
          </cell>
          <cell r="C4" t="str">
            <v>www.leitzinsen.info</v>
          </cell>
          <cell r="E4" t="str">
            <v>2012</v>
          </cell>
          <cell r="I4">
            <v>4.7500000000000001E-2</v>
          </cell>
          <cell r="J4">
            <v>6.25E-2</v>
          </cell>
          <cell r="K4">
            <v>1.3937007874015748E-2</v>
          </cell>
          <cell r="L4">
            <v>7.643700787401575E-2</v>
          </cell>
          <cell r="M4">
            <v>8.2000000000000003E-2</v>
          </cell>
          <cell r="N4">
            <v>5.5629921259842535E-3</v>
          </cell>
          <cell r="R4" t="e">
            <v>#N/A</v>
          </cell>
          <cell r="S4" t="e">
            <v>#N/A</v>
          </cell>
          <cell r="T4" t="e">
            <v>#N/A</v>
          </cell>
        </row>
        <row r="5">
          <cell r="A5" t="str">
            <v>Algerien</v>
          </cell>
          <cell r="B5" t="str">
            <v>DZD</v>
          </cell>
          <cell r="C5" t="str">
            <v>www.markt-daten.de</v>
          </cell>
          <cell r="E5" t="str">
            <v>2012</v>
          </cell>
          <cell r="I5">
            <v>0.04</v>
          </cell>
          <cell r="J5">
            <v>5.5E-2</v>
          </cell>
          <cell r="K5">
            <v>1.3464566929133857E-2</v>
          </cell>
          <cell r="L5">
            <v>6.8464566929133858E-2</v>
          </cell>
          <cell r="M5">
            <v>6.8000000000000005E-2</v>
          </cell>
          <cell r="N5">
            <v>-4.6456692913385278E-4</v>
          </cell>
          <cell r="R5" t="e">
            <v>#N/A</v>
          </cell>
          <cell r="S5" t="e">
            <v>#N/A</v>
          </cell>
          <cell r="T5" t="e">
            <v>#N/A</v>
          </cell>
        </row>
        <row r="6">
          <cell r="A6" t="str">
            <v>Argentinien</v>
          </cell>
          <cell r="B6" t="str">
            <v>ARS</v>
          </cell>
          <cell r="C6" t="str">
            <v>www.leitzinsen.info</v>
          </cell>
          <cell r="E6" t="str">
            <v>2012</v>
          </cell>
          <cell r="I6">
            <v>0.09</v>
          </cell>
          <cell r="J6">
            <v>0.105</v>
          </cell>
          <cell r="K6">
            <v>1.6614173228346456E-2</v>
          </cell>
          <cell r="L6">
            <v>0.12161417322834644</v>
          </cell>
          <cell r="M6">
            <v>0.122</v>
          </cell>
          <cell r="N6">
            <v>3.8582677165355239E-4</v>
          </cell>
          <cell r="R6" t="e">
            <v>#N/A</v>
          </cell>
          <cell r="S6" t="e">
            <v>#N/A</v>
          </cell>
          <cell r="T6" t="e">
            <v>#N/A</v>
          </cell>
        </row>
        <row r="7">
          <cell r="A7" t="str">
            <v>Australien</v>
          </cell>
          <cell r="B7" t="str">
            <v>AUD</v>
          </cell>
          <cell r="C7" t="str">
            <v>www.leitzinsen.info</v>
          </cell>
          <cell r="E7" t="str">
            <v>2012</v>
          </cell>
          <cell r="I7">
            <v>4.2500000000000003E-2</v>
          </cell>
          <cell r="J7">
            <v>5.7500000000000002E-2</v>
          </cell>
          <cell r="K7">
            <v>1.3622047244094489E-2</v>
          </cell>
          <cell r="L7">
            <v>7.1122047244094488E-2</v>
          </cell>
          <cell r="M7">
            <v>7.5999999999999998E-2</v>
          </cell>
          <cell r="N7">
            <v>4.8779527559055097E-3</v>
          </cell>
          <cell r="R7" t="e">
            <v>#N/A</v>
          </cell>
          <cell r="S7" t="e">
            <v>#N/A</v>
          </cell>
          <cell r="T7" t="e">
            <v>#N/A</v>
          </cell>
        </row>
        <row r="8">
          <cell r="A8" t="str">
            <v>Belgien</v>
          </cell>
          <cell r="B8" t="str">
            <v>EUR</v>
          </cell>
          <cell r="C8" t="str">
            <v>Europäische Zentralbank</v>
          </cell>
          <cell r="E8" t="str">
            <v>Nov.2011</v>
          </cell>
          <cell r="F8">
            <v>4.2299999999999997E-2</v>
          </cell>
          <cell r="G8">
            <v>4.1399999999999999E-2</v>
          </cell>
          <cell r="H8">
            <v>4.6100000000000002E-2</v>
          </cell>
          <cell r="J8">
            <v>4.2299999999999997E-2</v>
          </cell>
          <cell r="K8">
            <v>1.2664566929133859E-2</v>
          </cell>
          <cell r="L8">
            <v>5.496456692913386E-2</v>
          </cell>
          <cell r="M8">
            <v>5.7000000000000002E-2</v>
          </cell>
          <cell r="N8">
            <v>2.0354330708661425E-3</v>
          </cell>
          <cell r="R8" t="e">
            <v>#N/A</v>
          </cell>
          <cell r="S8" t="e">
            <v>#N/A</v>
          </cell>
          <cell r="T8" t="e">
            <v>#N/A</v>
          </cell>
        </row>
        <row r="9">
          <cell r="A9" t="str">
            <v>Bosnien und Herzegowina</v>
          </cell>
          <cell r="B9" t="str">
            <v>BAM</v>
          </cell>
          <cell r="C9" t="str">
            <v>Zentralbank Bosnien</v>
          </cell>
          <cell r="E9" t="str">
            <v>Febr.2012</v>
          </cell>
          <cell r="F9">
            <v>7.8E-2</v>
          </cell>
          <cell r="J9">
            <v>7.8E-2</v>
          </cell>
          <cell r="K9">
            <v>1.4913385826771654E-2</v>
          </cell>
          <cell r="L9">
            <v>9.2913385826771652E-2</v>
          </cell>
          <cell r="M9">
            <v>2.5999999999999999E-2</v>
          </cell>
          <cell r="N9">
            <v>-6.6913385826771657E-2</v>
          </cell>
          <cell r="R9" t="e">
            <v>#N/A</v>
          </cell>
          <cell r="S9" t="e">
            <v>#N/A</v>
          </cell>
          <cell r="T9" t="e">
            <v>#N/A</v>
          </cell>
        </row>
        <row r="10">
          <cell r="A10" t="str">
            <v>Brasilien</v>
          </cell>
          <cell r="B10" t="str">
            <v>BRL</v>
          </cell>
          <cell r="C10" t="str">
            <v>www.leitzinsen.info</v>
          </cell>
          <cell r="E10" t="str">
            <v>2012</v>
          </cell>
          <cell r="H10" t="str">
            <v>geändert</v>
          </cell>
          <cell r="I10">
            <v>0.105</v>
          </cell>
          <cell r="J10">
            <v>0.12</v>
          </cell>
          <cell r="K10">
            <v>1.7559055118110234E-2</v>
          </cell>
          <cell r="L10">
            <v>0.13755905511811023</v>
          </cell>
          <cell r="M10">
            <v>0.154</v>
          </cell>
          <cell r="N10">
            <v>1.6440944881889769E-2</v>
          </cell>
          <cell r="O10" t="str">
            <v>BRL</v>
          </cell>
          <cell r="P10">
            <v>0.28706999999999999</v>
          </cell>
          <cell r="Q10">
            <v>0.24811</v>
          </cell>
          <cell r="R10">
            <v>1</v>
          </cell>
          <cell r="S10">
            <v>0.28706999999999999</v>
          </cell>
          <cell r="T10">
            <v>0.24811</v>
          </cell>
        </row>
        <row r="11">
          <cell r="A11" t="str">
            <v>Bulgarien</v>
          </cell>
          <cell r="B11" t="str">
            <v>BGN</v>
          </cell>
          <cell r="C11" t="str">
            <v>Europäische Zentralbank</v>
          </cell>
          <cell r="E11" t="str">
            <v>Nov.2011</v>
          </cell>
          <cell r="F11">
            <v>9.5500000000000002E-2</v>
          </cell>
          <cell r="G11">
            <v>8.1299999999999997E-2</v>
          </cell>
          <cell r="H11">
            <v>0.13750000000000001</v>
          </cell>
          <cell r="J11">
            <v>9.5500000000000002E-2</v>
          </cell>
          <cell r="K11">
            <v>1.6015748031496062E-2</v>
          </cell>
          <cell r="L11">
            <v>0.11151574803149607</v>
          </cell>
          <cell r="M11">
            <v>0.121</v>
          </cell>
          <cell r="N11">
            <v>9.4842519685039289E-3</v>
          </cell>
          <cell r="R11" t="e">
            <v>#N/A</v>
          </cell>
          <cell r="S11" t="e">
            <v>#N/A</v>
          </cell>
          <cell r="T11" t="e">
            <v>#N/A</v>
          </cell>
        </row>
        <row r="12">
          <cell r="A12" t="str">
            <v>China</v>
          </cell>
          <cell r="B12" t="str">
            <v>CNY</v>
          </cell>
          <cell r="C12" t="str">
            <v>www.leitzinsen.info</v>
          </cell>
          <cell r="E12" t="str">
            <v>2012</v>
          </cell>
          <cell r="I12">
            <v>6.5600000000000006E-2</v>
          </cell>
          <cell r="J12">
            <v>8.0600000000000005E-2</v>
          </cell>
          <cell r="K12">
            <v>1.5077165354330709E-2</v>
          </cell>
          <cell r="L12">
            <v>9.5677165354330712E-2</v>
          </cell>
          <cell r="M12">
            <v>9.2999999999999999E-2</v>
          </cell>
          <cell r="N12">
            <v>-2.6771653543307128E-3</v>
          </cell>
          <cell r="O12" t="str">
            <v>CNY</v>
          </cell>
          <cell r="P12">
            <v>0.79</v>
          </cell>
          <cell r="Q12">
            <v>0.63</v>
          </cell>
          <cell r="R12">
            <v>1</v>
          </cell>
          <cell r="S12">
            <v>0.79</v>
          </cell>
          <cell r="T12">
            <v>0.63</v>
          </cell>
        </row>
        <row r="13">
          <cell r="A13" t="str">
            <v>Dänemark</v>
          </cell>
          <cell r="B13" t="str">
            <v>DKK</v>
          </cell>
          <cell r="C13" t="str">
            <v>Europäische Zentralbank</v>
          </cell>
          <cell r="E13" t="str">
            <v>Nov.2011</v>
          </cell>
          <cell r="F13">
            <v>3.6499999999999998E-2</v>
          </cell>
          <cell r="G13">
            <v>4.1500000000000002E-2</v>
          </cell>
          <cell r="H13">
            <v>5.1900000000000002E-2</v>
          </cell>
          <cell r="J13">
            <v>3.6499999999999998E-2</v>
          </cell>
          <cell r="K13">
            <v>1.2299212598425197E-2</v>
          </cell>
          <cell r="L13">
            <v>4.8799212598425193E-2</v>
          </cell>
          <cell r="M13">
            <v>6.2E-2</v>
          </cell>
          <cell r="N13">
            <v>1.3200787401574807E-2</v>
          </cell>
          <cell r="R13" t="e">
            <v>#N/A</v>
          </cell>
          <cell r="S13" t="e">
            <v>#N/A</v>
          </cell>
          <cell r="T13" t="e">
            <v>#N/A</v>
          </cell>
        </row>
        <row r="14">
          <cell r="A14" t="str">
            <v>Deutschland</v>
          </cell>
          <cell r="B14" t="str">
            <v>EUR</v>
          </cell>
          <cell r="C14" t="str">
            <v>Europäische Zentralbank</v>
          </cell>
          <cell r="E14" t="str">
            <v>Nov.2011</v>
          </cell>
          <cell r="F14">
            <v>3.9600000000000003E-2</v>
          </cell>
          <cell r="G14">
            <v>3.5400000000000001E-2</v>
          </cell>
          <cell r="H14">
            <v>4.7E-2</v>
          </cell>
          <cell r="J14">
            <v>3.9600000000000003E-2</v>
          </cell>
          <cell r="K14">
            <v>1.2494488188976378E-2</v>
          </cell>
          <cell r="L14">
            <v>5.2094488188976384E-2</v>
          </cell>
          <cell r="M14">
            <v>5.5E-2</v>
          </cell>
          <cell r="N14">
            <v>2.9055118110236158E-3</v>
          </cell>
          <cell r="O14" t="str">
            <v>EUR</v>
          </cell>
          <cell r="P14">
            <v>0.11600000000000001</v>
          </cell>
          <cell r="Q14">
            <v>9.1999999999999998E-2</v>
          </cell>
          <cell r="R14">
            <v>1</v>
          </cell>
          <cell r="S14">
            <v>0.11600000000000001</v>
          </cell>
          <cell r="T14">
            <v>9.1999999999999998E-2</v>
          </cell>
        </row>
        <row r="15">
          <cell r="A15" t="str">
            <v>Deutschland - IGM</v>
          </cell>
          <cell r="B15" t="str">
            <v>EUR</v>
          </cell>
          <cell r="E15" t="str">
            <v>Nov.2011</v>
          </cell>
          <cell r="F15">
            <v>3.9600000000000003E-2</v>
          </cell>
          <cell r="G15">
            <v>3.5400000000000001E-2</v>
          </cell>
          <cell r="H15">
            <v>4.7E-2</v>
          </cell>
          <cell r="J15">
            <v>3.9600000000000003E-2</v>
          </cell>
          <cell r="K15">
            <v>1.2494488188976378E-2</v>
          </cell>
          <cell r="L15">
            <v>5.2094488188976384E-2</v>
          </cell>
          <cell r="M15">
            <v>5.5E-2</v>
          </cell>
          <cell r="N15">
            <v>2.9055118110236158E-3</v>
          </cell>
          <cell r="O15" t="str">
            <v>EUR</v>
          </cell>
          <cell r="P15">
            <v>0.11600000000000001</v>
          </cell>
          <cell r="Q15">
            <v>9.1999999999999998E-2</v>
          </cell>
          <cell r="R15">
            <v>1</v>
          </cell>
          <cell r="S15">
            <v>0.11600000000000001</v>
          </cell>
          <cell r="T15">
            <v>9.1999999999999998E-2</v>
          </cell>
        </row>
        <row r="16">
          <cell r="A16" t="str">
            <v>Estland</v>
          </cell>
          <cell r="B16" t="str">
            <v>EUR</v>
          </cell>
          <cell r="C16" t="str">
            <v>Europäische Zentralbank</v>
          </cell>
          <cell r="E16" t="str">
            <v>Nov.2011</v>
          </cell>
          <cell r="F16">
            <v>3.4500000000000003E-2</v>
          </cell>
          <cell r="G16">
            <v>3.7199999999999997E-2</v>
          </cell>
          <cell r="H16">
            <v>6.4699999999999994E-2</v>
          </cell>
          <cell r="J16">
            <v>3.4500000000000003E-2</v>
          </cell>
          <cell r="K16">
            <v>1.2173228346456693E-2</v>
          </cell>
          <cell r="L16">
            <v>4.6673228346456694E-2</v>
          </cell>
          <cell r="M16">
            <v>6.2E-2</v>
          </cell>
          <cell r="N16">
            <v>1.5326771653543306E-2</v>
          </cell>
          <cell r="R16" t="e">
            <v>#N/A</v>
          </cell>
          <cell r="S16" t="e">
            <v>#N/A</v>
          </cell>
          <cell r="T16" t="e">
            <v>#N/A</v>
          </cell>
        </row>
        <row r="17">
          <cell r="A17" t="str">
            <v>Finnland</v>
          </cell>
          <cell r="B17" t="str">
            <v>EUR</v>
          </cell>
          <cell r="C17" t="str">
            <v>Europäische Zentralbank</v>
          </cell>
          <cell r="E17" t="str">
            <v>Nov.2011</v>
          </cell>
          <cell r="F17">
            <v>2.76E-2</v>
          </cell>
          <cell r="G17">
            <v>3.1E-2</v>
          </cell>
          <cell r="H17">
            <v>4.1300000000000003E-2</v>
          </cell>
          <cell r="J17">
            <v>2.76E-2</v>
          </cell>
          <cell r="K17">
            <v>1.1738582677165354E-2</v>
          </cell>
          <cell r="L17">
            <v>3.9338582677165355E-2</v>
          </cell>
          <cell r="M17">
            <v>5.7000000000000002E-2</v>
          </cell>
          <cell r="N17">
            <v>1.7661417322834647E-2</v>
          </cell>
          <cell r="R17" t="e">
            <v>#N/A</v>
          </cell>
          <cell r="S17" t="e">
            <v>#N/A</v>
          </cell>
          <cell r="T17" t="e">
            <v>#N/A</v>
          </cell>
        </row>
        <row r="18">
          <cell r="A18" t="str">
            <v>Frankreich</v>
          </cell>
          <cell r="B18" t="str">
            <v>EUR</v>
          </cell>
          <cell r="C18" t="str">
            <v>Europäische Zentralbank</v>
          </cell>
          <cell r="E18" t="str">
            <v>Nov.2011</v>
          </cell>
          <cell r="F18">
            <v>3.6400000000000002E-2</v>
          </cell>
          <cell r="G18">
            <v>3.32E-2</v>
          </cell>
          <cell r="H18">
            <v>3.9100000000000003E-2</v>
          </cell>
          <cell r="J18">
            <v>3.6400000000000002E-2</v>
          </cell>
          <cell r="K18">
            <v>1.2292913385826772E-2</v>
          </cell>
          <cell r="L18">
            <v>4.8692913385826778E-2</v>
          </cell>
          <cell r="M18">
            <v>5.0999999999999997E-2</v>
          </cell>
          <cell r="N18">
            <v>2.3070866141732191E-3</v>
          </cell>
          <cell r="O18" t="str">
            <v>EUR</v>
          </cell>
          <cell r="P18">
            <v>6.8699999999999997E-2</v>
          </cell>
          <cell r="Q18">
            <v>6.8699999999999997E-2</v>
          </cell>
          <cell r="R18">
            <v>1</v>
          </cell>
          <cell r="S18">
            <v>6.8699999999999997E-2</v>
          </cell>
          <cell r="T18">
            <v>6.8699999999999997E-2</v>
          </cell>
        </row>
        <row r="19">
          <cell r="A19" t="str">
            <v>Griechenland</v>
          </cell>
          <cell r="B19" t="str">
            <v>EUR</v>
          </cell>
          <cell r="C19" t="str">
            <v>Europäische Zentralbank</v>
          </cell>
          <cell r="E19" t="str">
            <v>Nov.2011</v>
          </cell>
          <cell r="F19">
            <v>5.2999999999999999E-2</v>
          </cell>
          <cell r="G19">
            <v>5.4199999999999998E-2</v>
          </cell>
          <cell r="H19">
            <v>5.4199999999999998E-2</v>
          </cell>
          <cell r="J19">
            <v>5.2999999999999999E-2</v>
          </cell>
          <cell r="K19">
            <v>1.3338582677165355E-2</v>
          </cell>
          <cell r="L19">
            <v>6.6338582677165359E-2</v>
          </cell>
          <cell r="M19">
            <v>6.8000000000000005E-2</v>
          </cell>
          <cell r="N19">
            <v>1.6614173228346463E-3</v>
          </cell>
          <cell r="R19" t="e">
            <v>#N/A</v>
          </cell>
          <cell r="S19" t="e">
            <v>#N/A</v>
          </cell>
          <cell r="T19" t="e">
            <v>#N/A</v>
          </cell>
        </row>
        <row r="20">
          <cell r="A20" t="str">
            <v>Großbritannien</v>
          </cell>
          <cell r="B20" t="str">
            <v>GBP</v>
          </cell>
          <cell r="C20" t="str">
            <v>Europäische Zentralbank</v>
          </cell>
          <cell r="E20" t="str">
            <v>Nov.2011</v>
          </cell>
          <cell r="F20">
            <v>5.3100000000000001E-2</v>
          </cell>
          <cell r="G20" t="str">
            <v>-</v>
          </cell>
          <cell r="H20" t="str">
            <v>-</v>
          </cell>
          <cell r="I20">
            <v>5.0000000000000001E-3</v>
          </cell>
          <cell r="J20">
            <v>5.3100000000000001E-2</v>
          </cell>
          <cell r="K20">
            <v>1.3344881889763779E-2</v>
          </cell>
          <cell r="L20">
            <v>6.6444881889763774E-2</v>
          </cell>
          <cell r="M20">
            <v>3.1E-2</v>
          </cell>
          <cell r="N20">
            <v>-3.5444881889763774E-2</v>
          </cell>
          <cell r="O20" t="str">
            <v>GBP</v>
          </cell>
          <cell r="P20">
            <v>0.10639999999999999</v>
          </cell>
          <cell r="Q20">
            <v>7.6200000000000004E-2</v>
          </cell>
          <cell r="R20">
            <v>1</v>
          </cell>
          <cell r="S20">
            <v>0.10639999999999999</v>
          </cell>
          <cell r="T20">
            <v>7.6200000000000004E-2</v>
          </cell>
        </row>
        <row r="21">
          <cell r="A21" t="str">
            <v>Hongkong</v>
          </cell>
          <cell r="B21" t="str">
            <v>HKD</v>
          </cell>
          <cell r="C21" t="str">
            <v>www.leitzinsen.info</v>
          </cell>
          <cell r="E21" t="str">
            <v>2012</v>
          </cell>
          <cell r="I21">
            <v>5.0000000000000001E-3</v>
          </cell>
          <cell r="J21">
            <v>0.02</v>
          </cell>
          <cell r="K21">
            <v>1.1259842519685039E-2</v>
          </cell>
          <cell r="L21">
            <v>3.1259842519685041E-2</v>
          </cell>
          <cell r="M21">
            <v>3.1E-2</v>
          </cell>
          <cell r="N21">
            <v>-2.5984251968504124E-4</v>
          </cell>
          <cell r="R21" t="e">
            <v>#N/A</v>
          </cell>
          <cell r="S21" t="e">
            <v>#N/A</v>
          </cell>
          <cell r="T21" t="e">
            <v>#N/A</v>
          </cell>
        </row>
        <row r="22">
          <cell r="A22" t="str">
            <v>Indien</v>
          </cell>
          <cell r="B22" t="str">
            <v>INR</v>
          </cell>
          <cell r="C22" t="str">
            <v>www.leitzinsen.info</v>
          </cell>
          <cell r="E22" t="str">
            <v>2012</v>
          </cell>
          <cell r="H22" t="str">
            <v>geändert</v>
          </cell>
          <cell r="I22">
            <v>7.4999999999999997E-2</v>
          </cell>
          <cell r="J22">
            <v>0.09</v>
          </cell>
          <cell r="K22">
            <v>1.5669291338582678E-2</v>
          </cell>
          <cell r="L22">
            <v>0.10566929133858267</v>
          </cell>
          <cell r="M22">
            <v>0.10299999999999999</v>
          </cell>
          <cell r="N22">
            <v>-2.66929133858268E-3</v>
          </cell>
          <cell r="O22" t="str">
            <v>INR</v>
          </cell>
          <cell r="P22">
            <v>4.3099999999999996</v>
          </cell>
          <cell r="Q22">
            <v>4.2</v>
          </cell>
          <cell r="R22">
            <v>1</v>
          </cell>
          <cell r="S22">
            <v>4.3099999999999996</v>
          </cell>
          <cell r="T22">
            <v>4.2</v>
          </cell>
        </row>
        <row r="23">
          <cell r="A23" t="str">
            <v>Indonesien</v>
          </cell>
          <cell r="B23" t="str">
            <v>IDR</v>
          </cell>
          <cell r="C23" t="str">
            <v>www.leitzinsen.info</v>
          </cell>
          <cell r="E23" t="str">
            <v>2012</v>
          </cell>
          <cell r="I23">
            <v>0.06</v>
          </cell>
          <cell r="J23">
            <v>7.4999999999999997E-2</v>
          </cell>
          <cell r="K23">
            <v>1.4724409448818898E-2</v>
          </cell>
          <cell r="L23">
            <v>8.972440944881889E-2</v>
          </cell>
          <cell r="M23">
            <v>9.8000000000000004E-2</v>
          </cell>
          <cell r="N23">
            <v>8.275590551181114E-3</v>
          </cell>
          <cell r="O23" t="str">
            <v>IDR</v>
          </cell>
          <cell r="P23">
            <v>915</v>
          </cell>
          <cell r="Q23">
            <v>790</v>
          </cell>
          <cell r="R23">
            <v>1</v>
          </cell>
          <cell r="S23">
            <v>915</v>
          </cell>
          <cell r="T23">
            <v>790</v>
          </cell>
        </row>
        <row r="24">
          <cell r="A24" t="str">
            <v>Irland</v>
          </cell>
          <cell r="B24" t="str">
            <v>EUR</v>
          </cell>
          <cell r="C24" t="str">
            <v>Europäische Zentralbank</v>
          </cell>
          <cell r="E24" t="str">
            <v>Nov.2011</v>
          </cell>
          <cell r="F24">
            <v>3.6600000000000001E-2</v>
          </cell>
          <cell r="G24" t="str">
            <v>-</v>
          </cell>
          <cell r="H24" t="str">
            <v>-</v>
          </cell>
          <cell r="I24">
            <v>1.2500000000000001E-2</v>
          </cell>
          <cell r="J24">
            <v>3.6600000000000001E-2</v>
          </cell>
          <cell r="K24">
            <v>1.2305511811023621E-2</v>
          </cell>
          <cell r="L24">
            <v>4.8905511811023622E-2</v>
          </cell>
          <cell r="M24">
            <v>3.9E-2</v>
          </cell>
          <cell r="N24">
            <v>-9.905511811023622E-3</v>
          </cell>
          <cell r="R24" t="e">
            <v>#N/A</v>
          </cell>
          <cell r="S24" t="e">
            <v>#N/A</v>
          </cell>
          <cell r="T24" t="e">
            <v>#N/A</v>
          </cell>
        </row>
        <row r="25">
          <cell r="A25" t="str">
            <v>Israel</v>
          </cell>
          <cell r="B25" t="str">
            <v>ILS</v>
          </cell>
          <cell r="C25" t="str">
            <v>www.leitzinsen.info</v>
          </cell>
          <cell r="E25" t="str">
            <v>2012</v>
          </cell>
          <cell r="H25" t="str">
            <v>geändert</v>
          </cell>
          <cell r="I25">
            <v>2.5000000000000001E-2</v>
          </cell>
          <cell r="J25">
            <v>0.04</v>
          </cell>
          <cell r="K25">
            <v>1.2519685039370079E-2</v>
          </cell>
          <cell r="L25">
            <v>5.251968503937008E-2</v>
          </cell>
          <cell r="M25">
            <v>5.8000000000000003E-2</v>
          </cell>
          <cell r="N25">
            <v>5.4803149606299228E-3</v>
          </cell>
          <cell r="R25" t="e">
            <v>#N/A</v>
          </cell>
          <cell r="S25" t="e">
            <v>#N/A</v>
          </cell>
          <cell r="T25" t="e">
            <v>#N/A</v>
          </cell>
        </row>
        <row r="26">
          <cell r="A26" t="str">
            <v>Italien</v>
          </cell>
          <cell r="B26" t="str">
            <v>EUR</v>
          </cell>
          <cell r="C26" t="str">
            <v>Europäische Zentralbank</v>
          </cell>
          <cell r="E26" t="str">
            <v>Nov.2011</v>
          </cell>
          <cell r="F26">
            <v>3.4299999999999997E-2</v>
          </cell>
          <cell r="G26">
            <v>3.3799999999999997E-2</v>
          </cell>
          <cell r="H26">
            <v>5.1799999999999999E-2</v>
          </cell>
          <cell r="J26">
            <v>3.4299999999999997E-2</v>
          </cell>
          <cell r="K26">
            <v>1.2160629921259842E-2</v>
          </cell>
          <cell r="L26">
            <v>4.6460629921259836E-2</v>
          </cell>
          <cell r="M26">
            <v>6.6000000000000003E-2</v>
          </cell>
          <cell r="N26">
            <v>1.9539370078740168E-2</v>
          </cell>
          <cell r="O26" t="str">
            <v>EUR</v>
          </cell>
          <cell r="P26">
            <v>0.20349999999999999</v>
          </cell>
          <cell r="Q26">
            <v>0.1323</v>
          </cell>
          <cell r="R26">
            <v>1</v>
          </cell>
          <cell r="S26">
            <v>0.20349999999999999</v>
          </cell>
          <cell r="T26">
            <v>0.1323</v>
          </cell>
        </row>
        <row r="27">
          <cell r="A27" t="str">
            <v>Japan</v>
          </cell>
          <cell r="B27" t="str">
            <v>JPY</v>
          </cell>
          <cell r="C27" t="str">
            <v>www.leitzinsen.info</v>
          </cell>
          <cell r="E27" t="str">
            <v>2012</v>
          </cell>
          <cell r="H27" t="str">
            <v>geändert</v>
          </cell>
          <cell r="I27">
            <v>0</v>
          </cell>
          <cell r="J27">
            <v>1.4999999999999999E-2</v>
          </cell>
          <cell r="K27">
            <v>1.094488188976378E-2</v>
          </cell>
          <cell r="L27">
            <v>2.594488188976378E-2</v>
          </cell>
          <cell r="M27">
            <v>2.5999999999999999E-2</v>
          </cell>
          <cell r="N27">
            <v>5.5118110236219292E-5</v>
          </cell>
          <cell r="O27" t="str">
            <v>JPY</v>
          </cell>
          <cell r="P27">
            <v>13.04</v>
          </cell>
          <cell r="Q27">
            <v>10.35</v>
          </cell>
          <cell r="R27">
            <v>1</v>
          </cell>
          <cell r="S27">
            <v>13.04</v>
          </cell>
          <cell r="T27">
            <v>10.35</v>
          </cell>
        </row>
        <row r="28">
          <cell r="A28" t="str">
            <v>Kanada</v>
          </cell>
          <cell r="B28" t="str">
            <v>CAD</v>
          </cell>
          <cell r="C28" t="str">
            <v>www.leitzinsen.info</v>
          </cell>
          <cell r="E28" t="str">
            <v>2012</v>
          </cell>
          <cell r="I28">
            <v>0.01</v>
          </cell>
          <cell r="J28">
            <v>2.5000000000000001E-2</v>
          </cell>
          <cell r="K28">
            <v>1.1574803149606299E-2</v>
          </cell>
          <cell r="L28">
            <v>3.6574803149606303E-2</v>
          </cell>
          <cell r="M28">
            <v>3.6999999999999998E-2</v>
          </cell>
          <cell r="N28">
            <v>4.2519685039369565E-4</v>
          </cell>
          <cell r="O28" t="str">
            <v>CAD</v>
          </cell>
          <cell r="P28">
            <v>9.4299999999999995E-2</v>
          </cell>
          <cell r="Q28">
            <v>6.9800000000000001E-2</v>
          </cell>
          <cell r="R28">
            <v>1</v>
          </cell>
          <cell r="S28">
            <v>9.4299999999999995E-2</v>
          </cell>
          <cell r="T28">
            <v>6.9800000000000001E-2</v>
          </cell>
        </row>
        <row r="29">
          <cell r="A29" t="str">
            <v>Kroatien</v>
          </cell>
          <cell r="B29" t="str">
            <v>HRK</v>
          </cell>
          <cell r="C29" t="str">
            <v>www.leitzinsen.info</v>
          </cell>
          <cell r="E29" t="str">
            <v>2012</v>
          </cell>
          <cell r="I29">
            <v>0.06</v>
          </cell>
          <cell r="J29">
            <v>7.4999999999999997E-2</v>
          </cell>
          <cell r="K29">
            <v>1.4724409448818898E-2</v>
          </cell>
          <cell r="L29">
            <v>8.972440944881889E-2</v>
          </cell>
          <cell r="M29">
            <v>0.09</v>
          </cell>
          <cell r="N29">
            <v>2.7559055118110687E-4</v>
          </cell>
          <cell r="R29" t="e">
            <v>#N/A</v>
          </cell>
          <cell r="S29" t="e">
            <v>#N/A</v>
          </cell>
          <cell r="T29" t="e">
            <v>#N/A</v>
          </cell>
        </row>
        <row r="30">
          <cell r="A30" t="str">
            <v>Lettland</v>
          </cell>
          <cell r="B30" t="str">
            <v>LVL</v>
          </cell>
          <cell r="C30" t="str">
            <v>www.leitzinsen.info</v>
          </cell>
          <cell r="E30" t="str">
            <v>Nov.2011</v>
          </cell>
          <cell r="F30">
            <v>4.41E-2</v>
          </cell>
          <cell r="G30">
            <v>2.6499999999999999E-2</v>
          </cell>
          <cell r="H30">
            <v>5.9299999999999999E-2</v>
          </cell>
          <cell r="J30">
            <v>4.41E-2</v>
          </cell>
          <cell r="K30">
            <v>1.2777952755905512E-2</v>
          </cell>
          <cell r="L30">
            <v>5.6877952755905514E-2</v>
          </cell>
          <cell r="M30">
            <v>6.3E-2</v>
          </cell>
          <cell r="N30">
            <v>6.1220472440944862E-3</v>
          </cell>
          <cell r="R30" t="e">
            <v>#N/A</v>
          </cell>
          <cell r="S30" t="e">
            <v>#N/A</v>
          </cell>
          <cell r="T30" t="e">
            <v>#N/A</v>
          </cell>
        </row>
        <row r="31">
          <cell r="A31" t="str">
            <v>Litauen</v>
          </cell>
          <cell r="B31" t="str">
            <v>LTL</v>
          </cell>
          <cell r="C31" t="str">
            <v>Europäische Zentralbank</v>
          </cell>
          <cell r="E31" t="str">
            <v>Nov.2011</v>
          </cell>
          <cell r="F31">
            <v>4.6300000000000001E-2</v>
          </cell>
          <cell r="J31">
            <v>4.6300000000000001E-2</v>
          </cell>
          <cell r="K31">
            <v>1.2916535433070867E-2</v>
          </cell>
          <cell r="L31">
            <v>5.9216535433070872E-2</v>
          </cell>
          <cell r="M31">
            <v>4.4999999999999998E-2</v>
          </cell>
          <cell r="N31">
            <v>-1.4216535433070873E-2</v>
          </cell>
          <cell r="R31" t="e">
            <v>#N/A</v>
          </cell>
          <cell r="S31" t="e">
            <v>#N/A</v>
          </cell>
          <cell r="T31" t="e">
            <v>#N/A</v>
          </cell>
        </row>
        <row r="32">
          <cell r="A32" t="str">
            <v>Luxemburg</v>
          </cell>
          <cell r="B32" t="str">
            <v>EUR</v>
          </cell>
          <cell r="C32" t="str">
            <v>Europäische Zentralbank</v>
          </cell>
          <cell r="E32" t="str">
            <v>Nov.2011</v>
          </cell>
          <cell r="F32">
            <v>3.4200000000000001E-2</v>
          </cell>
          <cell r="J32">
            <v>3.4200000000000001E-2</v>
          </cell>
          <cell r="K32">
            <v>1.2154330708661417E-2</v>
          </cell>
          <cell r="L32">
            <v>4.635433070866142E-2</v>
          </cell>
          <cell r="M32">
            <v>3.9E-2</v>
          </cell>
          <cell r="N32">
            <v>-7.3543307086614204E-3</v>
          </cell>
          <cell r="R32" t="e">
            <v>#N/A</v>
          </cell>
          <cell r="S32" t="e">
            <v>#N/A</v>
          </cell>
          <cell r="T32" t="e">
            <v>#N/A</v>
          </cell>
        </row>
        <row r="33">
          <cell r="A33" t="str">
            <v>Malaysia</v>
          </cell>
          <cell r="B33" t="str">
            <v>MYR</v>
          </cell>
          <cell r="C33" t="str">
            <v>www.leitzinsen.info</v>
          </cell>
          <cell r="E33" t="str">
            <v>2012</v>
          </cell>
          <cell r="I33">
            <v>0.03</v>
          </cell>
          <cell r="J33">
            <v>4.4999999999999998E-2</v>
          </cell>
          <cell r="K33">
            <v>1.2834645669291338E-2</v>
          </cell>
          <cell r="L33">
            <v>5.7834645669291335E-2</v>
          </cell>
          <cell r="M33">
            <v>5.8000000000000003E-2</v>
          </cell>
          <cell r="N33">
            <v>1.6535433070866828E-4</v>
          </cell>
          <cell r="R33" t="e">
            <v>#N/A</v>
          </cell>
          <cell r="S33" t="e">
            <v>#N/A</v>
          </cell>
          <cell r="T33" t="e">
            <v>#N/A</v>
          </cell>
        </row>
        <row r="34">
          <cell r="A34" t="str">
            <v>Malta</v>
          </cell>
          <cell r="B34" t="str">
            <v>EUR</v>
          </cell>
          <cell r="C34" t="str">
            <v>Europäische Zentralbank</v>
          </cell>
          <cell r="E34" t="str">
            <v>Nov.2011</v>
          </cell>
          <cell r="F34">
            <v>4.3700000000000003E-2</v>
          </cell>
          <cell r="G34">
            <v>4.0800000000000003E-2</v>
          </cell>
          <cell r="H34">
            <v>4.0800000000000003E-2</v>
          </cell>
          <cell r="I34">
            <v>1.2500000000000001E-2</v>
          </cell>
          <cell r="J34">
            <v>4.3700000000000003E-2</v>
          </cell>
          <cell r="K34">
            <v>1.2752755905511812E-2</v>
          </cell>
          <cell r="L34">
            <v>5.6452755905511812E-2</v>
          </cell>
          <cell r="M34">
            <v>3.9E-2</v>
          </cell>
          <cell r="N34">
            <v>-1.7452755905511812E-2</v>
          </cell>
          <cell r="R34" t="e">
            <v>#N/A</v>
          </cell>
          <cell r="S34" t="e">
            <v>#N/A</v>
          </cell>
          <cell r="T34" t="e">
            <v>#N/A</v>
          </cell>
        </row>
        <row r="35">
          <cell r="A35" t="str">
            <v>Marokko</v>
          </cell>
          <cell r="B35" t="str">
            <v>MAD</v>
          </cell>
          <cell r="C35" t="str">
            <v>www.leitzinsen.info</v>
          </cell>
          <cell r="E35" t="str">
            <v>2012</v>
          </cell>
          <cell r="I35">
            <v>3.2500000000000001E-2</v>
          </cell>
          <cell r="J35">
            <v>4.7500000000000001E-2</v>
          </cell>
          <cell r="K35">
            <v>1.2992125984251968E-2</v>
          </cell>
          <cell r="L35">
            <v>6.0492125984251965E-2</v>
          </cell>
          <cell r="M35">
            <v>0.06</v>
          </cell>
          <cell r="N35">
            <v>-4.9212598425196763E-4</v>
          </cell>
          <cell r="R35" t="e">
            <v>#N/A</v>
          </cell>
          <cell r="S35" t="e">
            <v>#N/A</v>
          </cell>
          <cell r="T35" t="e">
            <v>#N/A</v>
          </cell>
        </row>
        <row r="36">
          <cell r="A36" t="str">
            <v>Mazedonien</v>
          </cell>
          <cell r="B36" t="str">
            <v>MKD</v>
          </cell>
          <cell r="C36" t="str">
            <v>www.leitzinsen.info</v>
          </cell>
          <cell r="E36" t="str">
            <v>2012</v>
          </cell>
          <cell r="I36">
            <v>0.04</v>
          </cell>
          <cell r="J36">
            <v>5.5E-2</v>
          </cell>
          <cell r="K36">
            <v>1.3464566929133857E-2</v>
          </cell>
          <cell r="L36">
            <v>6.8464566929133858E-2</v>
          </cell>
          <cell r="M36">
            <v>6.8000000000000005E-2</v>
          </cell>
          <cell r="N36">
            <v>-4.6456692913385278E-4</v>
          </cell>
          <cell r="R36" t="e">
            <v>#N/A</v>
          </cell>
          <cell r="S36" t="e">
            <v>#N/A</v>
          </cell>
          <cell r="T36" t="e">
            <v>#N/A</v>
          </cell>
        </row>
        <row r="37">
          <cell r="A37" t="str">
            <v>Mexiko</v>
          </cell>
          <cell r="B37" t="str">
            <v>MXN</v>
          </cell>
          <cell r="C37" t="str">
            <v>www.leitzinsen.info</v>
          </cell>
          <cell r="E37" t="str">
            <v>2012</v>
          </cell>
          <cell r="I37">
            <v>4.4999999999999998E-2</v>
          </cell>
          <cell r="J37">
            <v>0.06</v>
          </cell>
          <cell r="K37">
            <v>1.3779527559055118E-2</v>
          </cell>
          <cell r="L37">
            <v>7.3779527559055119E-2</v>
          </cell>
          <cell r="M37">
            <v>7.3999999999999996E-2</v>
          </cell>
          <cell r="N37">
            <v>2.2047244094487717E-4</v>
          </cell>
          <cell r="O37" t="str">
            <v>MXN</v>
          </cell>
          <cell r="P37">
            <v>1.2143999999999999</v>
          </cell>
          <cell r="Q37">
            <v>1.1329</v>
          </cell>
          <cell r="R37">
            <v>1</v>
          </cell>
          <cell r="S37">
            <v>1.2143999999999999</v>
          </cell>
          <cell r="T37">
            <v>1.1329</v>
          </cell>
        </row>
        <row r="38">
          <cell r="A38" t="str">
            <v>Montenegro</v>
          </cell>
          <cell r="B38" t="str">
            <v>EUR</v>
          </cell>
          <cell r="C38" t="str">
            <v>Zentralbank Montenegro</v>
          </cell>
          <cell r="E38" t="str">
            <v>Febr.2012</v>
          </cell>
          <cell r="F38">
            <v>9.6500000000000002E-2</v>
          </cell>
          <cell r="J38">
            <v>9.6500000000000002E-2</v>
          </cell>
          <cell r="K38">
            <v>1.6078740157480315E-2</v>
          </cell>
          <cell r="L38">
            <v>0.11257874015748032</v>
          </cell>
          <cell r="M38">
            <v>2.5999999999999999E-2</v>
          </cell>
          <cell r="N38">
            <v>-8.6578740157480322E-2</v>
          </cell>
          <cell r="R38" t="e">
            <v>#N/A</v>
          </cell>
          <cell r="S38" t="e">
            <v>#N/A</v>
          </cell>
          <cell r="T38" t="e">
            <v>#N/A</v>
          </cell>
        </row>
        <row r="39">
          <cell r="A39" t="str">
            <v>Neuseeland</v>
          </cell>
          <cell r="B39" t="str">
            <v>NZD</v>
          </cell>
          <cell r="C39" t="str">
            <v>www.leitzinsen.info</v>
          </cell>
          <cell r="E39" t="str">
            <v>2012</v>
          </cell>
          <cell r="I39">
            <v>2.5000000000000001E-2</v>
          </cell>
          <cell r="J39">
            <v>0.04</v>
          </cell>
          <cell r="K39">
            <v>1.2519685039370079E-2</v>
          </cell>
          <cell r="L39">
            <v>5.251968503937008E-2</v>
          </cell>
          <cell r="M39">
            <v>5.2999999999999999E-2</v>
          </cell>
          <cell r="N39">
            <v>4.8031496062991841E-4</v>
          </cell>
          <cell r="R39" t="e">
            <v>#N/A</v>
          </cell>
          <cell r="S39" t="e">
            <v>#N/A</v>
          </cell>
          <cell r="T39" t="e">
            <v>#N/A</v>
          </cell>
        </row>
        <row r="40">
          <cell r="A40" t="str">
            <v>Niederlande</v>
          </cell>
          <cell r="B40" t="str">
            <v>EUR</v>
          </cell>
          <cell r="C40" t="str">
            <v>Europäische Zentralbank</v>
          </cell>
          <cell r="E40" t="str">
            <v>Nov.2011</v>
          </cell>
          <cell r="F40">
            <v>4.0099999999999997E-2</v>
          </cell>
          <cell r="G40">
            <v>3.2500000000000001E-2</v>
          </cell>
          <cell r="H40">
            <v>4.2799999999999998E-2</v>
          </cell>
          <cell r="J40">
            <v>4.0099999999999997E-2</v>
          </cell>
          <cell r="K40">
            <v>1.2525984251968504E-2</v>
          </cell>
          <cell r="L40">
            <v>5.2625984251968502E-2</v>
          </cell>
          <cell r="M40">
            <v>6.4000000000000001E-2</v>
          </cell>
          <cell r="N40">
            <v>1.1374015748031499E-2</v>
          </cell>
          <cell r="O40" t="str">
            <v>EUR</v>
          </cell>
          <cell r="P40">
            <v>0.09</v>
          </cell>
          <cell r="Q40">
            <v>0.08</v>
          </cell>
          <cell r="R40">
            <v>1</v>
          </cell>
          <cell r="S40">
            <v>0.09</v>
          </cell>
          <cell r="T40">
            <v>0.08</v>
          </cell>
        </row>
        <row r="41">
          <cell r="A41" t="str">
            <v>Norwegen</v>
          </cell>
          <cell r="B41" t="str">
            <v>NOK</v>
          </cell>
          <cell r="C41" t="str">
            <v>www.leitzinsen.info</v>
          </cell>
          <cell r="E41" t="str">
            <v>Nov.2011</v>
          </cell>
          <cell r="I41">
            <v>1.7500000000000002E-2</v>
          </cell>
          <cell r="J41">
            <v>3.2500000000000001E-2</v>
          </cell>
          <cell r="K41">
            <v>1.204724409448819E-2</v>
          </cell>
          <cell r="L41">
            <v>4.4547244094488195E-2</v>
          </cell>
          <cell r="M41">
            <v>0.05</v>
          </cell>
          <cell r="N41">
            <v>5.452755905511808E-3</v>
          </cell>
          <cell r="R41" t="e">
            <v>#N/A</v>
          </cell>
          <cell r="S41" t="e">
            <v>#N/A</v>
          </cell>
          <cell r="T41" t="e">
            <v>#N/A</v>
          </cell>
        </row>
        <row r="42">
          <cell r="A42" t="str">
            <v>Österreich</v>
          </cell>
          <cell r="B42" t="str">
            <v>EUR</v>
          </cell>
          <cell r="C42" t="str">
            <v>Europäische Zentralbank</v>
          </cell>
          <cell r="E42" t="str">
            <v>Nov.2011</v>
          </cell>
          <cell r="F42">
            <v>3.2000000000000001E-2</v>
          </cell>
          <cell r="G42">
            <v>3.0099999999999998E-2</v>
          </cell>
          <cell r="H42">
            <v>4.7899999999999998E-2</v>
          </cell>
          <cell r="J42">
            <v>3.2000000000000001E-2</v>
          </cell>
          <cell r="K42">
            <v>1.2015748031496062E-2</v>
          </cell>
          <cell r="L42">
            <v>4.4015748031496063E-2</v>
          </cell>
          <cell r="M42">
            <v>6.3E-2</v>
          </cell>
          <cell r="N42">
            <v>1.8984251968503937E-2</v>
          </cell>
          <cell r="R42" t="e">
            <v>#N/A</v>
          </cell>
          <cell r="S42" t="e">
            <v>#N/A</v>
          </cell>
          <cell r="T42" t="e">
            <v>#N/A</v>
          </cell>
        </row>
        <row r="43">
          <cell r="A43" t="str">
            <v>Philippinen</v>
          </cell>
          <cell r="B43" t="str">
            <v>PHP</v>
          </cell>
          <cell r="C43" t="str">
            <v>www.leitzinsen.info</v>
          </cell>
          <cell r="E43" t="str">
            <v>2012</v>
          </cell>
          <cell r="H43" t="str">
            <v>geändert</v>
          </cell>
          <cell r="I43">
            <v>4.2500000000000003E-2</v>
          </cell>
          <cell r="J43">
            <v>5.7500000000000002E-2</v>
          </cell>
          <cell r="K43">
            <v>1.3622047244094489E-2</v>
          </cell>
          <cell r="L43">
            <v>7.1122047244094488E-2</v>
          </cell>
          <cell r="M43">
            <v>7.3999999999999996E-2</v>
          </cell>
          <cell r="N43">
            <v>2.8779527559055079E-3</v>
          </cell>
          <cell r="O43" t="str">
            <v>PHP</v>
          </cell>
          <cell r="P43">
            <v>5</v>
          </cell>
          <cell r="Q43">
            <v>5</v>
          </cell>
          <cell r="R43">
            <v>1</v>
          </cell>
          <cell r="S43">
            <v>5</v>
          </cell>
          <cell r="T43">
            <v>5</v>
          </cell>
        </row>
        <row r="44">
          <cell r="A44" t="str">
            <v>Polen</v>
          </cell>
          <cell r="B44" t="str">
            <v>PLN</v>
          </cell>
          <cell r="C44" t="str">
            <v>Europäische Zentralbank</v>
          </cell>
          <cell r="E44" t="str">
            <v>Nov.2011</v>
          </cell>
          <cell r="F44">
            <v>6.6699999999999995E-2</v>
          </cell>
          <cell r="G44">
            <v>9.4100000000000003E-2</v>
          </cell>
          <cell r="H44">
            <v>0.14979999999999999</v>
          </cell>
          <cell r="J44">
            <v>6.6699999999999995E-2</v>
          </cell>
          <cell r="K44">
            <v>1.4201574803149607E-2</v>
          </cell>
          <cell r="L44">
            <v>8.0901574803149606E-2</v>
          </cell>
          <cell r="M44">
            <v>0.16</v>
          </cell>
          <cell r="N44">
            <v>7.9098425196850397E-2</v>
          </cell>
          <cell r="O44" t="str">
            <v>PLN</v>
          </cell>
          <cell r="P44">
            <v>0.36992249999999999</v>
          </cell>
          <cell r="Q44">
            <v>0.38732699999999998</v>
          </cell>
          <cell r="R44">
            <v>1</v>
          </cell>
          <cell r="S44">
            <v>0.36992249999999999</v>
          </cell>
          <cell r="T44">
            <v>0.38732699999999998</v>
          </cell>
        </row>
        <row r="45">
          <cell r="A45" t="str">
            <v>Portugal</v>
          </cell>
          <cell r="B45" t="str">
            <v>EUR</v>
          </cell>
          <cell r="C45" t="str">
            <v>Europäische Zentralbank</v>
          </cell>
          <cell r="E45" t="str">
            <v>Nov.2011</v>
          </cell>
          <cell r="F45">
            <v>4.2500000000000003E-2</v>
          </cell>
          <cell r="G45">
            <v>5.4800000000000001E-2</v>
          </cell>
          <cell r="H45">
            <v>7.2400000000000006E-2</v>
          </cell>
          <cell r="J45">
            <v>4.2500000000000003E-2</v>
          </cell>
          <cell r="K45">
            <v>1.267716535433071E-2</v>
          </cell>
          <cell r="L45">
            <v>5.5177165354330711E-2</v>
          </cell>
          <cell r="M45">
            <v>3.9E-2</v>
          </cell>
          <cell r="N45">
            <v>-1.6177165354330711E-2</v>
          </cell>
          <cell r="R45" t="e">
            <v>#N/A</v>
          </cell>
          <cell r="S45" t="e">
            <v>#N/A</v>
          </cell>
          <cell r="T45" t="e">
            <v>#N/A</v>
          </cell>
        </row>
        <row r="46">
          <cell r="A46" t="str">
            <v>Rumänien</v>
          </cell>
          <cell r="B46" t="str">
            <v>RON</v>
          </cell>
          <cell r="C46" t="str">
            <v>Europäische Zentralbank</v>
          </cell>
          <cell r="E46" t="str">
            <v>Nov.2011</v>
          </cell>
          <cell r="F46">
            <v>0.108</v>
          </cell>
          <cell r="G46">
            <v>9.7299999999999998E-2</v>
          </cell>
          <cell r="H46">
            <v>0.18809999999999999</v>
          </cell>
          <cell r="J46">
            <v>0.108</v>
          </cell>
          <cell r="K46">
            <v>1.6803149606299212E-2</v>
          </cell>
          <cell r="L46">
            <v>0.12480314960629921</v>
          </cell>
          <cell r="M46">
            <v>0.21</v>
          </cell>
          <cell r="N46">
            <v>8.5196850393700785E-2</v>
          </cell>
          <cell r="O46" t="str">
            <v>RON</v>
          </cell>
          <cell r="P46">
            <v>0.34998849999999998</v>
          </cell>
          <cell r="Q46">
            <v>0.33230850000000001</v>
          </cell>
          <cell r="R46">
            <v>1</v>
          </cell>
          <cell r="S46">
            <v>0.34998849999999998</v>
          </cell>
          <cell r="T46">
            <v>0.33230850000000001</v>
          </cell>
        </row>
        <row r="47">
          <cell r="A47" t="str">
            <v>Russland</v>
          </cell>
          <cell r="B47" t="str">
            <v>RUB</v>
          </cell>
          <cell r="C47" t="str">
            <v>www.leitzinsen.info</v>
          </cell>
          <cell r="E47" t="str">
            <v>2012</v>
          </cell>
          <cell r="I47">
            <v>0.08</v>
          </cell>
          <cell r="J47">
            <v>9.5000000000000001E-2</v>
          </cell>
          <cell r="K47">
            <v>1.5984251968503938E-2</v>
          </cell>
          <cell r="L47">
            <v>0.11098425196850394</v>
          </cell>
          <cell r="M47">
            <v>0.114</v>
          </cell>
          <cell r="N47">
            <v>3.0157480314960683E-3</v>
          </cell>
          <cell r="O47" t="str">
            <v>RUB</v>
          </cell>
          <cell r="P47">
            <v>2.46</v>
          </cell>
          <cell r="Q47">
            <v>2.46</v>
          </cell>
          <cell r="R47">
            <v>1</v>
          </cell>
          <cell r="S47">
            <v>2.46</v>
          </cell>
          <cell r="T47">
            <v>2.46</v>
          </cell>
        </row>
        <row r="48">
          <cell r="A48" t="str">
            <v>Schweden</v>
          </cell>
          <cell r="B48" t="str">
            <v>SEK</v>
          </cell>
          <cell r="C48" t="str">
            <v>Europäische Zentralbank</v>
          </cell>
          <cell r="E48" t="str">
            <v>Nov.2011</v>
          </cell>
          <cell r="F48">
            <v>4.4699999999999997E-2</v>
          </cell>
          <cell r="G48">
            <v>4.3400000000000001E-2</v>
          </cell>
          <cell r="H48">
            <v>5.1799999999999999E-2</v>
          </cell>
          <cell r="J48">
            <v>4.4699999999999997E-2</v>
          </cell>
          <cell r="K48">
            <v>1.2815748031496063E-2</v>
          </cell>
          <cell r="L48">
            <v>5.7515748031496061E-2</v>
          </cell>
          <cell r="M48">
            <v>4.4999999999999998E-2</v>
          </cell>
          <cell r="N48">
            <v>-1.2515748031496063E-2</v>
          </cell>
          <cell r="R48" t="e">
            <v>#N/A</v>
          </cell>
          <cell r="S48" t="e">
            <v>#N/A</v>
          </cell>
          <cell r="T48" t="e">
            <v>#N/A</v>
          </cell>
        </row>
        <row r="49">
          <cell r="A49" t="str">
            <v>Schweiz</v>
          </cell>
          <cell r="B49" t="str">
            <v>CHF</v>
          </cell>
          <cell r="C49" t="str">
            <v>www.leitzinsen.info</v>
          </cell>
          <cell r="E49" t="str">
            <v>2012</v>
          </cell>
          <cell r="H49" t="str">
            <v>geändert</v>
          </cell>
          <cell r="I49">
            <v>0</v>
          </cell>
          <cell r="J49">
            <v>1.4999999999999999E-2</v>
          </cell>
          <cell r="K49">
            <v>1.094488188976378E-2</v>
          </cell>
          <cell r="L49">
            <v>2.594488188976378E-2</v>
          </cell>
          <cell r="M49">
            <v>2.9000000000000001E-2</v>
          </cell>
          <cell r="N49">
            <v>3.055118110236222E-3</v>
          </cell>
          <cell r="R49" t="e">
            <v>#N/A</v>
          </cell>
          <cell r="S49" t="e">
            <v>#N/A</v>
          </cell>
          <cell r="T49" t="e">
            <v>#N/A</v>
          </cell>
        </row>
        <row r="50">
          <cell r="A50" t="str">
            <v>Serbien</v>
          </cell>
          <cell r="B50" t="str">
            <v>RSD</v>
          </cell>
          <cell r="C50" t="str">
            <v>www.leitzinsen.info</v>
          </cell>
          <cell r="E50" t="str">
            <v>2012</v>
          </cell>
          <cell r="I50">
            <v>9.7500000000000003E-2</v>
          </cell>
          <cell r="J50">
            <v>0.1125</v>
          </cell>
          <cell r="K50">
            <v>1.7086614173228348E-2</v>
          </cell>
          <cell r="L50">
            <v>0.12958661417322836</v>
          </cell>
          <cell r="M50">
            <v>0.159</v>
          </cell>
          <cell r="N50">
            <v>2.9413385826771637E-2</v>
          </cell>
          <cell r="R50" t="e">
            <v>#N/A</v>
          </cell>
          <cell r="S50" t="e">
            <v>#N/A</v>
          </cell>
          <cell r="T50" t="e">
            <v>#N/A</v>
          </cell>
        </row>
        <row r="51">
          <cell r="A51" t="str">
            <v>Singapur</v>
          </cell>
          <cell r="B51" t="str">
            <v>SGD</v>
          </cell>
          <cell r="C51" t="str">
            <v>www.leitzinsen.info</v>
          </cell>
          <cell r="E51" t="str">
            <v>2012</v>
          </cell>
          <cell r="H51" t="str">
            <v>geändert</v>
          </cell>
          <cell r="I51">
            <v>1E-4</v>
          </cell>
          <cell r="J51">
            <v>1.5099999999999999E-2</v>
          </cell>
          <cell r="K51">
            <v>1.0951181102362205E-2</v>
          </cell>
          <cell r="L51">
            <v>2.6051181102362202E-2</v>
          </cell>
          <cell r="M51">
            <v>2.7E-2</v>
          </cell>
          <cell r="N51">
            <v>9.48818897637798E-4</v>
          </cell>
          <cell r="R51" t="e">
            <v>#N/A</v>
          </cell>
          <cell r="S51" t="e">
            <v>#N/A</v>
          </cell>
          <cell r="T51" t="e">
            <v>#N/A</v>
          </cell>
        </row>
        <row r="52">
          <cell r="A52" t="str">
            <v>Slowakei</v>
          </cell>
          <cell r="B52" t="str">
            <v>EUR</v>
          </cell>
          <cell r="C52" t="str">
            <v>Europäische Zentralbank</v>
          </cell>
          <cell r="E52" t="str">
            <v>Nov.2011</v>
          </cell>
          <cell r="F52">
            <v>4.0399999999999998E-2</v>
          </cell>
          <cell r="G52">
            <v>2.5100000000000001E-2</v>
          </cell>
          <cell r="H52">
            <v>5.62E-2</v>
          </cell>
          <cell r="J52">
            <v>4.0399999999999998E-2</v>
          </cell>
          <cell r="K52">
            <v>1.2544881889763779E-2</v>
          </cell>
          <cell r="L52">
            <v>5.2944881889763776E-2</v>
          </cell>
          <cell r="M52">
            <v>0.06</v>
          </cell>
          <cell r="N52">
            <v>7.055118110236222E-3</v>
          </cell>
          <cell r="O52" t="str">
            <v>EUR</v>
          </cell>
          <cell r="P52">
            <v>0.125</v>
          </cell>
          <cell r="Q52">
            <v>0.125</v>
          </cell>
          <cell r="R52">
            <v>1</v>
          </cell>
          <cell r="S52">
            <v>0.125</v>
          </cell>
          <cell r="T52">
            <v>0.125</v>
          </cell>
        </row>
        <row r="53">
          <cell r="A53" t="str">
            <v>Slowenien</v>
          </cell>
          <cell r="B53" t="str">
            <v>EUR</v>
          </cell>
          <cell r="C53" t="str">
            <v>Europäische Zentralbank</v>
          </cell>
          <cell r="E53" t="str">
            <v>Nov.2011</v>
          </cell>
          <cell r="F53">
            <v>3.9199999999999999E-2</v>
          </cell>
          <cell r="G53">
            <v>0.01</v>
          </cell>
          <cell r="H53">
            <v>6.4000000000000001E-2</v>
          </cell>
          <cell r="J53">
            <v>3.9199999999999999E-2</v>
          </cell>
          <cell r="K53">
            <v>1.2469291338582676E-2</v>
          </cell>
          <cell r="L53">
            <v>5.1669291338582675E-2</v>
          </cell>
          <cell r="M53">
            <v>7.0000000000000007E-2</v>
          </cell>
          <cell r="N53">
            <v>1.8330708661417332E-2</v>
          </cell>
          <cell r="O53" t="str">
            <v>EUR</v>
          </cell>
          <cell r="P53">
            <v>0.14380000000000001</v>
          </cell>
          <cell r="Q53">
            <v>7.5300000000000006E-2</v>
          </cell>
          <cell r="R53">
            <v>1</v>
          </cell>
          <cell r="S53">
            <v>0.14380000000000001</v>
          </cell>
          <cell r="T53">
            <v>7.5300000000000006E-2</v>
          </cell>
        </row>
        <row r="54">
          <cell r="A54" t="str">
            <v>Spanien</v>
          </cell>
          <cell r="B54" t="str">
            <v>EUR</v>
          </cell>
          <cell r="C54" t="str">
            <v>Europäische Zentralbank</v>
          </cell>
          <cell r="E54" t="str">
            <v>Nov.2011</v>
          </cell>
          <cell r="F54">
            <v>3.6799999999999999E-2</v>
          </cell>
          <cell r="G54">
            <v>1.34E-2</v>
          </cell>
          <cell r="H54">
            <v>3.8100000000000002E-2</v>
          </cell>
          <cell r="J54">
            <v>3.6799999999999999E-2</v>
          </cell>
          <cell r="K54">
            <v>1.2318110236220472E-2</v>
          </cell>
          <cell r="L54">
            <v>4.9118110236220473E-2</v>
          </cell>
          <cell r="M54">
            <v>7.5999999999999998E-2</v>
          </cell>
          <cell r="N54">
            <v>2.6881889763779525E-2</v>
          </cell>
          <cell r="O54" t="str">
            <v>EUR</v>
          </cell>
          <cell r="P54">
            <v>0.13109999999999999</v>
          </cell>
          <cell r="Q54">
            <v>7.51E-2</v>
          </cell>
          <cell r="R54">
            <v>1</v>
          </cell>
          <cell r="S54">
            <v>0.13109999999999999</v>
          </cell>
          <cell r="T54">
            <v>7.51E-2</v>
          </cell>
        </row>
        <row r="55">
          <cell r="A55" t="str">
            <v>Südafrika</v>
          </cell>
          <cell r="B55" t="str">
            <v>ZAR</v>
          </cell>
          <cell r="C55" t="str">
            <v>www.leitzinsen.info</v>
          </cell>
          <cell r="E55" t="str">
            <v>2012</v>
          </cell>
          <cell r="I55">
            <v>5.5E-2</v>
          </cell>
          <cell r="J55">
            <v>7.0000000000000007E-2</v>
          </cell>
          <cell r="K55">
            <v>1.4409448818897639E-2</v>
          </cell>
          <cell r="L55">
            <v>8.4409448818897642E-2</v>
          </cell>
          <cell r="M55">
            <v>8.4000000000000005E-2</v>
          </cell>
          <cell r="N55">
            <v>-4.0944881889763696E-4</v>
          </cell>
          <cell r="O55" t="str">
            <v>ZAR</v>
          </cell>
          <cell r="P55">
            <v>0.627</v>
          </cell>
          <cell r="Q55">
            <v>0.59670000000000001</v>
          </cell>
          <cell r="R55">
            <v>1</v>
          </cell>
          <cell r="S55">
            <v>0.627</v>
          </cell>
          <cell r="T55">
            <v>0.59670000000000001</v>
          </cell>
        </row>
        <row r="56">
          <cell r="A56" t="str">
            <v>Süd-Korea</v>
          </cell>
          <cell r="B56" t="str">
            <v>KRW</v>
          </cell>
          <cell r="C56" t="str">
            <v>www.leitzinsen.info</v>
          </cell>
          <cell r="E56" t="str">
            <v>2012</v>
          </cell>
          <cell r="I56">
            <v>3.2500000000000001E-2</v>
          </cell>
          <cell r="J56">
            <v>4.7500000000000001E-2</v>
          </cell>
          <cell r="K56">
            <v>1.2992125984251968E-2</v>
          </cell>
          <cell r="L56">
            <v>6.0492125984251965E-2</v>
          </cell>
          <cell r="M56">
            <v>5.8000000000000003E-2</v>
          </cell>
          <cell r="N56">
            <v>-2.4921259842519625E-3</v>
          </cell>
          <cell r="O56" t="str">
            <v>KRW</v>
          </cell>
          <cell r="P56">
            <v>63.6</v>
          </cell>
          <cell r="Q56">
            <v>86.67</v>
          </cell>
          <cell r="R56">
            <v>1</v>
          </cell>
          <cell r="S56">
            <v>63.6</v>
          </cell>
          <cell r="T56">
            <v>86.67</v>
          </cell>
        </row>
        <row r="57">
          <cell r="A57" t="str">
            <v>Taiwan</v>
          </cell>
          <cell r="B57" t="str">
            <v>TWD</v>
          </cell>
          <cell r="C57" t="str">
            <v>www.leitzinsen.info</v>
          </cell>
          <cell r="E57" t="str">
            <v>2012</v>
          </cell>
          <cell r="I57">
            <v>1.8749999999999999E-2</v>
          </cell>
          <cell r="J57">
            <v>3.3750000000000002E-2</v>
          </cell>
          <cell r="K57">
            <v>1.2125984251968504E-2</v>
          </cell>
          <cell r="L57">
            <v>4.587598425196851E-2</v>
          </cell>
          <cell r="M57">
            <v>4.4999999999999998E-2</v>
          </cell>
          <cell r="N57">
            <v>-8.7598425196851182E-4</v>
          </cell>
          <cell r="R57" t="e">
            <v>#N/A</v>
          </cell>
          <cell r="S57" t="e">
            <v>#N/A</v>
          </cell>
          <cell r="T57" t="e">
            <v>#N/A</v>
          </cell>
        </row>
        <row r="58">
          <cell r="A58" t="str">
            <v>Thailand</v>
          </cell>
          <cell r="B58" t="str">
            <v>THB</v>
          </cell>
          <cell r="C58" t="str">
            <v>www.leitzinsen.info</v>
          </cell>
          <cell r="E58" t="str">
            <v>2012</v>
          </cell>
          <cell r="H58" t="str">
            <v>geändert</v>
          </cell>
          <cell r="I58">
            <v>0.03</v>
          </cell>
          <cell r="J58">
            <v>4.4999999999999998E-2</v>
          </cell>
          <cell r="K58">
            <v>1.2834645669291338E-2</v>
          </cell>
          <cell r="L58">
            <v>5.7834645669291335E-2</v>
          </cell>
          <cell r="M58">
            <v>5.5E-2</v>
          </cell>
          <cell r="N58">
            <v>-2.8346456692913344E-3</v>
          </cell>
          <cell r="R58" t="e">
            <v>#N/A</v>
          </cell>
          <cell r="S58" t="e">
            <v>#N/A</v>
          </cell>
          <cell r="T58" t="e">
            <v>#N/A</v>
          </cell>
        </row>
        <row r="59">
          <cell r="A59" t="str">
            <v>Tschechien</v>
          </cell>
          <cell r="B59" t="str">
            <v>CZK</v>
          </cell>
          <cell r="C59" t="str">
            <v>www.leitzinsen.info</v>
          </cell>
          <cell r="E59" t="str">
            <v>2012</v>
          </cell>
          <cell r="I59">
            <v>7.4999999999999997E-3</v>
          </cell>
          <cell r="J59">
            <v>2.2499999999999999E-2</v>
          </cell>
          <cell r="K59">
            <v>1.1417322834645669E-2</v>
          </cell>
          <cell r="L59">
            <v>3.3917322834645672E-2</v>
          </cell>
          <cell r="M59">
            <v>6.2E-2</v>
          </cell>
          <cell r="N59">
            <v>2.8082677165354328E-2</v>
          </cell>
          <cell r="O59" t="str">
            <v>CZK</v>
          </cell>
          <cell r="P59">
            <v>3.5</v>
          </cell>
          <cell r="Q59">
            <v>2.4</v>
          </cell>
          <cell r="R59">
            <v>1</v>
          </cell>
          <cell r="S59">
            <v>3.5</v>
          </cell>
          <cell r="T59">
            <v>2.4</v>
          </cell>
        </row>
        <row r="60">
          <cell r="A60" t="str">
            <v>Tunesien</v>
          </cell>
          <cell r="B60" t="str">
            <v>TND</v>
          </cell>
          <cell r="C60" t="str">
            <v>www.leitzinsen.info</v>
          </cell>
          <cell r="E60" t="str">
            <v>2012</v>
          </cell>
          <cell r="I60">
            <v>3.5000000000000003E-2</v>
          </cell>
          <cell r="J60">
            <v>0.05</v>
          </cell>
          <cell r="K60">
            <v>1.3149606299212599E-2</v>
          </cell>
          <cell r="L60">
            <v>6.3149606299212596E-2</v>
          </cell>
          <cell r="M60">
            <v>7.3999999999999996E-2</v>
          </cell>
          <cell r="N60">
            <v>1.08503937007874E-2</v>
          </cell>
          <cell r="O60" t="str">
            <v>TND</v>
          </cell>
          <cell r="P60">
            <v>0.125</v>
          </cell>
          <cell r="Q60">
            <v>0.125</v>
          </cell>
          <cell r="R60">
            <v>1</v>
          </cell>
          <cell r="S60">
            <v>0.125</v>
          </cell>
          <cell r="T60">
            <v>0.125</v>
          </cell>
        </row>
        <row r="61">
          <cell r="A61" t="str">
            <v>Türkei</v>
          </cell>
          <cell r="B61" t="str">
            <v>TRY</v>
          </cell>
          <cell r="C61" t="str">
            <v>www.leitzinsen.info</v>
          </cell>
          <cell r="E61" t="str">
            <v>2012</v>
          </cell>
          <cell r="I61">
            <v>5.7500000000000002E-2</v>
          </cell>
          <cell r="J61">
            <v>7.2500000000000009E-2</v>
          </cell>
          <cell r="K61">
            <v>1.4566929133858268E-2</v>
          </cell>
          <cell r="L61">
            <v>8.7066929133858273E-2</v>
          </cell>
          <cell r="M61">
            <v>9.1999999999999998E-2</v>
          </cell>
          <cell r="N61">
            <v>4.9330708661417255E-3</v>
          </cell>
          <cell r="O61" t="str">
            <v>TRY</v>
          </cell>
          <cell r="P61">
            <v>0.2205</v>
          </cell>
          <cell r="Q61">
            <v>0.18190000000000001</v>
          </cell>
          <cell r="R61">
            <v>1</v>
          </cell>
          <cell r="S61">
            <v>0.2205</v>
          </cell>
          <cell r="T61">
            <v>0.18190000000000001</v>
          </cell>
        </row>
        <row r="62">
          <cell r="A62" t="str">
            <v>Ukraine</v>
          </cell>
          <cell r="B62" t="str">
            <v>UAH</v>
          </cell>
          <cell r="C62" t="str">
            <v>www.leitzinsen.info</v>
          </cell>
          <cell r="E62" t="str">
            <v>2012</v>
          </cell>
          <cell r="I62">
            <v>7.7499999999999999E-2</v>
          </cell>
          <cell r="J62">
            <v>9.2499999999999999E-2</v>
          </cell>
          <cell r="K62">
            <v>1.5826771653543306E-2</v>
          </cell>
          <cell r="L62">
            <v>0.10832677165354331</v>
          </cell>
          <cell r="M62">
            <v>0.108</v>
          </cell>
          <cell r="N62">
            <v>-3.2677165354330628E-4</v>
          </cell>
          <cell r="O62" t="str">
            <v>UAH</v>
          </cell>
          <cell r="P62">
            <v>0.93459999999999999</v>
          </cell>
          <cell r="Q62">
            <v>0.73419999999999996</v>
          </cell>
          <cell r="R62">
            <v>1</v>
          </cell>
          <cell r="S62">
            <v>0.93459999999999999</v>
          </cell>
          <cell r="T62">
            <v>0.73419999999999996</v>
          </cell>
        </row>
        <row r="63">
          <cell r="A63" t="str">
            <v>Ungarn</v>
          </cell>
          <cell r="B63" t="str">
            <v>HUF</v>
          </cell>
          <cell r="C63" t="str">
            <v>www.leitzinsen.info</v>
          </cell>
          <cell r="E63" t="str">
            <v>Nov.2011</v>
          </cell>
          <cell r="F63">
            <v>8.9700000000000002E-2</v>
          </cell>
          <cell r="G63">
            <v>5.6099999999999997E-2</v>
          </cell>
          <cell r="H63">
            <v>0.1573</v>
          </cell>
          <cell r="I63">
            <v>7.0000000000000007E-2</v>
          </cell>
          <cell r="J63">
            <v>8.9700000000000002E-2</v>
          </cell>
          <cell r="K63">
            <v>1.5650393700787402E-2</v>
          </cell>
          <cell r="L63">
            <v>0.1053503937007874</v>
          </cell>
          <cell r="M63">
            <v>0.17699999999999999</v>
          </cell>
          <cell r="N63">
            <v>7.164960629921259E-2</v>
          </cell>
          <cell r="O63" t="str">
            <v>HUF</v>
          </cell>
          <cell r="P63">
            <v>29.96</v>
          </cell>
          <cell r="Q63">
            <v>19.239999999999998</v>
          </cell>
          <cell r="R63">
            <v>1</v>
          </cell>
          <cell r="S63">
            <v>29.96</v>
          </cell>
          <cell r="T63">
            <v>19.239999999999998</v>
          </cell>
        </row>
        <row r="64">
          <cell r="A64" t="str">
            <v>USA</v>
          </cell>
          <cell r="B64" t="str">
            <v>USD</v>
          </cell>
          <cell r="C64" t="str">
            <v>www.leitzinsen.info</v>
          </cell>
          <cell r="E64" t="str">
            <v>2012</v>
          </cell>
          <cell r="I64">
            <v>2.5000000000000001E-3</v>
          </cell>
          <cell r="J64">
            <v>1.7499999999999998E-2</v>
          </cell>
          <cell r="K64">
            <v>1.1102362204724409E-2</v>
          </cell>
          <cell r="L64">
            <v>2.8602362204724407E-2</v>
          </cell>
          <cell r="M64">
            <v>2.9000000000000001E-2</v>
          </cell>
          <cell r="N64">
            <v>3.9763779527559467E-4</v>
          </cell>
          <cell r="O64" t="str">
            <v>USD</v>
          </cell>
          <cell r="P64">
            <v>9.6000000000000002E-2</v>
          </cell>
          <cell r="Q64">
            <v>6.2100000000000002E-2</v>
          </cell>
          <cell r="R64">
            <v>1</v>
          </cell>
          <cell r="S64">
            <v>9.6000000000000002E-2</v>
          </cell>
          <cell r="T64">
            <v>6.2100000000000002E-2</v>
          </cell>
        </row>
        <row r="65">
          <cell r="A65" t="str">
            <v>Vietnam</v>
          </cell>
          <cell r="B65" t="str">
            <v>VND</v>
          </cell>
          <cell r="C65" t="str">
            <v>www.leitzinsen.info</v>
          </cell>
          <cell r="E65" t="str">
            <v>2012</v>
          </cell>
          <cell r="I65">
            <v>0.09</v>
          </cell>
          <cell r="J65">
            <v>0.105</v>
          </cell>
          <cell r="K65">
            <v>1.6614173228346456E-2</v>
          </cell>
          <cell r="L65">
            <v>0.12161417322834644</v>
          </cell>
          <cell r="M65">
            <v>0.122</v>
          </cell>
          <cell r="N65">
            <v>3.8582677165355239E-4</v>
          </cell>
          <cell r="R65" t="e">
            <v>#N/A</v>
          </cell>
          <cell r="S65" t="e">
            <v>#N/A</v>
          </cell>
          <cell r="T65" t="e">
            <v>#N/A</v>
          </cell>
        </row>
        <row r="66">
          <cell r="A66" t="str">
            <v>Weißrussland</v>
          </cell>
          <cell r="B66" t="str">
            <v>BYR</v>
          </cell>
          <cell r="C66" t="str">
            <v>www.leitzinsen.info</v>
          </cell>
          <cell r="E66" t="str">
            <v>2012</v>
          </cell>
          <cell r="I66">
            <v>0.45</v>
          </cell>
          <cell r="J66">
            <v>0.46500000000000002</v>
          </cell>
          <cell r="K66">
            <v>3.9291338582677166E-2</v>
          </cell>
          <cell r="L66">
            <v>0.50429133858267716</v>
          </cell>
          <cell r="M66">
            <v>0.13800000000000001</v>
          </cell>
          <cell r="N66">
            <v>-0.36629133858267715</v>
          </cell>
          <cell r="R66" t="e">
            <v>#N/A</v>
          </cell>
          <cell r="S66" t="e">
            <v>#N/A</v>
          </cell>
          <cell r="T66" t="e">
            <v>#N/A</v>
          </cell>
        </row>
        <row r="67">
          <cell r="A67" t="str">
            <v>Zypern</v>
          </cell>
          <cell r="B67" t="str">
            <v>EUR</v>
          </cell>
          <cell r="C67" t="str">
            <v>www.leitzinsen.info</v>
          </cell>
          <cell r="E67" t="str">
            <v>Nov.2011</v>
          </cell>
          <cell r="F67">
            <v>6.2899999999999998E-2</v>
          </cell>
          <cell r="J67">
            <v>6.2899999999999998E-2</v>
          </cell>
          <cell r="K67">
            <v>1.3962204724409448E-2</v>
          </cell>
          <cell r="L67">
            <v>7.6862204724409439E-2</v>
          </cell>
          <cell r="M67">
            <v>3.9E-2</v>
          </cell>
          <cell r="N67">
            <v>-3.7862204724409439E-2</v>
          </cell>
          <cell r="R67" t="e">
            <v>#N/A</v>
          </cell>
          <cell r="S67" t="e">
            <v>#N/A</v>
          </cell>
          <cell r="T67" t="e">
            <v>#N/A</v>
          </cell>
        </row>
      </sheetData>
      <sheetData sheetId="50" refreshError="1"/>
      <sheetData sheetId="51">
        <row r="1">
          <cell r="A1" t="str">
            <v>Zeilenbeschriftungen</v>
          </cell>
          <cell r="B1" t="str">
            <v>Mittelwert von Office [qm/Monat]</v>
          </cell>
          <cell r="C1" t="str">
            <v>Mittelwert von Office Top [qm/Monat]</v>
          </cell>
          <cell r="D1" t="str">
            <v>Mittelwert von Bulk [qm/Monat]</v>
          </cell>
          <cell r="E1" t="str">
            <v>Mittelwert von Warehouse [qm/Monat]</v>
          </cell>
        </row>
        <row r="2">
          <cell r="A2" t="str">
            <v>Ägypten</v>
          </cell>
          <cell r="B2" t="e">
            <v>#DIV/0!</v>
          </cell>
          <cell r="C2" t="e">
            <v>#DIV/0!</v>
          </cell>
          <cell r="D2" t="e">
            <v>#DIV/0!</v>
          </cell>
          <cell r="E2" t="e">
            <v>#DIV/0!</v>
          </cell>
        </row>
        <row r="3">
          <cell r="A3" t="str">
            <v>Ägypten</v>
          </cell>
          <cell r="B3" t="e">
            <v>#DIV/0!</v>
          </cell>
          <cell r="C3" t="e">
            <v>#DIV/0!</v>
          </cell>
          <cell r="D3" t="e">
            <v>#DIV/0!</v>
          </cell>
          <cell r="E3" t="e">
            <v>#DIV/0!</v>
          </cell>
        </row>
        <row r="4">
          <cell r="A4" t="str">
            <v>(Leer)</v>
          </cell>
          <cell r="B4" t="e">
            <v>#DIV/0!</v>
          </cell>
          <cell r="C4" t="e">
            <v>#DIV/0!</v>
          </cell>
          <cell r="D4" t="e">
            <v>#DIV/0!</v>
          </cell>
          <cell r="E4" t="e">
            <v>#DIV/0!</v>
          </cell>
        </row>
        <row r="5">
          <cell r="A5" t="str">
            <v>Albanien</v>
          </cell>
          <cell r="B5">
            <v>2305.4753599999999</v>
          </cell>
          <cell r="C5">
            <v>3494.2360924999998</v>
          </cell>
          <cell r="D5" t="e">
            <v>#DIV/0!</v>
          </cell>
          <cell r="E5" t="e">
            <v>#DIV/0!</v>
          </cell>
        </row>
        <row r="6">
          <cell r="A6" t="str">
            <v>Albanien</v>
          </cell>
          <cell r="B6">
            <v>2449.5675699999997</v>
          </cell>
          <cell r="C6">
            <v>3530.259145</v>
          </cell>
          <cell r="D6" t="e">
            <v>#DIV/0!</v>
          </cell>
          <cell r="E6" t="e">
            <v>#DIV/0!</v>
          </cell>
        </row>
        <row r="7">
          <cell r="A7" t="str">
            <v>(Leer)</v>
          </cell>
          <cell r="B7">
            <v>2449.5675699999997</v>
          </cell>
          <cell r="C7">
            <v>3530.259145</v>
          </cell>
          <cell r="D7" t="e">
            <v>#DIV/0!</v>
          </cell>
          <cell r="E7" t="e">
            <v>#DIV/0!</v>
          </cell>
        </row>
        <row r="8">
          <cell r="A8" t="str">
            <v>Tirana (Colliers nicht in PPC)</v>
          </cell>
          <cell r="B8">
            <v>2161.3831500000001</v>
          </cell>
          <cell r="C8">
            <v>3458.2130399999996</v>
          </cell>
          <cell r="D8" t="e">
            <v>#DIV/0!</v>
          </cell>
          <cell r="E8" t="e">
            <v>#DIV/0!</v>
          </cell>
        </row>
        <row r="9">
          <cell r="A9" t="str">
            <v>(Leer)</v>
          </cell>
          <cell r="B9">
            <v>2161.3831500000001</v>
          </cell>
          <cell r="C9">
            <v>3458.2130399999996</v>
          </cell>
          <cell r="D9" t="e">
            <v>#DIV/0!</v>
          </cell>
          <cell r="E9" t="e">
            <v>#DIV/0!</v>
          </cell>
        </row>
        <row r="10">
          <cell r="A10" t="str">
            <v>Algerien</v>
          </cell>
          <cell r="B10" t="e">
            <v>#DIV/0!</v>
          </cell>
          <cell r="C10" t="e">
            <v>#DIV/0!</v>
          </cell>
          <cell r="D10" t="e">
            <v>#DIV/0!</v>
          </cell>
          <cell r="E10" t="e">
            <v>#DIV/0!</v>
          </cell>
        </row>
        <row r="11">
          <cell r="A11" t="str">
            <v>Algerien</v>
          </cell>
          <cell r="B11" t="e">
            <v>#DIV/0!</v>
          </cell>
          <cell r="C11" t="e">
            <v>#DIV/0!</v>
          </cell>
          <cell r="D11" t="e">
            <v>#DIV/0!</v>
          </cell>
          <cell r="E11" t="e">
            <v>#DIV/0!</v>
          </cell>
        </row>
        <row r="12">
          <cell r="A12" t="str">
            <v>(Leer)</v>
          </cell>
          <cell r="B12" t="e">
            <v>#DIV/0!</v>
          </cell>
          <cell r="C12" t="e">
            <v>#DIV/0!</v>
          </cell>
          <cell r="D12" t="e">
            <v>#DIV/0!</v>
          </cell>
          <cell r="E12" t="e">
            <v>#DIV/0!</v>
          </cell>
        </row>
        <row r="13">
          <cell r="A13" t="str">
            <v>Argentinien</v>
          </cell>
          <cell r="B13">
            <v>591.4567940856623</v>
          </cell>
          <cell r="C13">
            <v>767.8338658500777</v>
          </cell>
          <cell r="D13" t="e">
            <v>#DIV/0!</v>
          </cell>
          <cell r="E13" t="e">
            <v>#DIV/0!</v>
          </cell>
        </row>
        <row r="14">
          <cell r="A14" t="str">
            <v>Argentinien</v>
          </cell>
          <cell r="B14" t="e">
            <v>#DIV/0!</v>
          </cell>
          <cell r="C14" t="e">
            <v>#DIV/0!</v>
          </cell>
          <cell r="D14" t="e">
            <v>#DIV/0!</v>
          </cell>
          <cell r="E14" t="e">
            <v>#DIV/0!</v>
          </cell>
        </row>
        <row r="15">
          <cell r="A15" t="str">
            <v>(Leer)</v>
          </cell>
          <cell r="B15" t="e">
            <v>#DIV/0!</v>
          </cell>
          <cell r="C15" t="e">
            <v>#DIV/0!</v>
          </cell>
          <cell r="D15" t="e">
            <v>#DIV/0!</v>
          </cell>
          <cell r="E15" t="e">
            <v>#DIV/0!</v>
          </cell>
        </row>
        <row r="16">
          <cell r="A16" t="str">
            <v>Argentinien - Buenos Aires (Hauptstadtbezirk)</v>
          </cell>
          <cell r="B16">
            <v>127.12473387876128</v>
          </cell>
          <cell r="C16">
            <v>155.73317652829638</v>
          </cell>
          <cell r="D16" t="e">
            <v>#DIV/0!</v>
          </cell>
          <cell r="E16" t="e">
            <v>#DIV/0!</v>
          </cell>
        </row>
        <row r="17">
          <cell r="A17" t="str">
            <v>(Leer)</v>
          </cell>
          <cell r="B17">
            <v>127.12473387876128</v>
          </cell>
          <cell r="C17">
            <v>155.73317652829638</v>
          </cell>
          <cell r="D17" t="e">
            <v>#DIV/0!</v>
          </cell>
          <cell r="E17" t="e">
            <v>#DIV/0!</v>
          </cell>
        </row>
        <row r="18">
          <cell r="A18" t="str">
            <v>Argentinien - Córdoba</v>
          </cell>
          <cell r="B18" t="e">
            <v>#DIV/0!</v>
          </cell>
          <cell r="C18" t="e">
            <v>#DIV/0!</v>
          </cell>
          <cell r="D18" t="e">
            <v>#DIV/0!</v>
          </cell>
          <cell r="E18" t="e">
            <v>#DIV/0!</v>
          </cell>
        </row>
        <row r="19">
          <cell r="A19" t="str">
            <v>(Leer)</v>
          </cell>
          <cell r="B19" t="e">
            <v>#DIV/0!</v>
          </cell>
          <cell r="C19" t="e">
            <v>#DIV/0!</v>
          </cell>
          <cell r="D19" t="e">
            <v>#DIV/0!</v>
          </cell>
          <cell r="E19" t="e">
            <v>#DIV/0!</v>
          </cell>
        </row>
        <row r="20">
          <cell r="A20" t="str">
            <v>Argentinien - Großraum Buenos Aires</v>
          </cell>
          <cell r="B20">
            <v>1055.7888542925632</v>
          </cell>
          <cell r="C20">
            <v>1379.9345551718591</v>
          </cell>
          <cell r="D20" t="e">
            <v>#DIV/0!</v>
          </cell>
          <cell r="E20" t="e">
            <v>#DIV/0!</v>
          </cell>
        </row>
        <row r="21">
          <cell r="A21" t="str">
            <v>(Leer)</v>
          </cell>
          <cell r="B21">
            <v>1055.7888542925632</v>
          </cell>
          <cell r="C21">
            <v>1379.9345551718591</v>
          </cell>
          <cell r="D21" t="e">
            <v>#DIV/0!</v>
          </cell>
          <cell r="E21" t="e">
            <v>#DIV/0!</v>
          </cell>
        </row>
        <row r="22">
          <cell r="A22" t="str">
            <v>Argentinien - Santa Fe</v>
          </cell>
          <cell r="B22" t="e">
            <v>#DIV/0!</v>
          </cell>
          <cell r="C22" t="e">
            <v>#DIV/0!</v>
          </cell>
          <cell r="D22" t="e">
            <v>#DIV/0!</v>
          </cell>
          <cell r="E22" t="e">
            <v>#DIV/0!</v>
          </cell>
        </row>
        <row r="23">
          <cell r="A23" t="str">
            <v>(Leer)</v>
          </cell>
          <cell r="B23" t="e">
            <v>#DIV/0!</v>
          </cell>
          <cell r="C23" t="e">
            <v>#DIV/0!</v>
          </cell>
          <cell r="D23" t="e">
            <v>#DIV/0!</v>
          </cell>
          <cell r="E23" t="e">
            <v>#DIV/0!</v>
          </cell>
        </row>
        <row r="24">
          <cell r="A24" t="str">
            <v>Australien</v>
          </cell>
          <cell r="B24">
            <v>43.538194444444436</v>
          </cell>
          <cell r="C24">
            <v>53.187499999999993</v>
          </cell>
          <cell r="D24" t="e">
            <v>#DIV/0!</v>
          </cell>
          <cell r="E24" t="e">
            <v>#DIV/0!</v>
          </cell>
        </row>
        <row r="25">
          <cell r="A25" t="str">
            <v>Adelaide (Colliers nicht in PPC)</v>
          </cell>
          <cell r="B25">
            <v>32.5</v>
          </cell>
          <cell r="C25">
            <v>39.166666666666664</v>
          </cell>
          <cell r="D25" t="e">
            <v>#DIV/0!</v>
          </cell>
          <cell r="E25" t="e">
            <v>#DIV/0!</v>
          </cell>
        </row>
        <row r="26">
          <cell r="A26" t="str">
            <v>(Leer)</v>
          </cell>
          <cell r="B26">
            <v>32.5</v>
          </cell>
          <cell r="C26">
            <v>39.166666666666664</v>
          </cell>
          <cell r="D26" t="e">
            <v>#DIV/0!</v>
          </cell>
          <cell r="E26" t="e">
            <v>#DIV/0!</v>
          </cell>
        </row>
        <row r="27">
          <cell r="A27" t="str">
            <v>Australien</v>
          </cell>
          <cell r="B27" t="e">
            <v>#DIV/0!</v>
          </cell>
          <cell r="C27" t="e">
            <v>#DIV/0!</v>
          </cell>
          <cell r="D27" t="e">
            <v>#DIV/0!</v>
          </cell>
          <cell r="E27" t="e">
            <v>#DIV/0!</v>
          </cell>
        </row>
        <row r="28">
          <cell r="A28" t="str">
            <v>(Leer)</v>
          </cell>
          <cell r="B28" t="e">
            <v>#DIV/0!</v>
          </cell>
          <cell r="C28" t="e">
            <v>#DIV/0!</v>
          </cell>
          <cell r="D28" t="e">
            <v>#DIV/0!</v>
          </cell>
          <cell r="E28" t="e">
            <v>#DIV/0!</v>
          </cell>
        </row>
        <row r="29">
          <cell r="A29" t="str">
            <v>Australien - Großraum Brisbane</v>
          </cell>
          <cell r="B29">
            <v>48.645833333333329</v>
          </cell>
          <cell r="C29">
            <v>55.208333333333329</v>
          </cell>
          <cell r="D29" t="e">
            <v>#DIV/0!</v>
          </cell>
          <cell r="E29" t="e">
            <v>#DIV/0!</v>
          </cell>
        </row>
        <row r="30">
          <cell r="A30" t="str">
            <v>(Leer)</v>
          </cell>
          <cell r="B30">
            <v>48.645833333333329</v>
          </cell>
          <cell r="C30">
            <v>55.208333333333329</v>
          </cell>
          <cell r="D30" t="e">
            <v>#DIV/0!</v>
          </cell>
          <cell r="E30" t="e">
            <v>#DIV/0!</v>
          </cell>
        </row>
        <row r="31">
          <cell r="A31" t="str">
            <v>Australien - Melbourne</v>
          </cell>
          <cell r="B31">
            <v>34.666666666666664</v>
          </cell>
          <cell r="C31">
            <v>40.833333333333329</v>
          </cell>
          <cell r="D31" t="e">
            <v>#DIV/0!</v>
          </cell>
          <cell r="E31" t="e">
            <v>#DIV/0!</v>
          </cell>
        </row>
        <row r="32">
          <cell r="A32" t="str">
            <v>(Leer)</v>
          </cell>
          <cell r="B32">
            <v>34.666666666666664</v>
          </cell>
          <cell r="C32">
            <v>40.833333333333329</v>
          </cell>
          <cell r="D32" t="e">
            <v>#DIV/0!</v>
          </cell>
          <cell r="E32" t="e">
            <v>#DIV/0!</v>
          </cell>
        </row>
        <row r="33">
          <cell r="A33" t="str">
            <v>Australien - Perth</v>
          </cell>
          <cell r="B33">
            <v>62.5</v>
          </cell>
          <cell r="C33">
            <v>72.75</v>
          </cell>
          <cell r="D33" t="e">
            <v>#DIV/0!</v>
          </cell>
          <cell r="E33" t="e">
            <v>#DIV/0!</v>
          </cell>
        </row>
        <row r="34">
          <cell r="A34" t="str">
            <v>(Leer)</v>
          </cell>
          <cell r="B34">
            <v>62.5</v>
          </cell>
          <cell r="C34">
            <v>72.75</v>
          </cell>
          <cell r="D34" t="e">
            <v>#DIV/0!</v>
          </cell>
          <cell r="E34" t="e">
            <v>#DIV/0!</v>
          </cell>
        </row>
        <row r="35">
          <cell r="A35" t="str">
            <v>Australien - Sydney</v>
          </cell>
          <cell r="B35">
            <v>48.333333333333329</v>
          </cell>
          <cell r="C35">
            <v>74.708333333333329</v>
          </cell>
          <cell r="D35" t="e">
            <v>#DIV/0!</v>
          </cell>
          <cell r="E35" t="e">
            <v>#DIV/0!</v>
          </cell>
        </row>
        <row r="36">
          <cell r="A36" t="str">
            <v>(Leer)</v>
          </cell>
          <cell r="B36">
            <v>48.333333333333329</v>
          </cell>
          <cell r="C36">
            <v>74.708333333333329</v>
          </cell>
          <cell r="D36" t="e">
            <v>#DIV/0!</v>
          </cell>
          <cell r="E36" t="e">
            <v>#DIV/0!</v>
          </cell>
        </row>
        <row r="37">
          <cell r="A37" t="str">
            <v>Canberra (Colliers nicht in PPC)</v>
          </cell>
          <cell r="B37">
            <v>34.583333333333329</v>
          </cell>
          <cell r="C37">
            <v>36.458333333333329</v>
          </cell>
          <cell r="D37" t="e">
            <v>#DIV/0!</v>
          </cell>
          <cell r="E37" t="e">
            <v>#DIV/0!</v>
          </cell>
        </row>
        <row r="38">
          <cell r="A38" t="str">
            <v>(Leer)</v>
          </cell>
          <cell r="B38">
            <v>34.583333333333329</v>
          </cell>
          <cell r="C38">
            <v>36.458333333333329</v>
          </cell>
          <cell r="D38" t="e">
            <v>#DIV/0!</v>
          </cell>
          <cell r="E38" t="e">
            <v>#DIV/0!</v>
          </cell>
        </row>
        <row r="39">
          <cell r="A39" t="str">
            <v>Belgien</v>
          </cell>
          <cell r="B39">
            <v>14.6875</v>
          </cell>
          <cell r="C39">
            <v>16.875</v>
          </cell>
          <cell r="D39">
            <v>3.2</v>
          </cell>
          <cell r="E39">
            <v>3.7</v>
          </cell>
        </row>
        <row r="40">
          <cell r="A40" t="str">
            <v>Belgien</v>
          </cell>
          <cell r="B40" t="e">
            <v>#DIV/0!</v>
          </cell>
          <cell r="C40" t="e">
            <v>#DIV/0!</v>
          </cell>
          <cell r="D40" t="e">
            <v>#DIV/0!</v>
          </cell>
          <cell r="E40" t="e">
            <v>#DIV/0!</v>
          </cell>
        </row>
        <row r="41">
          <cell r="A41" t="str">
            <v>(Leer)</v>
          </cell>
          <cell r="B41" t="e">
            <v>#DIV/0!</v>
          </cell>
          <cell r="C41" t="e">
            <v>#DIV/0!</v>
          </cell>
          <cell r="D41" t="e">
            <v>#DIV/0!</v>
          </cell>
          <cell r="E41" t="e">
            <v>#DIV/0!</v>
          </cell>
        </row>
        <row r="42">
          <cell r="A42" t="str">
            <v>Belgien - Flandern</v>
          </cell>
          <cell r="B42">
            <v>12.71</v>
          </cell>
          <cell r="C42">
            <v>13.96</v>
          </cell>
          <cell r="D42">
            <v>3.2</v>
          </cell>
          <cell r="E42">
            <v>3.7</v>
          </cell>
        </row>
        <row r="43">
          <cell r="A43" t="str">
            <v>(Leer)</v>
          </cell>
          <cell r="B43">
            <v>12.71</v>
          </cell>
          <cell r="C43">
            <v>13.96</v>
          </cell>
          <cell r="D43">
            <v>3.2</v>
          </cell>
          <cell r="E43">
            <v>3.7</v>
          </cell>
        </row>
        <row r="44">
          <cell r="A44" t="str">
            <v>Belgien - Region, Hauptstadt Brüssel</v>
          </cell>
          <cell r="B44">
            <v>16.664999999999999</v>
          </cell>
          <cell r="C44">
            <v>19.79</v>
          </cell>
          <cell r="D44">
            <v>3.2</v>
          </cell>
          <cell r="E44">
            <v>3.7</v>
          </cell>
        </row>
        <row r="45">
          <cell r="A45" t="str">
            <v>(Leer)</v>
          </cell>
          <cell r="B45">
            <v>16.664999999999999</v>
          </cell>
          <cell r="C45">
            <v>19.79</v>
          </cell>
          <cell r="D45">
            <v>3.2</v>
          </cell>
          <cell r="E45">
            <v>3.7</v>
          </cell>
        </row>
        <row r="46">
          <cell r="A46" t="str">
            <v>Belgien - Wallonien</v>
          </cell>
          <cell r="B46" t="e">
            <v>#DIV/0!</v>
          </cell>
          <cell r="C46" t="e">
            <v>#DIV/0!</v>
          </cell>
          <cell r="D46" t="e">
            <v>#DIV/0!</v>
          </cell>
          <cell r="E46" t="e">
            <v>#DIV/0!</v>
          </cell>
        </row>
        <row r="47">
          <cell r="A47" t="str">
            <v>(Leer)</v>
          </cell>
          <cell r="B47" t="e">
            <v>#DIV/0!</v>
          </cell>
          <cell r="C47" t="e">
            <v>#DIV/0!</v>
          </cell>
          <cell r="D47" t="e">
            <v>#DIV/0!</v>
          </cell>
          <cell r="E47" t="e">
            <v>#DIV/0!</v>
          </cell>
        </row>
        <row r="48">
          <cell r="A48" t="str">
            <v>Bosnien und Herzegowina</v>
          </cell>
          <cell r="B48" t="e">
            <v>#DIV/0!</v>
          </cell>
          <cell r="C48" t="e">
            <v>#DIV/0!</v>
          </cell>
          <cell r="D48" t="e">
            <v>#DIV/0!</v>
          </cell>
          <cell r="E48" t="e">
            <v>#DIV/0!</v>
          </cell>
        </row>
        <row r="49">
          <cell r="A49" t="str">
            <v>Bosnien und Herzegowina</v>
          </cell>
          <cell r="B49" t="e">
            <v>#DIV/0!</v>
          </cell>
          <cell r="C49" t="e">
            <v>#DIV/0!</v>
          </cell>
          <cell r="D49" t="e">
            <v>#DIV/0!</v>
          </cell>
          <cell r="E49" t="e">
            <v>#DIV/0!</v>
          </cell>
        </row>
        <row r="50">
          <cell r="A50" t="str">
            <v>(Leer)</v>
          </cell>
          <cell r="B50" t="e">
            <v>#DIV/0!</v>
          </cell>
          <cell r="C50" t="e">
            <v>#DIV/0!</v>
          </cell>
          <cell r="D50" t="e">
            <v>#DIV/0!</v>
          </cell>
          <cell r="E50" t="e">
            <v>#DIV/0!</v>
          </cell>
        </row>
        <row r="51">
          <cell r="A51" t="str">
            <v>Bosnien und Herzegowina - FBuH</v>
          </cell>
          <cell r="B51" t="e">
            <v>#DIV/0!</v>
          </cell>
          <cell r="C51" t="e">
            <v>#DIV/0!</v>
          </cell>
          <cell r="D51" t="e">
            <v>#DIV/0!</v>
          </cell>
          <cell r="E51" t="e">
            <v>#DIV/0!</v>
          </cell>
        </row>
        <row r="52">
          <cell r="A52" t="str">
            <v>(Leer)</v>
          </cell>
          <cell r="B52" t="e">
            <v>#DIV/0!</v>
          </cell>
          <cell r="C52" t="e">
            <v>#DIV/0!</v>
          </cell>
          <cell r="D52" t="e">
            <v>#DIV/0!</v>
          </cell>
          <cell r="E52" t="e">
            <v>#DIV/0!</v>
          </cell>
        </row>
        <row r="53">
          <cell r="A53" t="str">
            <v>Bosnien und Herzegowina - Kanton Sarajevo</v>
          </cell>
          <cell r="B53" t="e">
            <v>#DIV/0!</v>
          </cell>
          <cell r="C53" t="e">
            <v>#DIV/0!</v>
          </cell>
          <cell r="D53" t="e">
            <v>#DIV/0!</v>
          </cell>
          <cell r="E53" t="e">
            <v>#DIV/0!</v>
          </cell>
        </row>
        <row r="54">
          <cell r="A54" t="str">
            <v>(Leer)</v>
          </cell>
          <cell r="B54" t="e">
            <v>#DIV/0!</v>
          </cell>
          <cell r="C54" t="e">
            <v>#DIV/0!</v>
          </cell>
          <cell r="D54" t="e">
            <v>#DIV/0!</v>
          </cell>
          <cell r="E54" t="e">
            <v>#DIV/0!</v>
          </cell>
        </row>
        <row r="55">
          <cell r="A55" t="str">
            <v>Bosnien und Herzegowina - RS</v>
          </cell>
          <cell r="B55" t="e">
            <v>#DIV/0!</v>
          </cell>
          <cell r="C55" t="e">
            <v>#DIV/0!</v>
          </cell>
          <cell r="D55" t="e">
            <v>#DIV/0!</v>
          </cell>
          <cell r="E55" t="e">
            <v>#DIV/0!</v>
          </cell>
        </row>
        <row r="56">
          <cell r="A56" t="str">
            <v>(Leer)</v>
          </cell>
          <cell r="B56" t="e">
            <v>#DIV/0!</v>
          </cell>
          <cell r="C56" t="e">
            <v>#DIV/0!</v>
          </cell>
          <cell r="D56" t="e">
            <v>#DIV/0!</v>
          </cell>
          <cell r="E56" t="e">
            <v>#DIV/0!</v>
          </cell>
        </row>
        <row r="57">
          <cell r="A57" t="str">
            <v>Brasilien</v>
          </cell>
          <cell r="B57">
            <v>111</v>
          </cell>
          <cell r="C57">
            <v>133.5</v>
          </cell>
          <cell r="D57">
            <v>25.48</v>
          </cell>
          <cell r="E57">
            <v>29.76</v>
          </cell>
        </row>
        <row r="58">
          <cell r="A58" t="str">
            <v>Brasilien</v>
          </cell>
          <cell r="B58" t="e">
            <v>#DIV/0!</v>
          </cell>
          <cell r="C58" t="e">
            <v>#DIV/0!</v>
          </cell>
          <cell r="D58" t="e">
            <v>#DIV/0!</v>
          </cell>
          <cell r="E58" t="e">
            <v>#DIV/0!</v>
          </cell>
        </row>
        <row r="59">
          <cell r="A59" t="str">
            <v>(Leer)</v>
          </cell>
          <cell r="B59" t="e">
            <v>#DIV/0!</v>
          </cell>
          <cell r="C59" t="e">
            <v>#DIV/0!</v>
          </cell>
          <cell r="D59" t="e">
            <v>#DIV/0!</v>
          </cell>
          <cell r="E59" t="e">
            <v>#DIV/0!</v>
          </cell>
        </row>
        <row r="60">
          <cell r="A60" t="str">
            <v>Brasilien - Paraná</v>
          </cell>
          <cell r="B60" t="e">
            <v>#DIV/0!</v>
          </cell>
          <cell r="C60" t="e">
            <v>#DIV/0!</v>
          </cell>
          <cell r="D60" t="e">
            <v>#DIV/0!</v>
          </cell>
          <cell r="E60" t="e">
            <v>#DIV/0!</v>
          </cell>
        </row>
        <row r="61">
          <cell r="A61" t="str">
            <v>(Leer)</v>
          </cell>
          <cell r="B61" t="e">
            <v>#DIV/0!</v>
          </cell>
          <cell r="C61" t="e">
            <v>#DIV/0!</v>
          </cell>
          <cell r="D61" t="e">
            <v>#DIV/0!</v>
          </cell>
          <cell r="E61" t="e">
            <v>#DIV/0!</v>
          </cell>
        </row>
        <row r="62">
          <cell r="A62" t="str">
            <v>Brasilien - Region Bahia (Salvador)</v>
          </cell>
          <cell r="B62" t="e">
            <v>#DIV/0!</v>
          </cell>
          <cell r="C62" t="e">
            <v>#DIV/0!</v>
          </cell>
          <cell r="D62" t="e">
            <v>#DIV/0!</v>
          </cell>
          <cell r="E62" t="e">
            <v>#DIV/0!</v>
          </cell>
        </row>
        <row r="63">
          <cell r="A63" t="str">
            <v>Salvador (Colliers nicht in PPC)</v>
          </cell>
          <cell r="B63" t="e">
            <v>#DIV/0!</v>
          </cell>
          <cell r="C63" t="e">
            <v>#DIV/0!</v>
          </cell>
          <cell r="D63" t="e">
            <v>#DIV/0!</v>
          </cell>
          <cell r="E63" t="e">
            <v>#DIV/0!</v>
          </cell>
        </row>
        <row r="64">
          <cell r="A64" t="str">
            <v>Brasilien - Region Minas Gerais (Belo Horizonte)</v>
          </cell>
          <cell r="B64" t="e">
            <v>#DIV/0!</v>
          </cell>
          <cell r="C64" t="e">
            <v>#DIV/0!</v>
          </cell>
          <cell r="D64" t="e">
            <v>#DIV/0!</v>
          </cell>
          <cell r="E64" t="e">
            <v>#DIV/0!</v>
          </cell>
        </row>
        <row r="65">
          <cell r="A65" t="str">
            <v>Belo Horizonte (Colliers nicht in PPC)</v>
          </cell>
          <cell r="B65" t="e">
            <v>#DIV/0!</v>
          </cell>
          <cell r="C65" t="e">
            <v>#DIV/0!</v>
          </cell>
          <cell r="D65" t="e">
            <v>#DIV/0!</v>
          </cell>
          <cell r="E65" t="e">
            <v>#DIV/0!</v>
          </cell>
        </row>
        <row r="66">
          <cell r="A66" t="str">
            <v>Brasilien - Region Pernambuco (Recife)</v>
          </cell>
          <cell r="B66" t="e">
            <v>#DIV/0!</v>
          </cell>
          <cell r="C66" t="e">
            <v>#DIV/0!</v>
          </cell>
          <cell r="D66" t="e">
            <v>#DIV/0!</v>
          </cell>
          <cell r="E66" t="e">
            <v>#DIV/0!</v>
          </cell>
        </row>
        <row r="67">
          <cell r="A67" t="str">
            <v>Recife (Colliers nicht in PPC)</v>
          </cell>
          <cell r="B67" t="e">
            <v>#DIV/0!</v>
          </cell>
          <cell r="C67" t="e">
            <v>#DIV/0!</v>
          </cell>
          <cell r="D67" t="e">
            <v>#DIV/0!</v>
          </cell>
          <cell r="E67" t="e">
            <v>#DIV/0!</v>
          </cell>
        </row>
        <row r="68">
          <cell r="A68" t="str">
            <v>Brasilien - Region Rio de Janeiro</v>
          </cell>
          <cell r="B68">
            <v>118</v>
          </cell>
          <cell r="C68">
            <v>139.5</v>
          </cell>
          <cell r="D68" t="e">
            <v>#DIV/0!</v>
          </cell>
          <cell r="E68" t="e">
            <v>#DIV/0!</v>
          </cell>
        </row>
        <row r="69">
          <cell r="A69" t="str">
            <v>(Leer)</v>
          </cell>
          <cell r="B69">
            <v>118</v>
          </cell>
          <cell r="C69">
            <v>139.5</v>
          </cell>
          <cell r="D69" t="e">
            <v>#DIV/0!</v>
          </cell>
          <cell r="E69" t="e">
            <v>#DIV/0!</v>
          </cell>
        </row>
        <row r="70">
          <cell r="A70" t="str">
            <v>Brasilien - Region Rio Grande do Sul (Porto Alegre)</v>
          </cell>
          <cell r="B70" t="e">
            <v>#DIV/0!</v>
          </cell>
          <cell r="C70" t="e">
            <v>#DIV/0!</v>
          </cell>
          <cell r="D70" t="e">
            <v>#DIV/0!</v>
          </cell>
          <cell r="E70" t="e">
            <v>#DIV/0!</v>
          </cell>
        </row>
        <row r="71">
          <cell r="A71" t="str">
            <v>Porto Alegre (Colliers nicht in PPC)</v>
          </cell>
          <cell r="B71" t="e">
            <v>#DIV/0!</v>
          </cell>
          <cell r="C71" t="e">
            <v>#DIV/0!</v>
          </cell>
          <cell r="D71" t="e">
            <v>#DIV/0!</v>
          </cell>
          <cell r="E71" t="e">
            <v>#DIV/0!</v>
          </cell>
        </row>
        <row r="72">
          <cell r="A72" t="str">
            <v>Brasilien - Region Sao Paulo</v>
          </cell>
          <cell r="B72">
            <v>104</v>
          </cell>
          <cell r="C72">
            <v>127.5</v>
          </cell>
          <cell r="D72">
            <v>25.48</v>
          </cell>
          <cell r="E72">
            <v>29.76</v>
          </cell>
        </row>
        <row r="73">
          <cell r="A73" t="str">
            <v>(Leer)</v>
          </cell>
          <cell r="B73">
            <v>104</v>
          </cell>
          <cell r="C73">
            <v>127.5</v>
          </cell>
          <cell r="D73">
            <v>25.48</v>
          </cell>
          <cell r="E73">
            <v>29.76</v>
          </cell>
        </row>
        <row r="74">
          <cell r="A74" t="str">
            <v>Brasilien - Santa Catarina</v>
          </cell>
          <cell r="B74" t="e">
            <v>#DIV/0!</v>
          </cell>
          <cell r="C74" t="e">
            <v>#DIV/0!</v>
          </cell>
          <cell r="D74" t="e">
            <v>#DIV/0!</v>
          </cell>
          <cell r="E74" t="e">
            <v>#DIV/0!</v>
          </cell>
        </row>
        <row r="75">
          <cell r="A75" t="str">
            <v>(Leer)</v>
          </cell>
          <cell r="B75" t="e">
            <v>#DIV/0!</v>
          </cell>
          <cell r="C75" t="e">
            <v>#DIV/0!</v>
          </cell>
          <cell r="D75" t="e">
            <v>#DIV/0!</v>
          </cell>
          <cell r="E75" t="e">
            <v>#DIV/0!</v>
          </cell>
        </row>
        <row r="76">
          <cell r="A76" t="str">
            <v>Brasilien - Amazonas</v>
          </cell>
          <cell r="B76" t="e">
            <v>#DIV/0!</v>
          </cell>
          <cell r="C76" t="e">
            <v>#DIV/0!</v>
          </cell>
          <cell r="D76" t="e">
            <v>#DIV/0!</v>
          </cell>
          <cell r="E76" t="e">
            <v>#DIV/0!</v>
          </cell>
        </row>
        <row r="77">
          <cell r="A77" t="str">
            <v>(Leer)</v>
          </cell>
          <cell r="B77" t="e">
            <v>#DIV/0!</v>
          </cell>
          <cell r="C77" t="e">
            <v>#DIV/0!</v>
          </cell>
          <cell r="D77" t="e">
            <v>#DIV/0!</v>
          </cell>
          <cell r="E77" t="e">
            <v>#DIV/0!</v>
          </cell>
        </row>
        <row r="78">
          <cell r="A78" t="str">
            <v>Bulgarien</v>
          </cell>
          <cell r="B78">
            <v>19.166840000000001</v>
          </cell>
          <cell r="C78">
            <v>43.0276</v>
          </cell>
          <cell r="D78">
            <v>6.8452999999999999</v>
          </cell>
          <cell r="E78">
            <v>7.8231999999999999</v>
          </cell>
        </row>
        <row r="79">
          <cell r="A79" t="str">
            <v>Bulgarien</v>
          </cell>
          <cell r="B79" t="e">
            <v>#DIV/0!</v>
          </cell>
          <cell r="C79" t="e">
            <v>#DIV/0!</v>
          </cell>
          <cell r="D79" t="e">
            <v>#DIV/0!</v>
          </cell>
          <cell r="E79" t="e">
            <v>#DIV/0!</v>
          </cell>
        </row>
        <row r="80">
          <cell r="A80" t="str">
            <v>(Leer)</v>
          </cell>
          <cell r="B80" t="e">
            <v>#DIV/0!</v>
          </cell>
          <cell r="C80" t="e">
            <v>#DIV/0!</v>
          </cell>
          <cell r="D80" t="e">
            <v>#DIV/0!</v>
          </cell>
          <cell r="E80" t="e">
            <v>#DIV/0!</v>
          </cell>
        </row>
        <row r="81">
          <cell r="A81" t="str">
            <v>Bulgarien - Nord-Osten</v>
          </cell>
          <cell r="B81" t="e">
            <v>#DIV/0!</v>
          </cell>
          <cell r="C81" t="e">
            <v>#DIV/0!</v>
          </cell>
          <cell r="D81" t="e">
            <v>#DIV/0!</v>
          </cell>
          <cell r="E81" t="e">
            <v>#DIV/0!</v>
          </cell>
        </row>
        <row r="82">
          <cell r="A82" t="str">
            <v>(Leer)</v>
          </cell>
          <cell r="B82" t="e">
            <v>#DIV/0!</v>
          </cell>
          <cell r="C82" t="e">
            <v>#DIV/0!</v>
          </cell>
          <cell r="D82" t="e">
            <v>#DIV/0!</v>
          </cell>
          <cell r="E82" t="e">
            <v>#DIV/0!</v>
          </cell>
        </row>
        <row r="83">
          <cell r="A83" t="str">
            <v>Bulgarien - Nord-Westen</v>
          </cell>
          <cell r="B83" t="e">
            <v>#DIV/0!</v>
          </cell>
          <cell r="C83" t="e">
            <v>#DIV/0!</v>
          </cell>
          <cell r="D83" t="e">
            <v>#DIV/0!</v>
          </cell>
          <cell r="E83" t="e">
            <v>#DIV/0!</v>
          </cell>
        </row>
        <row r="84">
          <cell r="A84" t="str">
            <v>(Leer)</v>
          </cell>
          <cell r="B84" t="e">
            <v>#DIV/0!</v>
          </cell>
          <cell r="C84" t="e">
            <v>#DIV/0!</v>
          </cell>
          <cell r="D84" t="e">
            <v>#DIV/0!</v>
          </cell>
          <cell r="E84" t="e">
            <v>#DIV/0!</v>
          </cell>
        </row>
        <row r="85">
          <cell r="A85" t="str">
            <v>Bulgarien - Sofia</v>
          </cell>
          <cell r="B85">
            <v>19.166840000000001</v>
          </cell>
          <cell r="C85">
            <v>43.0276</v>
          </cell>
          <cell r="D85">
            <v>6.8452999999999999</v>
          </cell>
          <cell r="E85">
            <v>7.8231999999999999</v>
          </cell>
        </row>
        <row r="86">
          <cell r="A86" t="str">
            <v>(Leer)</v>
          </cell>
          <cell r="B86">
            <v>19.166840000000001</v>
          </cell>
          <cell r="C86">
            <v>43.0276</v>
          </cell>
          <cell r="D86">
            <v>6.8452999999999999</v>
          </cell>
          <cell r="E86">
            <v>7.8231999999999999</v>
          </cell>
        </row>
        <row r="87">
          <cell r="A87" t="str">
            <v>Bulgarien - Süd-Osten</v>
          </cell>
          <cell r="B87" t="e">
            <v>#DIV/0!</v>
          </cell>
          <cell r="C87" t="e">
            <v>#DIV/0!</v>
          </cell>
          <cell r="D87" t="e">
            <v>#DIV/0!</v>
          </cell>
          <cell r="E87" t="e">
            <v>#DIV/0!</v>
          </cell>
        </row>
        <row r="88">
          <cell r="A88" t="str">
            <v>(Leer)</v>
          </cell>
          <cell r="B88" t="e">
            <v>#DIV/0!</v>
          </cell>
          <cell r="C88" t="e">
            <v>#DIV/0!</v>
          </cell>
          <cell r="D88" t="e">
            <v>#DIV/0!</v>
          </cell>
          <cell r="E88" t="e">
            <v>#DIV/0!</v>
          </cell>
        </row>
        <row r="89">
          <cell r="A89" t="str">
            <v>Bulgarien - Süd-Westen</v>
          </cell>
          <cell r="B89" t="e">
            <v>#DIV/0!</v>
          </cell>
          <cell r="C89" t="e">
            <v>#DIV/0!</v>
          </cell>
          <cell r="D89" t="e">
            <v>#DIV/0!</v>
          </cell>
          <cell r="E89" t="e">
            <v>#DIV/0!</v>
          </cell>
        </row>
        <row r="90">
          <cell r="A90" t="str">
            <v>(Leer)</v>
          </cell>
          <cell r="B90" t="e">
            <v>#DIV/0!</v>
          </cell>
          <cell r="C90" t="e">
            <v>#DIV/0!</v>
          </cell>
          <cell r="D90" t="e">
            <v>#DIV/0!</v>
          </cell>
          <cell r="E90" t="e">
            <v>#DIV/0!</v>
          </cell>
        </row>
        <row r="91">
          <cell r="A91" t="str">
            <v>China</v>
          </cell>
          <cell r="B91">
            <v>341.37893802764864</v>
          </cell>
          <cell r="C91">
            <v>464.07533936322511</v>
          </cell>
          <cell r="D91">
            <v>33</v>
          </cell>
          <cell r="E91">
            <v>36.799999999999997</v>
          </cell>
        </row>
        <row r="92">
          <cell r="A92" t="str">
            <v>Chengdu (Colliers nicht in PPC)</v>
          </cell>
          <cell r="B92">
            <v>144.69999999999999</v>
          </cell>
          <cell r="C92">
            <v>167</v>
          </cell>
          <cell r="D92" t="e">
            <v>#DIV/0!</v>
          </cell>
          <cell r="E92" t="e">
            <v>#DIV/0!</v>
          </cell>
        </row>
        <row r="93">
          <cell r="A93" t="str">
            <v>(Leer)</v>
          </cell>
          <cell r="B93">
            <v>144.69999999999999</v>
          </cell>
          <cell r="C93">
            <v>167</v>
          </cell>
          <cell r="D93" t="e">
            <v>#DIV/0!</v>
          </cell>
          <cell r="E93" t="e">
            <v>#DIV/0!</v>
          </cell>
        </row>
        <row r="94">
          <cell r="A94" t="str">
            <v>China</v>
          </cell>
          <cell r="B94" t="e">
            <v>#DIV/0!</v>
          </cell>
          <cell r="C94" t="e">
            <v>#DIV/0!</v>
          </cell>
          <cell r="D94" t="e">
            <v>#DIV/0!</v>
          </cell>
          <cell r="E94" t="e">
            <v>#DIV/0!</v>
          </cell>
        </row>
        <row r="95">
          <cell r="A95" t="str">
            <v>(Leer)</v>
          </cell>
          <cell r="B95" t="e">
            <v>#DIV/0!</v>
          </cell>
          <cell r="C95" t="e">
            <v>#DIV/0!</v>
          </cell>
          <cell r="D95" t="e">
            <v>#DIV/0!</v>
          </cell>
          <cell r="E95" t="e">
            <v>#DIV/0!</v>
          </cell>
        </row>
        <row r="96">
          <cell r="A96" t="str">
            <v>China - Beijing Region  (Nord)</v>
          </cell>
          <cell r="B96">
            <v>212.13499999999999</v>
          </cell>
          <cell r="C96">
            <v>254.08500000000001</v>
          </cell>
          <cell r="D96">
            <v>33</v>
          </cell>
          <cell r="E96">
            <v>36.799999999999997</v>
          </cell>
        </row>
        <row r="97">
          <cell r="A97" t="str">
            <v>(Leer)</v>
          </cell>
          <cell r="B97">
            <v>212.13499999999999</v>
          </cell>
          <cell r="C97">
            <v>254.08500000000001</v>
          </cell>
          <cell r="D97">
            <v>33</v>
          </cell>
          <cell r="E97">
            <v>36.799999999999997</v>
          </cell>
        </row>
        <row r="98">
          <cell r="A98" t="str">
            <v>China - Changsha Region</v>
          </cell>
          <cell r="B98" t="e">
            <v>#DIV/0!</v>
          </cell>
          <cell r="C98" t="e">
            <v>#DIV/0!</v>
          </cell>
          <cell r="D98" t="e">
            <v>#DIV/0!</v>
          </cell>
          <cell r="E98" t="e">
            <v>#DIV/0!</v>
          </cell>
        </row>
        <row r="99">
          <cell r="A99" t="str">
            <v>(Leer)</v>
          </cell>
          <cell r="B99" t="e">
            <v>#DIV/0!</v>
          </cell>
          <cell r="C99" t="e">
            <v>#DIV/0!</v>
          </cell>
          <cell r="D99" t="e">
            <v>#DIV/0!</v>
          </cell>
          <cell r="E99" t="e">
            <v>#DIV/0!</v>
          </cell>
        </row>
        <row r="100">
          <cell r="A100" t="str">
            <v>China - Chongqing</v>
          </cell>
          <cell r="B100" t="e">
            <v>#DIV/0!</v>
          </cell>
          <cell r="C100" t="e">
            <v>#DIV/0!</v>
          </cell>
          <cell r="D100" t="e">
            <v>#DIV/0!</v>
          </cell>
          <cell r="E100" t="e">
            <v>#DIV/0!</v>
          </cell>
        </row>
        <row r="101">
          <cell r="A101" t="str">
            <v>(Leer)</v>
          </cell>
          <cell r="B101" t="e">
            <v>#DIV/0!</v>
          </cell>
          <cell r="C101" t="e">
            <v>#DIV/0!</v>
          </cell>
          <cell r="D101" t="e">
            <v>#DIV/0!</v>
          </cell>
          <cell r="E101" t="e">
            <v>#DIV/0!</v>
          </cell>
        </row>
        <row r="102">
          <cell r="A102" t="str">
            <v>China - Guangzhou Region  (Süd-Ost)</v>
          </cell>
          <cell r="B102">
            <v>138</v>
          </cell>
          <cell r="C102">
            <v>168</v>
          </cell>
          <cell r="D102" t="e">
            <v>#DIV/0!</v>
          </cell>
          <cell r="E102" t="e">
            <v>#DIV/0!</v>
          </cell>
        </row>
        <row r="103">
          <cell r="A103" t="str">
            <v>(Leer)</v>
          </cell>
          <cell r="B103">
            <v>138</v>
          </cell>
          <cell r="C103">
            <v>168</v>
          </cell>
          <cell r="D103" t="e">
            <v>#DIV/0!</v>
          </cell>
          <cell r="E103" t="e">
            <v>#DIV/0!</v>
          </cell>
        </row>
        <row r="104">
          <cell r="A104" t="str">
            <v>China - Shanghai Region (Ost)</v>
          </cell>
          <cell r="B104">
            <v>237.42</v>
          </cell>
          <cell r="C104">
            <v>284.39</v>
          </cell>
          <cell r="D104" t="e">
            <v>#DIV/0!</v>
          </cell>
          <cell r="E104" t="e">
            <v>#DIV/0!</v>
          </cell>
        </row>
        <row r="105">
          <cell r="A105" t="str">
            <v>Pudong (Colliers nicht in PPC)</v>
          </cell>
          <cell r="B105">
            <v>237.42</v>
          </cell>
          <cell r="C105">
            <v>284.39</v>
          </cell>
          <cell r="D105" t="e">
            <v>#DIV/0!</v>
          </cell>
          <cell r="E105" t="e">
            <v>#DIV/0!</v>
          </cell>
        </row>
        <row r="106">
          <cell r="A106" t="str">
            <v>China - Shenyang Region</v>
          </cell>
          <cell r="B106" t="e">
            <v>#DIV/0!</v>
          </cell>
          <cell r="C106" t="e">
            <v>#DIV/0!</v>
          </cell>
          <cell r="D106" t="e">
            <v>#DIV/0!</v>
          </cell>
          <cell r="E106" t="e">
            <v>#DIV/0!</v>
          </cell>
        </row>
        <row r="107">
          <cell r="A107" t="str">
            <v>(Leer)</v>
          </cell>
          <cell r="B107" t="e">
            <v>#DIV/0!</v>
          </cell>
          <cell r="C107" t="e">
            <v>#DIV/0!</v>
          </cell>
          <cell r="D107" t="e">
            <v>#DIV/0!</v>
          </cell>
          <cell r="E107" t="e">
            <v>#DIV/0!</v>
          </cell>
        </row>
        <row r="108">
          <cell r="A108" t="str">
            <v>China - Wuxi Suzhou</v>
          </cell>
          <cell r="B108" t="e">
            <v>#DIV/0!</v>
          </cell>
          <cell r="C108" t="e">
            <v>#DIV/0!</v>
          </cell>
          <cell r="D108" t="e">
            <v>#DIV/0!</v>
          </cell>
          <cell r="E108" t="e">
            <v>#DIV/0!</v>
          </cell>
        </row>
        <row r="109">
          <cell r="A109" t="str">
            <v>(Leer)</v>
          </cell>
          <cell r="B109" t="e">
            <v>#DIV/0!</v>
          </cell>
          <cell r="C109" t="e">
            <v>#DIV/0!</v>
          </cell>
          <cell r="D109" t="e">
            <v>#DIV/0!</v>
          </cell>
          <cell r="E109" t="e">
            <v>#DIV/0!</v>
          </cell>
        </row>
        <row r="110">
          <cell r="A110" t="str">
            <v>Hong Kong (Colliers nicht in PPC)</v>
          </cell>
          <cell r="B110">
            <v>659.25854860516256</v>
          </cell>
          <cell r="C110">
            <v>1086.3212591961953</v>
          </cell>
          <cell r="D110" t="e">
            <v>#DIV/0!</v>
          </cell>
          <cell r="E110" t="e">
            <v>#DIV/0!</v>
          </cell>
        </row>
        <row r="111">
          <cell r="A111" t="str">
            <v>(Leer)</v>
          </cell>
          <cell r="B111">
            <v>659.25854860516256</v>
          </cell>
          <cell r="C111">
            <v>1086.3212591961953</v>
          </cell>
          <cell r="D111" t="e">
            <v>#DIV/0!</v>
          </cell>
          <cell r="E111" t="e">
            <v>#DIV/0!</v>
          </cell>
        </row>
        <row r="112">
          <cell r="A112" t="str">
            <v>Shanghai  (Colliers nicht in PPC)</v>
          </cell>
          <cell r="B112">
            <v>656.7600795607292</v>
          </cell>
          <cell r="C112">
            <v>824.65577698315519</v>
          </cell>
          <cell r="D112" t="e">
            <v>#DIV/0!</v>
          </cell>
          <cell r="E112" t="e">
            <v>#DIV/0!</v>
          </cell>
        </row>
        <row r="113">
          <cell r="A113" t="str">
            <v>(Leer)</v>
          </cell>
          <cell r="B113">
            <v>656.7600795607292</v>
          </cell>
          <cell r="C113">
            <v>824.65577698315519</v>
          </cell>
          <cell r="D113" t="e">
            <v>#DIV/0!</v>
          </cell>
          <cell r="E113" t="e">
            <v>#DIV/0!</v>
          </cell>
        </row>
        <row r="114">
          <cell r="A114" t="str">
            <v>Dänemark</v>
          </cell>
          <cell r="B114">
            <v>116.66500000000001</v>
          </cell>
          <cell r="C114">
            <v>145.83499999999998</v>
          </cell>
          <cell r="D114">
            <v>37.5</v>
          </cell>
          <cell r="E114">
            <v>37.5</v>
          </cell>
        </row>
        <row r="115">
          <cell r="A115" t="str">
            <v>Dänemark</v>
          </cell>
          <cell r="B115" t="e">
            <v>#DIV/0!</v>
          </cell>
          <cell r="C115" t="e">
            <v>#DIV/0!</v>
          </cell>
          <cell r="D115" t="e">
            <v>#DIV/0!</v>
          </cell>
          <cell r="E115" t="e">
            <v>#DIV/0!</v>
          </cell>
        </row>
        <row r="116">
          <cell r="A116" t="str">
            <v>(Leer)</v>
          </cell>
          <cell r="B116" t="e">
            <v>#DIV/0!</v>
          </cell>
          <cell r="C116" t="e">
            <v>#DIV/0!</v>
          </cell>
          <cell r="D116" t="e">
            <v>#DIV/0!</v>
          </cell>
          <cell r="E116" t="e">
            <v>#DIV/0!</v>
          </cell>
        </row>
        <row r="117">
          <cell r="A117" t="str">
            <v>Kopenhagen (Colliers nicht in PPC)</v>
          </cell>
          <cell r="B117">
            <v>116.66500000000001</v>
          </cell>
          <cell r="C117">
            <v>145.83499999999998</v>
          </cell>
          <cell r="D117">
            <v>37.5</v>
          </cell>
          <cell r="E117">
            <v>37.5</v>
          </cell>
        </row>
        <row r="118">
          <cell r="A118" t="str">
            <v>(Leer)</v>
          </cell>
          <cell r="B118">
            <v>116.66500000000001</v>
          </cell>
          <cell r="C118">
            <v>145.83499999999998</v>
          </cell>
          <cell r="D118">
            <v>37.5</v>
          </cell>
          <cell r="E118">
            <v>37.5</v>
          </cell>
        </row>
        <row r="119">
          <cell r="A119" t="str">
            <v>Deutschland</v>
          </cell>
          <cell r="B119">
            <v>12.657250000000001</v>
          </cell>
          <cell r="C119">
            <v>16.422222222222221</v>
          </cell>
          <cell r="D119">
            <v>4.377272727272727</v>
          </cell>
          <cell r="E119">
            <v>5.416666666666667</v>
          </cell>
        </row>
        <row r="120">
          <cell r="A120" t="str">
            <v>Baden-Württemberg</v>
          </cell>
          <cell r="B120">
            <v>8.338461538461539</v>
          </cell>
          <cell r="C120">
            <v>12.634615384615385</v>
          </cell>
          <cell r="D120">
            <v>3.75</v>
          </cell>
          <cell r="E120">
            <v>4.7666666666666666</v>
          </cell>
        </row>
        <row r="121">
          <cell r="A121" t="str">
            <v>Stuttgart</v>
          </cell>
          <cell r="B121">
            <v>16.899999999999999</v>
          </cell>
          <cell r="C121">
            <v>21.85</v>
          </cell>
          <cell r="D121">
            <v>6</v>
          </cell>
          <cell r="E121">
            <v>5.3</v>
          </cell>
        </row>
        <row r="122">
          <cell r="A122" t="str">
            <v>Stuttgart - Böblingen</v>
          </cell>
          <cell r="B122" t="e">
            <v>#DIV/0!</v>
          </cell>
          <cell r="C122" t="e">
            <v>#DIV/0!</v>
          </cell>
          <cell r="D122">
            <v>4</v>
          </cell>
          <cell r="E122">
            <v>5.5</v>
          </cell>
        </row>
        <row r="123">
          <cell r="A123" t="str">
            <v>Stuttgart - Esslingen a.N.</v>
          </cell>
          <cell r="B123" t="e">
            <v>#DIV/0!</v>
          </cell>
          <cell r="C123" t="e">
            <v>#DIV/0!</v>
          </cell>
          <cell r="D123">
            <v>3.5</v>
          </cell>
          <cell r="E123">
            <v>5</v>
          </cell>
        </row>
        <row r="124">
          <cell r="A124" t="str">
            <v>Stuttgart - Göppingen</v>
          </cell>
          <cell r="B124" t="e">
            <v>#DIV/0!</v>
          </cell>
          <cell r="C124" t="e">
            <v>#DIV/0!</v>
          </cell>
          <cell r="D124">
            <v>3</v>
          </cell>
          <cell r="E124">
            <v>3.9</v>
          </cell>
        </row>
        <row r="125">
          <cell r="A125" t="str">
            <v>Stuttgart - Ludwigsburg</v>
          </cell>
          <cell r="B125" t="e">
            <v>#DIV/0!</v>
          </cell>
          <cell r="C125" t="e">
            <v>#DIV/0!</v>
          </cell>
          <cell r="D125">
            <v>3</v>
          </cell>
          <cell r="E125">
            <v>4.5999999999999996</v>
          </cell>
        </row>
        <row r="126">
          <cell r="A126" t="str">
            <v>Stuttgart - Rems-Murr-Kreis</v>
          </cell>
          <cell r="B126" t="e">
            <v>#DIV/0!</v>
          </cell>
          <cell r="C126" t="e">
            <v>#DIV/0!</v>
          </cell>
          <cell r="D126">
            <v>3</v>
          </cell>
          <cell r="E126">
            <v>4.3</v>
          </cell>
        </row>
        <row r="127">
          <cell r="A127" t="str">
            <v>Stuttgart Cannstatt</v>
          </cell>
          <cell r="B127">
            <v>7</v>
          </cell>
          <cell r="C127">
            <v>10.199999999999999</v>
          </cell>
          <cell r="D127" t="e">
            <v>#DIV/0!</v>
          </cell>
          <cell r="E127" t="e">
            <v>#DIV/0!</v>
          </cell>
        </row>
        <row r="128">
          <cell r="A128" t="str">
            <v>Stuttgart City</v>
          </cell>
          <cell r="B128">
            <v>11</v>
          </cell>
          <cell r="C128">
            <v>18.5</v>
          </cell>
          <cell r="D128" t="e">
            <v>#DIV/0!</v>
          </cell>
          <cell r="E128" t="e">
            <v>#DIV/0!</v>
          </cell>
        </row>
        <row r="129">
          <cell r="A129" t="str">
            <v>Stuttgart Degerloch</v>
          </cell>
          <cell r="B129">
            <v>8</v>
          </cell>
          <cell r="C129">
            <v>12</v>
          </cell>
          <cell r="D129" t="e">
            <v>#DIV/0!</v>
          </cell>
          <cell r="E129" t="e">
            <v>#DIV/0!</v>
          </cell>
        </row>
        <row r="130">
          <cell r="A130" t="str">
            <v>Stuttgart Fasanenhof</v>
          </cell>
          <cell r="B130">
            <v>7.5</v>
          </cell>
          <cell r="C130">
            <v>10.5</v>
          </cell>
          <cell r="D130" t="e">
            <v>#DIV/0!</v>
          </cell>
          <cell r="E130" t="e">
            <v>#DIV/0!</v>
          </cell>
        </row>
        <row r="131">
          <cell r="A131" t="str">
            <v>Stuttgart Feuerbach</v>
          </cell>
          <cell r="B131">
            <v>7</v>
          </cell>
          <cell r="C131">
            <v>11</v>
          </cell>
          <cell r="D131" t="e">
            <v>#DIV/0!</v>
          </cell>
          <cell r="E131" t="e">
            <v>#DIV/0!</v>
          </cell>
        </row>
        <row r="132">
          <cell r="A132" t="str">
            <v>Stuttgart Innenstadt</v>
          </cell>
          <cell r="B132">
            <v>8</v>
          </cell>
          <cell r="C132">
            <v>15</v>
          </cell>
          <cell r="D132" t="e">
            <v>#DIV/0!</v>
          </cell>
          <cell r="E132" t="e">
            <v>#DIV/0!</v>
          </cell>
        </row>
        <row r="133">
          <cell r="A133" t="str">
            <v>Stuttgart Leinfelden-Echterdingen</v>
          </cell>
          <cell r="B133">
            <v>7</v>
          </cell>
          <cell r="C133">
            <v>12</v>
          </cell>
          <cell r="D133" t="e">
            <v>#DIV/0!</v>
          </cell>
          <cell r="E133" t="e">
            <v>#DIV/0!</v>
          </cell>
        </row>
        <row r="134">
          <cell r="A134" t="str">
            <v>Stuttgart Möhringen</v>
          </cell>
          <cell r="B134">
            <v>8</v>
          </cell>
          <cell r="C134">
            <v>10.5</v>
          </cell>
          <cell r="D134" t="e">
            <v>#DIV/0!</v>
          </cell>
          <cell r="E134" t="e">
            <v>#DIV/0!</v>
          </cell>
        </row>
        <row r="135">
          <cell r="A135" t="str">
            <v>Stuttgart Vaihingen</v>
          </cell>
          <cell r="B135">
            <v>8</v>
          </cell>
          <cell r="C135">
            <v>13</v>
          </cell>
          <cell r="D135" t="e">
            <v>#DIV/0!</v>
          </cell>
          <cell r="E135" t="e">
            <v>#DIV/0!</v>
          </cell>
        </row>
        <row r="136">
          <cell r="A136" t="str">
            <v>Stuttgart Wangen</v>
          </cell>
          <cell r="B136">
            <v>7</v>
          </cell>
          <cell r="C136">
            <v>10.199999999999999</v>
          </cell>
          <cell r="D136" t="e">
            <v>#DIV/0!</v>
          </cell>
          <cell r="E136" t="e">
            <v>#DIV/0!</v>
          </cell>
        </row>
        <row r="137">
          <cell r="A137" t="str">
            <v>Stuttgart Weilimdorf</v>
          </cell>
          <cell r="B137">
            <v>6</v>
          </cell>
          <cell r="C137">
            <v>8.5</v>
          </cell>
          <cell r="D137" t="e">
            <v>#DIV/0!</v>
          </cell>
          <cell r="E137" t="e">
            <v>#DIV/0!</v>
          </cell>
        </row>
        <row r="138">
          <cell r="A138" t="str">
            <v>Stuttgart Zuffenhausen</v>
          </cell>
          <cell r="B138">
            <v>7</v>
          </cell>
          <cell r="C138">
            <v>11</v>
          </cell>
          <cell r="D138" t="e">
            <v>#DIV/0!</v>
          </cell>
          <cell r="E138" t="e">
            <v>#DIV/0!</v>
          </cell>
        </row>
        <row r="139">
          <cell r="A139" t="str">
            <v>Deutschland</v>
          </cell>
          <cell r="B139" t="e">
            <v>#DIV/0!</v>
          </cell>
          <cell r="C139" t="e">
            <v>#DIV/0!</v>
          </cell>
          <cell r="D139" t="e">
            <v>#DIV/0!</v>
          </cell>
          <cell r="E139" t="e">
            <v>#DIV/0!</v>
          </cell>
        </row>
        <row r="140">
          <cell r="A140" t="str">
            <v>(Leer)</v>
          </cell>
          <cell r="B140" t="e">
            <v>#DIV/0!</v>
          </cell>
          <cell r="C140" t="e">
            <v>#DIV/0!</v>
          </cell>
          <cell r="D140" t="e">
            <v>#DIV/0!</v>
          </cell>
          <cell r="E140" t="e">
            <v>#DIV/0!</v>
          </cell>
        </row>
        <row r="141">
          <cell r="A141" t="str">
            <v>Deutschland - Baden-Württemberg</v>
          </cell>
          <cell r="B141" t="e">
            <v>#DIV/0!</v>
          </cell>
          <cell r="C141" t="e">
            <v>#DIV/0!</v>
          </cell>
          <cell r="D141" t="e">
            <v>#DIV/0!</v>
          </cell>
          <cell r="E141" t="e">
            <v>#DIV/0!</v>
          </cell>
        </row>
        <row r="142">
          <cell r="A142" t="str">
            <v>(Leer)</v>
          </cell>
          <cell r="B142" t="e">
            <v>#DIV/0!</v>
          </cell>
          <cell r="C142" t="e">
            <v>#DIV/0!</v>
          </cell>
          <cell r="D142" t="e">
            <v>#DIV/0!</v>
          </cell>
          <cell r="E142" t="e">
            <v>#DIV/0!</v>
          </cell>
        </row>
        <row r="143">
          <cell r="A143" t="str">
            <v>Deutschland - Bayern</v>
          </cell>
          <cell r="B143">
            <v>13.572307692307692</v>
          </cell>
          <cell r="C143" t="e">
            <v>#DIV/0!</v>
          </cell>
          <cell r="D143" t="e">
            <v>#DIV/0!</v>
          </cell>
          <cell r="E143">
            <v>8.5</v>
          </cell>
        </row>
        <row r="144">
          <cell r="A144" t="str">
            <v>München Stadt NO</v>
          </cell>
          <cell r="B144">
            <v>13.21</v>
          </cell>
          <cell r="C144" t="e">
            <v>#DIV/0!</v>
          </cell>
          <cell r="D144" t="e">
            <v>#DIV/0!</v>
          </cell>
          <cell r="E144" t="e">
            <v>#DIV/0!</v>
          </cell>
        </row>
        <row r="145">
          <cell r="A145" t="str">
            <v>München Stadt NW</v>
          </cell>
          <cell r="B145">
            <v>13.88</v>
          </cell>
          <cell r="C145" t="e">
            <v>#DIV/0!</v>
          </cell>
          <cell r="D145" t="e">
            <v>#DIV/0!</v>
          </cell>
          <cell r="E145" t="e">
            <v>#DIV/0!</v>
          </cell>
        </row>
        <row r="146">
          <cell r="A146" t="str">
            <v>München Stadt SO</v>
          </cell>
          <cell r="B146">
            <v>11.55</v>
          </cell>
          <cell r="C146" t="e">
            <v>#DIV/0!</v>
          </cell>
          <cell r="D146" t="e">
            <v>#DIV/0!</v>
          </cell>
          <cell r="E146" t="e">
            <v>#DIV/0!</v>
          </cell>
        </row>
        <row r="147">
          <cell r="A147" t="str">
            <v>München Stadt SW</v>
          </cell>
          <cell r="B147">
            <v>12.15</v>
          </cell>
          <cell r="C147" t="e">
            <v>#DIV/0!</v>
          </cell>
          <cell r="D147" t="e">
            <v>#DIV/0!</v>
          </cell>
          <cell r="E147" t="e">
            <v>#DIV/0!</v>
          </cell>
        </row>
        <row r="148">
          <cell r="A148" t="str">
            <v>München Umland NO</v>
          </cell>
          <cell r="B148">
            <v>10.050000000000001</v>
          </cell>
          <cell r="C148" t="e">
            <v>#DIV/0!</v>
          </cell>
          <cell r="D148" t="e">
            <v>#DIV/0!</v>
          </cell>
          <cell r="E148" t="e">
            <v>#DIV/0!</v>
          </cell>
        </row>
        <row r="149">
          <cell r="A149" t="str">
            <v>München Umland NW</v>
          </cell>
          <cell r="B149">
            <v>7.96</v>
          </cell>
          <cell r="C149" t="e">
            <v>#DIV/0!</v>
          </cell>
          <cell r="D149" t="e">
            <v>#DIV/0!</v>
          </cell>
          <cell r="E149" t="e">
            <v>#DIV/0!</v>
          </cell>
        </row>
        <row r="150">
          <cell r="A150" t="str">
            <v>München Umland SO</v>
          </cell>
          <cell r="B150">
            <v>10.130000000000001</v>
          </cell>
          <cell r="C150" t="e">
            <v>#DIV/0!</v>
          </cell>
          <cell r="D150" t="e">
            <v>#DIV/0!</v>
          </cell>
          <cell r="E150" t="e">
            <v>#DIV/0!</v>
          </cell>
        </row>
        <row r="151">
          <cell r="A151" t="str">
            <v>München Umland SW</v>
          </cell>
          <cell r="B151">
            <v>12.01</v>
          </cell>
          <cell r="C151" t="e">
            <v>#DIV/0!</v>
          </cell>
          <cell r="D151" t="e">
            <v>#DIV/0!</v>
          </cell>
          <cell r="E151" t="e">
            <v>#DIV/0!</v>
          </cell>
        </row>
        <row r="152">
          <cell r="A152" t="str">
            <v>München Zentrum</v>
          </cell>
          <cell r="B152">
            <v>23.94</v>
          </cell>
          <cell r="C152" t="e">
            <v>#DIV/0!</v>
          </cell>
          <cell r="D152" t="e">
            <v>#DIV/0!</v>
          </cell>
          <cell r="E152">
            <v>8.5</v>
          </cell>
        </row>
        <row r="153">
          <cell r="A153" t="str">
            <v>München Zentrum NO</v>
          </cell>
          <cell r="B153">
            <v>18.690000000000001</v>
          </cell>
          <cell r="C153" t="e">
            <v>#DIV/0!</v>
          </cell>
          <cell r="D153" t="e">
            <v>#DIV/0!</v>
          </cell>
          <cell r="E153" t="e">
            <v>#DIV/0!</v>
          </cell>
        </row>
        <row r="154">
          <cell r="A154" t="str">
            <v>München Zentrum NW</v>
          </cell>
          <cell r="B154">
            <v>15.83</v>
          </cell>
          <cell r="C154" t="e">
            <v>#DIV/0!</v>
          </cell>
          <cell r="D154" t="e">
            <v>#DIV/0!</v>
          </cell>
          <cell r="E154" t="e">
            <v>#DIV/0!</v>
          </cell>
        </row>
        <row r="155">
          <cell r="A155" t="str">
            <v>München Zentrum SO</v>
          </cell>
          <cell r="B155">
            <v>12.48</v>
          </cell>
          <cell r="C155" t="e">
            <v>#DIV/0!</v>
          </cell>
          <cell r="D155" t="e">
            <v>#DIV/0!</v>
          </cell>
          <cell r="E155" t="e">
            <v>#DIV/0!</v>
          </cell>
        </row>
        <row r="156">
          <cell r="A156" t="str">
            <v>München Zentrum SW</v>
          </cell>
          <cell r="B156">
            <v>14.56</v>
          </cell>
          <cell r="C156" t="e">
            <v>#DIV/0!</v>
          </cell>
          <cell r="D156" t="e">
            <v>#DIV/0!</v>
          </cell>
          <cell r="E156" t="e">
            <v>#DIV/0!</v>
          </cell>
        </row>
        <row r="157">
          <cell r="A157" t="str">
            <v>(Leer)</v>
          </cell>
          <cell r="B157" t="e">
            <v>#DIV/0!</v>
          </cell>
          <cell r="C157" t="e">
            <v>#DIV/0!</v>
          </cell>
          <cell r="D157" t="e">
            <v>#DIV/0!</v>
          </cell>
          <cell r="E157" t="e">
            <v>#DIV/0!</v>
          </cell>
        </row>
        <row r="158">
          <cell r="A158" t="str">
            <v>Deutschland - Berlin</v>
          </cell>
          <cell r="B158">
            <v>17.75</v>
          </cell>
          <cell r="C158">
            <v>21.75</v>
          </cell>
          <cell r="D158">
            <v>4.3</v>
          </cell>
          <cell r="E158">
            <v>5.7</v>
          </cell>
        </row>
        <row r="159">
          <cell r="A159" t="str">
            <v>Berlin</v>
          </cell>
          <cell r="B159">
            <v>17.75</v>
          </cell>
          <cell r="C159">
            <v>21.75</v>
          </cell>
          <cell r="D159">
            <v>4.3</v>
          </cell>
          <cell r="E159">
            <v>5.7</v>
          </cell>
        </row>
        <row r="160">
          <cell r="A160" t="str">
            <v>Deutschland - Brandenburg</v>
          </cell>
          <cell r="B160" t="e">
            <v>#DIV/0!</v>
          </cell>
          <cell r="C160" t="e">
            <v>#DIV/0!</v>
          </cell>
          <cell r="D160" t="e">
            <v>#DIV/0!</v>
          </cell>
          <cell r="E160" t="e">
            <v>#DIV/0!</v>
          </cell>
        </row>
        <row r="161">
          <cell r="A161" t="str">
            <v>(Leer)</v>
          </cell>
          <cell r="B161" t="e">
            <v>#DIV/0!</v>
          </cell>
          <cell r="C161" t="e">
            <v>#DIV/0!</v>
          </cell>
          <cell r="D161" t="e">
            <v>#DIV/0!</v>
          </cell>
          <cell r="E161" t="e">
            <v>#DIV/0!</v>
          </cell>
        </row>
        <row r="162">
          <cell r="A162" t="str">
            <v>Deutschland - Bremen</v>
          </cell>
          <cell r="B162" t="e">
            <v>#DIV/0!</v>
          </cell>
          <cell r="C162" t="e">
            <v>#DIV/0!</v>
          </cell>
          <cell r="D162" t="e">
            <v>#DIV/0!</v>
          </cell>
          <cell r="E162" t="e">
            <v>#DIV/0!</v>
          </cell>
        </row>
        <row r="163">
          <cell r="A163" t="str">
            <v>(Leer)</v>
          </cell>
          <cell r="B163" t="e">
            <v>#DIV/0!</v>
          </cell>
          <cell r="C163" t="e">
            <v>#DIV/0!</v>
          </cell>
          <cell r="D163" t="e">
            <v>#DIV/0!</v>
          </cell>
          <cell r="E163" t="e">
            <v>#DIV/0!</v>
          </cell>
        </row>
        <row r="164">
          <cell r="A164" t="str">
            <v>Deutschland - Hamburg</v>
          </cell>
          <cell r="B164">
            <v>19.5</v>
          </cell>
          <cell r="C164">
            <v>22.5</v>
          </cell>
          <cell r="D164">
            <v>5.7</v>
          </cell>
          <cell r="E164">
            <v>5.7</v>
          </cell>
        </row>
        <row r="165">
          <cell r="A165" t="str">
            <v>Hamburg</v>
          </cell>
          <cell r="B165">
            <v>19.5</v>
          </cell>
          <cell r="C165">
            <v>22.5</v>
          </cell>
          <cell r="D165">
            <v>5.7</v>
          </cell>
          <cell r="E165">
            <v>5.7</v>
          </cell>
        </row>
        <row r="166">
          <cell r="A166" t="str">
            <v>Deutschland - Hessen</v>
          </cell>
          <cell r="B166">
            <v>25.25</v>
          </cell>
          <cell r="C166">
            <v>31.5</v>
          </cell>
          <cell r="D166">
            <v>6</v>
          </cell>
          <cell r="E166">
            <v>5.3</v>
          </cell>
        </row>
        <row r="167">
          <cell r="A167" t="str">
            <v>Frankfurt (Colliers nicht in PPC)</v>
          </cell>
          <cell r="B167">
            <v>25.25</v>
          </cell>
          <cell r="C167">
            <v>31.5</v>
          </cell>
          <cell r="D167">
            <v>6</v>
          </cell>
          <cell r="E167">
            <v>5.3</v>
          </cell>
        </row>
        <row r="168">
          <cell r="A168" t="str">
            <v>Deutschland - Mecklenburg-Vorpommern</v>
          </cell>
          <cell r="B168" t="e">
            <v>#DIV/0!</v>
          </cell>
          <cell r="C168" t="e">
            <v>#DIV/0!</v>
          </cell>
          <cell r="D168" t="e">
            <v>#DIV/0!</v>
          </cell>
          <cell r="E168" t="e">
            <v>#DIV/0!</v>
          </cell>
        </row>
        <row r="169">
          <cell r="A169" t="str">
            <v>(Leer)</v>
          </cell>
          <cell r="B169" t="e">
            <v>#DIV/0!</v>
          </cell>
          <cell r="C169" t="e">
            <v>#DIV/0!</v>
          </cell>
          <cell r="D169" t="e">
            <v>#DIV/0!</v>
          </cell>
          <cell r="E169" t="e">
            <v>#DIV/0!</v>
          </cell>
        </row>
        <row r="170">
          <cell r="A170" t="str">
            <v>Deutschland - Niedersachsen</v>
          </cell>
          <cell r="B170" t="e">
            <v>#DIV/0!</v>
          </cell>
          <cell r="C170" t="e">
            <v>#DIV/0!</v>
          </cell>
          <cell r="D170" t="e">
            <v>#DIV/0!</v>
          </cell>
          <cell r="E170" t="e">
            <v>#DIV/0!</v>
          </cell>
        </row>
        <row r="171">
          <cell r="A171" t="str">
            <v>(Leer)</v>
          </cell>
          <cell r="B171" t="e">
            <v>#DIV/0!</v>
          </cell>
          <cell r="C171" t="e">
            <v>#DIV/0!</v>
          </cell>
          <cell r="D171" t="e">
            <v>#DIV/0!</v>
          </cell>
          <cell r="E171" t="e">
            <v>#DIV/0!</v>
          </cell>
        </row>
        <row r="172">
          <cell r="A172" t="str">
            <v>Deutschland - Nordrhein-Westfalen</v>
          </cell>
          <cell r="B172">
            <v>13.819999999999999</v>
          </cell>
          <cell r="C172">
            <v>17.414999999999999</v>
          </cell>
          <cell r="D172">
            <v>4.4000000000000004</v>
          </cell>
          <cell r="E172">
            <v>5</v>
          </cell>
        </row>
        <row r="173">
          <cell r="A173" t="str">
            <v>Airport City</v>
          </cell>
          <cell r="B173">
            <v>15</v>
          </cell>
          <cell r="C173">
            <v>15.5</v>
          </cell>
          <cell r="D173" t="e">
            <v>#DIV/0!</v>
          </cell>
          <cell r="E173" t="e">
            <v>#DIV/0!</v>
          </cell>
        </row>
        <row r="174">
          <cell r="A174" t="str">
            <v>Düsseldorf (Colliers nicht in PPC)</v>
          </cell>
          <cell r="B174">
            <v>20.25</v>
          </cell>
          <cell r="C174">
            <v>27.65</v>
          </cell>
          <cell r="D174">
            <v>4.4000000000000004</v>
          </cell>
          <cell r="E174">
            <v>5</v>
          </cell>
        </row>
        <row r="175">
          <cell r="A175" t="str">
            <v>Düsseldorf Grafenberger Allee</v>
          </cell>
          <cell r="B175">
            <v>10.75</v>
          </cell>
          <cell r="C175">
            <v>12</v>
          </cell>
          <cell r="D175" t="e">
            <v>#DIV/0!</v>
          </cell>
          <cell r="E175" t="e">
            <v>#DIV/0!</v>
          </cell>
        </row>
        <row r="176">
          <cell r="A176" t="str">
            <v>Düsseldorf Hafen</v>
          </cell>
          <cell r="B176">
            <v>15.8</v>
          </cell>
          <cell r="C176">
            <v>21</v>
          </cell>
          <cell r="D176" t="e">
            <v>#DIV/0!</v>
          </cell>
          <cell r="E176" t="e">
            <v>#DIV/0!</v>
          </cell>
        </row>
        <row r="177">
          <cell r="A177" t="str">
            <v>Düsseldorf Innenstadt</v>
          </cell>
          <cell r="B177">
            <v>14.5</v>
          </cell>
          <cell r="C177">
            <v>22.5</v>
          </cell>
          <cell r="D177" t="e">
            <v>#DIV/0!</v>
          </cell>
          <cell r="E177" t="e">
            <v>#DIV/0!</v>
          </cell>
        </row>
        <row r="178">
          <cell r="A178" t="str">
            <v>Düsseldorf Innenstadt Ost</v>
          </cell>
          <cell r="B178">
            <v>11</v>
          </cell>
          <cell r="C178">
            <v>12.5</v>
          </cell>
          <cell r="D178" t="e">
            <v>#DIV/0!</v>
          </cell>
          <cell r="E178" t="e">
            <v>#DIV/0!</v>
          </cell>
        </row>
        <row r="179">
          <cell r="A179" t="str">
            <v>Düsseldorf Kennedydamm</v>
          </cell>
          <cell r="B179">
            <v>16.5</v>
          </cell>
          <cell r="C179">
            <v>21.5</v>
          </cell>
          <cell r="D179" t="e">
            <v>#DIV/0!</v>
          </cell>
          <cell r="E179" t="e">
            <v>#DIV/0!</v>
          </cell>
        </row>
        <row r="180">
          <cell r="A180" t="str">
            <v>Düsseldorf Linke Rheinseite</v>
          </cell>
          <cell r="B180">
            <v>11</v>
          </cell>
          <cell r="C180">
            <v>14.5</v>
          </cell>
          <cell r="D180" t="e">
            <v>#DIV/0!</v>
          </cell>
          <cell r="E180" t="e">
            <v>#DIV/0!</v>
          </cell>
        </row>
        <row r="181">
          <cell r="A181" t="str">
            <v>Düsseldorf Nord</v>
          </cell>
          <cell r="B181">
            <v>13.4</v>
          </cell>
          <cell r="C181">
            <v>16</v>
          </cell>
          <cell r="D181" t="e">
            <v>#DIV/0!</v>
          </cell>
          <cell r="E181" t="e">
            <v>#DIV/0!</v>
          </cell>
        </row>
        <row r="182">
          <cell r="A182" t="str">
            <v>Düsseldorf Süd</v>
          </cell>
          <cell r="B182">
            <v>10</v>
          </cell>
          <cell r="C182">
            <v>11</v>
          </cell>
          <cell r="D182" t="e">
            <v>#DIV/0!</v>
          </cell>
          <cell r="E182" t="e">
            <v>#DIV/0!</v>
          </cell>
        </row>
        <row r="183">
          <cell r="A183" t="str">
            <v>Deutschland - Rheinland-Pfalz</v>
          </cell>
          <cell r="B183" t="e">
            <v>#DIV/0!</v>
          </cell>
          <cell r="C183" t="e">
            <v>#DIV/0!</v>
          </cell>
          <cell r="D183" t="e">
            <v>#DIV/0!</v>
          </cell>
          <cell r="E183" t="e">
            <v>#DIV/0!</v>
          </cell>
        </row>
        <row r="184">
          <cell r="A184" t="str">
            <v>(Leer)</v>
          </cell>
          <cell r="B184" t="e">
            <v>#DIV/0!</v>
          </cell>
          <cell r="C184" t="e">
            <v>#DIV/0!</v>
          </cell>
          <cell r="D184" t="e">
            <v>#DIV/0!</v>
          </cell>
          <cell r="E184" t="e">
            <v>#DIV/0!</v>
          </cell>
        </row>
        <row r="185">
          <cell r="A185" t="str">
            <v>Deutschland - Saarland</v>
          </cell>
          <cell r="B185" t="e">
            <v>#DIV/0!</v>
          </cell>
          <cell r="C185" t="e">
            <v>#DIV/0!</v>
          </cell>
          <cell r="D185" t="e">
            <v>#DIV/0!</v>
          </cell>
          <cell r="E185" t="e">
            <v>#DIV/0!</v>
          </cell>
        </row>
        <row r="186">
          <cell r="A186" t="str">
            <v>(Leer)</v>
          </cell>
          <cell r="B186" t="e">
            <v>#DIV/0!</v>
          </cell>
          <cell r="C186" t="e">
            <v>#DIV/0!</v>
          </cell>
          <cell r="D186" t="e">
            <v>#DIV/0!</v>
          </cell>
          <cell r="E186" t="e">
            <v>#DIV/0!</v>
          </cell>
        </row>
        <row r="187">
          <cell r="A187" t="str">
            <v>Deutschland - Sachsen</v>
          </cell>
          <cell r="B187" t="e">
            <v>#DIV/0!</v>
          </cell>
          <cell r="C187" t="e">
            <v>#DIV/0!</v>
          </cell>
          <cell r="D187" t="e">
            <v>#DIV/0!</v>
          </cell>
          <cell r="E187" t="e">
            <v>#DIV/0!</v>
          </cell>
        </row>
        <row r="188">
          <cell r="A188" t="str">
            <v>(Leer)</v>
          </cell>
          <cell r="B188" t="e">
            <v>#DIV/0!</v>
          </cell>
          <cell r="C188" t="e">
            <v>#DIV/0!</v>
          </cell>
          <cell r="D188" t="e">
            <v>#DIV/0!</v>
          </cell>
          <cell r="E188" t="e">
            <v>#DIV/0!</v>
          </cell>
        </row>
        <row r="189">
          <cell r="A189" t="str">
            <v>Deutschland - Sachsen Dresden</v>
          </cell>
          <cell r="B189" t="e">
            <v>#DIV/0!</v>
          </cell>
          <cell r="C189" t="e">
            <v>#DIV/0!</v>
          </cell>
          <cell r="D189" t="e">
            <v>#DIV/0!</v>
          </cell>
          <cell r="E189" t="e">
            <v>#DIV/0!</v>
          </cell>
        </row>
        <row r="190">
          <cell r="A190" t="str">
            <v>(Leer)</v>
          </cell>
          <cell r="B190" t="e">
            <v>#DIV/0!</v>
          </cell>
          <cell r="C190" t="e">
            <v>#DIV/0!</v>
          </cell>
          <cell r="D190" t="e">
            <v>#DIV/0!</v>
          </cell>
          <cell r="E190" t="e">
            <v>#DIV/0!</v>
          </cell>
        </row>
        <row r="191">
          <cell r="A191" t="str">
            <v>Deutschland - Sachsen-Anhalt</v>
          </cell>
          <cell r="B191" t="e">
            <v>#DIV/0!</v>
          </cell>
          <cell r="C191" t="e">
            <v>#DIV/0!</v>
          </cell>
          <cell r="D191" t="e">
            <v>#DIV/0!</v>
          </cell>
          <cell r="E191" t="e">
            <v>#DIV/0!</v>
          </cell>
        </row>
        <row r="192">
          <cell r="A192" t="str">
            <v>(Leer)</v>
          </cell>
          <cell r="B192" t="e">
            <v>#DIV/0!</v>
          </cell>
          <cell r="C192" t="e">
            <v>#DIV/0!</v>
          </cell>
          <cell r="D192" t="e">
            <v>#DIV/0!</v>
          </cell>
          <cell r="E192" t="e">
            <v>#DIV/0!</v>
          </cell>
        </row>
        <row r="193">
          <cell r="A193" t="str">
            <v>Deutschland - Schleswig-Holstein</v>
          </cell>
          <cell r="B193" t="e">
            <v>#DIV/0!</v>
          </cell>
          <cell r="C193" t="e">
            <v>#DIV/0!</v>
          </cell>
          <cell r="D193" t="e">
            <v>#DIV/0!</v>
          </cell>
          <cell r="E193" t="e">
            <v>#DIV/0!</v>
          </cell>
        </row>
        <row r="194">
          <cell r="A194" t="str">
            <v>(Leer)</v>
          </cell>
          <cell r="B194" t="e">
            <v>#DIV/0!</v>
          </cell>
          <cell r="C194" t="e">
            <v>#DIV/0!</v>
          </cell>
          <cell r="D194" t="e">
            <v>#DIV/0!</v>
          </cell>
          <cell r="E194" t="e">
            <v>#DIV/0!</v>
          </cell>
        </row>
        <row r="195">
          <cell r="A195" t="str">
            <v>Deutschland - Thüringen</v>
          </cell>
          <cell r="B195" t="e">
            <v>#DIV/0!</v>
          </cell>
          <cell r="C195" t="e">
            <v>#DIV/0!</v>
          </cell>
          <cell r="D195" t="e">
            <v>#DIV/0!</v>
          </cell>
          <cell r="E195" t="e">
            <v>#DIV/0!</v>
          </cell>
        </row>
        <row r="196">
          <cell r="A196" t="str">
            <v>(Leer)</v>
          </cell>
          <cell r="B196" t="e">
            <v>#DIV/0!</v>
          </cell>
          <cell r="C196" t="e">
            <v>#DIV/0!</v>
          </cell>
          <cell r="D196" t="e">
            <v>#DIV/0!</v>
          </cell>
          <cell r="E196" t="e">
            <v>#DIV/0!</v>
          </cell>
        </row>
        <row r="197">
          <cell r="A197" t="str">
            <v>Deutschland - Baden-Württemberg Stuttgart</v>
          </cell>
          <cell r="B197" t="e">
            <v>#DIV/0!</v>
          </cell>
          <cell r="C197" t="e">
            <v>#DIV/0!</v>
          </cell>
          <cell r="D197" t="e">
            <v>#DIV/0!</v>
          </cell>
          <cell r="E197" t="e">
            <v>#DIV/0!</v>
          </cell>
        </row>
        <row r="198">
          <cell r="A198" t="str">
            <v>(Leer)</v>
          </cell>
          <cell r="B198" t="e">
            <v>#DIV/0!</v>
          </cell>
          <cell r="C198" t="e">
            <v>#DIV/0!</v>
          </cell>
          <cell r="D198" t="e">
            <v>#DIV/0!</v>
          </cell>
          <cell r="E198" t="e">
            <v>#DIV/0!</v>
          </cell>
        </row>
        <row r="199">
          <cell r="A199" t="str">
            <v>Deutschland - Bayern München</v>
          </cell>
          <cell r="B199">
            <v>20.75</v>
          </cell>
          <cell r="C199">
            <v>29.25</v>
          </cell>
          <cell r="D199">
            <v>5.25</v>
          </cell>
          <cell r="E199">
            <v>6.2</v>
          </cell>
        </row>
        <row r="200">
          <cell r="A200" t="str">
            <v>München</v>
          </cell>
          <cell r="B200">
            <v>20.75</v>
          </cell>
          <cell r="C200">
            <v>29.25</v>
          </cell>
          <cell r="D200">
            <v>5.25</v>
          </cell>
          <cell r="E200">
            <v>6.2</v>
          </cell>
        </row>
        <row r="201">
          <cell r="A201" t="str">
            <v>Deutschland - IGM</v>
          </cell>
          <cell r="B201" t="e">
            <v>#DIV/0!</v>
          </cell>
          <cell r="C201" t="e">
            <v>#DIV/0!</v>
          </cell>
          <cell r="D201" t="e">
            <v>#DIV/0!</v>
          </cell>
          <cell r="E201" t="e">
            <v>#DIV/0!</v>
          </cell>
        </row>
        <row r="202">
          <cell r="A202" t="str">
            <v>(Leer)</v>
          </cell>
          <cell r="B202" t="e">
            <v>#DIV/0!</v>
          </cell>
          <cell r="C202" t="e">
            <v>#DIV/0!</v>
          </cell>
          <cell r="D202" t="e">
            <v>#DIV/0!</v>
          </cell>
          <cell r="E202" t="e">
            <v>#DIV/0!</v>
          </cell>
        </row>
        <row r="203">
          <cell r="A203" t="str">
            <v>Deutschland - IGM - Baden-Württemberg</v>
          </cell>
          <cell r="B203" t="e">
            <v>#DIV/0!</v>
          </cell>
          <cell r="C203" t="e">
            <v>#DIV/0!</v>
          </cell>
          <cell r="D203" t="e">
            <v>#DIV/0!</v>
          </cell>
          <cell r="E203" t="e">
            <v>#DIV/0!</v>
          </cell>
        </row>
        <row r="204">
          <cell r="A204" t="str">
            <v>(Leer)</v>
          </cell>
          <cell r="B204" t="e">
            <v>#DIV/0!</v>
          </cell>
          <cell r="C204" t="e">
            <v>#DIV/0!</v>
          </cell>
          <cell r="D204" t="e">
            <v>#DIV/0!</v>
          </cell>
          <cell r="E204" t="e">
            <v>#DIV/0!</v>
          </cell>
        </row>
        <row r="205">
          <cell r="A205" t="str">
            <v>Deutschland - IGM - Baden-Württemberg Stuttgart</v>
          </cell>
          <cell r="B205" t="e">
            <v>#DIV/0!</v>
          </cell>
          <cell r="C205" t="e">
            <v>#DIV/0!</v>
          </cell>
          <cell r="D205" t="e">
            <v>#DIV/0!</v>
          </cell>
          <cell r="E205" t="e">
            <v>#DIV/0!</v>
          </cell>
        </row>
        <row r="206">
          <cell r="A206" t="str">
            <v>(Leer)</v>
          </cell>
          <cell r="B206" t="e">
            <v>#DIV/0!</v>
          </cell>
          <cell r="C206" t="e">
            <v>#DIV/0!</v>
          </cell>
          <cell r="D206" t="e">
            <v>#DIV/0!</v>
          </cell>
          <cell r="E206" t="e">
            <v>#DIV/0!</v>
          </cell>
        </row>
        <row r="207">
          <cell r="A207" t="str">
            <v>Deutschland - IGM - Bayern</v>
          </cell>
          <cell r="B207" t="e">
            <v>#DIV/0!</v>
          </cell>
          <cell r="C207" t="e">
            <v>#DIV/0!</v>
          </cell>
          <cell r="D207" t="e">
            <v>#DIV/0!</v>
          </cell>
          <cell r="E207" t="e">
            <v>#DIV/0!</v>
          </cell>
        </row>
        <row r="208">
          <cell r="A208" t="str">
            <v>(Leer)</v>
          </cell>
          <cell r="B208" t="e">
            <v>#DIV/0!</v>
          </cell>
          <cell r="C208" t="e">
            <v>#DIV/0!</v>
          </cell>
          <cell r="D208" t="e">
            <v>#DIV/0!</v>
          </cell>
          <cell r="E208" t="e">
            <v>#DIV/0!</v>
          </cell>
        </row>
        <row r="209">
          <cell r="A209" t="str">
            <v>Deutschland - IGM - Bayern München</v>
          </cell>
          <cell r="B209" t="e">
            <v>#DIV/0!</v>
          </cell>
          <cell r="C209" t="e">
            <v>#DIV/0!</v>
          </cell>
          <cell r="D209" t="e">
            <v>#DIV/0!</v>
          </cell>
          <cell r="E209" t="e">
            <v>#DIV/0!</v>
          </cell>
        </row>
        <row r="210">
          <cell r="A210" t="str">
            <v>(Leer)</v>
          </cell>
          <cell r="B210" t="e">
            <v>#DIV/0!</v>
          </cell>
          <cell r="C210" t="e">
            <v>#DIV/0!</v>
          </cell>
          <cell r="D210" t="e">
            <v>#DIV/0!</v>
          </cell>
          <cell r="E210" t="e">
            <v>#DIV/0!</v>
          </cell>
        </row>
        <row r="211">
          <cell r="A211" t="str">
            <v>Deutschland - IGM - Berlin</v>
          </cell>
          <cell r="B211" t="e">
            <v>#DIV/0!</v>
          </cell>
          <cell r="C211" t="e">
            <v>#DIV/0!</v>
          </cell>
          <cell r="D211" t="e">
            <v>#DIV/0!</v>
          </cell>
          <cell r="E211" t="e">
            <v>#DIV/0!</v>
          </cell>
        </row>
        <row r="212">
          <cell r="A212" t="str">
            <v>(Leer)</v>
          </cell>
          <cell r="B212" t="e">
            <v>#DIV/0!</v>
          </cell>
          <cell r="C212" t="e">
            <v>#DIV/0!</v>
          </cell>
          <cell r="D212" t="e">
            <v>#DIV/0!</v>
          </cell>
          <cell r="E212" t="e">
            <v>#DIV/0!</v>
          </cell>
        </row>
        <row r="213">
          <cell r="A213" t="str">
            <v>Deutschland - IGM - Brandenburg</v>
          </cell>
          <cell r="B213" t="e">
            <v>#DIV/0!</v>
          </cell>
          <cell r="C213" t="e">
            <v>#DIV/0!</v>
          </cell>
          <cell r="D213" t="e">
            <v>#DIV/0!</v>
          </cell>
          <cell r="E213" t="e">
            <v>#DIV/0!</v>
          </cell>
        </row>
        <row r="214">
          <cell r="A214" t="str">
            <v>(Leer)</v>
          </cell>
          <cell r="B214" t="e">
            <v>#DIV/0!</v>
          </cell>
          <cell r="C214" t="e">
            <v>#DIV/0!</v>
          </cell>
          <cell r="D214" t="e">
            <v>#DIV/0!</v>
          </cell>
          <cell r="E214" t="e">
            <v>#DIV/0!</v>
          </cell>
        </row>
        <row r="215">
          <cell r="A215" t="str">
            <v>Deutschland - IGM - Bremen</v>
          </cell>
          <cell r="B215" t="e">
            <v>#DIV/0!</v>
          </cell>
          <cell r="C215" t="e">
            <v>#DIV/0!</v>
          </cell>
          <cell r="D215" t="e">
            <v>#DIV/0!</v>
          </cell>
          <cell r="E215" t="e">
            <v>#DIV/0!</v>
          </cell>
        </row>
        <row r="216">
          <cell r="A216" t="str">
            <v>(Leer)</v>
          </cell>
          <cell r="B216" t="e">
            <v>#DIV/0!</v>
          </cell>
          <cell r="C216" t="e">
            <v>#DIV/0!</v>
          </cell>
          <cell r="D216" t="e">
            <v>#DIV/0!</v>
          </cell>
          <cell r="E216" t="e">
            <v>#DIV/0!</v>
          </cell>
        </row>
        <row r="217">
          <cell r="A217" t="str">
            <v>Deutschland - IGM - Hamburg</v>
          </cell>
          <cell r="B217" t="e">
            <v>#DIV/0!</v>
          </cell>
          <cell r="C217" t="e">
            <v>#DIV/0!</v>
          </cell>
          <cell r="D217" t="e">
            <v>#DIV/0!</v>
          </cell>
          <cell r="E217" t="e">
            <v>#DIV/0!</v>
          </cell>
        </row>
        <row r="218">
          <cell r="A218" t="str">
            <v>(Leer)</v>
          </cell>
          <cell r="B218" t="e">
            <v>#DIV/0!</v>
          </cell>
          <cell r="C218" t="e">
            <v>#DIV/0!</v>
          </cell>
          <cell r="D218" t="e">
            <v>#DIV/0!</v>
          </cell>
          <cell r="E218" t="e">
            <v>#DIV/0!</v>
          </cell>
        </row>
        <row r="219">
          <cell r="A219" t="str">
            <v>Deutschland - IGM - Hessen</v>
          </cell>
          <cell r="B219" t="e">
            <v>#DIV/0!</v>
          </cell>
          <cell r="C219" t="e">
            <v>#DIV/0!</v>
          </cell>
          <cell r="D219" t="e">
            <v>#DIV/0!</v>
          </cell>
          <cell r="E219" t="e">
            <v>#DIV/0!</v>
          </cell>
        </row>
        <row r="220">
          <cell r="A220" t="str">
            <v>(Leer)</v>
          </cell>
          <cell r="B220" t="e">
            <v>#DIV/0!</v>
          </cell>
          <cell r="C220" t="e">
            <v>#DIV/0!</v>
          </cell>
          <cell r="D220" t="e">
            <v>#DIV/0!</v>
          </cell>
          <cell r="E220" t="e">
            <v>#DIV/0!</v>
          </cell>
        </row>
        <row r="221">
          <cell r="A221" t="str">
            <v>Deutschland - IGM - Mecklenburg-Vorpommern</v>
          </cell>
          <cell r="B221" t="e">
            <v>#DIV/0!</v>
          </cell>
          <cell r="C221" t="e">
            <v>#DIV/0!</v>
          </cell>
          <cell r="D221" t="e">
            <v>#DIV/0!</v>
          </cell>
          <cell r="E221" t="e">
            <v>#DIV/0!</v>
          </cell>
        </row>
        <row r="222">
          <cell r="A222" t="str">
            <v>(Leer)</v>
          </cell>
          <cell r="B222" t="e">
            <v>#DIV/0!</v>
          </cell>
          <cell r="C222" t="e">
            <v>#DIV/0!</v>
          </cell>
          <cell r="D222" t="e">
            <v>#DIV/0!</v>
          </cell>
          <cell r="E222" t="e">
            <v>#DIV/0!</v>
          </cell>
        </row>
        <row r="223">
          <cell r="A223" t="str">
            <v>Deutschland - IGM - Niedersachsen</v>
          </cell>
          <cell r="B223" t="e">
            <v>#DIV/0!</v>
          </cell>
          <cell r="C223" t="e">
            <v>#DIV/0!</v>
          </cell>
          <cell r="D223" t="e">
            <v>#DIV/0!</v>
          </cell>
          <cell r="E223" t="e">
            <v>#DIV/0!</v>
          </cell>
        </row>
        <row r="224">
          <cell r="A224" t="str">
            <v>(Leer)</v>
          </cell>
          <cell r="B224" t="e">
            <v>#DIV/0!</v>
          </cell>
          <cell r="C224" t="e">
            <v>#DIV/0!</v>
          </cell>
          <cell r="D224" t="e">
            <v>#DIV/0!</v>
          </cell>
          <cell r="E224" t="e">
            <v>#DIV/0!</v>
          </cell>
        </row>
        <row r="225">
          <cell r="A225" t="str">
            <v>Deutschland - IGM - Nordrhein-Westfalen</v>
          </cell>
          <cell r="B225" t="e">
            <v>#DIV/0!</v>
          </cell>
          <cell r="C225" t="e">
            <v>#DIV/0!</v>
          </cell>
          <cell r="D225" t="e">
            <v>#DIV/0!</v>
          </cell>
          <cell r="E225" t="e">
            <v>#DIV/0!</v>
          </cell>
        </row>
        <row r="226">
          <cell r="A226" t="str">
            <v>(Leer)</v>
          </cell>
          <cell r="B226" t="e">
            <v>#DIV/0!</v>
          </cell>
          <cell r="C226" t="e">
            <v>#DIV/0!</v>
          </cell>
          <cell r="D226" t="e">
            <v>#DIV/0!</v>
          </cell>
          <cell r="E226" t="e">
            <v>#DIV/0!</v>
          </cell>
        </row>
        <row r="227">
          <cell r="A227" t="str">
            <v>Deutschland - IGM - Rheinland-Pfalz</v>
          </cell>
          <cell r="B227" t="e">
            <v>#DIV/0!</v>
          </cell>
          <cell r="C227" t="e">
            <v>#DIV/0!</v>
          </cell>
          <cell r="D227" t="e">
            <v>#DIV/0!</v>
          </cell>
          <cell r="E227" t="e">
            <v>#DIV/0!</v>
          </cell>
        </row>
        <row r="228">
          <cell r="A228" t="str">
            <v>(Leer)</v>
          </cell>
          <cell r="B228" t="e">
            <v>#DIV/0!</v>
          </cell>
          <cell r="C228" t="e">
            <v>#DIV/0!</v>
          </cell>
          <cell r="D228" t="e">
            <v>#DIV/0!</v>
          </cell>
          <cell r="E228" t="e">
            <v>#DIV/0!</v>
          </cell>
        </row>
        <row r="229">
          <cell r="A229" t="str">
            <v>Deutschland - IGM - Saarland</v>
          </cell>
          <cell r="B229" t="e">
            <v>#DIV/0!</v>
          </cell>
          <cell r="C229" t="e">
            <v>#DIV/0!</v>
          </cell>
          <cell r="D229" t="e">
            <v>#DIV/0!</v>
          </cell>
          <cell r="E229" t="e">
            <v>#DIV/0!</v>
          </cell>
        </row>
        <row r="230">
          <cell r="A230" t="str">
            <v>(Leer)</v>
          </cell>
          <cell r="B230" t="e">
            <v>#DIV/0!</v>
          </cell>
          <cell r="C230" t="e">
            <v>#DIV/0!</v>
          </cell>
          <cell r="D230" t="e">
            <v>#DIV/0!</v>
          </cell>
          <cell r="E230" t="e">
            <v>#DIV/0!</v>
          </cell>
        </row>
        <row r="231">
          <cell r="A231" t="str">
            <v>Deutschland - IGM - Sachsen</v>
          </cell>
          <cell r="B231" t="e">
            <v>#DIV/0!</v>
          </cell>
          <cell r="C231" t="e">
            <v>#DIV/0!</v>
          </cell>
          <cell r="D231" t="e">
            <v>#DIV/0!</v>
          </cell>
          <cell r="E231" t="e">
            <v>#DIV/0!</v>
          </cell>
        </row>
        <row r="232">
          <cell r="A232" t="str">
            <v>(Leer)</v>
          </cell>
          <cell r="B232" t="e">
            <v>#DIV/0!</v>
          </cell>
          <cell r="C232" t="e">
            <v>#DIV/0!</v>
          </cell>
          <cell r="D232" t="e">
            <v>#DIV/0!</v>
          </cell>
          <cell r="E232" t="e">
            <v>#DIV/0!</v>
          </cell>
        </row>
        <row r="233">
          <cell r="A233" t="str">
            <v>Deutschland - IGM - Sachsen Dresden</v>
          </cell>
          <cell r="B233" t="e">
            <v>#DIV/0!</v>
          </cell>
          <cell r="C233" t="e">
            <v>#DIV/0!</v>
          </cell>
          <cell r="D233" t="e">
            <v>#DIV/0!</v>
          </cell>
          <cell r="E233" t="e">
            <v>#DIV/0!</v>
          </cell>
        </row>
        <row r="234">
          <cell r="A234" t="str">
            <v>(Leer)</v>
          </cell>
          <cell r="B234" t="e">
            <v>#DIV/0!</v>
          </cell>
          <cell r="C234" t="e">
            <v>#DIV/0!</v>
          </cell>
          <cell r="D234" t="e">
            <v>#DIV/0!</v>
          </cell>
          <cell r="E234" t="e">
            <v>#DIV/0!</v>
          </cell>
        </row>
        <row r="235">
          <cell r="A235" t="str">
            <v>Deutschland - IGM - Sachsen-Anhalt</v>
          </cell>
          <cell r="B235" t="e">
            <v>#DIV/0!</v>
          </cell>
          <cell r="C235" t="e">
            <v>#DIV/0!</v>
          </cell>
          <cell r="D235" t="e">
            <v>#DIV/0!</v>
          </cell>
          <cell r="E235" t="e">
            <v>#DIV/0!</v>
          </cell>
        </row>
        <row r="236">
          <cell r="A236" t="str">
            <v>(Leer)</v>
          </cell>
          <cell r="B236" t="e">
            <v>#DIV/0!</v>
          </cell>
          <cell r="C236" t="e">
            <v>#DIV/0!</v>
          </cell>
          <cell r="D236" t="e">
            <v>#DIV/0!</v>
          </cell>
          <cell r="E236" t="e">
            <v>#DIV/0!</v>
          </cell>
        </row>
        <row r="237">
          <cell r="A237" t="str">
            <v>Deutschland - IGM - Schleswig-Holstein</v>
          </cell>
          <cell r="B237" t="e">
            <v>#DIV/0!</v>
          </cell>
          <cell r="C237" t="e">
            <v>#DIV/0!</v>
          </cell>
          <cell r="D237" t="e">
            <v>#DIV/0!</v>
          </cell>
          <cell r="E237" t="e">
            <v>#DIV/0!</v>
          </cell>
        </row>
        <row r="238">
          <cell r="A238" t="str">
            <v>(Leer)</v>
          </cell>
          <cell r="B238" t="e">
            <v>#DIV/0!</v>
          </cell>
          <cell r="C238" t="e">
            <v>#DIV/0!</v>
          </cell>
          <cell r="D238" t="e">
            <v>#DIV/0!</v>
          </cell>
          <cell r="E238" t="e">
            <v>#DIV/0!</v>
          </cell>
        </row>
        <row r="239">
          <cell r="A239" t="str">
            <v>Deutschland - IGM - Thüringen</v>
          </cell>
          <cell r="B239" t="e">
            <v>#DIV/0!</v>
          </cell>
          <cell r="C239" t="e">
            <v>#DIV/0!</v>
          </cell>
          <cell r="D239" t="e">
            <v>#DIV/0!</v>
          </cell>
          <cell r="E239" t="e">
            <v>#DIV/0!</v>
          </cell>
        </row>
        <row r="240">
          <cell r="A240" t="str">
            <v>(Leer)</v>
          </cell>
          <cell r="B240" t="e">
            <v>#DIV/0!</v>
          </cell>
          <cell r="C240" t="e">
            <v>#DIV/0!</v>
          </cell>
          <cell r="D240" t="e">
            <v>#DIV/0!</v>
          </cell>
          <cell r="E240" t="e">
            <v>#DIV/0!</v>
          </cell>
        </row>
        <row r="241">
          <cell r="A241" t="str">
            <v>Estland</v>
          </cell>
          <cell r="B241">
            <v>12.25</v>
          </cell>
          <cell r="C241">
            <v>16</v>
          </cell>
          <cell r="D241">
            <v>3.8</v>
          </cell>
          <cell r="E241">
            <v>4.5</v>
          </cell>
        </row>
        <row r="242">
          <cell r="A242" t="str">
            <v>Estland</v>
          </cell>
          <cell r="B242" t="e">
            <v>#DIV/0!</v>
          </cell>
          <cell r="C242" t="e">
            <v>#DIV/0!</v>
          </cell>
          <cell r="D242" t="e">
            <v>#DIV/0!</v>
          </cell>
          <cell r="E242" t="e">
            <v>#DIV/0!</v>
          </cell>
        </row>
        <row r="243">
          <cell r="A243" t="str">
            <v>(Leer)</v>
          </cell>
          <cell r="B243" t="e">
            <v>#DIV/0!</v>
          </cell>
          <cell r="C243" t="e">
            <v>#DIV/0!</v>
          </cell>
          <cell r="D243" t="e">
            <v>#DIV/0!</v>
          </cell>
          <cell r="E243" t="e">
            <v>#DIV/0!</v>
          </cell>
        </row>
        <row r="244">
          <cell r="A244" t="str">
            <v>Tallinn</v>
          </cell>
          <cell r="B244">
            <v>12.25</v>
          </cell>
          <cell r="C244">
            <v>16</v>
          </cell>
          <cell r="D244">
            <v>3.8</v>
          </cell>
          <cell r="E244">
            <v>4.5</v>
          </cell>
        </row>
        <row r="245">
          <cell r="A245" t="str">
            <v>(Leer)</v>
          </cell>
          <cell r="B245">
            <v>12.25</v>
          </cell>
          <cell r="C245">
            <v>16</v>
          </cell>
          <cell r="D245">
            <v>3.8</v>
          </cell>
          <cell r="E245">
            <v>4.5</v>
          </cell>
        </row>
        <row r="246">
          <cell r="A246" t="str">
            <v>Finnland</v>
          </cell>
          <cell r="B246">
            <v>18.75</v>
          </cell>
          <cell r="C246">
            <v>22</v>
          </cell>
          <cell r="D246">
            <v>7.5</v>
          </cell>
          <cell r="E246">
            <v>10</v>
          </cell>
        </row>
        <row r="247">
          <cell r="A247" t="str">
            <v>Finnland</v>
          </cell>
          <cell r="B247" t="e">
            <v>#DIV/0!</v>
          </cell>
          <cell r="C247" t="e">
            <v>#DIV/0!</v>
          </cell>
          <cell r="D247" t="e">
            <v>#DIV/0!</v>
          </cell>
          <cell r="E247" t="e">
            <v>#DIV/0!</v>
          </cell>
        </row>
        <row r="248">
          <cell r="A248" t="str">
            <v>(Leer)</v>
          </cell>
          <cell r="B248" t="e">
            <v>#DIV/0!</v>
          </cell>
          <cell r="C248" t="e">
            <v>#DIV/0!</v>
          </cell>
          <cell r="D248" t="e">
            <v>#DIV/0!</v>
          </cell>
          <cell r="E248" t="e">
            <v>#DIV/0!</v>
          </cell>
        </row>
        <row r="249">
          <cell r="A249" t="str">
            <v>Finnland - Helsinki</v>
          </cell>
          <cell r="B249">
            <v>18.75</v>
          </cell>
          <cell r="C249">
            <v>22</v>
          </cell>
          <cell r="D249">
            <v>7.5</v>
          </cell>
          <cell r="E249">
            <v>10</v>
          </cell>
        </row>
        <row r="250">
          <cell r="A250" t="str">
            <v>(Leer)</v>
          </cell>
          <cell r="B250">
            <v>18.75</v>
          </cell>
          <cell r="C250">
            <v>22</v>
          </cell>
          <cell r="D250">
            <v>7.5</v>
          </cell>
          <cell r="E250">
            <v>10</v>
          </cell>
        </row>
        <row r="251">
          <cell r="A251" t="str">
            <v>Finnland - Pirkanmaa (Tampere)</v>
          </cell>
          <cell r="B251" t="e">
            <v>#DIV/0!</v>
          </cell>
          <cell r="C251" t="e">
            <v>#DIV/0!</v>
          </cell>
          <cell r="D251" t="e">
            <v>#DIV/0!</v>
          </cell>
          <cell r="E251" t="e">
            <v>#DIV/0!</v>
          </cell>
        </row>
        <row r="252">
          <cell r="A252" t="str">
            <v>Tampere (Colliers nicht in PPC)</v>
          </cell>
          <cell r="B252" t="e">
            <v>#DIV/0!</v>
          </cell>
          <cell r="C252" t="e">
            <v>#DIV/0!</v>
          </cell>
          <cell r="D252" t="e">
            <v>#DIV/0!</v>
          </cell>
          <cell r="E252" t="e">
            <v>#DIV/0!</v>
          </cell>
        </row>
        <row r="253">
          <cell r="A253" t="str">
            <v>Finnland - Südwest</v>
          </cell>
          <cell r="B253" t="e">
            <v>#DIV/0!</v>
          </cell>
          <cell r="C253" t="e">
            <v>#DIV/0!</v>
          </cell>
          <cell r="D253" t="e">
            <v>#DIV/0!</v>
          </cell>
          <cell r="E253" t="e">
            <v>#DIV/0!</v>
          </cell>
        </row>
        <row r="254">
          <cell r="A254" t="str">
            <v>(Leer)</v>
          </cell>
          <cell r="B254" t="e">
            <v>#DIV/0!</v>
          </cell>
          <cell r="C254" t="e">
            <v>#DIV/0!</v>
          </cell>
          <cell r="D254" t="e">
            <v>#DIV/0!</v>
          </cell>
          <cell r="E254" t="e">
            <v>#DIV/0!</v>
          </cell>
        </row>
        <row r="255">
          <cell r="A255" t="str">
            <v>Finnland - Uusimaa</v>
          </cell>
          <cell r="B255" t="e">
            <v>#DIV/0!</v>
          </cell>
          <cell r="C255" t="e">
            <v>#DIV/0!</v>
          </cell>
          <cell r="D255" t="e">
            <v>#DIV/0!</v>
          </cell>
          <cell r="E255" t="e">
            <v>#DIV/0!</v>
          </cell>
        </row>
        <row r="256">
          <cell r="A256" t="str">
            <v>(Leer)</v>
          </cell>
          <cell r="B256" t="e">
            <v>#DIV/0!</v>
          </cell>
          <cell r="C256" t="e">
            <v>#DIV/0!</v>
          </cell>
          <cell r="D256" t="e">
            <v>#DIV/0!</v>
          </cell>
          <cell r="E256" t="e">
            <v>#DIV/0!</v>
          </cell>
        </row>
        <row r="257">
          <cell r="A257" t="str">
            <v>Frankreich</v>
          </cell>
          <cell r="B257">
            <v>20.607462686385048</v>
          </cell>
          <cell r="C257">
            <v>23.365309850647925</v>
          </cell>
          <cell r="D257">
            <v>3.4497438603769592</v>
          </cell>
          <cell r="E257">
            <v>6.9618062164954324</v>
          </cell>
        </row>
        <row r="258">
          <cell r="A258" t="str">
            <v>Frankreich</v>
          </cell>
          <cell r="B258">
            <v>12.774906715962613</v>
          </cell>
          <cell r="C258">
            <v>15.803444340727724</v>
          </cell>
          <cell r="D258">
            <v>3.5</v>
          </cell>
          <cell r="E258">
            <v>6.25</v>
          </cell>
        </row>
        <row r="259">
          <cell r="A259" t="str">
            <v>Bordeaux (Colliers nicht in PPC)</v>
          </cell>
          <cell r="B259">
            <v>9.6798134319252274</v>
          </cell>
          <cell r="C259">
            <v>10.421888681455449</v>
          </cell>
          <cell r="D259" t="e">
            <v>#DIV/0!</v>
          </cell>
          <cell r="E259" t="e">
            <v>#DIV/0!</v>
          </cell>
        </row>
        <row r="260">
          <cell r="A260" t="str">
            <v>Toulouse</v>
          </cell>
          <cell r="B260">
            <v>15.87</v>
          </cell>
          <cell r="C260">
            <v>21.184999999999999</v>
          </cell>
          <cell r="D260">
            <v>3.5</v>
          </cell>
          <cell r="E260">
            <v>6.25</v>
          </cell>
        </row>
        <row r="261">
          <cell r="A261" t="str">
            <v>Frankreich - Lyon</v>
          </cell>
          <cell r="B261">
            <v>20.21</v>
          </cell>
          <cell r="C261">
            <v>23.125</v>
          </cell>
          <cell r="D261">
            <v>3.5</v>
          </cell>
          <cell r="E261">
            <v>6.25</v>
          </cell>
        </row>
        <row r="262">
          <cell r="A262" t="str">
            <v>(Leer)</v>
          </cell>
          <cell r="B262">
            <v>20.21</v>
          </cell>
          <cell r="C262">
            <v>23.125</v>
          </cell>
          <cell r="D262">
            <v>3.5</v>
          </cell>
          <cell r="E262">
            <v>6.25</v>
          </cell>
        </row>
        <row r="263">
          <cell r="A263" t="str">
            <v>Frankreich - Nord</v>
          </cell>
          <cell r="B263">
            <v>9.6798134319252274</v>
          </cell>
          <cell r="C263">
            <v>10.796209825023794</v>
          </cell>
          <cell r="D263">
            <v>2.2984631622617564</v>
          </cell>
          <cell r="E263">
            <v>3.0208372989725945</v>
          </cell>
        </row>
        <row r="264">
          <cell r="A264" t="str">
            <v>Strasbourg</v>
          </cell>
          <cell r="B264">
            <v>9.6798134319252274</v>
          </cell>
          <cell r="C264">
            <v>10.796209825023794</v>
          </cell>
          <cell r="D264">
            <v>2.2984631622617564</v>
          </cell>
          <cell r="E264">
            <v>3.0208372989725945</v>
          </cell>
        </row>
        <row r="265">
          <cell r="A265" t="str">
            <v>Frankreich - Ost</v>
          </cell>
          <cell r="B265" t="e">
            <v>#DIV/0!</v>
          </cell>
          <cell r="C265" t="e">
            <v>#DIV/0!</v>
          </cell>
          <cell r="D265" t="e">
            <v>#DIV/0!</v>
          </cell>
          <cell r="E265" t="e">
            <v>#DIV/0!</v>
          </cell>
        </row>
        <row r="266">
          <cell r="A266" t="str">
            <v>(Leer)</v>
          </cell>
          <cell r="B266" t="e">
            <v>#DIV/0!</v>
          </cell>
          <cell r="C266" t="e">
            <v>#DIV/0!</v>
          </cell>
          <cell r="D266" t="e">
            <v>#DIV/0!</v>
          </cell>
          <cell r="E266" t="e">
            <v>#DIV/0!</v>
          </cell>
        </row>
        <row r="267">
          <cell r="A267" t="str">
            <v>Frankreich - Paris</v>
          </cell>
          <cell r="B267">
            <v>56.67</v>
          </cell>
          <cell r="C267">
            <v>65.83</v>
          </cell>
          <cell r="D267">
            <v>4.4000000000000004</v>
          </cell>
          <cell r="E267">
            <v>10</v>
          </cell>
        </row>
        <row r="268">
          <cell r="A268" t="str">
            <v>(Leer)</v>
          </cell>
          <cell r="B268">
            <v>56.67</v>
          </cell>
          <cell r="C268">
            <v>65.83</v>
          </cell>
          <cell r="D268">
            <v>4.4000000000000004</v>
          </cell>
          <cell r="E268">
            <v>10</v>
          </cell>
        </row>
        <row r="269">
          <cell r="A269" t="str">
            <v>Frankreich - West</v>
          </cell>
          <cell r="B269">
            <v>18.335000000000001</v>
          </cell>
          <cell r="C269">
            <v>20</v>
          </cell>
          <cell r="D269">
            <v>3.5</v>
          </cell>
          <cell r="E269">
            <v>6.25</v>
          </cell>
        </row>
        <row r="270">
          <cell r="A270" t="str">
            <v>Bordeaux (Colliers nicht in PPC)</v>
          </cell>
          <cell r="B270">
            <v>18.335000000000001</v>
          </cell>
          <cell r="C270">
            <v>20</v>
          </cell>
          <cell r="D270">
            <v>3.5</v>
          </cell>
          <cell r="E270">
            <v>6.25</v>
          </cell>
        </row>
        <row r="271">
          <cell r="A271" t="str">
            <v>Marseille</v>
          </cell>
          <cell r="B271">
            <v>20.625</v>
          </cell>
          <cell r="C271">
            <v>23.335000000000001</v>
          </cell>
          <cell r="D271">
            <v>3.5</v>
          </cell>
          <cell r="E271">
            <v>10</v>
          </cell>
        </row>
        <row r="272">
          <cell r="A272" t="str">
            <v>(Leer)</v>
          </cell>
          <cell r="B272">
            <v>20.625</v>
          </cell>
          <cell r="C272">
            <v>23.335000000000001</v>
          </cell>
          <cell r="D272">
            <v>3.5</v>
          </cell>
          <cell r="E272">
            <v>10</v>
          </cell>
        </row>
        <row r="273">
          <cell r="A273" t="str">
            <v>Montpellier</v>
          </cell>
          <cell r="B273">
            <v>18.335000000000001</v>
          </cell>
          <cell r="C273">
            <v>18.75</v>
          </cell>
          <cell r="D273" t="e">
            <v>#DIV/0!</v>
          </cell>
          <cell r="E273" t="e">
            <v>#DIV/0!</v>
          </cell>
        </row>
        <row r="274">
          <cell r="A274" t="str">
            <v>(Colliers nicht in PPC)</v>
          </cell>
          <cell r="B274">
            <v>18.335000000000001</v>
          </cell>
          <cell r="C274">
            <v>18.75</v>
          </cell>
          <cell r="D274" t="e">
            <v>#DIV/0!</v>
          </cell>
          <cell r="E274" t="e">
            <v>#DIV/0!</v>
          </cell>
        </row>
        <row r="275">
          <cell r="A275" t="str">
            <v>Nantes</v>
          </cell>
          <cell r="B275">
            <v>18.335000000000001</v>
          </cell>
          <cell r="C275">
            <v>18.96</v>
          </cell>
          <cell r="D275" t="e">
            <v>#DIV/0!</v>
          </cell>
          <cell r="E275" t="e">
            <v>#DIV/0!</v>
          </cell>
        </row>
        <row r="276">
          <cell r="A276" t="str">
            <v>(Colliers nicht in PPC)</v>
          </cell>
          <cell r="B276">
            <v>18.335000000000001</v>
          </cell>
          <cell r="C276">
            <v>18.96</v>
          </cell>
          <cell r="D276" t="e">
            <v>#DIV/0!</v>
          </cell>
          <cell r="E276" t="e">
            <v>#DIV/0!</v>
          </cell>
        </row>
        <row r="277">
          <cell r="A277" t="str">
            <v>Strasbourg</v>
          </cell>
          <cell r="B277">
            <v>18.335000000000001</v>
          </cell>
          <cell r="C277">
            <v>21.25</v>
          </cell>
          <cell r="D277" t="e">
            <v>#DIV/0!</v>
          </cell>
          <cell r="E277" t="e">
            <v>#DIV/0!</v>
          </cell>
        </row>
        <row r="278">
          <cell r="A278" t="str">
            <v>(Colliers nicht in PPC)</v>
          </cell>
          <cell r="B278">
            <v>18.335000000000001</v>
          </cell>
          <cell r="C278">
            <v>21.25</v>
          </cell>
          <cell r="D278" t="e">
            <v>#DIV/0!</v>
          </cell>
          <cell r="E278" t="e">
            <v>#DIV/0!</v>
          </cell>
        </row>
        <row r="279">
          <cell r="A279" t="str">
            <v>Griechenland</v>
          </cell>
          <cell r="B279">
            <v>15</v>
          </cell>
          <cell r="C279">
            <v>21</v>
          </cell>
          <cell r="D279">
            <v>3</v>
          </cell>
          <cell r="E279">
            <v>5</v>
          </cell>
        </row>
        <row r="280">
          <cell r="A280" t="str">
            <v>Athen (Colliers nicht in PPC)</v>
          </cell>
          <cell r="B280">
            <v>15</v>
          </cell>
          <cell r="C280">
            <v>21</v>
          </cell>
          <cell r="D280">
            <v>3</v>
          </cell>
          <cell r="E280">
            <v>5</v>
          </cell>
        </row>
        <row r="281">
          <cell r="A281" t="str">
            <v>(Leer)</v>
          </cell>
          <cell r="B281">
            <v>15</v>
          </cell>
          <cell r="C281">
            <v>21</v>
          </cell>
          <cell r="D281">
            <v>3</v>
          </cell>
          <cell r="E281">
            <v>5</v>
          </cell>
        </row>
        <row r="282">
          <cell r="A282" t="str">
            <v>Griechenland</v>
          </cell>
          <cell r="B282" t="e">
            <v>#DIV/0!</v>
          </cell>
          <cell r="C282" t="e">
            <v>#DIV/0!</v>
          </cell>
          <cell r="D282" t="e">
            <v>#DIV/0!</v>
          </cell>
          <cell r="E282" t="e">
            <v>#DIV/0!</v>
          </cell>
        </row>
        <row r="283">
          <cell r="A283" t="str">
            <v>(Leer)</v>
          </cell>
          <cell r="B283" t="e">
            <v>#DIV/0!</v>
          </cell>
          <cell r="C283" t="e">
            <v>#DIV/0!</v>
          </cell>
          <cell r="D283" t="e">
            <v>#DIV/0!</v>
          </cell>
          <cell r="E283" t="e">
            <v>#DIV/0!</v>
          </cell>
        </row>
        <row r="284">
          <cell r="A284" t="str">
            <v>Großbritannien</v>
          </cell>
          <cell r="B284">
            <v>37.225154166666655</v>
          </cell>
          <cell r="C284">
            <v>43.638644583333338</v>
          </cell>
          <cell r="D284">
            <v>4.9206340779393019</v>
          </cell>
          <cell r="E284">
            <v>5.8247530326082311</v>
          </cell>
        </row>
        <row r="285">
          <cell r="A285" t="str">
            <v>Bristol (Colliers nicht in PPC)</v>
          </cell>
          <cell r="B285">
            <v>28.927981249999998</v>
          </cell>
          <cell r="C285">
            <v>32.740195833333331</v>
          </cell>
          <cell r="D285">
            <v>4.9334541666666665</v>
          </cell>
          <cell r="E285">
            <v>6.2789416666666664</v>
          </cell>
        </row>
        <row r="286">
          <cell r="A286" t="str">
            <v>(Leer)</v>
          </cell>
          <cell r="B286">
            <v>28.927981249999998</v>
          </cell>
          <cell r="C286">
            <v>32.740195833333331</v>
          </cell>
          <cell r="D286">
            <v>4.9334541666666665</v>
          </cell>
          <cell r="E286">
            <v>6.2789416666666664</v>
          </cell>
        </row>
        <row r="287">
          <cell r="A287" t="str">
            <v>Edinburgh (Colliers nicht in PPC)</v>
          </cell>
          <cell r="B287">
            <v>27.358245833333331</v>
          </cell>
          <cell r="C287">
            <v>30.497716666666665</v>
          </cell>
          <cell r="D287">
            <v>4.0364624999999998</v>
          </cell>
          <cell r="E287">
            <v>6.2789416666666664</v>
          </cell>
        </row>
        <row r="288">
          <cell r="A288" t="str">
            <v>(Leer)</v>
          </cell>
          <cell r="B288">
            <v>27.358245833333331</v>
          </cell>
          <cell r="C288">
            <v>30.497716666666665</v>
          </cell>
          <cell r="D288">
            <v>4.0364624999999998</v>
          </cell>
          <cell r="E288">
            <v>6.2789416666666664</v>
          </cell>
        </row>
        <row r="289">
          <cell r="A289" t="str">
            <v>Glasgow (Colliers nicht in PPC)</v>
          </cell>
          <cell r="B289">
            <v>26.909749999999999</v>
          </cell>
          <cell r="C289">
            <v>30.049220833333333</v>
          </cell>
          <cell r="D289">
            <v>4.4849583333333332</v>
          </cell>
          <cell r="E289">
            <v>5.3819499999999998</v>
          </cell>
        </row>
        <row r="290">
          <cell r="A290" t="str">
            <v>(Leer)</v>
          </cell>
          <cell r="B290">
            <v>26.909749999999999</v>
          </cell>
          <cell r="C290">
            <v>30.049220833333333</v>
          </cell>
          <cell r="D290">
            <v>4.4849583333333332</v>
          </cell>
          <cell r="E290">
            <v>5.3819499999999998</v>
          </cell>
        </row>
        <row r="291">
          <cell r="A291" t="str">
            <v>Großbritannien</v>
          </cell>
          <cell r="B291" t="e">
            <v>#DIV/0!</v>
          </cell>
          <cell r="C291" t="e">
            <v>#DIV/0!</v>
          </cell>
          <cell r="D291" t="e">
            <v>#DIV/0!</v>
          </cell>
          <cell r="E291" t="e">
            <v>#DIV/0!</v>
          </cell>
        </row>
        <row r="292">
          <cell r="A292" t="str">
            <v>(Leer)</v>
          </cell>
          <cell r="B292" t="e">
            <v>#DIV/0!</v>
          </cell>
          <cell r="C292" t="e">
            <v>#DIV/0!</v>
          </cell>
          <cell r="D292" t="e">
            <v>#DIV/0!</v>
          </cell>
          <cell r="E292" t="e">
            <v>#DIV/0!</v>
          </cell>
        </row>
        <row r="293">
          <cell r="A293" t="str">
            <v>Großbritannien - Belfast Area</v>
          </cell>
          <cell r="B293">
            <v>16.370097916666666</v>
          </cell>
          <cell r="C293">
            <v>17.715585416666666</v>
          </cell>
          <cell r="D293">
            <v>3.5879666666666665</v>
          </cell>
          <cell r="E293">
            <v>3.5879666666666665</v>
          </cell>
        </row>
        <row r="294">
          <cell r="A294" t="str">
            <v>(Leer)</v>
          </cell>
          <cell r="B294">
            <v>16.370097916666666</v>
          </cell>
          <cell r="C294">
            <v>17.715585416666666</v>
          </cell>
          <cell r="D294">
            <v>3.5879666666666665</v>
          </cell>
          <cell r="E294">
            <v>3.5879666666666665</v>
          </cell>
        </row>
        <row r="295">
          <cell r="A295" t="str">
            <v>Großbritannien - London</v>
          </cell>
          <cell r="B295">
            <v>57.855962499999997</v>
          </cell>
          <cell r="C295">
            <v>67.274374999999992</v>
          </cell>
          <cell r="D295" t="e">
            <v>#DIV/0!</v>
          </cell>
          <cell r="E295" t="e">
            <v>#DIV/0!</v>
          </cell>
        </row>
        <row r="296">
          <cell r="A296" t="str">
            <v>(Leer)</v>
          </cell>
          <cell r="B296">
            <v>57.855962499999997</v>
          </cell>
          <cell r="C296">
            <v>67.274374999999992</v>
          </cell>
          <cell r="D296" t="e">
            <v>#DIV/0!</v>
          </cell>
          <cell r="E296" t="e">
            <v>#DIV/0!</v>
          </cell>
        </row>
        <row r="297">
          <cell r="A297" t="str">
            <v>Großbritannien - Nordengland</v>
          </cell>
          <cell r="B297" t="e">
            <v>#DIV/0!</v>
          </cell>
          <cell r="C297" t="e">
            <v>#DIV/0!</v>
          </cell>
          <cell r="D297" t="e">
            <v>#DIV/0!</v>
          </cell>
          <cell r="E297" t="e">
            <v>#DIV/0!</v>
          </cell>
        </row>
        <row r="298">
          <cell r="A298" t="str">
            <v>(Leer)</v>
          </cell>
          <cell r="B298" t="e">
            <v>#DIV/0!</v>
          </cell>
          <cell r="C298" t="e">
            <v>#DIV/0!</v>
          </cell>
          <cell r="D298" t="e">
            <v>#DIV/0!</v>
          </cell>
          <cell r="E298" t="e">
            <v>#DIV/0!</v>
          </cell>
        </row>
        <row r="299">
          <cell r="A299" t="str">
            <v>Großbritannien - Südwales</v>
          </cell>
          <cell r="B299" t="e">
            <v>#DIV/0!</v>
          </cell>
          <cell r="C299" t="e">
            <v>#DIV/0!</v>
          </cell>
          <cell r="D299" t="e">
            <v>#DIV/0!</v>
          </cell>
          <cell r="E299" t="e">
            <v>#DIV/0!</v>
          </cell>
        </row>
        <row r="300">
          <cell r="A300" t="str">
            <v>(Leer)</v>
          </cell>
          <cell r="B300" t="e">
            <v>#DIV/0!</v>
          </cell>
          <cell r="C300" t="e">
            <v>#DIV/0!</v>
          </cell>
          <cell r="D300" t="e">
            <v>#DIV/0!</v>
          </cell>
          <cell r="E300" t="e">
            <v>#DIV/0!</v>
          </cell>
        </row>
        <row r="301">
          <cell r="A301" t="str">
            <v>Großbritannien - Zentralengland (Großraum Birmingham)</v>
          </cell>
          <cell r="B301">
            <v>28.2552375</v>
          </cell>
          <cell r="C301">
            <v>33.861435416666666</v>
          </cell>
          <cell r="D301">
            <v>4.9334541666666665</v>
          </cell>
          <cell r="E301">
            <v>5.1577020833333336</v>
          </cell>
        </row>
        <row r="302">
          <cell r="A302" t="str">
            <v>(Leer)</v>
          </cell>
          <cell r="B302">
            <v>28.2552375</v>
          </cell>
          <cell r="C302">
            <v>33.861435416666666</v>
          </cell>
          <cell r="D302">
            <v>4.9334541666666665</v>
          </cell>
          <cell r="E302">
            <v>5.1577020833333336</v>
          </cell>
        </row>
        <row r="303">
          <cell r="A303" t="str">
            <v>Leeds (Colliers nicht in PPC)</v>
          </cell>
          <cell r="B303" t="e">
            <v>#DIV/0!</v>
          </cell>
          <cell r="C303" t="e">
            <v>#DIV/0!</v>
          </cell>
          <cell r="D303">
            <v>2.8126622068477438</v>
          </cell>
          <cell r="E303">
            <v>3.0939284275325183</v>
          </cell>
        </row>
        <row r="304">
          <cell r="A304" t="str">
            <v>(Leer)</v>
          </cell>
          <cell r="B304" t="e">
            <v>#DIV/0!</v>
          </cell>
          <cell r="C304" t="e">
            <v>#DIV/0!</v>
          </cell>
          <cell r="D304">
            <v>2.8126622068477438</v>
          </cell>
          <cell r="E304">
            <v>3.0939284275325183</v>
          </cell>
        </row>
        <row r="305">
          <cell r="A305" t="str">
            <v>London - Docklands</v>
          </cell>
          <cell r="B305">
            <v>36.77665833333333</v>
          </cell>
          <cell r="C305">
            <v>45.746575</v>
          </cell>
          <cell r="D305" t="e">
            <v>#DIV/0!</v>
          </cell>
          <cell r="E305" t="e">
            <v>#DIV/0!</v>
          </cell>
        </row>
        <row r="306">
          <cell r="A306" t="str">
            <v>Colliers nicht in PPC</v>
          </cell>
          <cell r="B306">
            <v>36.77665833333333</v>
          </cell>
          <cell r="C306">
            <v>45.746575</v>
          </cell>
          <cell r="D306" t="e">
            <v>#DIV/0!</v>
          </cell>
          <cell r="E306" t="e">
            <v>#DIV/0!</v>
          </cell>
        </row>
        <row r="307">
          <cell r="A307" t="str">
            <v>London - Southbank</v>
          </cell>
          <cell r="B307">
            <v>43.504095833333331</v>
          </cell>
          <cell r="C307">
            <v>50.231533333333331</v>
          </cell>
          <cell r="D307" t="e">
            <v>#DIV/0!</v>
          </cell>
          <cell r="E307" t="e">
            <v>#DIV/0!</v>
          </cell>
        </row>
        <row r="308">
          <cell r="A308" t="str">
            <v>Colliers nicht in PPC</v>
          </cell>
          <cell r="B308">
            <v>43.504095833333331</v>
          </cell>
          <cell r="C308">
            <v>50.231533333333331</v>
          </cell>
          <cell r="D308" t="e">
            <v>#DIV/0!</v>
          </cell>
          <cell r="E308" t="e">
            <v>#DIV/0!</v>
          </cell>
        </row>
        <row r="309">
          <cell r="A309" t="str">
            <v>London - West End</v>
          </cell>
          <cell r="B309">
            <v>77.141283333333334</v>
          </cell>
          <cell r="C309">
            <v>90.596158333333335</v>
          </cell>
          <cell r="D309" t="e">
            <v>#DIV/0!</v>
          </cell>
          <cell r="E309" t="e">
            <v>#DIV/0!</v>
          </cell>
        </row>
        <row r="310">
          <cell r="A310" t="str">
            <v>Colliers nicht in PPC</v>
          </cell>
          <cell r="B310">
            <v>77.141283333333334</v>
          </cell>
          <cell r="C310">
            <v>90.596158333333335</v>
          </cell>
          <cell r="D310" t="e">
            <v>#DIV/0!</v>
          </cell>
          <cell r="E310" t="e">
            <v>#DIV/0!</v>
          </cell>
        </row>
        <row r="311">
          <cell r="A311" t="str">
            <v>London-Heathrow (Colliers nicht in PPC)</v>
          </cell>
          <cell r="B311" t="e">
            <v>#DIV/0!</v>
          </cell>
          <cell r="C311" t="e">
            <v>#DIV/0!</v>
          </cell>
          <cell r="D311">
            <v>10.7639</v>
          </cell>
          <cell r="E311">
            <v>11.660891666666666</v>
          </cell>
        </row>
        <row r="312">
          <cell r="A312" t="str">
            <v>(Leer)</v>
          </cell>
          <cell r="B312" t="e">
            <v>#DIV/0!</v>
          </cell>
          <cell r="C312" t="e">
            <v>#DIV/0!</v>
          </cell>
          <cell r="D312">
            <v>10.7639</v>
          </cell>
          <cell r="E312">
            <v>11.660891666666666</v>
          </cell>
        </row>
        <row r="313">
          <cell r="A313" t="str">
            <v>Manchester</v>
          </cell>
          <cell r="B313">
            <v>29.152229166666665</v>
          </cell>
          <cell r="C313">
            <v>37.673649999999995</v>
          </cell>
          <cell r="D313">
            <v>3.8122145833333332</v>
          </cell>
          <cell r="E313">
            <v>5.1577020833333336</v>
          </cell>
        </row>
        <row r="314">
          <cell r="A314" t="str">
            <v>Colliers nicht in PPC</v>
          </cell>
          <cell r="B314">
            <v>29.152229166666665</v>
          </cell>
          <cell r="C314">
            <v>37.673649999999995</v>
          </cell>
          <cell r="D314">
            <v>3.8122145833333332</v>
          </cell>
          <cell r="E314">
            <v>5.1577020833333336</v>
          </cell>
        </row>
        <row r="315">
          <cell r="A315" t="str">
            <v>Hongkong</v>
          </cell>
          <cell r="B315" t="e">
            <v>#DIV/0!</v>
          </cell>
          <cell r="C315">
            <v>618.52444800000001</v>
          </cell>
          <cell r="D315">
            <v>89.340370000000007</v>
          </cell>
          <cell r="E315" t="e">
            <v>#DIV/0!</v>
          </cell>
        </row>
        <row r="316">
          <cell r="A316" t="str">
            <v>Central / Admiralty</v>
          </cell>
          <cell r="B316" t="e">
            <v>#DIV/0!</v>
          </cell>
          <cell r="C316">
            <v>1198.5602649999998</v>
          </cell>
          <cell r="D316" t="e">
            <v>#DIV/0!</v>
          </cell>
          <cell r="E316" t="e">
            <v>#DIV/0!</v>
          </cell>
        </row>
        <row r="317">
          <cell r="A317" t="str">
            <v>(Leer)</v>
          </cell>
          <cell r="B317" t="e">
            <v>#DIV/0!</v>
          </cell>
          <cell r="C317">
            <v>1198.5602649999998</v>
          </cell>
          <cell r="D317" t="e">
            <v>#DIV/0!</v>
          </cell>
          <cell r="E317" t="e">
            <v>#DIV/0!</v>
          </cell>
        </row>
        <row r="318">
          <cell r="A318" t="str">
            <v>Hongkong</v>
          </cell>
          <cell r="B318" t="e">
            <v>#DIV/0!</v>
          </cell>
          <cell r="C318">
            <v>722.795885</v>
          </cell>
          <cell r="D318">
            <v>89.340370000000007</v>
          </cell>
          <cell r="E318" t="e">
            <v>#DIV/0!</v>
          </cell>
        </row>
        <row r="319">
          <cell r="A319" t="str">
            <v>(Leer)</v>
          </cell>
          <cell r="B319" t="e">
            <v>#DIV/0!</v>
          </cell>
          <cell r="C319">
            <v>722.795885</v>
          </cell>
          <cell r="D319">
            <v>89.340370000000007</v>
          </cell>
          <cell r="E319" t="e">
            <v>#DIV/0!</v>
          </cell>
        </row>
        <row r="320">
          <cell r="A320" t="str">
            <v>Island East</v>
          </cell>
          <cell r="B320" t="e">
            <v>#DIV/0!</v>
          </cell>
          <cell r="C320">
            <v>427.64974699999993</v>
          </cell>
          <cell r="D320" t="e">
            <v>#DIV/0!</v>
          </cell>
          <cell r="E320" t="e">
            <v>#DIV/0!</v>
          </cell>
        </row>
        <row r="321">
          <cell r="A321" t="str">
            <v>(Leer)</v>
          </cell>
          <cell r="B321" t="e">
            <v>#DIV/0!</v>
          </cell>
          <cell r="C321">
            <v>427.64974699999993</v>
          </cell>
          <cell r="D321" t="e">
            <v>#DIV/0!</v>
          </cell>
          <cell r="E321" t="e">
            <v>#DIV/0!</v>
          </cell>
        </row>
        <row r="322">
          <cell r="A322" t="str">
            <v>Kowloon East</v>
          </cell>
          <cell r="B322" t="e">
            <v>#DIV/0!</v>
          </cell>
          <cell r="C322">
            <v>314.62879700000002</v>
          </cell>
          <cell r="D322" t="e">
            <v>#DIV/0!</v>
          </cell>
          <cell r="E322" t="e">
            <v>#DIV/0!</v>
          </cell>
        </row>
        <row r="323">
          <cell r="A323" t="str">
            <v>(Leer)</v>
          </cell>
          <cell r="B323" t="e">
            <v>#DIV/0!</v>
          </cell>
          <cell r="C323">
            <v>314.62879700000002</v>
          </cell>
          <cell r="D323" t="e">
            <v>#DIV/0!</v>
          </cell>
          <cell r="E323" t="e">
            <v>#DIV/0!</v>
          </cell>
        </row>
        <row r="324">
          <cell r="A324" t="str">
            <v>Sheung Wan</v>
          </cell>
          <cell r="B324" t="e">
            <v>#DIV/0!</v>
          </cell>
          <cell r="C324">
            <v>577.48323499999992</v>
          </cell>
          <cell r="D324" t="e">
            <v>#DIV/0!</v>
          </cell>
          <cell r="E324" t="e">
            <v>#DIV/0!</v>
          </cell>
        </row>
        <row r="325">
          <cell r="A325" t="str">
            <v>(Leer)</v>
          </cell>
          <cell r="B325" t="e">
            <v>#DIV/0!</v>
          </cell>
          <cell r="C325">
            <v>577.48323499999992</v>
          </cell>
          <cell r="D325" t="e">
            <v>#DIV/0!</v>
          </cell>
          <cell r="E325" t="e">
            <v>#DIV/0!</v>
          </cell>
        </row>
        <row r="326">
          <cell r="A326" t="str">
            <v>Tsim Sha Tsui</v>
          </cell>
          <cell r="B326" t="e">
            <v>#DIV/0!</v>
          </cell>
          <cell r="C326">
            <v>463.38589499999995</v>
          </cell>
          <cell r="D326" t="e">
            <v>#DIV/0!</v>
          </cell>
          <cell r="E326" t="e">
            <v>#DIV/0!</v>
          </cell>
        </row>
        <row r="327">
          <cell r="A327" t="str">
            <v>(Leer)</v>
          </cell>
          <cell r="B327" t="e">
            <v>#DIV/0!</v>
          </cell>
          <cell r="C327">
            <v>463.38589499999995</v>
          </cell>
          <cell r="D327" t="e">
            <v>#DIV/0!</v>
          </cell>
          <cell r="E327" t="e">
            <v>#DIV/0!</v>
          </cell>
        </row>
        <row r="328">
          <cell r="A328" t="str">
            <v>Wan Chai / Causeway Bay</v>
          </cell>
          <cell r="B328" t="e">
            <v>#DIV/0!</v>
          </cell>
          <cell r="C328">
            <v>625.16731199999992</v>
          </cell>
          <cell r="D328" t="e">
            <v>#DIV/0!</v>
          </cell>
          <cell r="E328" t="e">
            <v>#DIV/0!</v>
          </cell>
        </row>
        <row r="329">
          <cell r="A329" t="str">
            <v>(Leer)</v>
          </cell>
          <cell r="B329" t="e">
            <v>#DIV/0!</v>
          </cell>
          <cell r="C329">
            <v>625.16731199999992</v>
          </cell>
          <cell r="D329" t="e">
            <v>#DIV/0!</v>
          </cell>
          <cell r="E329" t="e">
            <v>#DIV/0!</v>
          </cell>
        </row>
        <row r="330">
          <cell r="A330" t="str">
            <v>Indien</v>
          </cell>
          <cell r="B330">
            <v>645.83400000000006</v>
          </cell>
          <cell r="C330">
            <v>726.56324999999993</v>
          </cell>
          <cell r="D330">
            <v>322.91699999999997</v>
          </cell>
          <cell r="E330">
            <v>322.91699999999997</v>
          </cell>
        </row>
        <row r="331">
          <cell r="A331" t="str">
            <v>Indien - Region Bangalore</v>
          </cell>
          <cell r="B331">
            <v>699.65350000000001</v>
          </cell>
          <cell r="C331">
            <v>753.47299999999996</v>
          </cell>
          <cell r="D331" t="e">
            <v>#DIV/0!</v>
          </cell>
          <cell r="E331" t="e">
            <v>#DIV/0!</v>
          </cell>
        </row>
        <row r="332">
          <cell r="A332" t="str">
            <v>(Leer)</v>
          </cell>
          <cell r="B332">
            <v>699.65350000000001</v>
          </cell>
          <cell r="C332">
            <v>753.47299999999996</v>
          </cell>
          <cell r="D332" t="e">
            <v>#DIV/0!</v>
          </cell>
          <cell r="E332" t="e">
            <v>#DIV/0!</v>
          </cell>
        </row>
        <row r="333">
          <cell r="A333" t="str">
            <v>Indien - Region Mumbai</v>
          </cell>
          <cell r="B333" t="e">
            <v>#DIV/0!</v>
          </cell>
          <cell r="C333" t="e">
            <v>#DIV/0!</v>
          </cell>
          <cell r="D333" t="e">
            <v>#DIV/0!</v>
          </cell>
          <cell r="E333" t="e">
            <v>#DIV/0!</v>
          </cell>
        </row>
        <row r="334">
          <cell r="A334" t="str">
            <v>(Leer)</v>
          </cell>
          <cell r="B334" t="e">
            <v>#DIV/0!</v>
          </cell>
          <cell r="C334" t="e">
            <v>#DIV/0!</v>
          </cell>
          <cell r="D334" t="e">
            <v>#DIV/0!</v>
          </cell>
          <cell r="E334" t="e">
            <v>#DIV/0!</v>
          </cell>
        </row>
        <row r="335">
          <cell r="A335" t="str">
            <v>Indien</v>
          </cell>
          <cell r="B335">
            <v>592.0145</v>
          </cell>
          <cell r="C335">
            <v>699.65350000000001</v>
          </cell>
          <cell r="D335" t="e">
            <v>#DIV/0!</v>
          </cell>
          <cell r="E335" t="e">
            <v>#DIV/0!</v>
          </cell>
        </row>
        <row r="336">
          <cell r="A336" t="str">
            <v>(Leer)</v>
          </cell>
          <cell r="B336">
            <v>592.0145</v>
          </cell>
          <cell r="C336">
            <v>699.65350000000001</v>
          </cell>
          <cell r="D336" t="e">
            <v>#DIV/0!</v>
          </cell>
          <cell r="E336" t="e">
            <v>#DIV/0!</v>
          </cell>
        </row>
        <row r="337">
          <cell r="A337" t="str">
            <v>Indien - Region Nasik</v>
          </cell>
          <cell r="B337" t="e">
            <v>#DIV/0!</v>
          </cell>
          <cell r="C337" t="e">
            <v>#DIV/0!</v>
          </cell>
          <cell r="D337" t="e">
            <v>#DIV/0!</v>
          </cell>
          <cell r="E337" t="e">
            <v>#DIV/0!</v>
          </cell>
        </row>
        <row r="338">
          <cell r="A338" t="str">
            <v>(Leer)</v>
          </cell>
          <cell r="B338" t="e">
            <v>#DIV/0!</v>
          </cell>
          <cell r="C338" t="e">
            <v>#DIV/0!</v>
          </cell>
          <cell r="D338" t="e">
            <v>#DIV/0!</v>
          </cell>
          <cell r="E338" t="e">
            <v>#DIV/0!</v>
          </cell>
        </row>
        <row r="339">
          <cell r="A339" t="str">
            <v>Indien - Delhi</v>
          </cell>
          <cell r="B339" t="e">
            <v>#DIV/0!</v>
          </cell>
          <cell r="C339" t="e">
            <v>#DIV/0!</v>
          </cell>
          <cell r="D339">
            <v>322.91699999999997</v>
          </cell>
          <cell r="E339">
            <v>322.91699999999997</v>
          </cell>
        </row>
        <row r="340">
          <cell r="A340" t="str">
            <v>(Colliers nicht in PPC)</v>
          </cell>
          <cell r="B340" t="e">
            <v>#DIV/0!</v>
          </cell>
          <cell r="C340" t="e">
            <v>#DIV/0!</v>
          </cell>
          <cell r="D340">
            <v>322.91699999999997</v>
          </cell>
          <cell r="E340">
            <v>322.91699999999997</v>
          </cell>
        </row>
        <row r="341">
          <cell r="A341" t="str">
            <v>Indonesien</v>
          </cell>
          <cell r="B341">
            <v>164733</v>
          </cell>
          <cell r="C341">
            <v>274000</v>
          </cell>
          <cell r="D341" t="e">
            <v>#DIV/0!</v>
          </cell>
          <cell r="E341">
            <v>29778</v>
          </cell>
        </row>
        <row r="342">
          <cell r="A342" t="str">
            <v>Indonesien</v>
          </cell>
          <cell r="B342" t="e">
            <v>#DIV/0!</v>
          </cell>
          <cell r="C342" t="e">
            <v>#DIV/0!</v>
          </cell>
          <cell r="D342" t="e">
            <v>#DIV/0!</v>
          </cell>
          <cell r="E342">
            <v>29778</v>
          </cell>
        </row>
        <row r="343">
          <cell r="A343" t="str">
            <v>(Leer)</v>
          </cell>
          <cell r="B343" t="e">
            <v>#DIV/0!</v>
          </cell>
          <cell r="C343" t="e">
            <v>#DIV/0!</v>
          </cell>
          <cell r="D343" t="e">
            <v>#DIV/0!</v>
          </cell>
          <cell r="E343">
            <v>29778</v>
          </cell>
        </row>
        <row r="344">
          <cell r="A344" t="str">
            <v>Indonesien - Jakarta</v>
          </cell>
          <cell r="B344">
            <v>164733</v>
          </cell>
          <cell r="C344">
            <v>274000</v>
          </cell>
          <cell r="D344" t="e">
            <v>#DIV/0!</v>
          </cell>
          <cell r="E344">
            <v>29778</v>
          </cell>
        </row>
        <row r="345">
          <cell r="A345" t="str">
            <v>(Colliers nicht in PPC)</v>
          </cell>
          <cell r="B345">
            <v>164733</v>
          </cell>
          <cell r="C345">
            <v>274000</v>
          </cell>
          <cell r="D345" t="e">
            <v>#DIV/0!</v>
          </cell>
          <cell r="E345">
            <v>29778</v>
          </cell>
        </row>
        <row r="346">
          <cell r="A346" t="str">
            <v>Irland</v>
          </cell>
          <cell r="B346">
            <v>29.098543634233838</v>
          </cell>
          <cell r="C346">
            <v>38.798058178978451</v>
          </cell>
          <cell r="D346">
            <v>4.7873704151109164</v>
          </cell>
          <cell r="E346">
            <v>5.3193004612343513</v>
          </cell>
        </row>
        <row r="347">
          <cell r="A347" t="str">
            <v>Irland</v>
          </cell>
          <cell r="B347" t="e">
            <v>#DIV/0!</v>
          </cell>
          <cell r="C347" t="e">
            <v>#DIV/0!</v>
          </cell>
          <cell r="D347" t="e">
            <v>#DIV/0!</v>
          </cell>
          <cell r="E347" t="e">
            <v>#DIV/0!</v>
          </cell>
        </row>
        <row r="348">
          <cell r="A348" t="str">
            <v>(Leer)</v>
          </cell>
          <cell r="B348" t="e">
            <v>#DIV/0!</v>
          </cell>
          <cell r="C348" t="e">
            <v>#DIV/0!</v>
          </cell>
          <cell r="D348" t="e">
            <v>#DIV/0!</v>
          </cell>
          <cell r="E348" t="e">
            <v>#DIV/0!</v>
          </cell>
        </row>
        <row r="349">
          <cell r="A349" t="str">
            <v>Irland - Dublin</v>
          </cell>
          <cell r="B349">
            <v>29.098543634233838</v>
          </cell>
          <cell r="C349">
            <v>38.798058178978451</v>
          </cell>
          <cell r="D349">
            <v>4.7873704151109164</v>
          </cell>
          <cell r="E349">
            <v>5.3193004612343513</v>
          </cell>
        </row>
        <row r="350">
          <cell r="A350" t="str">
            <v>(Leer)</v>
          </cell>
          <cell r="B350">
            <v>29.098543634233838</v>
          </cell>
          <cell r="C350">
            <v>38.798058178978451</v>
          </cell>
          <cell r="D350">
            <v>4.7873704151109164</v>
          </cell>
          <cell r="E350">
            <v>5.3193004612343513</v>
          </cell>
        </row>
        <row r="351">
          <cell r="A351" t="str">
            <v>Irland - Border</v>
          </cell>
          <cell r="B351" t="e">
            <v>#DIV/0!</v>
          </cell>
          <cell r="C351" t="e">
            <v>#DIV/0!</v>
          </cell>
          <cell r="D351" t="e">
            <v>#DIV/0!</v>
          </cell>
          <cell r="E351" t="e">
            <v>#DIV/0!</v>
          </cell>
        </row>
        <row r="352">
          <cell r="A352" t="str">
            <v>(Leer)</v>
          </cell>
          <cell r="B352" t="e">
            <v>#DIV/0!</v>
          </cell>
          <cell r="C352" t="e">
            <v>#DIV/0!</v>
          </cell>
          <cell r="D352" t="e">
            <v>#DIV/0!</v>
          </cell>
          <cell r="E352" t="e">
            <v>#DIV/0!</v>
          </cell>
        </row>
        <row r="353">
          <cell r="A353" t="str">
            <v>Irland - Midland</v>
          </cell>
          <cell r="B353" t="e">
            <v>#DIV/0!</v>
          </cell>
          <cell r="C353" t="e">
            <v>#DIV/0!</v>
          </cell>
          <cell r="D353" t="e">
            <v>#DIV/0!</v>
          </cell>
          <cell r="E353" t="e">
            <v>#DIV/0!</v>
          </cell>
        </row>
        <row r="354">
          <cell r="A354" t="str">
            <v>(Leer)</v>
          </cell>
          <cell r="B354" t="e">
            <v>#DIV/0!</v>
          </cell>
          <cell r="C354" t="e">
            <v>#DIV/0!</v>
          </cell>
          <cell r="D354" t="e">
            <v>#DIV/0!</v>
          </cell>
          <cell r="E354" t="e">
            <v>#DIV/0!</v>
          </cell>
        </row>
        <row r="355">
          <cell r="A355" t="str">
            <v>Irland - Mid East</v>
          </cell>
          <cell r="B355" t="e">
            <v>#DIV/0!</v>
          </cell>
          <cell r="C355" t="e">
            <v>#DIV/0!</v>
          </cell>
          <cell r="D355" t="e">
            <v>#DIV/0!</v>
          </cell>
          <cell r="E355" t="e">
            <v>#DIV/0!</v>
          </cell>
        </row>
        <row r="356">
          <cell r="A356" t="str">
            <v>(Leer)</v>
          </cell>
          <cell r="B356" t="e">
            <v>#DIV/0!</v>
          </cell>
          <cell r="C356" t="e">
            <v>#DIV/0!</v>
          </cell>
          <cell r="D356" t="e">
            <v>#DIV/0!</v>
          </cell>
          <cell r="E356" t="e">
            <v>#DIV/0!</v>
          </cell>
        </row>
        <row r="357">
          <cell r="A357" t="str">
            <v>Irland - Mid West</v>
          </cell>
          <cell r="B357" t="e">
            <v>#DIV/0!</v>
          </cell>
          <cell r="C357" t="e">
            <v>#DIV/0!</v>
          </cell>
          <cell r="D357" t="e">
            <v>#DIV/0!</v>
          </cell>
          <cell r="E357" t="e">
            <v>#DIV/0!</v>
          </cell>
        </row>
        <row r="358">
          <cell r="A358" t="str">
            <v>(Leer)</v>
          </cell>
          <cell r="B358" t="e">
            <v>#DIV/0!</v>
          </cell>
          <cell r="C358" t="e">
            <v>#DIV/0!</v>
          </cell>
          <cell r="D358" t="e">
            <v>#DIV/0!</v>
          </cell>
          <cell r="E358" t="e">
            <v>#DIV/0!</v>
          </cell>
        </row>
        <row r="359">
          <cell r="A359" t="str">
            <v>Irland - South East</v>
          </cell>
          <cell r="B359" t="e">
            <v>#DIV/0!</v>
          </cell>
          <cell r="C359" t="e">
            <v>#DIV/0!</v>
          </cell>
          <cell r="D359" t="e">
            <v>#DIV/0!</v>
          </cell>
          <cell r="E359" t="e">
            <v>#DIV/0!</v>
          </cell>
        </row>
        <row r="360">
          <cell r="A360" t="str">
            <v>(Leer)</v>
          </cell>
          <cell r="B360" t="e">
            <v>#DIV/0!</v>
          </cell>
          <cell r="C360" t="e">
            <v>#DIV/0!</v>
          </cell>
          <cell r="D360" t="e">
            <v>#DIV/0!</v>
          </cell>
          <cell r="E360" t="e">
            <v>#DIV/0!</v>
          </cell>
        </row>
        <row r="361">
          <cell r="A361" t="str">
            <v>Irland - South West</v>
          </cell>
          <cell r="B361" t="e">
            <v>#DIV/0!</v>
          </cell>
          <cell r="C361" t="e">
            <v>#DIV/0!</v>
          </cell>
          <cell r="D361" t="e">
            <v>#DIV/0!</v>
          </cell>
          <cell r="E361" t="e">
            <v>#DIV/0!</v>
          </cell>
        </row>
        <row r="362">
          <cell r="A362" t="str">
            <v>(Leer)</v>
          </cell>
          <cell r="B362" t="e">
            <v>#DIV/0!</v>
          </cell>
          <cell r="C362" t="e">
            <v>#DIV/0!</v>
          </cell>
          <cell r="D362" t="e">
            <v>#DIV/0!</v>
          </cell>
          <cell r="E362" t="e">
            <v>#DIV/0!</v>
          </cell>
        </row>
        <row r="363">
          <cell r="A363" t="str">
            <v>Irland - West</v>
          </cell>
          <cell r="B363" t="e">
            <v>#DIV/0!</v>
          </cell>
          <cell r="C363" t="e">
            <v>#DIV/0!</v>
          </cell>
          <cell r="D363" t="e">
            <v>#DIV/0!</v>
          </cell>
          <cell r="E363" t="e">
            <v>#DIV/0!</v>
          </cell>
        </row>
        <row r="364">
          <cell r="A364" t="str">
            <v>(Leer)</v>
          </cell>
          <cell r="B364" t="e">
            <v>#DIV/0!</v>
          </cell>
          <cell r="C364" t="e">
            <v>#DIV/0!</v>
          </cell>
          <cell r="D364" t="e">
            <v>#DIV/0!</v>
          </cell>
          <cell r="E364" t="e">
            <v>#DIV/0!</v>
          </cell>
        </row>
        <row r="365">
          <cell r="A365" t="str">
            <v>Israel</v>
          </cell>
          <cell r="B365">
            <v>133.77309026344659</v>
          </cell>
          <cell r="C365">
            <v>162.25036652866245</v>
          </cell>
          <cell r="D365" t="e">
            <v>#DIV/0!</v>
          </cell>
          <cell r="E365" t="e">
            <v>#DIV/0!</v>
          </cell>
        </row>
        <row r="366">
          <cell r="A366" t="str">
            <v>Israel</v>
          </cell>
          <cell r="B366" t="e">
            <v>#DIV/0!</v>
          </cell>
          <cell r="C366" t="e">
            <v>#DIV/0!</v>
          </cell>
          <cell r="D366" t="e">
            <v>#DIV/0!</v>
          </cell>
          <cell r="E366" t="e">
            <v>#DIV/0!</v>
          </cell>
        </row>
        <row r="367">
          <cell r="A367" t="str">
            <v>(Leer)</v>
          </cell>
          <cell r="B367" t="e">
            <v>#DIV/0!</v>
          </cell>
          <cell r="C367" t="e">
            <v>#DIV/0!</v>
          </cell>
          <cell r="D367" t="e">
            <v>#DIV/0!</v>
          </cell>
          <cell r="E367" t="e">
            <v>#DIV/0!</v>
          </cell>
        </row>
        <row r="368">
          <cell r="A368" t="str">
            <v>Israel - Tel Aviv</v>
          </cell>
          <cell r="B368">
            <v>133.77309026344659</v>
          </cell>
          <cell r="C368">
            <v>162.25036652866245</v>
          </cell>
          <cell r="D368" t="e">
            <v>#DIV/0!</v>
          </cell>
          <cell r="E368" t="e">
            <v>#DIV/0!</v>
          </cell>
        </row>
        <row r="369">
          <cell r="A369" t="str">
            <v>(Colliers nicht in PPC)</v>
          </cell>
          <cell r="B369">
            <v>133.77309026344659</v>
          </cell>
          <cell r="C369">
            <v>162.25036652866245</v>
          </cell>
          <cell r="D369" t="e">
            <v>#DIV/0!</v>
          </cell>
          <cell r="E369" t="e">
            <v>#DIV/0!</v>
          </cell>
        </row>
        <row r="370">
          <cell r="A370" t="str">
            <v>Italien</v>
          </cell>
          <cell r="B370">
            <v>17.291666666666664</v>
          </cell>
          <cell r="C370" t="e">
            <v>#DIV/0!</v>
          </cell>
          <cell r="D370">
            <v>5.208333333333333</v>
          </cell>
          <cell r="E370">
            <v>5</v>
          </cell>
        </row>
        <row r="371">
          <cell r="A371" t="str">
            <v>Italien</v>
          </cell>
          <cell r="B371" t="e">
            <v>#DIV/0!</v>
          </cell>
          <cell r="C371" t="e">
            <v>#DIV/0!</v>
          </cell>
          <cell r="D371" t="e">
            <v>#DIV/0!</v>
          </cell>
          <cell r="E371" t="e">
            <v>#DIV/0!</v>
          </cell>
        </row>
        <row r="372">
          <cell r="A372" t="str">
            <v>(Leer)</v>
          </cell>
          <cell r="B372" t="e">
            <v>#DIV/0!</v>
          </cell>
          <cell r="C372" t="e">
            <v>#DIV/0!</v>
          </cell>
          <cell r="D372" t="e">
            <v>#DIV/0!</v>
          </cell>
          <cell r="E372" t="e">
            <v>#DIV/0!</v>
          </cell>
        </row>
        <row r="373">
          <cell r="A373" t="str">
            <v>Italien - Mailand</v>
          </cell>
          <cell r="B373">
            <v>19.583333333333332</v>
          </cell>
          <cell r="C373" t="e">
            <v>#DIV/0!</v>
          </cell>
          <cell r="D373">
            <v>5</v>
          </cell>
          <cell r="E373">
            <v>4.583333333333333</v>
          </cell>
        </row>
        <row r="374">
          <cell r="A374" t="str">
            <v>(Leer)</v>
          </cell>
          <cell r="B374">
            <v>19.583333333333332</v>
          </cell>
          <cell r="C374" t="e">
            <v>#DIV/0!</v>
          </cell>
          <cell r="D374">
            <v>5</v>
          </cell>
          <cell r="E374">
            <v>4.583333333333333</v>
          </cell>
        </row>
        <row r="375">
          <cell r="A375" t="str">
            <v>Italien - Mitte</v>
          </cell>
          <cell r="B375" t="e">
            <v>#DIV/0!</v>
          </cell>
          <cell r="C375" t="e">
            <v>#DIV/0!</v>
          </cell>
          <cell r="D375" t="e">
            <v>#DIV/0!</v>
          </cell>
          <cell r="E375" t="e">
            <v>#DIV/0!</v>
          </cell>
        </row>
        <row r="376">
          <cell r="A376" t="str">
            <v>(Leer)</v>
          </cell>
          <cell r="B376" t="e">
            <v>#DIV/0!</v>
          </cell>
          <cell r="C376" t="e">
            <v>#DIV/0!</v>
          </cell>
          <cell r="D376" t="e">
            <v>#DIV/0!</v>
          </cell>
          <cell r="E376" t="e">
            <v>#DIV/0!</v>
          </cell>
        </row>
        <row r="377">
          <cell r="A377" t="str">
            <v>Italien - Nord</v>
          </cell>
          <cell r="B377" t="e">
            <v>#DIV/0!</v>
          </cell>
          <cell r="C377" t="e">
            <v>#DIV/0!</v>
          </cell>
          <cell r="D377" t="e">
            <v>#DIV/0!</v>
          </cell>
          <cell r="E377" t="e">
            <v>#DIV/0!</v>
          </cell>
        </row>
        <row r="378">
          <cell r="A378" t="str">
            <v>(Leer)</v>
          </cell>
          <cell r="B378" t="e">
            <v>#DIV/0!</v>
          </cell>
          <cell r="C378" t="e">
            <v>#DIV/0!</v>
          </cell>
          <cell r="D378" t="e">
            <v>#DIV/0!</v>
          </cell>
          <cell r="E378" t="e">
            <v>#DIV/0!</v>
          </cell>
        </row>
        <row r="379">
          <cell r="A379" t="str">
            <v>Italien - Turin</v>
          </cell>
          <cell r="B379" t="e">
            <v>#DIV/0!</v>
          </cell>
          <cell r="C379" t="e">
            <v>#DIV/0!</v>
          </cell>
          <cell r="D379" t="e">
            <v>#DIV/0!</v>
          </cell>
          <cell r="E379" t="e">
            <v>#DIV/0!</v>
          </cell>
        </row>
        <row r="380">
          <cell r="A380" t="str">
            <v>(Leer)</v>
          </cell>
          <cell r="B380" t="e">
            <v>#DIV/0!</v>
          </cell>
          <cell r="C380" t="e">
            <v>#DIV/0!</v>
          </cell>
          <cell r="D380" t="e">
            <v>#DIV/0!</v>
          </cell>
          <cell r="E380" t="e">
            <v>#DIV/0!</v>
          </cell>
        </row>
        <row r="381">
          <cell r="A381" t="str">
            <v>Italien - Süd</v>
          </cell>
          <cell r="B381">
            <v>15</v>
          </cell>
          <cell r="C381" t="e">
            <v>#DIV/0!</v>
          </cell>
          <cell r="D381">
            <v>5.4166666666666661</v>
          </cell>
          <cell r="E381">
            <v>5.4166666666666661</v>
          </cell>
        </row>
        <row r="382">
          <cell r="A382" t="str">
            <v>Rom (Colliers nicht in PPC)</v>
          </cell>
          <cell r="B382">
            <v>15</v>
          </cell>
          <cell r="C382" t="e">
            <v>#DIV/0!</v>
          </cell>
          <cell r="D382">
            <v>5.4166666666666661</v>
          </cell>
          <cell r="E382">
            <v>5.4166666666666661</v>
          </cell>
        </row>
        <row r="383">
          <cell r="A383" t="str">
            <v>Japan</v>
          </cell>
          <cell r="B383">
            <v>8016.25</v>
          </cell>
          <cell r="C383" t="e">
            <v>#DIV/0!</v>
          </cell>
          <cell r="D383">
            <v>1700.6961999999999</v>
          </cell>
          <cell r="E383">
            <v>1700.6961999999999</v>
          </cell>
        </row>
        <row r="384">
          <cell r="A384" t="str">
            <v>Japan</v>
          </cell>
          <cell r="B384" t="e">
            <v>#DIV/0!</v>
          </cell>
          <cell r="C384" t="e">
            <v>#DIV/0!</v>
          </cell>
          <cell r="D384" t="e">
            <v>#DIV/0!</v>
          </cell>
          <cell r="E384" t="e">
            <v>#DIV/0!</v>
          </cell>
        </row>
        <row r="385">
          <cell r="A385" t="str">
            <v>(Leer)</v>
          </cell>
          <cell r="B385" t="e">
            <v>#DIV/0!</v>
          </cell>
          <cell r="C385" t="e">
            <v>#DIV/0!</v>
          </cell>
          <cell r="D385" t="e">
            <v>#DIV/0!</v>
          </cell>
          <cell r="E385" t="e">
            <v>#DIV/0!</v>
          </cell>
        </row>
        <row r="386">
          <cell r="A386" t="str">
            <v>Japan - Großraum Tokyo</v>
          </cell>
          <cell r="B386" t="e">
            <v>#DIV/0!</v>
          </cell>
          <cell r="C386" t="e">
            <v>#DIV/0!</v>
          </cell>
          <cell r="D386">
            <v>1700.6961999999999</v>
          </cell>
          <cell r="E386">
            <v>1700.6961999999999</v>
          </cell>
        </row>
        <row r="387">
          <cell r="A387" t="str">
            <v>(Leer)</v>
          </cell>
          <cell r="B387" t="e">
            <v>#DIV/0!</v>
          </cell>
          <cell r="C387" t="e">
            <v>#DIV/0!</v>
          </cell>
          <cell r="D387">
            <v>1700.6961999999999</v>
          </cell>
          <cell r="E387">
            <v>1700.6961999999999</v>
          </cell>
        </row>
        <row r="388">
          <cell r="A388" t="str">
            <v xml:space="preserve">Japan - Tokyo </v>
          </cell>
          <cell r="B388">
            <v>8016.25</v>
          </cell>
          <cell r="C388" t="e">
            <v>#DIV/0!</v>
          </cell>
          <cell r="D388" t="e">
            <v>#DIV/0!</v>
          </cell>
          <cell r="E388" t="e">
            <v>#DIV/0!</v>
          </cell>
        </row>
        <row r="389">
          <cell r="A389" t="str">
            <v>(Colliers nicht in PPC)</v>
          </cell>
          <cell r="B389">
            <v>8016.25</v>
          </cell>
          <cell r="C389" t="e">
            <v>#DIV/0!</v>
          </cell>
          <cell r="D389" t="e">
            <v>#DIV/0!</v>
          </cell>
          <cell r="E389" t="e">
            <v>#DIV/0!</v>
          </cell>
        </row>
        <row r="390">
          <cell r="A390" t="str">
            <v>Japan - Kanto</v>
          </cell>
          <cell r="B390" t="e">
            <v>#DIV/0!</v>
          </cell>
          <cell r="C390" t="e">
            <v>#DIV/0!</v>
          </cell>
          <cell r="D390" t="e">
            <v>#DIV/0!</v>
          </cell>
          <cell r="E390" t="e">
            <v>#DIV/0!</v>
          </cell>
        </row>
        <row r="391">
          <cell r="A391" t="str">
            <v>(Leer)</v>
          </cell>
          <cell r="B391" t="e">
            <v>#DIV/0!</v>
          </cell>
          <cell r="C391" t="e">
            <v>#DIV/0!</v>
          </cell>
          <cell r="D391" t="e">
            <v>#DIV/0!</v>
          </cell>
          <cell r="E391" t="e">
            <v>#DIV/0!</v>
          </cell>
        </row>
        <row r="392">
          <cell r="A392" t="str">
            <v>Japan - Chubu</v>
          </cell>
          <cell r="B392" t="e">
            <v>#DIV/0!</v>
          </cell>
          <cell r="C392" t="e">
            <v>#DIV/0!</v>
          </cell>
          <cell r="D392" t="e">
            <v>#DIV/0!</v>
          </cell>
          <cell r="E392" t="e">
            <v>#DIV/0!</v>
          </cell>
        </row>
        <row r="393">
          <cell r="A393" t="str">
            <v>(Leer)</v>
          </cell>
          <cell r="B393" t="e">
            <v>#DIV/0!</v>
          </cell>
          <cell r="C393" t="e">
            <v>#DIV/0!</v>
          </cell>
          <cell r="D393" t="e">
            <v>#DIV/0!</v>
          </cell>
          <cell r="E393" t="e">
            <v>#DIV/0!</v>
          </cell>
        </row>
        <row r="394">
          <cell r="A394" t="str">
            <v>Japan - Aichi</v>
          </cell>
          <cell r="B394" t="e">
            <v>#DIV/0!</v>
          </cell>
          <cell r="C394" t="e">
            <v>#DIV/0!</v>
          </cell>
          <cell r="D394" t="e">
            <v>#DIV/0!</v>
          </cell>
          <cell r="E394" t="e">
            <v>#DIV/0!</v>
          </cell>
        </row>
        <row r="395">
          <cell r="A395" t="str">
            <v>(Leer)</v>
          </cell>
          <cell r="B395" t="e">
            <v>#DIV/0!</v>
          </cell>
          <cell r="C395" t="e">
            <v>#DIV/0!</v>
          </cell>
          <cell r="D395" t="e">
            <v>#DIV/0!</v>
          </cell>
          <cell r="E395" t="e">
            <v>#DIV/0!</v>
          </cell>
        </row>
        <row r="396">
          <cell r="A396" t="str">
            <v>Japan - südlicher Teil</v>
          </cell>
          <cell r="B396" t="e">
            <v>#DIV/0!</v>
          </cell>
          <cell r="C396" t="e">
            <v>#DIV/0!</v>
          </cell>
          <cell r="D396" t="e">
            <v>#DIV/0!</v>
          </cell>
          <cell r="E396" t="e">
            <v>#DIV/0!</v>
          </cell>
        </row>
        <row r="397">
          <cell r="A397" t="str">
            <v>(Leer)</v>
          </cell>
          <cell r="B397" t="e">
            <v>#DIV/0!</v>
          </cell>
          <cell r="C397" t="e">
            <v>#DIV/0!</v>
          </cell>
          <cell r="D397" t="e">
            <v>#DIV/0!</v>
          </cell>
          <cell r="E397" t="e">
            <v>#DIV/0!</v>
          </cell>
        </row>
        <row r="398">
          <cell r="A398" t="str">
            <v>Japan - Tohoku</v>
          </cell>
          <cell r="B398" t="e">
            <v>#DIV/0!</v>
          </cell>
          <cell r="C398" t="e">
            <v>#DIV/0!</v>
          </cell>
          <cell r="D398" t="e">
            <v>#DIV/0!</v>
          </cell>
          <cell r="E398" t="e">
            <v>#DIV/0!</v>
          </cell>
        </row>
        <row r="399">
          <cell r="A399" t="str">
            <v>(Leer)</v>
          </cell>
          <cell r="B399" t="e">
            <v>#DIV/0!</v>
          </cell>
          <cell r="C399" t="e">
            <v>#DIV/0!</v>
          </cell>
          <cell r="D399" t="e">
            <v>#DIV/0!</v>
          </cell>
          <cell r="E399" t="e">
            <v>#DIV/0!</v>
          </cell>
        </row>
        <row r="400">
          <cell r="A400" t="str">
            <v>Japan - Kansai</v>
          </cell>
          <cell r="B400" t="e">
            <v>#DIV/0!</v>
          </cell>
          <cell r="C400" t="e">
            <v>#DIV/0!</v>
          </cell>
          <cell r="D400" t="e">
            <v>#DIV/0!</v>
          </cell>
          <cell r="E400" t="e">
            <v>#DIV/0!</v>
          </cell>
        </row>
        <row r="401">
          <cell r="A401" t="str">
            <v>(Leer)</v>
          </cell>
          <cell r="B401" t="e">
            <v>#DIV/0!</v>
          </cell>
          <cell r="C401" t="e">
            <v>#DIV/0!</v>
          </cell>
          <cell r="D401" t="e">
            <v>#DIV/0!</v>
          </cell>
          <cell r="E401" t="e">
            <v>#DIV/0!</v>
          </cell>
        </row>
        <row r="402">
          <cell r="A402" t="str">
            <v>Japan - Osaka</v>
          </cell>
          <cell r="B402" t="e">
            <v>#DIV/0!</v>
          </cell>
          <cell r="C402" t="e">
            <v>#DIV/0!</v>
          </cell>
          <cell r="D402" t="e">
            <v>#DIV/0!</v>
          </cell>
          <cell r="E402" t="e">
            <v>#DIV/0!</v>
          </cell>
        </row>
        <row r="403">
          <cell r="A403" t="str">
            <v>(Leer)</v>
          </cell>
          <cell r="B403" t="e">
            <v>#DIV/0!</v>
          </cell>
          <cell r="C403" t="e">
            <v>#DIV/0!</v>
          </cell>
          <cell r="D403" t="e">
            <v>#DIV/0!</v>
          </cell>
          <cell r="E403" t="e">
            <v>#DIV/0!</v>
          </cell>
        </row>
        <row r="404">
          <cell r="A404" t="str">
            <v>Japan - Chugoku</v>
          </cell>
          <cell r="B404" t="e">
            <v>#DIV/0!</v>
          </cell>
          <cell r="C404" t="e">
            <v>#DIV/0!</v>
          </cell>
          <cell r="D404" t="e">
            <v>#DIV/0!</v>
          </cell>
          <cell r="E404" t="e">
            <v>#DIV/0!</v>
          </cell>
        </row>
        <row r="405">
          <cell r="A405" t="str">
            <v>(Leer)</v>
          </cell>
          <cell r="B405" t="e">
            <v>#DIV/0!</v>
          </cell>
          <cell r="C405" t="e">
            <v>#DIV/0!</v>
          </cell>
          <cell r="D405" t="e">
            <v>#DIV/0!</v>
          </cell>
          <cell r="E405" t="e">
            <v>#DIV/0!</v>
          </cell>
        </row>
        <row r="406">
          <cell r="A406" t="str">
            <v>Japan - Shikoku</v>
          </cell>
          <cell r="B406" t="e">
            <v>#DIV/0!</v>
          </cell>
          <cell r="C406" t="e">
            <v>#DIV/0!</v>
          </cell>
          <cell r="D406" t="e">
            <v>#DIV/0!</v>
          </cell>
          <cell r="E406" t="e">
            <v>#DIV/0!</v>
          </cell>
        </row>
        <row r="407">
          <cell r="A407" t="str">
            <v>(Leer)</v>
          </cell>
          <cell r="B407" t="e">
            <v>#DIV/0!</v>
          </cell>
          <cell r="C407" t="e">
            <v>#DIV/0!</v>
          </cell>
          <cell r="D407" t="e">
            <v>#DIV/0!</v>
          </cell>
          <cell r="E407" t="e">
            <v>#DIV/0!</v>
          </cell>
        </row>
        <row r="408">
          <cell r="A408" t="str">
            <v>Japan - Kyushu</v>
          </cell>
          <cell r="B408" t="e">
            <v>#DIV/0!</v>
          </cell>
          <cell r="C408" t="e">
            <v>#DIV/0!</v>
          </cell>
          <cell r="D408" t="e">
            <v>#DIV/0!</v>
          </cell>
          <cell r="E408" t="e">
            <v>#DIV/0!</v>
          </cell>
        </row>
        <row r="409">
          <cell r="A409" t="str">
            <v>(Leer)</v>
          </cell>
          <cell r="B409" t="e">
            <v>#DIV/0!</v>
          </cell>
          <cell r="C409" t="e">
            <v>#DIV/0!</v>
          </cell>
          <cell r="D409" t="e">
            <v>#DIV/0!</v>
          </cell>
          <cell r="E409" t="e">
            <v>#DIV/0!</v>
          </cell>
        </row>
        <row r="410">
          <cell r="A410" t="str">
            <v>Japan - Hokkaido</v>
          </cell>
          <cell r="B410" t="e">
            <v>#DIV/0!</v>
          </cell>
          <cell r="C410" t="e">
            <v>#DIV/0!</v>
          </cell>
          <cell r="D410" t="e">
            <v>#DIV/0!</v>
          </cell>
          <cell r="E410" t="e">
            <v>#DIV/0!</v>
          </cell>
        </row>
        <row r="411">
          <cell r="A411" t="str">
            <v>(Leer)</v>
          </cell>
          <cell r="B411" t="e">
            <v>#DIV/0!</v>
          </cell>
          <cell r="C411" t="e">
            <v>#DIV/0!</v>
          </cell>
          <cell r="D411" t="e">
            <v>#DIV/0!</v>
          </cell>
          <cell r="E411" t="e">
            <v>#DIV/0!</v>
          </cell>
        </row>
        <row r="412">
          <cell r="A412" t="str">
            <v>Japan - Nagoya City</v>
          </cell>
          <cell r="B412" t="e">
            <v>#DIV/0!</v>
          </cell>
          <cell r="C412" t="e">
            <v>#DIV/0!</v>
          </cell>
          <cell r="D412" t="e">
            <v>#DIV/0!</v>
          </cell>
          <cell r="E412" t="e">
            <v>#DIV/0!</v>
          </cell>
        </row>
        <row r="413">
          <cell r="A413" t="str">
            <v>(Leer)</v>
          </cell>
          <cell r="B413" t="e">
            <v>#DIV/0!</v>
          </cell>
          <cell r="C413" t="e">
            <v>#DIV/0!</v>
          </cell>
          <cell r="D413" t="e">
            <v>#DIV/0!</v>
          </cell>
          <cell r="E413" t="e">
            <v>#DIV/0!</v>
          </cell>
        </row>
        <row r="414">
          <cell r="A414" t="str">
            <v>Japan - Tochigi</v>
          </cell>
          <cell r="B414" t="e">
            <v>#DIV/0!</v>
          </cell>
          <cell r="C414" t="e">
            <v>#DIV/0!</v>
          </cell>
          <cell r="D414" t="e">
            <v>#DIV/0!</v>
          </cell>
          <cell r="E414" t="e">
            <v>#DIV/0!</v>
          </cell>
        </row>
        <row r="415">
          <cell r="A415" t="str">
            <v>(Leer)</v>
          </cell>
          <cell r="B415" t="e">
            <v>#DIV/0!</v>
          </cell>
          <cell r="C415" t="e">
            <v>#DIV/0!</v>
          </cell>
          <cell r="D415" t="e">
            <v>#DIV/0!</v>
          </cell>
          <cell r="E415" t="e">
            <v>#DIV/0!</v>
          </cell>
        </row>
        <row r="416">
          <cell r="A416" t="str">
            <v>Japan - Gunma</v>
          </cell>
          <cell r="B416" t="e">
            <v>#DIV/0!</v>
          </cell>
          <cell r="C416" t="e">
            <v>#DIV/0!</v>
          </cell>
          <cell r="D416" t="e">
            <v>#DIV/0!</v>
          </cell>
          <cell r="E416" t="e">
            <v>#DIV/0!</v>
          </cell>
        </row>
        <row r="417">
          <cell r="A417" t="str">
            <v>(Leer)</v>
          </cell>
          <cell r="B417" t="e">
            <v>#DIV/0!</v>
          </cell>
          <cell r="C417" t="e">
            <v>#DIV/0!</v>
          </cell>
          <cell r="D417" t="e">
            <v>#DIV/0!</v>
          </cell>
          <cell r="E417" t="e">
            <v>#DIV/0!</v>
          </cell>
        </row>
        <row r="418">
          <cell r="A418" t="str">
            <v>Kanada</v>
          </cell>
          <cell r="B418">
            <v>35.471206957202156</v>
          </cell>
          <cell r="C418">
            <v>42.362675206132266</v>
          </cell>
          <cell r="D418">
            <v>5.6877617774461067</v>
          </cell>
          <cell r="E418">
            <v>6.7488113467483819</v>
          </cell>
        </row>
        <row r="419">
          <cell r="A419" t="str">
            <v>Kanada</v>
          </cell>
          <cell r="B419" t="e">
            <v>#DIV/0!</v>
          </cell>
          <cell r="C419" t="e">
            <v>#DIV/0!</v>
          </cell>
          <cell r="D419" t="e">
            <v>#DIV/0!</v>
          </cell>
          <cell r="E419" t="e">
            <v>#DIV/0!</v>
          </cell>
        </row>
        <row r="420">
          <cell r="A420" t="str">
            <v>(Leer)</v>
          </cell>
          <cell r="B420" t="e">
            <v>#DIV/0!</v>
          </cell>
          <cell r="C420" t="e">
            <v>#DIV/0!</v>
          </cell>
          <cell r="D420" t="e">
            <v>#DIV/0!</v>
          </cell>
          <cell r="E420" t="e">
            <v>#DIV/0!</v>
          </cell>
        </row>
        <row r="421">
          <cell r="A421" t="str">
            <v>Kanada - Ontario / Süd + Toronto Area</v>
          </cell>
          <cell r="B421" t="e">
            <v>#DIV/0!</v>
          </cell>
          <cell r="C421" t="e">
            <v>#DIV/0!</v>
          </cell>
          <cell r="D421" t="e">
            <v>#DIV/0!</v>
          </cell>
          <cell r="E421" t="e">
            <v>#DIV/0!</v>
          </cell>
        </row>
        <row r="422">
          <cell r="A422" t="str">
            <v>(Leer)</v>
          </cell>
          <cell r="B422" t="e">
            <v>#DIV/0!</v>
          </cell>
          <cell r="C422" t="e">
            <v>#DIV/0!</v>
          </cell>
          <cell r="D422" t="e">
            <v>#DIV/0!</v>
          </cell>
          <cell r="E422" t="e">
            <v>#DIV/0!</v>
          </cell>
        </row>
        <row r="423">
          <cell r="A423" t="str">
            <v>Kanada - Québec</v>
          </cell>
          <cell r="B423" t="e">
            <v>#DIV/0!</v>
          </cell>
          <cell r="C423" t="e">
            <v>#DIV/0!</v>
          </cell>
          <cell r="D423" t="e">
            <v>#DIV/0!</v>
          </cell>
          <cell r="E423" t="e">
            <v>#DIV/0!</v>
          </cell>
        </row>
        <row r="424">
          <cell r="A424" t="str">
            <v>(Leer)</v>
          </cell>
          <cell r="B424" t="e">
            <v>#DIV/0!</v>
          </cell>
          <cell r="C424" t="e">
            <v>#DIV/0!</v>
          </cell>
          <cell r="D424" t="e">
            <v>#DIV/0!</v>
          </cell>
          <cell r="E424" t="e">
            <v>#DIV/0!</v>
          </cell>
        </row>
        <row r="425">
          <cell r="A425" t="str">
            <v>Kanada - Manitoba</v>
          </cell>
          <cell r="B425" t="e">
            <v>#DIV/0!</v>
          </cell>
          <cell r="C425" t="e">
            <v>#DIV/0!</v>
          </cell>
          <cell r="D425" t="e">
            <v>#DIV/0!</v>
          </cell>
          <cell r="E425" t="e">
            <v>#DIV/0!</v>
          </cell>
        </row>
        <row r="426">
          <cell r="A426" t="str">
            <v>(Leer)</v>
          </cell>
          <cell r="B426" t="e">
            <v>#DIV/0!</v>
          </cell>
          <cell r="C426" t="e">
            <v>#DIV/0!</v>
          </cell>
          <cell r="D426" t="e">
            <v>#DIV/0!</v>
          </cell>
          <cell r="E426" t="e">
            <v>#DIV/0!</v>
          </cell>
        </row>
        <row r="427">
          <cell r="A427" t="str">
            <v xml:space="preserve">Kanada - Calgary </v>
          </cell>
          <cell r="B427">
            <v>36.020004260316767</v>
          </cell>
          <cell r="C427">
            <v>45.412562333260126</v>
          </cell>
          <cell r="D427">
            <v>5.9091044963760169</v>
          </cell>
          <cell r="E427">
            <v>7.3316666899480207</v>
          </cell>
        </row>
        <row r="428">
          <cell r="A428" t="str">
            <v>(Colliers nicht in PPC)</v>
          </cell>
          <cell r="B428">
            <v>36.020004260316767</v>
          </cell>
          <cell r="C428">
            <v>45.412562333260126</v>
          </cell>
          <cell r="D428">
            <v>5.9091044963760169</v>
          </cell>
          <cell r="E428">
            <v>7.3316666899480207</v>
          </cell>
        </row>
        <row r="429">
          <cell r="A429" t="str">
            <v>Kanada - Edmonton</v>
          </cell>
          <cell r="B429">
            <v>35.089867441442763</v>
          </cell>
          <cell r="C429">
            <v>38.217680469617108</v>
          </cell>
          <cell r="D429">
            <v>5.6720107974473493</v>
          </cell>
          <cell r="E429">
            <v>6.8574792920906855</v>
          </cell>
        </row>
        <row r="430">
          <cell r="A430" t="str">
            <v>(Colliers nicht in PPC)</v>
          </cell>
          <cell r="B430">
            <v>35.089867441442763</v>
          </cell>
          <cell r="C430">
            <v>38.217680469617108</v>
          </cell>
          <cell r="D430">
            <v>5.6720107974473493</v>
          </cell>
          <cell r="E430">
            <v>6.8574792920906855</v>
          </cell>
        </row>
        <row r="431">
          <cell r="A431" t="str">
            <v xml:space="preserve">Kanada - Guelph </v>
          </cell>
          <cell r="B431" t="e">
            <v>#DIV/0!</v>
          </cell>
          <cell r="C431" t="e">
            <v>#DIV/0!</v>
          </cell>
          <cell r="D431">
            <v>4.4865423028040121</v>
          </cell>
          <cell r="E431">
            <v>4.4865423028040121</v>
          </cell>
        </row>
        <row r="432">
          <cell r="A432" t="str">
            <v>(Colliers nicht in PPC)</v>
          </cell>
          <cell r="B432" t="e">
            <v>#DIV/0!</v>
          </cell>
          <cell r="C432" t="e">
            <v>#DIV/0!</v>
          </cell>
          <cell r="D432">
            <v>4.4865423028040121</v>
          </cell>
          <cell r="E432">
            <v>4.4865423028040121</v>
          </cell>
        </row>
        <row r="433">
          <cell r="A433" t="str">
            <v xml:space="preserve">Kanada - Halifax </v>
          </cell>
          <cell r="B433">
            <v>28.779527454572083</v>
          </cell>
          <cell r="C433">
            <v>31.934697448007427</v>
          </cell>
          <cell r="D433">
            <v>5.1978233995900149</v>
          </cell>
          <cell r="E433">
            <v>7.094572991019354</v>
          </cell>
        </row>
        <row r="434">
          <cell r="A434" t="str">
            <v>(Colliers nicht in PPC)</v>
          </cell>
          <cell r="B434">
            <v>28.779527454572083</v>
          </cell>
          <cell r="C434">
            <v>31.934697448007427</v>
          </cell>
          <cell r="D434">
            <v>5.1978233995900149</v>
          </cell>
          <cell r="E434">
            <v>7.094572991019354</v>
          </cell>
        </row>
        <row r="435">
          <cell r="A435" t="str">
            <v>Kanada - Montreal</v>
          </cell>
          <cell r="B435">
            <v>31.91645947116676</v>
          </cell>
          <cell r="C435">
            <v>48.330638627766803</v>
          </cell>
          <cell r="D435">
            <v>3.7843801944383446</v>
          </cell>
          <cell r="E435">
            <v>4.0214738933670109</v>
          </cell>
        </row>
        <row r="436">
          <cell r="A436" t="str">
            <v>(Colliers nicht in PPC)</v>
          </cell>
          <cell r="B436">
            <v>31.91645947116676</v>
          </cell>
          <cell r="C436">
            <v>48.330638627766803</v>
          </cell>
          <cell r="D436">
            <v>3.7843801944383446</v>
          </cell>
          <cell r="E436">
            <v>4.0214738933670109</v>
          </cell>
        </row>
        <row r="437">
          <cell r="A437" t="str">
            <v xml:space="preserve">Kanada - Ottawa </v>
          </cell>
          <cell r="B437">
            <v>44.062952047050786</v>
          </cell>
          <cell r="C437">
            <v>47.6193575309808</v>
          </cell>
          <cell r="D437">
            <v>6.1461981953046845</v>
          </cell>
          <cell r="E437">
            <v>7.094572991019354</v>
          </cell>
        </row>
        <row r="438">
          <cell r="A438" t="str">
            <v>(Colliers nicht in PPC)</v>
          </cell>
          <cell r="B438">
            <v>44.062952047050786</v>
          </cell>
          <cell r="C438">
            <v>47.6193575309808</v>
          </cell>
          <cell r="D438">
            <v>6.1461981953046845</v>
          </cell>
          <cell r="E438">
            <v>7.094572991019354</v>
          </cell>
        </row>
        <row r="439">
          <cell r="A439" t="str">
            <v>Kanada Regina</v>
          </cell>
          <cell r="B439">
            <v>31.861745540644755</v>
          </cell>
          <cell r="C439">
            <v>37.196353766539772</v>
          </cell>
          <cell r="D439">
            <v>6.6203855931620179</v>
          </cell>
          <cell r="E439">
            <v>8.5080161961710239</v>
          </cell>
        </row>
        <row r="440">
          <cell r="A440" t="str">
            <v>(Colliers nicht in PPC)</v>
          </cell>
          <cell r="B440">
            <v>31.861745540644755</v>
          </cell>
          <cell r="C440">
            <v>37.196353766539772</v>
          </cell>
          <cell r="D440">
            <v>6.6203855931620179</v>
          </cell>
          <cell r="E440">
            <v>8.5080161961710239</v>
          </cell>
        </row>
        <row r="441">
          <cell r="A441" t="str">
            <v xml:space="preserve">Kanada - Saskatoon </v>
          </cell>
          <cell r="B441">
            <v>31.004560629133422</v>
          </cell>
          <cell r="C441">
            <v>36.475953681333436</v>
          </cell>
          <cell r="D441">
            <v>7.5687603888766892</v>
          </cell>
          <cell r="E441">
            <v>8.9822035940283591</v>
          </cell>
        </row>
        <row r="442">
          <cell r="A442" t="str">
            <v>(Colliers nicht in PPC)</v>
          </cell>
          <cell r="B442">
            <v>31.004560629133422</v>
          </cell>
          <cell r="C442">
            <v>36.475953681333436</v>
          </cell>
          <cell r="D442">
            <v>7.5687603888766892</v>
          </cell>
          <cell r="E442">
            <v>8.9822035940283591</v>
          </cell>
        </row>
        <row r="443">
          <cell r="A443" t="str">
            <v xml:space="preserve">Kanada - Toronto </v>
          </cell>
          <cell r="B443">
            <v>46.780410596310126</v>
          </cell>
          <cell r="C443">
            <v>61.215769265697837</v>
          </cell>
          <cell r="D443">
            <v>4.1582587196720109</v>
          </cell>
          <cell r="E443">
            <v>4.5503752217463465</v>
          </cell>
        </row>
        <row r="444">
          <cell r="A444" t="str">
            <v>(Colliers nicht in PPC)</v>
          </cell>
          <cell r="B444">
            <v>46.780410596310126</v>
          </cell>
          <cell r="C444">
            <v>61.215769265697837</v>
          </cell>
          <cell r="D444">
            <v>4.1582587196720109</v>
          </cell>
          <cell r="E444">
            <v>4.5503752217463465</v>
          </cell>
        </row>
        <row r="445">
          <cell r="A445" t="str">
            <v>Kanada - Vancouver</v>
          </cell>
          <cell r="B445">
            <v>48.330638627766803</v>
          </cell>
          <cell r="C445">
            <v>56.537728206066831</v>
          </cell>
          <cell r="D445" t="e">
            <v>#DIV/0!</v>
          </cell>
          <cell r="E445">
            <v>6.9942641183956864</v>
          </cell>
        </row>
        <row r="446">
          <cell r="A446" t="str">
            <v>(Colliers nicht in PPC)</v>
          </cell>
          <cell r="B446">
            <v>48.330638627766803</v>
          </cell>
          <cell r="C446">
            <v>56.537728206066831</v>
          </cell>
          <cell r="D446" t="e">
            <v>#DIV/0!</v>
          </cell>
          <cell r="E446">
            <v>6.9942641183956864</v>
          </cell>
        </row>
        <row r="447">
          <cell r="A447" t="str">
            <v xml:space="preserve">Kanada - Victoria </v>
          </cell>
          <cell r="B447">
            <v>33.740257155233429</v>
          </cell>
          <cell r="C447">
            <v>39.211650207433443</v>
          </cell>
          <cell r="D447">
            <v>10.404765787600363</v>
          </cell>
          <cell r="E447">
            <v>11.344021594894699</v>
          </cell>
        </row>
        <row r="448">
          <cell r="A448" t="str">
            <v>(Colliers nicht in PPC)</v>
          </cell>
          <cell r="B448">
            <v>33.740257155233429</v>
          </cell>
          <cell r="C448">
            <v>39.211650207433443</v>
          </cell>
          <cell r="D448">
            <v>10.404765787600363</v>
          </cell>
          <cell r="E448">
            <v>11.344021594894699</v>
          </cell>
        </row>
        <row r="449">
          <cell r="A449" t="str">
            <v xml:space="preserve">Kanada - Waterloo Region </v>
          </cell>
          <cell r="B449">
            <v>22.596853305586063</v>
          </cell>
          <cell r="C449">
            <v>23.837035730751399</v>
          </cell>
          <cell r="D449">
            <v>2.6171496766356745</v>
          </cell>
          <cell r="E449">
            <v>3.7205472754960107</v>
          </cell>
        </row>
        <row r="450">
          <cell r="A450" t="str">
            <v>(Colliers nicht in PPC)</v>
          </cell>
          <cell r="B450">
            <v>22.596853305586063</v>
          </cell>
          <cell r="C450">
            <v>23.837035730751399</v>
          </cell>
          <cell r="D450">
            <v>2.6171496766356745</v>
          </cell>
          <cell r="E450">
            <v>3.7205472754960107</v>
          </cell>
        </row>
        <row r="451">
          <cell r="A451" t="str">
            <v>Kroatien</v>
          </cell>
          <cell r="B451">
            <v>79.814872101270225</v>
          </cell>
          <cell r="C451">
            <v>119.69774972972036</v>
          </cell>
          <cell r="D451">
            <v>35.806179545739077</v>
          </cell>
          <cell r="E451">
            <v>39.784643939710087</v>
          </cell>
        </row>
        <row r="452">
          <cell r="A452" t="str">
            <v>Kroatien</v>
          </cell>
          <cell r="B452" t="e">
            <v>#DIV/0!</v>
          </cell>
          <cell r="C452" t="e">
            <v>#DIV/0!</v>
          </cell>
          <cell r="D452" t="e">
            <v>#DIV/0!</v>
          </cell>
          <cell r="E452" t="e">
            <v>#DIV/0!</v>
          </cell>
        </row>
        <row r="453">
          <cell r="A453" t="str">
            <v>(Leer)</v>
          </cell>
          <cell r="B453" t="e">
            <v>#DIV/0!</v>
          </cell>
          <cell r="C453" t="e">
            <v>#DIV/0!</v>
          </cell>
          <cell r="D453" t="e">
            <v>#DIV/0!</v>
          </cell>
          <cell r="E453" t="e">
            <v>#DIV/0!</v>
          </cell>
        </row>
        <row r="454">
          <cell r="A454" t="str">
            <v>Kroatien - Zagreb</v>
          </cell>
          <cell r="B454">
            <v>79.814872101270225</v>
          </cell>
          <cell r="C454">
            <v>119.69774972972036</v>
          </cell>
          <cell r="D454">
            <v>35.806179545739077</v>
          </cell>
          <cell r="E454">
            <v>39.784643939710087</v>
          </cell>
        </row>
        <row r="455">
          <cell r="A455" t="str">
            <v xml:space="preserve">(Colliers nicht in PPC) Office-Netto-Miete </v>
          </cell>
          <cell r="B455">
            <v>79.814872101270225</v>
          </cell>
          <cell r="C455">
            <v>119.69774972972036</v>
          </cell>
          <cell r="D455">
            <v>35.806179545739077</v>
          </cell>
          <cell r="E455">
            <v>39.784643939710087</v>
          </cell>
        </row>
        <row r="456">
          <cell r="A456" t="str">
            <v>Lettland</v>
          </cell>
          <cell r="B456">
            <v>11.562669798594333</v>
          </cell>
          <cell r="C456">
            <v>12.239576393733071</v>
          </cell>
          <cell r="D456">
            <v>2.3852899066793571</v>
          </cell>
          <cell r="E456">
            <v>2.6109254383922691</v>
          </cell>
        </row>
        <row r="457">
          <cell r="A457" t="str">
            <v>Lettland</v>
          </cell>
          <cell r="B457" t="e">
            <v>#DIV/0!</v>
          </cell>
          <cell r="C457" t="e">
            <v>#DIV/0!</v>
          </cell>
          <cell r="D457" t="e">
            <v>#DIV/0!</v>
          </cell>
          <cell r="E457" t="e">
            <v>#DIV/0!</v>
          </cell>
        </row>
        <row r="458">
          <cell r="A458" t="str">
            <v>(Leer)</v>
          </cell>
          <cell r="B458" t="e">
            <v>#DIV/0!</v>
          </cell>
          <cell r="C458" t="e">
            <v>#DIV/0!</v>
          </cell>
          <cell r="D458" t="e">
            <v>#DIV/0!</v>
          </cell>
          <cell r="E458" t="e">
            <v>#DIV/0!</v>
          </cell>
        </row>
        <row r="459">
          <cell r="A459" t="str">
            <v xml:space="preserve">Lettland - Riga </v>
          </cell>
          <cell r="B459">
            <v>11.562669798594333</v>
          </cell>
          <cell r="C459">
            <v>12.239576393733071</v>
          </cell>
          <cell r="D459">
            <v>2.3852899066793571</v>
          </cell>
          <cell r="E459">
            <v>2.6109254383922691</v>
          </cell>
        </row>
        <row r="460">
          <cell r="A460" t="str">
            <v>(Colliers nicht in PPC)</v>
          </cell>
          <cell r="B460">
            <v>11.562669798594333</v>
          </cell>
          <cell r="C460">
            <v>12.239576393733071</v>
          </cell>
          <cell r="D460">
            <v>2.3852899066793571</v>
          </cell>
          <cell r="E460">
            <v>2.6109254383922691</v>
          </cell>
        </row>
        <row r="461">
          <cell r="A461" t="str">
            <v>Litauen</v>
          </cell>
          <cell r="B461">
            <v>50.428460403445833</v>
          </cell>
          <cell r="C461">
            <v>59.15820737076897</v>
          </cell>
          <cell r="D461">
            <v>11.745477737852942</v>
          </cell>
          <cell r="E461">
            <v>14.330389826878493</v>
          </cell>
        </row>
        <row r="462">
          <cell r="A462" t="str">
            <v>Litauen</v>
          </cell>
          <cell r="B462" t="e">
            <v>#DIV/0!</v>
          </cell>
          <cell r="C462" t="e">
            <v>#DIV/0!</v>
          </cell>
          <cell r="D462" t="e">
            <v>#DIV/0!</v>
          </cell>
          <cell r="E462" t="e">
            <v>#DIV/0!</v>
          </cell>
        </row>
        <row r="463">
          <cell r="A463" t="str">
            <v>(Leer)</v>
          </cell>
          <cell r="B463" t="e">
            <v>#DIV/0!</v>
          </cell>
          <cell r="C463" t="e">
            <v>#DIV/0!</v>
          </cell>
          <cell r="D463" t="e">
            <v>#DIV/0!</v>
          </cell>
          <cell r="E463" t="e">
            <v>#DIV/0!</v>
          </cell>
        </row>
        <row r="464">
          <cell r="A464" t="str">
            <v xml:space="preserve">Litauen - Vilnius </v>
          </cell>
          <cell r="B464">
            <v>50.428460403445833</v>
          </cell>
          <cell r="C464">
            <v>59.15820737076897</v>
          </cell>
          <cell r="D464">
            <v>11.745477737852942</v>
          </cell>
          <cell r="E464">
            <v>14.330389826878493</v>
          </cell>
        </row>
        <row r="465">
          <cell r="A465" t="str">
            <v>(Colliers nicht in PPC)</v>
          </cell>
          <cell r="B465">
            <v>50.428460403445833</v>
          </cell>
          <cell r="C465">
            <v>59.15820737076897</v>
          </cell>
          <cell r="D465">
            <v>11.745477737852942</v>
          </cell>
          <cell r="E465">
            <v>14.330389826878493</v>
          </cell>
        </row>
        <row r="466">
          <cell r="A466" t="str">
            <v>Luxemburg</v>
          </cell>
          <cell r="B466" t="e">
            <v>#DIV/0!</v>
          </cell>
          <cell r="C466" t="e">
            <v>#DIV/0!</v>
          </cell>
          <cell r="D466" t="e">
            <v>#DIV/0!</v>
          </cell>
          <cell r="E466" t="e">
            <v>#DIV/0!</v>
          </cell>
        </row>
        <row r="467">
          <cell r="A467" t="str">
            <v>Luxemburg</v>
          </cell>
          <cell r="B467" t="e">
            <v>#DIV/0!</v>
          </cell>
          <cell r="C467" t="e">
            <v>#DIV/0!</v>
          </cell>
          <cell r="D467" t="e">
            <v>#DIV/0!</v>
          </cell>
          <cell r="E467" t="e">
            <v>#DIV/0!</v>
          </cell>
        </row>
        <row r="468">
          <cell r="A468" t="str">
            <v>(Leer)</v>
          </cell>
          <cell r="B468" t="e">
            <v>#DIV/0!</v>
          </cell>
          <cell r="C468" t="e">
            <v>#DIV/0!</v>
          </cell>
          <cell r="D468" t="e">
            <v>#DIV/0!</v>
          </cell>
          <cell r="E468" t="e">
            <v>#DIV/0!</v>
          </cell>
        </row>
        <row r="469">
          <cell r="A469" t="str">
            <v>Malaysia</v>
          </cell>
          <cell r="B469" t="e">
            <v>#DIV/0!</v>
          </cell>
          <cell r="C469" t="e">
            <v>#DIV/0!</v>
          </cell>
          <cell r="D469" t="e">
            <v>#DIV/0!</v>
          </cell>
          <cell r="E469" t="e">
            <v>#DIV/0!</v>
          </cell>
        </row>
        <row r="470">
          <cell r="A470" t="str">
            <v>Malaysia</v>
          </cell>
          <cell r="B470" t="e">
            <v>#DIV/0!</v>
          </cell>
          <cell r="C470" t="e">
            <v>#DIV/0!</v>
          </cell>
          <cell r="D470" t="e">
            <v>#DIV/0!</v>
          </cell>
          <cell r="E470" t="e">
            <v>#DIV/0!</v>
          </cell>
        </row>
        <row r="471">
          <cell r="A471" t="str">
            <v>(Leer)</v>
          </cell>
          <cell r="B471" t="e">
            <v>#DIV/0!</v>
          </cell>
          <cell r="C471" t="e">
            <v>#DIV/0!</v>
          </cell>
          <cell r="D471" t="e">
            <v>#DIV/0!</v>
          </cell>
          <cell r="E471" t="e">
            <v>#DIV/0!</v>
          </cell>
        </row>
        <row r="472">
          <cell r="A472" t="str">
            <v>Malta</v>
          </cell>
          <cell r="B472" t="e">
            <v>#DIV/0!</v>
          </cell>
          <cell r="C472" t="e">
            <v>#DIV/0!</v>
          </cell>
          <cell r="D472" t="e">
            <v>#DIV/0!</v>
          </cell>
          <cell r="E472" t="e">
            <v>#DIV/0!</v>
          </cell>
        </row>
        <row r="473">
          <cell r="A473" t="str">
            <v>Malta</v>
          </cell>
          <cell r="B473" t="e">
            <v>#DIV/0!</v>
          </cell>
          <cell r="C473" t="e">
            <v>#DIV/0!</v>
          </cell>
          <cell r="D473" t="e">
            <v>#DIV/0!</v>
          </cell>
          <cell r="E473" t="e">
            <v>#DIV/0!</v>
          </cell>
        </row>
        <row r="474">
          <cell r="A474" t="str">
            <v>(Leer)</v>
          </cell>
          <cell r="B474" t="e">
            <v>#DIV/0!</v>
          </cell>
          <cell r="C474" t="e">
            <v>#DIV/0!</v>
          </cell>
          <cell r="D474" t="e">
            <v>#DIV/0!</v>
          </cell>
          <cell r="E474" t="e">
            <v>#DIV/0!</v>
          </cell>
        </row>
        <row r="475">
          <cell r="A475" t="str">
            <v>Marokko</v>
          </cell>
          <cell r="B475" t="e">
            <v>#DIV/0!</v>
          </cell>
          <cell r="C475" t="e">
            <v>#DIV/0!</v>
          </cell>
          <cell r="D475" t="e">
            <v>#DIV/0!</v>
          </cell>
          <cell r="E475" t="e">
            <v>#DIV/0!</v>
          </cell>
        </row>
        <row r="476">
          <cell r="A476" t="str">
            <v>Marokko</v>
          </cell>
          <cell r="B476" t="e">
            <v>#DIV/0!</v>
          </cell>
          <cell r="C476" t="e">
            <v>#DIV/0!</v>
          </cell>
          <cell r="D476" t="e">
            <v>#DIV/0!</v>
          </cell>
          <cell r="E476" t="e">
            <v>#DIV/0!</v>
          </cell>
        </row>
        <row r="477">
          <cell r="A477" t="str">
            <v>(Leer)</v>
          </cell>
          <cell r="B477" t="e">
            <v>#DIV/0!</v>
          </cell>
          <cell r="C477" t="e">
            <v>#DIV/0!</v>
          </cell>
          <cell r="D477" t="e">
            <v>#DIV/0!</v>
          </cell>
          <cell r="E477" t="e">
            <v>#DIV/0!</v>
          </cell>
        </row>
        <row r="478">
          <cell r="A478" t="str">
            <v>Mazedonien</v>
          </cell>
          <cell r="B478" t="e">
            <v>#DIV/0!</v>
          </cell>
          <cell r="C478" t="e">
            <v>#DIV/0!</v>
          </cell>
          <cell r="D478" t="e">
            <v>#DIV/0!</v>
          </cell>
          <cell r="E478" t="e">
            <v>#DIV/0!</v>
          </cell>
        </row>
        <row r="479">
          <cell r="A479" t="str">
            <v>Mazedonien</v>
          </cell>
          <cell r="B479" t="e">
            <v>#DIV/0!</v>
          </cell>
          <cell r="C479" t="e">
            <v>#DIV/0!</v>
          </cell>
          <cell r="D479" t="e">
            <v>#DIV/0!</v>
          </cell>
          <cell r="E479" t="e">
            <v>#DIV/0!</v>
          </cell>
        </row>
        <row r="480">
          <cell r="A480" t="str">
            <v>(Leer)</v>
          </cell>
          <cell r="B480" t="e">
            <v>#DIV/0!</v>
          </cell>
          <cell r="C480" t="e">
            <v>#DIV/0!</v>
          </cell>
          <cell r="D480" t="e">
            <v>#DIV/0!</v>
          </cell>
          <cell r="E480" t="e">
            <v>#DIV/0!</v>
          </cell>
        </row>
        <row r="481">
          <cell r="A481" t="str">
            <v>Mexiko</v>
          </cell>
          <cell r="B481">
            <v>360.54775148353951</v>
          </cell>
          <cell r="C481">
            <v>403.79649758175009</v>
          </cell>
          <cell r="D481">
            <v>66.237911275239767</v>
          </cell>
          <cell r="E481">
            <v>66.237911275239767</v>
          </cell>
        </row>
        <row r="482">
          <cell r="A482" t="str">
            <v>Großraum Mexico Stadt</v>
          </cell>
          <cell r="B482">
            <v>360.54775148353951</v>
          </cell>
          <cell r="C482">
            <v>403.79649758175009</v>
          </cell>
          <cell r="D482" t="e">
            <v>#DIV/0!</v>
          </cell>
          <cell r="E482" t="e">
            <v>#DIV/0!</v>
          </cell>
        </row>
        <row r="483">
          <cell r="A483" t="str">
            <v>Mexico City</v>
          </cell>
          <cell r="B483">
            <v>360.54775148353951</v>
          </cell>
          <cell r="C483">
            <v>403.79649758175009</v>
          </cell>
          <cell r="D483" t="e">
            <v>#DIV/0!</v>
          </cell>
          <cell r="E483" t="e">
            <v>#DIV/0!</v>
          </cell>
        </row>
        <row r="484">
          <cell r="A484" t="str">
            <v>Mexiko</v>
          </cell>
          <cell r="B484" t="e">
            <v>#DIV/0!</v>
          </cell>
          <cell r="C484" t="e">
            <v>#DIV/0!</v>
          </cell>
          <cell r="D484">
            <v>66.237911275239767</v>
          </cell>
          <cell r="E484">
            <v>66.237911275239767</v>
          </cell>
        </row>
        <row r="485">
          <cell r="A485" t="str">
            <v>(Leer)</v>
          </cell>
          <cell r="B485" t="e">
            <v>#DIV/0!</v>
          </cell>
          <cell r="C485" t="e">
            <v>#DIV/0!</v>
          </cell>
          <cell r="D485">
            <v>66.237911275239767</v>
          </cell>
          <cell r="E485">
            <v>66.237911275239767</v>
          </cell>
        </row>
        <row r="486">
          <cell r="A486" t="str">
            <v>Mexiko - Aguasclientes</v>
          </cell>
          <cell r="B486" t="e">
            <v>#DIV/0!</v>
          </cell>
          <cell r="C486" t="e">
            <v>#DIV/0!</v>
          </cell>
          <cell r="D486" t="e">
            <v>#DIV/0!</v>
          </cell>
          <cell r="E486" t="e">
            <v>#DIV/0!</v>
          </cell>
        </row>
        <row r="487">
          <cell r="A487" t="str">
            <v>(Leer)</v>
          </cell>
          <cell r="B487" t="e">
            <v>#DIV/0!</v>
          </cell>
          <cell r="C487" t="e">
            <v>#DIV/0!</v>
          </cell>
          <cell r="D487" t="e">
            <v>#DIV/0!</v>
          </cell>
          <cell r="E487" t="e">
            <v>#DIV/0!</v>
          </cell>
        </row>
        <row r="488">
          <cell r="A488" t="str">
            <v>Mexiko - Baja California</v>
          </cell>
          <cell r="B488" t="e">
            <v>#DIV/0!</v>
          </cell>
          <cell r="C488" t="e">
            <v>#DIV/0!</v>
          </cell>
          <cell r="D488" t="e">
            <v>#DIV/0!</v>
          </cell>
          <cell r="E488" t="e">
            <v>#DIV/0!</v>
          </cell>
        </row>
        <row r="489">
          <cell r="A489" t="str">
            <v>(Leer)</v>
          </cell>
          <cell r="B489" t="e">
            <v>#DIV/0!</v>
          </cell>
          <cell r="C489" t="e">
            <v>#DIV/0!</v>
          </cell>
          <cell r="D489" t="e">
            <v>#DIV/0!</v>
          </cell>
          <cell r="E489" t="e">
            <v>#DIV/0!</v>
          </cell>
        </row>
        <row r="490">
          <cell r="A490" t="str">
            <v>Mexiko - Chihuahua</v>
          </cell>
          <cell r="B490" t="e">
            <v>#DIV/0!</v>
          </cell>
          <cell r="C490" t="e">
            <v>#DIV/0!</v>
          </cell>
          <cell r="D490" t="e">
            <v>#DIV/0!</v>
          </cell>
          <cell r="E490" t="e">
            <v>#DIV/0!</v>
          </cell>
        </row>
        <row r="491">
          <cell r="A491" t="str">
            <v>(Leer)</v>
          </cell>
          <cell r="B491" t="e">
            <v>#DIV/0!</v>
          </cell>
          <cell r="C491" t="e">
            <v>#DIV/0!</v>
          </cell>
          <cell r="D491" t="e">
            <v>#DIV/0!</v>
          </cell>
          <cell r="E491" t="e">
            <v>#DIV/0!</v>
          </cell>
        </row>
        <row r="492">
          <cell r="A492" t="str">
            <v>Mexiko - Coahuila</v>
          </cell>
          <cell r="B492" t="e">
            <v>#DIV/0!</v>
          </cell>
          <cell r="C492" t="e">
            <v>#DIV/0!</v>
          </cell>
          <cell r="D492" t="e">
            <v>#DIV/0!</v>
          </cell>
          <cell r="E492" t="e">
            <v>#DIV/0!</v>
          </cell>
        </row>
        <row r="493">
          <cell r="A493" t="str">
            <v>(Leer)</v>
          </cell>
          <cell r="B493" t="e">
            <v>#DIV/0!</v>
          </cell>
          <cell r="C493" t="e">
            <v>#DIV/0!</v>
          </cell>
          <cell r="D493" t="e">
            <v>#DIV/0!</v>
          </cell>
          <cell r="E493" t="e">
            <v>#DIV/0!</v>
          </cell>
        </row>
        <row r="494">
          <cell r="A494" t="str">
            <v>Mexiko - Jalisco</v>
          </cell>
          <cell r="B494" t="e">
            <v>#DIV/0!</v>
          </cell>
          <cell r="C494" t="e">
            <v>#DIV/0!</v>
          </cell>
          <cell r="D494" t="e">
            <v>#DIV/0!</v>
          </cell>
          <cell r="E494" t="e">
            <v>#DIV/0!</v>
          </cell>
        </row>
        <row r="495">
          <cell r="A495" t="str">
            <v>(Leer)</v>
          </cell>
          <cell r="B495" t="e">
            <v>#DIV/0!</v>
          </cell>
          <cell r="C495" t="e">
            <v>#DIV/0!</v>
          </cell>
          <cell r="D495" t="e">
            <v>#DIV/0!</v>
          </cell>
          <cell r="E495" t="e">
            <v>#DIV/0!</v>
          </cell>
        </row>
        <row r="496">
          <cell r="A496" t="str">
            <v>Mexiko - Nuevo Leon</v>
          </cell>
          <cell r="B496" t="e">
            <v>#DIV/0!</v>
          </cell>
          <cell r="C496" t="e">
            <v>#DIV/0!</v>
          </cell>
          <cell r="D496" t="e">
            <v>#DIV/0!</v>
          </cell>
          <cell r="E496" t="e">
            <v>#DIV/0!</v>
          </cell>
        </row>
        <row r="497">
          <cell r="A497" t="str">
            <v>(Leer)</v>
          </cell>
          <cell r="B497" t="e">
            <v>#DIV/0!</v>
          </cell>
          <cell r="C497" t="e">
            <v>#DIV/0!</v>
          </cell>
          <cell r="D497" t="e">
            <v>#DIV/0!</v>
          </cell>
          <cell r="E497" t="e">
            <v>#DIV/0!</v>
          </cell>
        </row>
        <row r="498">
          <cell r="A498" t="str">
            <v>Mexiko - Puebla</v>
          </cell>
          <cell r="B498" t="e">
            <v>#DIV/0!</v>
          </cell>
          <cell r="C498" t="e">
            <v>#DIV/0!</v>
          </cell>
          <cell r="D498" t="e">
            <v>#DIV/0!</v>
          </cell>
          <cell r="E498" t="e">
            <v>#DIV/0!</v>
          </cell>
        </row>
        <row r="499">
          <cell r="A499" t="str">
            <v>(Leer)</v>
          </cell>
          <cell r="B499" t="e">
            <v>#DIV/0!</v>
          </cell>
          <cell r="C499" t="e">
            <v>#DIV/0!</v>
          </cell>
          <cell r="D499" t="e">
            <v>#DIV/0!</v>
          </cell>
          <cell r="E499" t="e">
            <v>#DIV/0!</v>
          </cell>
        </row>
        <row r="500">
          <cell r="A500" t="str">
            <v>Mexiko - Queretaro</v>
          </cell>
          <cell r="B500" t="e">
            <v>#DIV/0!</v>
          </cell>
          <cell r="C500" t="e">
            <v>#DIV/0!</v>
          </cell>
          <cell r="D500" t="e">
            <v>#DIV/0!</v>
          </cell>
          <cell r="E500" t="e">
            <v>#DIV/0!</v>
          </cell>
        </row>
        <row r="501">
          <cell r="A501" t="str">
            <v>(Leer)</v>
          </cell>
          <cell r="B501" t="e">
            <v>#DIV/0!</v>
          </cell>
          <cell r="C501" t="e">
            <v>#DIV/0!</v>
          </cell>
          <cell r="D501" t="e">
            <v>#DIV/0!</v>
          </cell>
          <cell r="E501" t="e">
            <v>#DIV/0!</v>
          </cell>
        </row>
        <row r="502">
          <cell r="A502" t="str">
            <v>Mexiko - San Luis Potosi</v>
          </cell>
          <cell r="B502" t="e">
            <v>#DIV/0!</v>
          </cell>
          <cell r="C502" t="e">
            <v>#DIV/0!</v>
          </cell>
          <cell r="D502" t="e">
            <v>#DIV/0!</v>
          </cell>
          <cell r="E502" t="e">
            <v>#DIV/0!</v>
          </cell>
        </row>
        <row r="503">
          <cell r="A503" t="str">
            <v>(Leer)</v>
          </cell>
          <cell r="B503" t="e">
            <v>#DIV/0!</v>
          </cell>
          <cell r="C503" t="e">
            <v>#DIV/0!</v>
          </cell>
          <cell r="D503" t="e">
            <v>#DIV/0!</v>
          </cell>
          <cell r="E503" t="e">
            <v>#DIV/0!</v>
          </cell>
        </row>
        <row r="504">
          <cell r="A504" t="str">
            <v>Mexiko - Sonora</v>
          </cell>
          <cell r="B504" t="e">
            <v>#DIV/0!</v>
          </cell>
          <cell r="C504" t="e">
            <v>#DIV/0!</v>
          </cell>
          <cell r="D504" t="e">
            <v>#DIV/0!</v>
          </cell>
          <cell r="E504" t="e">
            <v>#DIV/0!</v>
          </cell>
        </row>
        <row r="505">
          <cell r="A505" t="str">
            <v>(Leer)</v>
          </cell>
          <cell r="B505" t="e">
            <v>#DIV/0!</v>
          </cell>
          <cell r="C505" t="e">
            <v>#DIV/0!</v>
          </cell>
          <cell r="D505" t="e">
            <v>#DIV/0!</v>
          </cell>
          <cell r="E505" t="e">
            <v>#DIV/0!</v>
          </cell>
        </row>
        <row r="506">
          <cell r="A506" t="str">
            <v>Mexiko - Tamaulipas</v>
          </cell>
          <cell r="B506" t="e">
            <v>#DIV/0!</v>
          </cell>
          <cell r="C506" t="e">
            <v>#DIV/0!</v>
          </cell>
          <cell r="D506" t="e">
            <v>#DIV/0!</v>
          </cell>
          <cell r="E506" t="e">
            <v>#DIV/0!</v>
          </cell>
        </row>
        <row r="507">
          <cell r="A507" t="str">
            <v>(Leer)</v>
          </cell>
          <cell r="B507" t="e">
            <v>#DIV/0!</v>
          </cell>
          <cell r="C507" t="e">
            <v>#DIV/0!</v>
          </cell>
          <cell r="D507" t="e">
            <v>#DIV/0!</v>
          </cell>
          <cell r="E507" t="e">
            <v>#DIV/0!</v>
          </cell>
        </row>
        <row r="508">
          <cell r="A508" t="str">
            <v>Mexiko - Ciudad Juárez</v>
          </cell>
          <cell r="B508" t="e">
            <v>#DIV/0!</v>
          </cell>
          <cell r="C508" t="e">
            <v>#DIV/0!</v>
          </cell>
          <cell r="D508" t="e">
            <v>#DIV/0!</v>
          </cell>
          <cell r="E508" t="e">
            <v>#DIV/0!</v>
          </cell>
        </row>
        <row r="509">
          <cell r="A509" t="str">
            <v>(Leer)</v>
          </cell>
          <cell r="B509" t="e">
            <v>#DIV/0!</v>
          </cell>
          <cell r="C509" t="e">
            <v>#DIV/0!</v>
          </cell>
          <cell r="D509" t="e">
            <v>#DIV/0!</v>
          </cell>
          <cell r="E509" t="e">
            <v>#DIV/0!</v>
          </cell>
        </row>
        <row r="510">
          <cell r="A510" t="str">
            <v>Mexiko - Großraum Mexico Stadt</v>
          </cell>
          <cell r="B510" t="e">
            <v>#DIV/0!</v>
          </cell>
          <cell r="C510" t="e">
            <v>#DIV/0!</v>
          </cell>
          <cell r="D510" t="e">
            <v>#DIV/0!</v>
          </cell>
          <cell r="E510" t="e">
            <v>#DIV/0!</v>
          </cell>
        </row>
        <row r="511">
          <cell r="A511" t="str">
            <v>(Leer)</v>
          </cell>
          <cell r="B511" t="e">
            <v>#DIV/0!</v>
          </cell>
          <cell r="C511" t="e">
            <v>#DIV/0!</v>
          </cell>
          <cell r="D511" t="e">
            <v>#DIV/0!</v>
          </cell>
          <cell r="E511" t="e">
            <v>#DIV/0!</v>
          </cell>
        </row>
        <row r="512">
          <cell r="A512" t="str">
            <v>Montenegro</v>
          </cell>
          <cell r="B512" t="e">
            <v>#DIV/0!</v>
          </cell>
          <cell r="C512" t="e">
            <v>#DIV/0!</v>
          </cell>
          <cell r="D512" t="e">
            <v>#DIV/0!</v>
          </cell>
          <cell r="E512" t="e">
            <v>#DIV/0!</v>
          </cell>
        </row>
        <row r="513">
          <cell r="A513" t="str">
            <v>Montenegro</v>
          </cell>
          <cell r="B513" t="e">
            <v>#DIV/0!</v>
          </cell>
          <cell r="C513" t="e">
            <v>#DIV/0!</v>
          </cell>
          <cell r="D513" t="e">
            <v>#DIV/0!</v>
          </cell>
          <cell r="E513" t="e">
            <v>#DIV/0!</v>
          </cell>
        </row>
        <row r="514">
          <cell r="A514" t="str">
            <v>(Leer)</v>
          </cell>
          <cell r="B514" t="e">
            <v>#DIV/0!</v>
          </cell>
          <cell r="C514" t="e">
            <v>#DIV/0!</v>
          </cell>
          <cell r="D514" t="e">
            <v>#DIV/0!</v>
          </cell>
          <cell r="E514" t="e">
            <v>#DIV/0!</v>
          </cell>
        </row>
        <row r="515">
          <cell r="A515" t="str">
            <v>Neuseeland</v>
          </cell>
          <cell r="B515">
            <v>32.833333333333336</v>
          </cell>
          <cell r="C515">
            <v>38.30555555555555</v>
          </cell>
          <cell r="D515" t="e">
            <v>#DIV/0!</v>
          </cell>
          <cell r="E515" t="e">
            <v>#DIV/0!</v>
          </cell>
        </row>
        <row r="516">
          <cell r="A516" t="str">
            <v>Auckland (Colliers nicht im PPC)</v>
          </cell>
          <cell r="B516">
            <v>31.083333333333332</v>
          </cell>
          <cell r="C516">
            <v>37.166666666666664</v>
          </cell>
          <cell r="D516" t="e">
            <v>#DIV/0!</v>
          </cell>
          <cell r="E516" t="e">
            <v>#DIV/0!</v>
          </cell>
        </row>
        <row r="517">
          <cell r="A517" t="str">
            <v>(Leer)</v>
          </cell>
          <cell r="B517">
            <v>31.083333333333332</v>
          </cell>
          <cell r="C517">
            <v>37.166666666666664</v>
          </cell>
          <cell r="D517" t="e">
            <v>#DIV/0!</v>
          </cell>
          <cell r="E517" t="e">
            <v>#DIV/0!</v>
          </cell>
        </row>
        <row r="518">
          <cell r="A518" t="str">
            <v>Christchurch (Colliers nicht im PPC)</v>
          </cell>
          <cell r="B518">
            <v>30.666666666666664</v>
          </cell>
          <cell r="C518">
            <v>34.583333333333329</v>
          </cell>
          <cell r="D518" t="e">
            <v>#DIV/0!</v>
          </cell>
          <cell r="E518" t="e">
            <v>#DIV/0!</v>
          </cell>
        </row>
        <row r="519">
          <cell r="A519" t="str">
            <v>(Leer)</v>
          </cell>
          <cell r="B519">
            <v>30.666666666666664</v>
          </cell>
          <cell r="C519">
            <v>34.583333333333329</v>
          </cell>
          <cell r="D519" t="e">
            <v>#DIV/0!</v>
          </cell>
          <cell r="E519" t="e">
            <v>#DIV/0!</v>
          </cell>
        </row>
        <row r="520">
          <cell r="A520" t="str">
            <v>Neuseeland</v>
          </cell>
          <cell r="B520" t="e">
            <v>#DIV/0!</v>
          </cell>
          <cell r="C520" t="e">
            <v>#DIV/0!</v>
          </cell>
          <cell r="D520" t="e">
            <v>#DIV/0!</v>
          </cell>
          <cell r="E520" t="e">
            <v>#DIV/0!</v>
          </cell>
        </row>
        <row r="521">
          <cell r="A521" t="str">
            <v>(Leer)</v>
          </cell>
          <cell r="B521" t="e">
            <v>#DIV/0!</v>
          </cell>
          <cell r="C521" t="e">
            <v>#DIV/0!</v>
          </cell>
          <cell r="D521" t="e">
            <v>#DIV/0!</v>
          </cell>
          <cell r="E521" t="e">
            <v>#DIV/0!</v>
          </cell>
        </row>
        <row r="522">
          <cell r="A522" t="str">
            <v>Wellington (Colliers nicht im PPC)</v>
          </cell>
          <cell r="B522">
            <v>36.75</v>
          </cell>
          <cell r="C522">
            <v>43.166666666666664</v>
          </cell>
          <cell r="D522" t="e">
            <v>#DIV/0!</v>
          </cell>
          <cell r="E522" t="e">
            <v>#DIV/0!</v>
          </cell>
        </row>
        <row r="523">
          <cell r="A523" t="str">
            <v>(Leer)</v>
          </cell>
          <cell r="B523">
            <v>36.75</v>
          </cell>
          <cell r="C523">
            <v>43.166666666666664</v>
          </cell>
          <cell r="D523" t="e">
            <v>#DIV/0!</v>
          </cell>
          <cell r="E523" t="e">
            <v>#DIV/0!</v>
          </cell>
        </row>
        <row r="524">
          <cell r="A524" t="str">
            <v>Niederlande</v>
          </cell>
          <cell r="B524">
            <v>11.640074157454183</v>
          </cell>
          <cell r="C524">
            <v>19.241420186934132</v>
          </cell>
          <cell r="D524">
            <v>6.7069787929814284</v>
          </cell>
          <cell r="E524">
            <v>3.5495945896478514</v>
          </cell>
        </row>
        <row r="525">
          <cell r="A525" t="str">
            <v>Amsterdam</v>
          </cell>
          <cell r="B525">
            <v>11.640074157454183</v>
          </cell>
          <cell r="C525">
            <v>19.241420186934132</v>
          </cell>
          <cell r="D525">
            <v>6.3306242526295238</v>
          </cell>
          <cell r="E525">
            <v>3.3491891792957027</v>
          </cell>
        </row>
        <row r="526">
          <cell r="A526" t="str">
            <v>(Leer)</v>
          </cell>
          <cell r="B526">
            <v>11.640074157454183</v>
          </cell>
          <cell r="C526">
            <v>19.241420186934132</v>
          </cell>
          <cell r="D526">
            <v>6.3306242526295238</v>
          </cell>
          <cell r="E526">
            <v>3.3491891792957027</v>
          </cell>
        </row>
        <row r="527">
          <cell r="A527" t="str">
            <v>Niederlande</v>
          </cell>
          <cell r="B527" t="e">
            <v>#DIV/0!</v>
          </cell>
          <cell r="C527" t="e">
            <v>#DIV/0!</v>
          </cell>
          <cell r="D527">
            <v>7.083333333333333</v>
          </cell>
          <cell r="E527">
            <v>3.75</v>
          </cell>
        </row>
        <row r="528">
          <cell r="A528" t="str">
            <v>(Leer)</v>
          </cell>
          <cell r="B528" t="e">
            <v>#DIV/0!</v>
          </cell>
          <cell r="C528" t="e">
            <v>#DIV/0!</v>
          </cell>
          <cell r="D528">
            <v>7.083333333333333</v>
          </cell>
          <cell r="E528">
            <v>3.75</v>
          </cell>
        </row>
        <row r="529">
          <cell r="A529" t="str">
            <v>Norwegen</v>
          </cell>
          <cell r="B529" t="e">
            <v>#DIV/0!</v>
          </cell>
          <cell r="C529" t="e">
            <v>#DIV/0!</v>
          </cell>
          <cell r="D529">
            <v>75</v>
          </cell>
          <cell r="E529">
            <v>83.33</v>
          </cell>
        </row>
        <row r="530">
          <cell r="A530" t="str">
            <v>Norwegen</v>
          </cell>
          <cell r="B530" t="e">
            <v>#DIV/0!</v>
          </cell>
          <cell r="C530" t="e">
            <v>#DIV/0!</v>
          </cell>
          <cell r="D530" t="e">
            <v>#DIV/0!</v>
          </cell>
          <cell r="E530" t="e">
            <v>#DIV/0!</v>
          </cell>
        </row>
        <row r="531">
          <cell r="A531" t="str">
            <v>(Leer)</v>
          </cell>
          <cell r="B531" t="e">
            <v>#DIV/0!</v>
          </cell>
          <cell r="C531" t="e">
            <v>#DIV/0!</v>
          </cell>
          <cell r="D531" t="e">
            <v>#DIV/0!</v>
          </cell>
          <cell r="E531" t="e">
            <v>#DIV/0!</v>
          </cell>
        </row>
        <row r="532">
          <cell r="A532" t="str">
            <v>Oslo (Colliers nicht in PPC)</v>
          </cell>
          <cell r="B532" t="e">
            <v>#DIV/0!</v>
          </cell>
          <cell r="C532" t="e">
            <v>#DIV/0!</v>
          </cell>
          <cell r="D532">
            <v>75</v>
          </cell>
          <cell r="E532">
            <v>83.33</v>
          </cell>
        </row>
        <row r="533">
          <cell r="A533" t="str">
            <v>(Leer)</v>
          </cell>
          <cell r="B533" t="e">
            <v>#DIV/0!</v>
          </cell>
          <cell r="C533" t="e">
            <v>#DIV/0!</v>
          </cell>
          <cell r="D533">
            <v>75</v>
          </cell>
          <cell r="E533">
            <v>83.33</v>
          </cell>
        </row>
        <row r="534">
          <cell r="A534" t="str">
            <v>Österreich</v>
          </cell>
          <cell r="B534">
            <v>23</v>
          </cell>
          <cell r="C534">
            <v>28</v>
          </cell>
          <cell r="D534">
            <v>5</v>
          </cell>
          <cell r="E534">
            <v>5.5</v>
          </cell>
        </row>
        <row r="535">
          <cell r="A535" t="str">
            <v>Österreich</v>
          </cell>
          <cell r="B535" t="e">
            <v>#DIV/0!</v>
          </cell>
          <cell r="C535" t="e">
            <v>#DIV/0!</v>
          </cell>
          <cell r="D535" t="e">
            <v>#DIV/0!</v>
          </cell>
          <cell r="E535" t="e">
            <v>#DIV/0!</v>
          </cell>
        </row>
        <row r="536">
          <cell r="A536" t="str">
            <v>(Leer)</v>
          </cell>
          <cell r="B536" t="e">
            <v>#DIV/0!</v>
          </cell>
          <cell r="C536" t="e">
            <v>#DIV/0!</v>
          </cell>
          <cell r="D536" t="e">
            <v>#DIV/0!</v>
          </cell>
          <cell r="E536" t="e">
            <v>#DIV/0!</v>
          </cell>
        </row>
        <row r="537">
          <cell r="A537" t="str">
            <v>Österreich - Graz</v>
          </cell>
          <cell r="B537" t="e">
            <v>#DIV/0!</v>
          </cell>
          <cell r="C537" t="e">
            <v>#DIV/0!</v>
          </cell>
          <cell r="D537" t="e">
            <v>#DIV/0!</v>
          </cell>
          <cell r="E537" t="e">
            <v>#DIV/0!</v>
          </cell>
        </row>
        <row r="538">
          <cell r="A538" t="str">
            <v>(Leer)</v>
          </cell>
          <cell r="B538" t="e">
            <v>#DIV/0!</v>
          </cell>
          <cell r="C538" t="e">
            <v>#DIV/0!</v>
          </cell>
          <cell r="D538" t="e">
            <v>#DIV/0!</v>
          </cell>
          <cell r="E538" t="e">
            <v>#DIV/0!</v>
          </cell>
        </row>
        <row r="539">
          <cell r="A539" t="str">
            <v>Österreich - Linz</v>
          </cell>
          <cell r="B539" t="e">
            <v>#DIV/0!</v>
          </cell>
          <cell r="C539" t="e">
            <v>#DIV/0!</v>
          </cell>
          <cell r="D539" t="e">
            <v>#DIV/0!</v>
          </cell>
          <cell r="E539" t="e">
            <v>#DIV/0!</v>
          </cell>
        </row>
        <row r="540">
          <cell r="A540" t="str">
            <v>(Leer)</v>
          </cell>
          <cell r="B540" t="e">
            <v>#DIV/0!</v>
          </cell>
          <cell r="C540" t="e">
            <v>#DIV/0!</v>
          </cell>
          <cell r="D540" t="e">
            <v>#DIV/0!</v>
          </cell>
          <cell r="E540" t="e">
            <v>#DIV/0!</v>
          </cell>
        </row>
        <row r="541">
          <cell r="A541" t="str">
            <v>Österreich - Ost</v>
          </cell>
          <cell r="B541" t="e">
            <v>#DIV/0!</v>
          </cell>
          <cell r="C541" t="e">
            <v>#DIV/0!</v>
          </cell>
          <cell r="D541" t="e">
            <v>#DIV/0!</v>
          </cell>
          <cell r="E541" t="e">
            <v>#DIV/0!</v>
          </cell>
        </row>
        <row r="542">
          <cell r="A542" t="str">
            <v>(Leer)</v>
          </cell>
          <cell r="B542" t="e">
            <v>#DIV/0!</v>
          </cell>
          <cell r="C542" t="e">
            <v>#DIV/0!</v>
          </cell>
          <cell r="D542" t="e">
            <v>#DIV/0!</v>
          </cell>
          <cell r="E542" t="e">
            <v>#DIV/0!</v>
          </cell>
        </row>
        <row r="543">
          <cell r="A543" t="str">
            <v>Österreich - Salzburg</v>
          </cell>
          <cell r="B543" t="e">
            <v>#DIV/0!</v>
          </cell>
          <cell r="C543" t="e">
            <v>#DIV/0!</v>
          </cell>
          <cell r="D543" t="e">
            <v>#DIV/0!</v>
          </cell>
          <cell r="E543" t="e">
            <v>#DIV/0!</v>
          </cell>
        </row>
        <row r="544">
          <cell r="A544" t="str">
            <v>(Leer)</v>
          </cell>
          <cell r="B544" t="e">
            <v>#DIV/0!</v>
          </cell>
          <cell r="C544" t="e">
            <v>#DIV/0!</v>
          </cell>
          <cell r="D544" t="e">
            <v>#DIV/0!</v>
          </cell>
          <cell r="E544" t="e">
            <v>#DIV/0!</v>
          </cell>
        </row>
        <row r="545">
          <cell r="A545" t="str">
            <v>Österreich - Süd</v>
          </cell>
          <cell r="B545" t="e">
            <v>#DIV/0!</v>
          </cell>
          <cell r="C545" t="e">
            <v>#DIV/0!</v>
          </cell>
          <cell r="D545" t="e">
            <v>#DIV/0!</v>
          </cell>
          <cell r="E545" t="e">
            <v>#DIV/0!</v>
          </cell>
        </row>
        <row r="546">
          <cell r="A546" t="str">
            <v>(Leer)</v>
          </cell>
          <cell r="B546" t="e">
            <v>#DIV/0!</v>
          </cell>
          <cell r="C546" t="e">
            <v>#DIV/0!</v>
          </cell>
          <cell r="D546" t="e">
            <v>#DIV/0!</v>
          </cell>
          <cell r="E546" t="e">
            <v>#DIV/0!</v>
          </cell>
        </row>
        <row r="547">
          <cell r="A547" t="str">
            <v>Österreich - West</v>
          </cell>
          <cell r="B547" t="e">
            <v>#DIV/0!</v>
          </cell>
          <cell r="C547" t="e">
            <v>#DIV/0!</v>
          </cell>
          <cell r="D547" t="e">
            <v>#DIV/0!</v>
          </cell>
          <cell r="E547" t="e">
            <v>#DIV/0!</v>
          </cell>
        </row>
        <row r="548">
          <cell r="A548" t="str">
            <v>(Leer)</v>
          </cell>
          <cell r="B548" t="e">
            <v>#DIV/0!</v>
          </cell>
          <cell r="C548" t="e">
            <v>#DIV/0!</v>
          </cell>
          <cell r="D548" t="e">
            <v>#DIV/0!</v>
          </cell>
          <cell r="E548" t="e">
            <v>#DIV/0!</v>
          </cell>
        </row>
        <row r="549">
          <cell r="A549" t="str">
            <v>Österreich - Wien</v>
          </cell>
          <cell r="B549">
            <v>23</v>
          </cell>
          <cell r="C549">
            <v>28</v>
          </cell>
          <cell r="D549">
            <v>5</v>
          </cell>
          <cell r="E549">
            <v>5.5</v>
          </cell>
        </row>
        <row r="550">
          <cell r="A550" t="str">
            <v>(Leer)</v>
          </cell>
          <cell r="B550">
            <v>23</v>
          </cell>
          <cell r="C550">
            <v>28</v>
          </cell>
          <cell r="D550">
            <v>5</v>
          </cell>
          <cell r="E550">
            <v>5.5</v>
          </cell>
        </row>
        <row r="551">
          <cell r="A551" t="str">
            <v>Philippinen</v>
          </cell>
          <cell r="B551">
            <v>469</v>
          </cell>
          <cell r="C551">
            <v>684</v>
          </cell>
          <cell r="D551">
            <v>163.76</v>
          </cell>
          <cell r="E551">
            <v>163.76</v>
          </cell>
        </row>
        <row r="552">
          <cell r="A552" t="str">
            <v>Philippinen</v>
          </cell>
          <cell r="B552">
            <v>469</v>
          </cell>
          <cell r="C552">
            <v>684</v>
          </cell>
          <cell r="D552">
            <v>163.76</v>
          </cell>
          <cell r="E552">
            <v>163.76</v>
          </cell>
        </row>
        <row r="553">
          <cell r="A553" t="str">
            <v>(Leer)</v>
          </cell>
          <cell r="B553">
            <v>469</v>
          </cell>
          <cell r="C553">
            <v>684</v>
          </cell>
          <cell r="D553">
            <v>163.76</v>
          </cell>
          <cell r="E553">
            <v>163.76</v>
          </cell>
        </row>
        <row r="554">
          <cell r="A554" t="str">
            <v>Polen</v>
          </cell>
          <cell r="B554">
            <v>90.109799999999993</v>
          </cell>
          <cell r="C554">
            <v>114.2856</v>
          </cell>
          <cell r="D554">
            <v>21.978000000000002</v>
          </cell>
          <cell r="E554">
            <v>26.3736</v>
          </cell>
        </row>
        <row r="555">
          <cell r="A555" t="str">
            <v>Polen</v>
          </cell>
          <cell r="B555" t="e">
            <v>#DIV/0!</v>
          </cell>
          <cell r="C555" t="e">
            <v>#DIV/0!</v>
          </cell>
          <cell r="D555" t="e">
            <v>#DIV/0!</v>
          </cell>
          <cell r="E555" t="e">
            <v>#DIV/0!</v>
          </cell>
        </row>
        <row r="556">
          <cell r="A556" t="str">
            <v>(Leer)</v>
          </cell>
          <cell r="B556" t="e">
            <v>#DIV/0!</v>
          </cell>
          <cell r="C556" t="e">
            <v>#DIV/0!</v>
          </cell>
          <cell r="D556" t="e">
            <v>#DIV/0!</v>
          </cell>
          <cell r="E556" t="e">
            <v>#DIV/0!</v>
          </cell>
        </row>
        <row r="557">
          <cell r="A557" t="str">
            <v>Polen - Raum Warschau</v>
          </cell>
          <cell r="B557">
            <v>90.109799999999993</v>
          </cell>
          <cell r="C557">
            <v>114.2856</v>
          </cell>
          <cell r="D557">
            <v>21.978000000000002</v>
          </cell>
          <cell r="E557">
            <v>26.3736</v>
          </cell>
        </row>
        <row r="558">
          <cell r="A558" t="str">
            <v>(Leer)</v>
          </cell>
          <cell r="B558">
            <v>90.109799999999993</v>
          </cell>
          <cell r="C558">
            <v>114.2856</v>
          </cell>
          <cell r="D558">
            <v>21.978000000000002</v>
          </cell>
          <cell r="E558">
            <v>26.3736</v>
          </cell>
        </row>
        <row r="559">
          <cell r="A559" t="str">
            <v>Polen - Raum Poznan</v>
          </cell>
          <cell r="B559" t="e">
            <v>#DIV/0!</v>
          </cell>
          <cell r="C559" t="e">
            <v>#DIV/0!</v>
          </cell>
          <cell r="D559" t="e">
            <v>#DIV/0!</v>
          </cell>
          <cell r="E559" t="e">
            <v>#DIV/0!</v>
          </cell>
        </row>
        <row r="560">
          <cell r="A560" t="str">
            <v>(Leer)</v>
          </cell>
          <cell r="B560" t="e">
            <v>#DIV/0!</v>
          </cell>
          <cell r="C560" t="e">
            <v>#DIV/0!</v>
          </cell>
          <cell r="D560" t="e">
            <v>#DIV/0!</v>
          </cell>
          <cell r="E560" t="e">
            <v>#DIV/0!</v>
          </cell>
        </row>
        <row r="561">
          <cell r="A561" t="str">
            <v>Polen - Süden</v>
          </cell>
          <cell r="B561" t="e">
            <v>#DIV/0!</v>
          </cell>
          <cell r="C561" t="e">
            <v>#DIV/0!</v>
          </cell>
          <cell r="D561" t="e">
            <v>#DIV/0!</v>
          </cell>
          <cell r="E561" t="e">
            <v>#DIV/0!</v>
          </cell>
        </row>
        <row r="562">
          <cell r="A562" t="str">
            <v>(Leer)</v>
          </cell>
          <cell r="B562" t="e">
            <v>#DIV/0!</v>
          </cell>
          <cell r="C562" t="e">
            <v>#DIV/0!</v>
          </cell>
          <cell r="D562" t="e">
            <v>#DIV/0!</v>
          </cell>
          <cell r="E562" t="e">
            <v>#DIV/0!</v>
          </cell>
        </row>
        <row r="563">
          <cell r="A563" t="str">
            <v>Portugal</v>
          </cell>
          <cell r="B563">
            <v>17.2</v>
          </cell>
          <cell r="C563">
            <v>23.9</v>
          </cell>
          <cell r="D563">
            <v>3.5</v>
          </cell>
          <cell r="E563">
            <v>5.5</v>
          </cell>
        </row>
        <row r="564">
          <cell r="A564" t="str">
            <v>Portugal</v>
          </cell>
          <cell r="B564" t="e">
            <v>#DIV/0!</v>
          </cell>
          <cell r="C564" t="e">
            <v>#DIV/0!</v>
          </cell>
          <cell r="D564" t="e">
            <v>#DIV/0!</v>
          </cell>
          <cell r="E564" t="e">
            <v>#DIV/0!</v>
          </cell>
        </row>
        <row r="565">
          <cell r="A565" t="str">
            <v>(Leer)</v>
          </cell>
          <cell r="B565" t="e">
            <v>#DIV/0!</v>
          </cell>
          <cell r="C565" t="e">
            <v>#DIV/0!</v>
          </cell>
          <cell r="D565" t="e">
            <v>#DIV/0!</v>
          </cell>
          <cell r="E565" t="e">
            <v>#DIV/0!</v>
          </cell>
        </row>
        <row r="566">
          <cell r="A566" t="str">
            <v>Portugal - Lissabon</v>
          </cell>
          <cell r="B566">
            <v>17.2</v>
          </cell>
          <cell r="C566">
            <v>23.9</v>
          </cell>
          <cell r="D566">
            <v>3.5</v>
          </cell>
          <cell r="E566">
            <v>5.5</v>
          </cell>
        </row>
        <row r="567">
          <cell r="A567" t="str">
            <v>(Leer)</v>
          </cell>
          <cell r="B567">
            <v>17.2</v>
          </cell>
          <cell r="C567">
            <v>23.9</v>
          </cell>
          <cell r="D567">
            <v>3.5</v>
          </cell>
          <cell r="E567">
            <v>5.5</v>
          </cell>
        </row>
        <row r="568">
          <cell r="A568" t="str">
            <v>Rumänien</v>
          </cell>
          <cell r="B568">
            <v>65.257500000000007</v>
          </cell>
          <cell r="C568" t="e">
            <v>#DIV/0!</v>
          </cell>
          <cell r="D568">
            <v>17.402000000000001</v>
          </cell>
          <cell r="E568">
            <v>19.142200000000003</v>
          </cell>
        </row>
        <row r="569">
          <cell r="A569" t="str">
            <v>Ost</v>
          </cell>
          <cell r="B569" t="e">
            <v>#DIV/0!</v>
          </cell>
          <cell r="C569" t="e">
            <v>#DIV/0!</v>
          </cell>
          <cell r="D569" t="e">
            <v>#DIV/0!</v>
          </cell>
          <cell r="E569" t="e">
            <v>#DIV/0!</v>
          </cell>
        </row>
        <row r="570">
          <cell r="A570" t="str">
            <v>(Leer)</v>
          </cell>
          <cell r="B570" t="e">
            <v>#DIV/0!</v>
          </cell>
          <cell r="C570" t="e">
            <v>#DIV/0!</v>
          </cell>
          <cell r="D570" t="e">
            <v>#DIV/0!</v>
          </cell>
          <cell r="E570" t="e">
            <v>#DIV/0!</v>
          </cell>
        </row>
        <row r="571">
          <cell r="A571" t="str">
            <v>Rumänien</v>
          </cell>
          <cell r="B571" t="e">
            <v>#DIV/0!</v>
          </cell>
          <cell r="C571" t="e">
            <v>#DIV/0!</v>
          </cell>
          <cell r="D571" t="e">
            <v>#DIV/0!</v>
          </cell>
          <cell r="E571" t="e">
            <v>#DIV/0!</v>
          </cell>
        </row>
        <row r="572">
          <cell r="A572" t="str">
            <v>(Leer)</v>
          </cell>
          <cell r="B572" t="e">
            <v>#DIV/0!</v>
          </cell>
          <cell r="C572" t="e">
            <v>#DIV/0!</v>
          </cell>
          <cell r="D572" t="e">
            <v>#DIV/0!</v>
          </cell>
          <cell r="E572" t="e">
            <v>#DIV/0!</v>
          </cell>
        </row>
        <row r="573">
          <cell r="A573" t="str">
            <v>Rumänien - Süden / Raum Bukarest</v>
          </cell>
          <cell r="B573">
            <v>65.257500000000007</v>
          </cell>
          <cell r="C573" t="e">
            <v>#DIV/0!</v>
          </cell>
          <cell r="D573">
            <v>17.402000000000001</v>
          </cell>
          <cell r="E573">
            <v>19.142200000000003</v>
          </cell>
        </row>
        <row r="574">
          <cell r="A574" t="str">
            <v>(Leer)</v>
          </cell>
          <cell r="B574">
            <v>65.257500000000007</v>
          </cell>
          <cell r="C574" t="e">
            <v>#DIV/0!</v>
          </cell>
          <cell r="D574">
            <v>17.402000000000001</v>
          </cell>
          <cell r="E574">
            <v>19.142200000000003</v>
          </cell>
        </row>
        <row r="575">
          <cell r="A575" t="str">
            <v>Rumänien - West</v>
          </cell>
          <cell r="B575" t="e">
            <v>#DIV/0!</v>
          </cell>
          <cell r="C575" t="e">
            <v>#DIV/0!</v>
          </cell>
          <cell r="D575" t="e">
            <v>#DIV/0!</v>
          </cell>
          <cell r="E575" t="e">
            <v>#DIV/0!</v>
          </cell>
        </row>
        <row r="576">
          <cell r="A576" t="str">
            <v>(Leer)</v>
          </cell>
          <cell r="B576" t="e">
            <v>#DIV/0!</v>
          </cell>
          <cell r="C576" t="e">
            <v>#DIV/0!</v>
          </cell>
          <cell r="D576" t="e">
            <v>#DIV/0!</v>
          </cell>
          <cell r="E576" t="e">
            <v>#DIV/0!</v>
          </cell>
        </row>
        <row r="577">
          <cell r="A577" t="str">
            <v>Rumänien - Zentrum</v>
          </cell>
          <cell r="B577" t="e">
            <v>#DIV/0!</v>
          </cell>
          <cell r="C577" t="e">
            <v>#DIV/0!</v>
          </cell>
          <cell r="D577" t="e">
            <v>#DIV/0!</v>
          </cell>
          <cell r="E577" t="e">
            <v>#DIV/0!</v>
          </cell>
        </row>
        <row r="578">
          <cell r="A578" t="str">
            <v>(Leer)</v>
          </cell>
          <cell r="B578" t="e">
            <v>#DIV/0!</v>
          </cell>
          <cell r="C578" t="e">
            <v>#DIV/0!</v>
          </cell>
          <cell r="D578" t="e">
            <v>#DIV/0!</v>
          </cell>
          <cell r="E578" t="e">
            <v>#DIV/0!</v>
          </cell>
        </row>
        <row r="579">
          <cell r="A579" t="str">
            <v>Russland</v>
          </cell>
          <cell r="B579">
            <v>1300.3643327284574</v>
          </cell>
          <cell r="C579">
            <v>1848.2894942515559</v>
          </cell>
          <cell r="D579">
            <v>306.46797715791786</v>
          </cell>
          <cell r="E579">
            <v>353.27676769895311</v>
          </cell>
        </row>
        <row r="580">
          <cell r="A580" t="str">
            <v>Russland</v>
          </cell>
          <cell r="B580" t="e">
            <v>#DIV/0!</v>
          </cell>
          <cell r="C580" t="e">
            <v>#DIV/0!</v>
          </cell>
          <cell r="D580" t="e">
            <v>#DIV/0!</v>
          </cell>
          <cell r="E580" t="e">
            <v>#DIV/0!</v>
          </cell>
        </row>
        <row r="581">
          <cell r="A581" t="str">
            <v>(Leer)</v>
          </cell>
          <cell r="B581" t="e">
            <v>#DIV/0!</v>
          </cell>
          <cell r="C581" t="e">
            <v>#DIV/0!</v>
          </cell>
          <cell r="D581" t="e">
            <v>#DIV/0!</v>
          </cell>
          <cell r="E581" t="e">
            <v>#DIV/0!</v>
          </cell>
        </row>
        <row r="582">
          <cell r="A582" t="str">
            <v>Russland - Moskau</v>
          </cell>
          <cell r="B582">
            <v>1242.0339014569149</v>
          </cell>
          <cell r="C582">
            <v>2022.9935925031118</v>
          </cell>
          <cell r="D582">
            <v>365.93191302437958</v>
          </cell>
          <cell r="E582">
            <v>426.92056519510948</v>
          </cell>
        </row>
        <row r="583">
          <cell r="A583" t="str">
            <v>(Leer)</v>
          </cell>
          <cell r="B583">
            <v>1242.0339014569149</v>
          </cell>
          <cell r="C583">
            <v>2022.9935925031118</v>
          </cell>
          <cell r="D583">
            <v>365.93191302437958</v>
          </cell>
          <cell r="E583">
            <v>426.92056519510948</v>
          </cell>
        </row>
        <row r="584">
          <cell r="A584" t="str">
            <v>Russland - Nizhniy Novgorod</v>
          </cell>
          <cell r="B584" t="e">
            <v>#DIV/0!</v>
          </cell>
          <cell r="C584" t="e">
            <v>#DIV/0!</v>
          </cell>
          <cell r="D584" t="e">
            <v>#DIV/0!</v>
          </cell>
          <cell r="E584" t="e">
            <v>#DIV/0!</v>
          </cell>
        </row>
        <row r="585">
          <cell r="A585" t="str">
            <v>(Leer)</v>
          </cell>
          <cell r="B585" t="e">
            <v>#DIV/0!</v>
          </cell>
          <cell r="C585" t="e">
            <v>#DIV/0!</v>
          </cell>
          <cell r="D585" t="e">
            <v>#DIV/0!</v>
          </cell>
          <cell r="E585" t="e">
            <v>#DIV/0!</v>
          </cell>
        </row>
        <row r="586">
          <cell r="A586" t="str">
            <v>Russland - Nordwestlicher Föderalbezirk</v>
          </cell>
          <cell r="B586" t="e">
            <v>#DIV/0!</v>
          </cell>
          <cell r="C586" t="e">
            <v>#DIV/0!</v>
          </cell>
          <cell r="D586" t="e">
            <v>#DIV/0!</v>
          </cell>
          <cell r="E586" t="e">
            <v>#DIV/0!</v>
          </cell>
        </row>
        <row r="587">
          <cell r="A587" t="str">
            <v>(Leer)</v>
          </cell>
          <cell r="B587" t="e">
            <v>#DIV/0!</v>
          </cell>
          <cell r="C587" t="e">
            <v>#DIV/0!</v>
          </cell>
          <cell r="D587" t="e">
            <v>#DIV/0!</v>
          </cell>
          <cell r="E587" t="e">
            <v>#DIV/0!</v>
          </cell>
        </row>
        <row r="588">
          <cell r="A588" t="str">
            <v>Russland - Novosibirsk</v>
          </cell>
          <cell r="B588" t="e">
            <v>#DIV/0!</v>
          </cell>
          <cell r="C588" t="e">
            <v>#DIV/0!</v>
          </cell>
          <cell r="D588" t="e">
            <v>#DIV/0!</v>
          </cell>
          <cell r="E588" t="e">
            <v>#DIV/0!</v>
          </cell>
        </row>
        <row r="589">
          <cell r="A589" t="str">
            <v>(Leer)</v>
          </cell>
          <cell r="B589" t="e">
            <v>#DIV/0!</v>
          </cell>
          <cell r="C589" t="e">
            <v>#DIV/0!</v>
          </cell>
          <cell r="D589" t="e">
            <v>#DIV/0!</v>
          </cell>
          <cell r="E589" t="e">
            <v>#DIV/0!</v>
          </cell>
        </row>
        <row r="590">
          <cell r="A590" t="str">
            <v>Russland - sibirischer Föderalbezirk</v>
          </cell>
          <cell r="B590" t="e">
            <v>#DIV/0!</v>
          </cell>
          <cell r="C590" t="e">
            <v>#DIV/0!</v>
          </cell>
          <cell r="D590" t="e">
            <v>#DIV/0!</v>
          </cell>
          <cell r="E590" t="e">
            <v>#DIV/0!</v>
          </cell>
        </row>
        <row r="591">
          <cell r="A591" t="str">
            <v>(Leer)</v>
          </cell>
          <cell r="B591" t="e">
            <v>#DIV/0!</v>
          </cell>
          <cell r="C591" t="e">
            <v>#DIV/0!</v>
          </cell>
          <cell r="D591" t="e">
            <v>#DIV/0!</v>
          </cell>
          <cell r="E591" t="e">
            <v>#DIV/0!</v>
          </cell>
        </row>
        <row r="592">
          <cell r="A592" t="str">
            <v>Russland - St. Petersburg</v>
          </cell>
          <cell r="B592">
            <v>1358.6947639999999</v>
          </cell>
          <cell r="C592">
            <v>1673.5853959999999</v>
          </cell>
          <cell r="D592">
            <v>247.00404129145619</v>
          </cell>
          <cell r="E592">
            <v>279.63297020279674</v>
          </cell>
        </row>
        <row r="593">
          <cell r="A593" t="str">
            <v>(Leer)</v>
          </cell>
          <cell r="B593">
            <v>1358.6947639999999</v>
          </cell>
          <cell r="C593">
            <v>1673.5853959999999</v>
          </cell>
          <cell r="D593">
            <v>247.00404129145619</v>
          </cell>
          <cell r="E593">
            <v>279.63297020279674</v>
          </cell>
        </row>
        <row r="594">
          <cell r="A594" t="str">
            <v>Russland - Tol'yatti - Samara</v>
          </cell>
          <cell r="B594" t="e">
            <v>#DIV/0!</v>
          </cell>
          <cell r="C594" t="e">
            <v>#DIV/0!</v>
          </cell>
          <cell r="D594" t="e">
            <v>#DIV/0!</v>
          </cell>
          <cell r="E594" t="e">
            <v>#DIV/0!</v>
          </cell>
        </row>
        <row r="595">
          <cell r="A595" t="str">
            <v>(Leer)</v>
          </cell>
          <cell r="B595" t="e">
            <v>#DIV/0!</v>
          </cell>
          <cell r="C595" t="e">
            <v>#DIV/0!</v>
          </cell>
          <cell r="D595" t="e">
            <v>#DIV/0!</v>
          </cell>
          <cell r="E595" t="e">
            <v>#DIV/0!</v>
          </cell>
        </row>
        <row r="596">
          <cell r="A596" t="str">
            <v>Russland - Wolga Föderalbezirk</v>
          </cell>
          <cell r="B596" t="e">
            <v>#DIV/0!</v>
          </cell>
          <cell r="C596" t="e">
            <v>#DIV/0!</v>
          </cell>
          <cell r="D596" t="e">
            <v>#DIV/0!</v>
          </cell>
          <cell r="E596" t="e">
            <v>#DIV/0!</v>
          </cell>
        </row>
        <row r="597">
          <cell r="A597" t="str">
            <v>(Leer)</v>
          </cell>
          <cell r="B597" t="e">
            <v>#DIV/0!</v>
          </cell>
          <cell r="C597" t="e">
            <v>#DIV/0!</v>
          </cell>
          <cell r="D597" t="e">
            <v>#DIV/0!</v>
          </cell>
          <cell r="E597" t="e">
            <v>#DIV/0!</v>
          </cell>
        </row>
        <row r="598">
          <cell r="A598" t="str">
            <v>Russland - Zentraler Föderalbezirk</v>
          </cell>
          <cell r="B598" t="e">
            <v>#DIV/0!</v>
          </cell>
          <cell r="C598" t="e">
            <v>#DIV/0!</v>
          </cell>
          <cell r="D598" t="e">
            <v>#DIV/0!</v>
          </cell>
          <cell r="E598" t="e">
            <v>#DIV/0!</v>
          </cell>
        </row>
        <row r="599">
          <cell r="A599" t="str">
            <v>(Leer)</v>
          </cell>
          <cell r="B599" t="e">
            <v>#DIV/0!</v>
          </cell>
          <cell r="C599" t="e">
            <v>#DIV/0!</v>
          </cell>
          <cell r="D599" t="e">
            <v>#DIV/0!</v>
          </cell>
          <cell r="E599" t="e">
            <v>#DIV/0!</v>
          </cell>
        </row>
        <row r="600">
          <cell r="A600" t="str">
            <v>Schweden</v>
          </cell>
          <cell r="B600">
            <v>304.17</v>
          </cell>
          <cell r="C600">
            <v>329.16500000000002</v>
          </cell>
          <cell r="D600">
            <v>47.92</v>
          </cell>
          <cell r="E600">
            <v>72.5</v>
          </cell>
        </row>
        <row r="601">
          <cell r="A601" t="str">
            <v>Schweden</v>
          </cell>
          <cell r="B601" t="e">
            <v>#DIV/0!</v>
          </cell>
          <cell r="C601" t="e">
            <v>#DIV/0!</v>
          </cell>
          <cell r="D601" t="e">
            <v>#DIV/0!</v>
          </cell>
          <cell r="E601" t="e">
            <v>#DIV/0!</v>
          </cell>
        </row>
        <row r="602">
          <cell r="A602" t="str">
            <v>(Leer)</v>
          </cell>
          <cell r="B602" t="e">
            <v>#DIV/0!</v>
          </cell>
          <cell r="C602" t="e">
            <v>#DIV/0!</v>
          </cell>
          <cell r="D602" t="e">
            <v>#DIV/0!</v>
          </cell>
          <cell r="E602" t="e">
            <v>#DIV/0!</v>
          </cell>
        </row>
        <row r="603">
          <cell r="A603" t="str">
            <v>Stockholm (Colliers nicht in PPC)</v>
          </cell>
          <cell r="B603">
            <v>304.17</v>
          </cell>
          <cell r="C603">
            <v>329.16500000000002</v>
          </cell>
          <cell r="D603">
            <v>47.92</v>
          </cell>
          <cell r="E603">
            <v>72.5</v>
          </cell>
        </row>
        <row r="604">
          <cell r="A604" t="str">
            <v>(Leer)</v>
          </cell>
          <cell r="B604">
            <v>304.17</v>
          </cell>
          <cell r="C604">
            <v>329.16500000000002</v>
          </cell>
          <cell r="D604">
            <v>47.92</v>
          </cell>
          <cell r="E604">
            <v>72.5</v>
          </cell>
        </row>
        <row r="605">
          <cell r="A605" t="str">
            <v>Schweiz</v>
          </cell>
          <cell r="B605">
            <v>44.375</v>
          </cell>
          <cell r="C605">
            <v>72.5</v>
          </cell>
          <cell r="D605">
            <v>12.08</v>
          </cell>
          <cell r="E605">
            <v>14.585000000000001</v>
          </cell>
        </row>
        <row r="606">
          <cell r="A606" t="str">
            <v>Genf (Colliers nicht in PPC)</v>
          </cell>
          <cell r="B606">
            <v>47.08</v>
          </cell>
          <cell r="C606">
            <v>72.5</v>
          </cell>
          <cell r="D606">
            <v>10.83</v>
          </cell>
          <cell r="E606">
            <v>14.17</v>
          </cell>
        </row>
        <row r="607">
          <cell r="A607" t="str">
            <v>(Leer)</v>
          </cell>
          <cell r="B607">
            <v>47.08</v>
          </cell>
          <cell r="C607">
            <v>72.5</v>
          </cell>
          <cell r="D607">
            <v>10.83</v>
          </cell>
          <cell r="E607">
            <v>14.17</v>
          </cell>
        </row>
        <row r="608">
          <cell r="A608" t="str">
            <v>Schweiz</v>
          </cell>
          <cell r="B608" t="e">
            <v>#DIV/0!</v>
          </cell>
          <cell r="C608" t="e">
            <v>#DIV/0!</v>
          </cell>
          <cell r="D608" t="e">
            <v>#DIV/0!</v>
          </cell>
          <cell r="E608" t="e">
            <v>#DIV/0!</v>
          </cell>
        </row>
        <row r="609">
          <cell r="A609" t="str">
            <v>(Leer)</v>
          </cell>
          <cell r="B609" t="e">
            <v>#DIV/0!</v>
          </cell>
          <cell r="C609" t="e">
            <v>#DIV/0!</v>
          </cell>
          <cell r="D609" t="e">
            <v>#DIV/0!</v>
          </cell>
          <cell r="E609" t="e">
            <v>#DIV/0!</v>
          </cell>
        </row>
        <row r="610">
          <cell r="A610" t="str">
            <v>Zürich (Colliers nicht in PPC)</v>
          </cell>
          <cell r="B610">
            <v>41.67</v>
          </cell>
          <cell r="C610">
            <v>72.5</v>
          </cell>
          <cell r="D610">
            <v>13.33</v>
          </cell>
          <cell r="E610">
            <v>15</v>
          </cell>
        </row>
        <row r="611">
          <cell r="A611" t="str">
            <v>(Leer)</v>
          </cell>
          <cell r="B611">
            <v>41.67</v>
          </cell>
          <cell r="C611">
            <v>72.5</v>
          </cell>
          <cell r="D611">
            <v>13.33</v>
          </cell>
          <cell r="E611">
            <v>15</v>
          </cell>
        </row>
        <row r="612">
          <cell r="A612" t="str">
            <v>Serbien</v>
          </cell>
          <cell r="B612">
            <v>1334.7021999999999</v>
          </cell>
          <cell r="C612">
            <v>1642.7103999999999</v>
          </cell>
          <cell r="D612">
            <v>410.67759999999998</v>
          </cell>
          <cell r="E612">
            <v>513.34699999999998</v>
          </cell>
        </row>
        <row r="613">
          <cell r="A613" t="str">
            <v>Belgrad (Colliers nicht in PPC)</v>
          </cell>
          <cell r="B613">
            <v>1334.7021999999999</v>
          </cell>
          <cell r="C613">
            <v>1642.7103999999999</v>
          </cell>
          <cell r="D613">
            <v>410.67759999999998</v>
          </cell>
          <cell r="E613">
            <v>513.34699999999998</v>
          </cell>
        </row>
        <row r="614">
          <cell r="A614" t="str">
            <v>(Leer)</v>
          </cell>
          <cell r="B614">
            <v>1334.7021999999999</v>
          </cell>
          <cell r="C614">
            <v>1642.7103999999999</v>
          </cell>
          <cell r="D614">
            <v>410.67759999999998</v>
          </cell>
          <cell r="E614">
            <v>513.34699999999998</v>
          </cell>
        </row>
        <row r="615">
          <cell r="A615" t="str">
            <v>Serbien</v>
          </cell>
          <cell r="B615" t="e">
            <v>#DIV/0!</v>
          </cell>
          <cell r="C615" t="e">
            <v>#DIV/0!</v>
          </cell>
          <cell r="D615" t="e">
            <v>#DIV/0!</v>
          </cell>
          <cell r="E615" t="e">
            <v>#DIV/0!</v>
          </cell>
        </row>
        <row r="616">
          <cell r="A616" t="str">
            <v>(Leer)</v>
          </cell>
          <cell r="B616" t="e">
            <v>#DIV/0!</v>
          </cell>
          <cell r="C616" t="e">
            <v>#DIV/0!</v>
          </cell>
          <cell r="D616" t="e">
            <v>#DIV/0!</v>
          </cell>
          <cell r="E616" t="e">
            <v>#DIV/0!</v>
          </cell>
        </row>
        <row r="617">
          <cell r="A617" t="str">
            <v>Singapur</v>
          </cell>
          <cell r="B617">
            <v>79.168484500000005</v>
          </cell>
          <cell r="C617">
            <v>95.260514999999998</v>
          </cell>
          <cell r="D617" t="e">
            <v>#DIV/0!</v>
          </cell>
          <cell r="E617" t="e">
            <v>#DIV/0!</v>
          </cell>
        </row>
        <row r="618">
          <cell r="A618" t="str">
            <v>Singapur</v>
          </cell>
          <cell r="B618">
            <v>79.168484500000005</v>
          </cell>
          <cell r="C618">
            <v>95.260514999999998</v>
          </cell>
          <cell r="D618" t="e">
            <v>#DIV/0!</v>
          </cell>
          <cell r="E618" t="e">
            <v>#DIV/0!</v>
          </cell>
        </row>
        <row r="619">
          <cell r="A619" t="str">
            <v>(Leer)</v>
          </cell>
          <cell r="B619">
            <v>79.168484500000005</v>
          </cell>
          <cell r="C619">
            <v>95.260514999999998</v>
          </cell>
          <cell r="D619" t="e">
            <v>#DIV/0!</v>
          </cell>
          <cell r="E619" t="e">
            <v>#DIV/0!</v>
          </cell>
        </row>
        <row r="620">
          <cell r="A620" t="str">
            <v>Slowakei</v>
          </cell>
          <cell r="B620">
            <v>11</v>
          </cell>
          <cell r="C620">
            <v>15</v>
          </cell>
          <cell r="D620">
            <v>3.6</v>
          </cell>
          <cell r="E620">
            <v>3.9</v>
          </cell>
        </row>
        <row r="621">
          <cell r="A621" t="str">
            <v>Slowakei</v>
          </cell>
          <cell r="B621" t="e">
            <v>#DIV/0!</v>
          </cell>
          <cell r="C621" t="e">
            <v>#DIV/0!</v>
          </cell>
          <cell r="D621" t="e">
            <v>#DIV/0!</v>
          </cell>
          <cell r="E621" t="e">
            <v>#DIV/0!</v>
          </cell>
        </row>
        <row r="622">
          <cell r="A622" t="str">
            <v>(Leer)</v>
          </cell>
          <cell r="B622" t="e">
            <v>#DIV/0!</v>
          </cell>
          <cell r="C622" t="e">
            <v>#DIV/0!</v>
          </cell>
          <cell r="D622" t="e">
            <v>#DIV/0!</v>
          </cell>
          <cell r="E622" t="e">
            <v>#DIV/0!</v>
          </cell>
        </row>
        <row r="623">
          <cell r="A623" t="str">
            <v>Slowakei - Ost</v>
          </cell>
          <cell r="B623" t="e">
            <v>#DIV/0!</v>
          </cell>
          <cell r="C623" t="e">
            <v>#DIV/0!</v>
          </cell>
          <cell r="D623" t="e">
            <v>#DIV/0!</v>
          </cell>
          <cell r="E623" t="e">
            <v>#DIV/0!</v>
          </cell>
        </row>
        <row r="624">
          <cell r="A624" t="str">
            <v>(Leer)</v>
          </cell>
          <cell r="B624" t="e">
            <v>#DIV/0!</v>
          </cell>
          <cell r="C624" t="e">
            <v>#DIV/0!</v>
          </cell>
          <cell r="D624" t="e">
            <v>#DIV/0!</v>
          </cell>
          <cell r="E624" t="e">
            <v>#DIV/0!</v>
          </cell>
        </row>
        <row r="625">
          <cell r="A625" t="str">
            <v>Slowakei - West Bratislava</v>
          </cell>
          <cell r="B625">
            <v>11</v>
          </cell>
          <cell r="C625">
            <v>15</v>
          </cell>
          <cell r="D625">
            <v>3.6</v>
          </cell>
          <cell r="E625">
            <v>3.9</v>
          </cell>
        </row>
        <row r="626">
          <cell r="A626" t="str">
            <v>(Leer)</v>
          </cell>
          <cell r="B626">
            <v>11</v>
          </cell>
          <cell r="C626">
            <v>15</v>
          </cell>
          <cell r="D626">
            <v>3.6</v>
          </cell>
          <cell r="E626">
            <v>3.9</v>
          </cell>
        </row>
        <row r="627">
          <cell r="A627" t="str">
            <v>Slowenien</v>
          </cell>
          <cell r="B627">
            <v>12.9</v>
          </cell>
          <cell r="C627" t="e">
            <v>#DIV/0!</v>
          </cell>
          <cell r="D627">
            <v>4.7</v>
          </cell>
          <cell r="E627" t="e">
            <v>#DIV/0!</v>
          </cell>
        </row>
        <row r="628">
          <cell r="A628" t="str">
            <v>Slowenien</v>
          </cell>
          <cell r="B628">
            <v>12.9</v>
          </cell>
          <cell r="C628" t="e">
            <v>#DIV/0!</v>
          </cell>
          <cell r="D628">
            <v>4.7</v>
          </cell>
          <cell r="E628" t="e">
            <v>#DIV/0!</v>
          </cell>
        </row>
        <row r="629">
          <cell r="A629" t="str">
            <v>(Leer)</v>
          </cell>
          <cell r="B629">
            <v>12.9</v>
          </cell>
          <cell r="C629" t="e">
            <v>#DIV/0!</v>
          </cell>
          <cell r="D629">
            <v>4.7</v>
          </cell>
          <cell r="E629" t="e">
            <v>#DIV/0!</v>
          </cell>
        </row>
        <row r="630">
          <cell r="A630" t="str">
            <v>Spanien</v>
          </cell>
          <cell r="B630">
            <v>21.75</v>
          </cell>
          <cell r="C630">
            <v>25.75</v>
          </cell>
          <cell r="D630">
            <v>3.5</v>
          </cell>
          <cell r="E630">
            <v>5.5</v>
          </cell>
        </row>
        <row r="631">
          <cell r="A631" t="str">
            <v>Spanien</v>
          </cell>
          <cell r="B631" t="e">
            <v>#DIV/0!</v>
          </cell>
          <cell r="C631" t="e">
            <v>#DIV/0!</v>
          </cell>
          <cell r="D631" t="e">
            <v>#DIV/0!</v>
          </cell>
          <cell r="E631" t="e">
            <v>#DIV/0!</v>
          </cell>
        </row>
        <row r="632">
          <cell r="A632" t="str">
            <v>(Leer)</v>
          </cell>
          <cell r="B632" t="e">
            <v>#DIV/0!</v>
          </cell>
          <cell r="C632" t="e">
            <v>#DIV/0!</v>
          </cell>
          <cell r="D632" t="e">
            <v>#DIV/0!</v>
          </cell>
          <cell r="E632" t="e">
            <v>#DIV/0!</v>
          </cell>
        </row>
        <row r="633">
          <cell r="A633" t="str">
            <v>Spanien - Baskenland</v>
          </cell>
          <cell r="B633" t="e">
            <v>#DIV/0!</v>
          </cell>
          <cell r="C633" t="e">
            <v>#DIV/0!</v>
          </cell>
          <cell r="D633" t="e">
            <v>#DIV/0!</v>
          </cell>
          <cell r="E633" t="e">
            <v>#DIV/0!</v>
          </cell>
        </row>
        <row r="634">
          <cell r="A634" t="str">
            <v>(Leer)</v>
          </cell>
          <cell r="B634" t="e">
            <v>#DIV/0!</v>
          </cell>
          <cell r="C634" t="e">
            <v>#DIV/0!</v>
          </cell>
          <cell r="D634" t="e">
            <v>#DIV/0!</v>
          </cell>
          <cell r="E634" t="e">
            <v>#DIV/0!</v>
          </cell>
        </row>
        <row r="635">
          <cell r="A635" t="str">
            <v>Spanien - Galicien</v>
          </cell>
          <cell r="B635" t="e">
            <v>#DIV/0!</v>
          </cell>
          <cell r="C635" t="e">
            <v>#DIV/0!</v>
          </cell>
          <cell r="D635" t="e">
            <v>#DIV/0!</v>
          </cell>
          <cell r="E635" t="e">
            <v>#DIV/0!</v>
          </cell>
        </row>
        <row r="636">
          <cell r="A636" t="str">
            <v>(Leer)</v>
          </cell>
          <cell r="B636" t="e">
            <v>#DIV/0!</v>
          </cell>
          <cell r="C636" t="e">
            <v>#DIV/0!</v>
          </cell>
          <cell r="D636" t="e">
            <v>#DIV/0!</v>
          </cell>
          <cell r="E636" t="e">
            <v>#DIV/0!</v>
          </cell>
        </row>
        <row r="637">
          <cell r="A637" t="str">
            <v>Spanien - Raum Barcelona (Katalonien)</v>
          </cell>
          <cell r="B637" t="e">
            <v>#DIV/0!</v>
          </cell>
          <cell r="C637" t="e">
            <v>#DIV/0!</v>
          </cell>
          <cell r="D637" t="e">
            <v>#DIV/0!</v>
          </cell>
          <cell r="E637" t="e">
            <v>#DIV/0!</v>
          </cell>
        </row>
        <row r="638">
          <cell r="A638" t="str">
            <v>(Leer)</v>
          </cell>
          <cell r="B638" t="e">
            <v>#DIV/0!</v>
          </cell>
          <cell r="C638" t="e">
            <v>#DIV/0!</v>
          </cell>
          <cell r="D638" t="e">
            <v>#DIV/0!</v>
          </cell>
          <cell r="E638" t="e">
            <v>#DIV/0!</v>
          </cell>
        </row>
        <row r="639">
          <cell r="A639" t="str">
            <v>Spanien - Raum Madrid</v>
          </cell>
          <cell r="B639">
            <v>21.75</v>
          </cell>
          <cell r="C639">
            <v>25.75</v>
          </cell>
          <cell r="D639">
            <v>3.5</v>
          </cell>
          <cell r="E639">
            <v>5.5</v>
          </cell>
        </row>
        <row r="640">
          <cell r="A640" t="str">
            <v>(Leer)</v>
          </cell>
          <cell r="B640">
            <v>21.75</v>
          </cell>
          <cell r="C640">
            <v>25.75</v>
          </cell>
          <cell r="D640">
            <v>3.5</v>
          </cell>
          <cell r="E640">
            <v>5.5</v>
          </cell>
        </row>
        <row r="641">
          <cell r="A641" t="str">
            <v>Spanien - Raum Saragoza</v>
          </cell>
          <cell r="B641" t="e">
            <v>#DIV/0!</v>
          </cell>
          <cell r="C641" t="e">
            <v>#DIV/0!</v>
          </cell>
          <cell r="D641" t="e">
            <v>#DIV/0!</v>
          </cell>
          <cell r="E641" t="e">
            <v>#DIV/0!</v>
          </cell>
        </row>
        <row r="642">
          <cell r="A642" t="str">
            <v>(Leer)</v>
          </cell>
          <cell r="B642" t="e">
            <v>#DIV/0!</v>
          </cell>
          <cell r="C642" t="e">
            <v>#DIV/0!</v>
          </cell>
          <cell r="D642" t="e">
            <v>#DIV/0!</v>
          </cell>
          <cell r="E642" t="e">
            <v>#DIV/0!</v>
          </cell>
        </row>
        <row r="643">
          <cell r="A643" t="str">
            <v>Südafrika</v>
          </cell>
          <cell r="B643">
            <v>101.66666666666667</v>
          </cell>
          <cell r="C643">
            <v>125.83333333333333</v>
          </cell>
          <cell r="D643">
            <v>45.666666666666664</v>
          </cell>
          <cell r="E643">
            <v>50</v>
          </cell>
        </row>
        <row r="644">
          <cell r="A644" t="str">
            <v>Cape Town (Colliers - nicht in PPC)</v>
          </cell>
          <cell r="B644">
            <v>97.5</v>
          </cell>
          <cell r="C644">
            <v>142.5</v>
          </cell>
          <cell r="D644">
            <v>45</v>
          </cell>
          <cell r="E644">
            <v>50</v>
          </cell>
        </row>
        <row r="645">
          <cell r="A645" t="str">
            <v>(Leer)</v>
          </cell>
          <cell r="B645">
            <v>97.5</v>
          </cell>
          <cell r="C645">
            <v>142.5</v>
          </cell>
          <cell r="D645">
            <v>45</v>
          </cell>
          <cell r="E645">
            <v>50</v>
          </cell>
        </row>
        <row r="646">
          <cell r="A646" t="str">
            <v>Durban (Colliers - nicht in PPC)</v>
          </cell>
          <cell r="B646">
            <v>105</v>
          </cell>
          <cell r="C646">
            <v>120</v>
          </cell>
          <cell r="D646">
            <v>42</v>
          </cell>
          <cell r="E646">
            <v>45</v>
          </cell>
        </row>
        <row r="647">
          <cell r="A647" t="str">
            <v>(Leer)</v>
          </cell>
          <cell r="B647">
            <v>105</v>
          </cell>
          <cell r="C647">
            <v>120</v>
          </cell>
          <cell r="D647">
            <v>42</v>
          </cell>
          <cell r="E647">
            <v>45</v>
          </cell>
        </row>
        <row r="648">
          <cell r="A648" t="str">
            <v>Südafrika</v>
          </cell>
          <cell r="B648" t="e">
            <v>#DIV/0!</v>
          </cell>
          <cell r="C648" t="e">
            <v>#DIV/0!</v>
          </cell>
          <cell r="D648" t="e">
            <v>#DIV/0!</v>
          </cell>
          <cell r="E648" t="e">
            <v>#DIV/0!</v>
          </cell>
        </row>
        <row r="649">
          <cell r="A649" t="str">
            <v>(Leer)</v>
          </cell>
          <cell r="B649" t="e">
            <v>#DIV/0!</v>
          </cell>
          <cell r="C649" t="e">
            <v>#DIV/0!</v>
          </cell>
          <cell r="D649" t="e">
            <v>#DIV/0!</v>
          </cell>
          <cell r="E649" t="e">
            <v>#DIV/0!</v>
          </cell>
        </row>
        <row r="650">
          <cell r="A650" t="str">
            <v>Südafrika - Gauteng (Johannesburg)</v>
          </cell>
          <cell r="B650">
            <v>102.5</v>
          </cell>
          <cell r="C650">
            <v>115</v>
          </cell>
          <cell r="D650">
            <v>50</v>
          </cell>
          <cell r="E650">
            <v>55</v>
          </cell>
        </row>
        <row r="651">
          <cell r="A651" t="str">
            <v xml:space="preserve"> Johannesburg (Colliers nicht in PPC)</v>
          </cell>
          <cell r="B651">
            <v>102.5</v>
          </cell>
          <cell r="C651">
            <v>115</v>
          </cell>
          <cell r="D651">
            <v>50</v>
          </cell>
          <cell r="E651">
            <v>55</v>
          </cell>
        </row>
        <row r="652">
          <cell r="A652" t="str">
            <v>Südafrika - Kwa-Zulu Natal</v>
          </cell>
          <cell r="B652" t="e">
            <v>#DIV/0!</v>
          </cell>
          <cell r="C652" t="e">
            <v>#DIV/0!</v>
          </cell>
          <cell r="D652" t="e">
            <v>#DIV/0!</v>
          </cell>
          <cell r="E652" t="e">
            <v>#DIV/0!</v>
          </cell>
        </row>
        <row r="653">
          <cell r="A653" t="str">
            <v>(Leer)</v>
          </cell>
          <cell r="B653" t="e">
            <v>#DIV/0!</v>
          </cell>
          <cell r="C653" t="e">
            <v>#DIV/0!</v>
          </cell>
          <cell r="D653" t="e">
            <v>#DIV/0!</v>
          </cell>
          <cell r="E653" t="e">
            <v>#DIV/0!</v>
          </cell>
        </row>
        <row r="654">
          <cell r="A654" t="str">
            <v>Südafrika - Western Cape (Cape Town)</v>
          </cell>
          <cell r="B654" t="e">
            <v>#DIV/0!</v>
          </cell>
          <cell r="C654" t="e">
            <v>#DIV/0!</v>
          </cell>
          <cell r="D654" t="e">
            <v>#DIV/0!</v>
          </cell>
          <cell r="E654" t="e">
            <v>#DIV/0!</v>
          </cell>
        </row>
        <row r="655">
          <cell r="A655" t="str">
            <v>(Leer)</v>
          </cell>
          <cell r="B655" t="e">
            <v>#DIV/0!</v>
          </cell>
          <cell r="C655" t="e">
            <v>#DIV/0!</v>
          </cell>
          <cell r="D655" t="e">
            <v>#DIV/0!</v>
          </cell>
          <cell r="E655" t="e">
            <v>#DIV/0!</v>
          </cell>
        </row>
        <row r="656">
          <cell r="A656" t="str">
            <v>Süd-Korea</v>
          </cell>
          <cell r="B656">
            <v>36640</v>
          </cell>
          <cell r="C656">
            <v>42915</v>
          </cell>
          <cell r="D656">
            <v>12000</v>
          </cell>
          <cell r="E656">
            <v>12000</v>
          </cell>
        </row>
        <row r="657">
          <cell r="A657" t="str">
            <v>Süd-Korea</v>
          </cell>
          <cell r="B657" t="e">
            <v>#DIV/0!</v>
          </cell>
          <cell r="C657" t="e">
            <v>#DIV/0!</v>
          </cell>
          <cell r="D657" t="e">
            <v>#DIV/0!</v>
          </cell>
          <cell r="E657" t="e">
            <v>#DIV/0!</v>
          </cell>
        </row>
        <row r="658">
          <cell r="A658" t="str">
            <v>(Leer)</v>
          </cell>
          <cell r="B658" t="e">
            <v>#DIV/0!</v>
          </cell>
          <cell r="C658" t="e">
            <v>#DIV/0!</v>
          </cell>
          <cell r="D658" t="e">
            <v>#DIV/0!</v>
          </cell>
          <cell r="E658" t="e">
            <v>#DIV/0!</v>
          </cell>
        </row>
        <row r="659">
          <cell r="A659" t="str">
            <v>Süd-Korea - Provinz</v>
          </cell>
          <cell r="B659" t="e">
            <v>#DIV/0!</v>
          </cell>
          <cell r="C659" t="e">
            <v>#DIV/0!</v>
          </cell>
          <cell r="D659" t="e">
            <v>#DIV/0!</v>
          </cell>
          <cell r="E659" t="e">
            <v>#DIV/0!</v>
          </cell>
        </row>
        <row r="660">
          <cell r="A660" t="str">
            <v>(Leer)</v>
          </cell>
          <cell r="B660" t="e">
            <v>#DIV/0!</v>
          </cell>
          <cell r="C660" t="e">
            <v>#DIV/0!</v>
          </cell>
          <cell r="D660" t="e">
            <v>#DIV/0!</v>
          </cell>
          <cell r="E660" t="e">
            <v>#DIV/0!</v>
          </cell>
        </row>
        <row r="661">
          <cell r="A661" t="str">
            <v>Süd-Korea - Seoul</v>
          </cell>
          <cell r="B661">
            <v>36640</v>
          </cell>
          <cell r="C661">
            <v>42915</v>
          </cell>
          <cell r="D661">
            <v>12000</v>
          </cell>
          <cell r="E661">
            <v>12000</v>
          </cell>
        </row>
        <row r="662">
          <cell r="A662" t="str">
            <v>(Leer)</v>
          </cell>
          <cell r="B662">
            <v>36640</v>
          </cell>
          <cell r="C662">
            <v>42915</v>
          </cell>
          <cell r="D662">
            <v>12000</v>
          </cell>
          <cell r="E662">
            <v>12000</v>
          </cell>
        </row>
        <row r="663">
          <cell r="A663" t="str">
            <v>Taiwan</v>
          </cell>
          <cell r="B663">
            <v>9706.4159999999993</v>
          </cell>
          <cell r="C663">
            <v>13885.2</v>
          </cell>
          <cell r="D663" t="e">
            <v>#DIV/0!</v>
          </cell>
          <cell r="E663" t="e">
            <v>#DIV/0!</v>
          </cell>
        </row>
        <row r="664">
          <cell r="A664" t="str">
            <v>Taipei</v>
          </cell>
          <cell r="B664">
            <v>9706.4159999999993</v>
          </cell>
          <cell r="C664">
            <v>13885.2</v>
          </cell>
          <cell r="D664" t="e">
            <v>#DIV/0!</v>
          </cell>
          <cell r="E664" t="e">
            <v>#DIV/0!</v>
          </cell>
        </row>
        <row r="665">
          <cell r="A665" t="str">
            <v>(Leer)</v>
          </cell>
          <cell r="B665">
            <v>9706.4159999999993</v>
          </cell>
          <cell r="C665">
            <v>13885.2</v>
          </cell>
          <cell r="D665" t="e">
            <v>#DIV/0!</v>
          </cell>
          <cell r="E665" t="e">
            <v>#DIV/0!</v>
          </cell>
        </row>
        <row r="666">
          <cell r="A666" t="str">
            <v>Taiwan</v>
          </cell>
          <cell r="B666" t="e">
            <v>#DIV/0!</v>
          </cell>
          <cell r="C666" t="e">
            <v>#DIV/0!</v>
          </cell>
          <cell r="D666" t="e">
            <v>#DIV/0!</v>
          </cell>
          <cell r="E666" t="e">
            <v>#DIV/0!</v>
          </cell>
        </row>
        <row r="667">
          <cell r="A667" t="str">
            <v>(Leer)</v>
          </cell>
          <cell r="B667" t="e">
            <v>#DIV/0!</v>
          </cell>
          <cell r="C667" t="e">
            <v>#DIV/0!</v>
          </cell>
          <cell r="D667" t="e">
            <v>#DIV/0!</v>
          </cell>
          <cell r="E667" t="e">
            <v>#DIV/0!</v>
          </cell>
        </row>
        <row r="668">
          <cell r="A668" t="str">
            <v>Thailand</v>
          </cell>
          <cell r="B668">
            <v>548</v>
          </cell>
          <cell r="C668">
            <v>677.5</v>
          </cell>
          <cell r="D668" t="e">
            <v>#DIV/0!</v>
          </cell>
          <cell r="E668" t="e">
            <v>#DIV/0!</v>
          </cell>
        </row>
        <row r="669">
          <cell r="A669" t="str">
            <v>Bankgkok (Colliers nicht in PPC)</v>
          </cell>
          <cell r="B669">
            <v>548</v>
          </cell>
          <cell r="C669">
            <v>677.5</v>
          </cell>
          <cell r="D669" t="e">
            <v>#DIV/0!</v>
          </cell>
          <cell r="E669" t="e">
            <v>#DIV/0!</v>
          </cell>
        </row>
        <row r="670">
          <cell r="A670" t="str">
            <v>(Leer)</v>
          </cell>
          <cell r="B670">
            <v>548</v>
          </cell>
          <cell r="C670">
            <v>677.5</v>
          </cell>
          <cell r="D670" t="e">
            <v>#DIV/0!</v>
          </cell>
          <cell r="E670" t="e">
            <v>#DIV/0!</v>
          </cell>
        </row>
        <row r="671">
          <cell r="A671" t="str">
            <v>Chonburi Province (Colliers nicht in PPC)</v>
          </cell>
          <cell r="B671" t="e">
            <v>#DIV/0!</v>
          </cell>
          <cell r="C671" t="e">
            <v>#DIV/0!</v>
          </cell>
          <cell r="D671" t="e">
            <v>#DIV/0!</v>
          </cell>
          <cell r="E671" t="e">
            <v>#DIV/0!</v>
          </cell>
        </row>
        <row r="672">
          <cell r="A672" t="str">
            <v>(Leer)</v>
          </cell>
          <cell r="B672" t="e">
            <v>#DIV/0!</v>
          </cell>
          <cell r="C672" t="e">
            <v>#DIV/0!</v>
          </cell>
          <cell r="D672" t="e">
            <v>#DIV/0!</v>
          </cell>
          <cell r="E672" t="e">
            <v>#DIV/0!</v>
          </cell>
        </row>
        <row r="673">
          <cell r="A673" t="str">
            <v>Thailand</v>
          </cell>
          <cell r="B673" t="e">
            <v>#DIV/0!</v>
          </cell>
          <cell r="C673" t="e">
            <v>#DIV/0!</v>
          </cell>
          <cell r="D673" t="e">
            <v>#DIV/0!</v>
          </cell>
          <cell r="E673" t="e">
            <v>#DIV/0!</v>
          </cell>
        </row>
        <row r="674">
          <cell r="A674" t="str">
            <v>(Leer)</v>
          </cell>
          <cell r="B674" t="e">
            <v>#DIV/0!</v>
          </cell>
          <cell r="C674" t="e">
            <v>#DIV/0!</v>
          </cell>
          <cell r="D674" t="e">
            <v>#DIV/0!</v>
          </cell>
          <cell r="E674" t="e">
            <v>#DIV/0!</v>
          </cell>
        </row>
        <row r="675">
          <cell r="A675" t="str">
            <v>Tschechien</v>
          </cell>
          <cell r="B675">
            <v>437.63099999999997</v>
          </cell>
          <cell r="C675">
            <v>540.60299999999995</v>
          </cell>
          <cell r="D675">
            <v>97.823399999999992</v>
          </cell>
          <cell r="E675">
            <v>110.69489999999999</v>
          </cell>
        </row>
        <row r="676">
          <cell r="A676" t="str">
            <v>Tschechien</v>
          </cell>
          <cell r="B676" t="e">
            <v>#DIV/0!</v>
          </cell>
          <cell r="C676" t="e">
            <v>#DIV/0!</v>
          </cell>
          <cell r="D676" t="e">
            <v>#DIV/0!</v>
          </cell>
          <cell r="E676" t="e">
            <v>#DIV/0!</v>
          </cell>
        </row>
        <row r="677">
          <cell r="A677" t="str">
            <v>(Leer)</v>
          </cell>
          <cell r="B677" t="e">
            <v>#DIV/0!</v>
          </cell>
          <cell r="C677" t="e">
            <v>#DIV/0!</v>
          </cell>
          <cell r="D677" t="e">
            <v>#DIV/0!</v>
          </cell>
          <cell r="E677" t="e">
            <v>#DIV/0!</v>
          </cell>
        </row>
        <row r="678">
          <cell r="A678" t="str">
            <v>Tschechien - Nordböhmen</v>
          </cell>
          <cell r="B678" t="e">
            <v>#DIV/0!</v>
          </cell>
          <cell r="C678" t="e">
            <v>#DIV/0!</v>
          </cell>
          <cell r="D678" t="e">
            <v>#DIV/0!</v>
          </cell>
          <cell r="E678" t="e">
            <v>#DIV/0!</v>
          </cell>
        </row>
        <row r="679">
          <cell r="A679" t="str">
            <v>(Leer)</v>
          </cell>
          <cell r="B679" t="e">
            <v>#DIV/0!</v>
          </cell>
          <cell r="C679" t="e">
            <v>#DIV/0!</v>
          </cell>
          <cell r="D679" t="e">
            <v>#DIV/0!</v>
          </cell>
          <cell r="E679" t="e">
            <v>#DIV/0!</v>
          </cell>
        </row>
        <row r="680">
          <cell r="A680" t="str">
            <v>Tschechien - Prag</v>
          </cell>
          <cell r="B680">
            <v>437.63099999999997</v>
          </cell>
          <cell r="C680">
            <v>540.60299999999995</v>
          </cell>
          <cell r="D680">
            <v>97.823399999999992</v>
          </cell>
          <cell r="E680">
            <v>110.69489999999999</v>
          </cell>
        </row>
        <row r="681">
          <cell r="A681" t="str">
            <v>(Leer)</v>
          </cell>
          <cell r="B681">
            <v>437.63099999999997</v>
          </cell>
          <cell r="C681">
            <v>540.60299999999995</v>
          </cell>
          <cell r="D681">
            <v>97.823399999999992</v>
          </cell>
          <cell r="E681">
            <v>110.69489999999999</v>
          </cell>
        </row>
        <row r="682">
          <cell r="A682" t="str">
            <v>Tschechien - Südböhmen</v>
          </cell>
          <cell r="B682" t="e">
            <v>#DIV/0!</v>
          </cell>
          <cell r="C682" t="e">
            <v>#DIV/0!</v>
          </cell>
          <cell r="D682" t="e">
            <v>#DIV/0!</v>
          </cell>
          <cell r="E682" t="e">
            <v>#DIV/0!</v>
          </cell>
        </row>
        <row r="683">
          <cell r="A683" t="str">
            <v>(Leer)</v>
          </cell>
          <cell r="B683" t="e">
            <v>#DIV/0!</v>
          </cell>
          <cell r="C683" t="e">
            <v>#DIV/0!</v>
          </cell>
          <cell r="D683" t="e">
            <v>#DIV/0!</v>
          </cell>
          <cell r="E683" t="e">
            <v>#DIV/0!</v>
          </cell>
        </row>
        <row r="684">
          <cell r="A684" t="str">
            <v>Tunesien</v>
          </cell>
          <cell r="B684">
            <v>28.160999999999998</v>
          </cell>
          <cell r="C684" t="e">
            <v>#DIV/0!</v>
          </cell>
          <cell r="D684">
            <v>6.2579999999999991</v>
          </cell>
          <cell r="E684" t="e">
            <v>#DIV/0!</v>
          </cell>
        </row>
        <row r="685">
          <cell r="A685" t="str">
            <v>Tunesien</v>
          </cell>
          <cell r="B685">
            <v>28.160999999999998</v>
          </cell>
          <cell r="C685" t="e">
            <v>#DIV/0!</v>
          </cell>
          <cell r="D685">
            <v>6.2579999999999991</v>
          </cell>
          <cell r="E685" t="e">
            <v>#DIV/0!</v>
          </cell>
        </row>
        <row r="686">
          <cell r="A686" t="str">
            <v>(Leer)</v>
          </cell>
          <cell r="B686">
            <v>28.160999999999998</v>
          </cell>
          <cell r="C686" t="e">
            <v>#DIV/0!</v>
          </cell>
          <cell r="D686">
            <v>6.2579999999999991</v>
          </cell>
          <cell r="E686" t="e">
            <v>#DIV/0!</v>
          </cell>
        </row>
        <row r="687">
          <cell r="A687" t="str">
            <v>Türkei</v>
          </cell>
          <cell r="B687">
            <v>45.878321985504073</v>
          </cell>
          <cell r="C687">
            <v>74.830661102569749</v>
          </cell>
          <cell r="D687">
            <v>10.69009444322425</v>
          </cell>
          <cell r="E687">
            <v>10.69009444322425</v>
          </cell>
        </row>
        <row r="688">
          <cell r="A688" t="str">
            <v>Türkei</v>
          </cell>
          <cell r="B688" t="e">
            <v>#DIV/0!</v>
          </cell>
          <cell r="C688" t="e">
            <v>#DIV/0!</v>
          </cell>
          <cell r="D688" t="e">
            <v>#DIV/0!</v>
          </cell>
          <cell r="E688" t="e">
            <v>#DIV/0!</v>
          </cell>
        </row>
        <row r="689">
          <cell r="A689" t="str">
            <v>(Leer)</v>
          </cell>
          <cell r="B689" t="e">
            <v>#DIV/0!</v>
          </cell>
          <cell r="C689" t="e">
            <v>#DIV/0!</v>
          </cell>
          <cell r="D689" t="e">
            <v>#DIV/0!</v>
          </cell>
          <cell r="E689" t="e">
            <v>#DIV/0!</v>
          </cell>
        </row>
        <row r="690">
          <cell r="A690" t="str">
            <v>Türkei - Istanbul</v>
          </cell>
          <cell r="B690">
            <v>45.878321985504073</v>
          </cell>
          <cell r="C690">
            <v>74.830661102569749</v>
          </cell>
          <cell r="D690">
            <v>10.69009444322425</v>
          </cell>
          <cell r="E690">
            <v>10.69009444322425</v>
          </cell>
        </row>
        <row r="691">
          <cell r="A691" t="str">
            <v>(Leer)</v>
          </cell>
          <cell r="B691">
            <v>45.878321985504073</v>
          </cell>
          <cell r="C691">
            <v>74.830661102569749</v>
          </cell>
          <cell r="D691">
            <v>10.69009444322425</v>
          </cell>
          <cell r="E691">
            <v>10.69009444322425</v>
          </cell>
        </row>
        <row r="692">
          <cell r="A692" t="str">
            <v>Türkei - Westanatolien (Ankara, Konya)</v>
          </cell>
          <cell r="B692" t="e">
            <v>#DIV/0!</v>
          </cell>
          <cell r="C692" t="e">
            <v>#DIV/0!</v>
          </cell>
          <cell r="D692" t="e">
            <v>#DIV/0!</v>
          </cell>
          <cell r="E692" t="e">
            <v>#DIV/0!</v>
          </cell>
        </row>
        <row r="693">
          <cell r="A693" t="str">
            <v>Ankara, Konya (Colliers nicht in PPC)</v>
          </cell>
          <cell r="B693" t="e">
            <v>#DIV/0!</v>
          </cell>
          <cell r="C693" t="e">
            <v>#DIV/0!</v>
          </cell>
          <cell r="D693" t="e">
            <v>#DIV/0!</v>
          </cell>
          <cell r="E693" t="e">
            <v>#DIV/0!</v>
          </cell>
        </row>
        <row r="694">
          <cell r="A694" t="str">
            <v>Türkei - Westen (Izmir)</v>
          </cell>
          <cell r="B694" t="e">
            <v>#DIV/0!</v>
          </cell>
          <cell r="C694" t="e">
            <v>#DIV/0!</v>
          </cell>
          <cell r="D694" t="e">
            <v>#DIV/0!</v>
          </cell>
          <cell r="E694" t="e">
            <v>#DIV/0!</v>
          </cell>
        </row>
        <row r="695">
          <cell r="A695" t="str">
            <v>Izmir (Colliers nicht in PPC)</v>
          </cell>
          <cell r="B695" t="e">
            <v>#DIV/0!</v>
          </cell>
          <cell r="C695" t="e">
            <v>#DIV/0!</v>
          </cell>
          <cell r="D695" t="e">
            <v>#DIV/0!</v>
          </cell>
          <cell r="E695" t="e">
            <v>#DIV/0!</v>
          </cell>
        </row>
        <row r="696">
          <cell r="A696" t="str">
            <v>Türkei - Westliches Schwarzmeer</v>
          </cell>
          <cell r="B696" t="e">
            <v>#DIV/0!</v>
          </cell>
          <cell r="C696" t="e">
            <v>#DIV/0!</v>
          </cell>
          <cell r="D696" t="e">
            <v>#DIV/0!</v>
          </cell>
          <cell r="E696" t="e">
            <v>#DIV/0!</v>
          </cell>
        </row>
        <row r="697">
          <cell r="A697" t="str">
            <v>(Leer)</v>
          </cell>
          <cell r="B697" t="e">
            <v>#DIV/0!</v>
          </cell>
          <cell r="C697" t="e">
            <v>#DIV/0!</v>
          </cell>
          <cell r="D697" t="e">
            <v>#DIV/0!</v>
          </cell>
          <cell r="E697" t="e">
            <v>#DIV/0!</v>
          </cell>
        </row>
        <row r="698">
          <cell r="A698" t="str">
            <v>Türkei - Zentrum</v>
          </cell>
          <cell r="B698" t="e">
            <v>#DIV/0!</v>
          </cell>
          <cell r="C698" t="e">
            <v>#DIV/0!</v>
          </cell>
          <cell r="D698" t="e">
            <v>#DIV/0!</v>
          </cell>
          <cell r="E698" t="e">
            <v>#DIV/0!</v>
          </cell>
        </row>
        <row r="699">
          <cell r="A699" t="str">
            <v>(Leer)</v>
          </cell>
          <cell r="B699" t="e">
            <v>#DIV/0!</v>
          </cell>
          <cell r="C699" t="e">
            <v>#DIV/0!</v>
          </cell>
          <cell r="D699" t="e">
            <v>#DIV/0!</v>
          </cell>
          <cell r="E699" t="e">
            <v>#DIV/0!</v>
          </cell>
        </row>
        <row r="700">
          <cell r="A700" t="str">
            <v>Ukraine</v>
          </cell>
          <cell r="B700">
            <v>252.21243136393588</v>
          </cell>
          <cell r="C700">
            <v>354.67373160553484</v>
          </cell>
          <cell r="D700">
            <v>45.713503184713375</v>
          </cell>
          <cell r="E700">
            <v>55.171469360860975</v>
          </cell>
        </row>
        <row r="701">
          <cell r="A701" t="str">
            <v>Ukraine</v>
          </cell>
          <cell r="B701" t="e">
            <v>#DIV/0!</v>
          </cell>
          <cell r="C701" t="e">
            <v>#DIV/0!</v>
          </cell>
          <cell r="D701" t="e">
            <v>#DIV/0!</v>
          </cell>
          <cell r="E701" t="e">
            <v>#DIV/0!</v>
          </cell>
        </row>
        <row r="702">
          <cell r="A702" t="str">
            <v>(Leer)</v>
          </cell>
          <cell r="B702" t="e">
            <v>#DIV/0!</v>
          </cell>
          <cell r="C702" t="e">
            <v>#DIV/0!</v>
          </cell>
          <cell r="D702" t="e">
            <v>#DIV/0!</v>
          </cell>
          <cell r="E702" t="e">
            <v>#DIV/0!</v>
          </cell>
        </row>
        <row r="703">
          <cell r="A703" t="str">
            <v>Ukraine - Kiew Region</v>
          </cell>
          <cell r="B703" t="e">
            <v>#DIV/0!</v>
          </cell>
          <cell r="C703" t="e">
            <v>#DIV/0!</v>
          </cell>
          <cell r="D703" t="e">
            <v>#DIV/0!</v>
          </cell>
          <cell r="E703" t="e">
            <v>#DIV/0!</v>
          </cell>
        </row>
        <row r="704">
          <cell r="A704" t="str">
            <v>(Leer)</v>
          </cell>
          <cell r="B704" t="e">
            <v>#DIV/0!</v>
          </cell>
          <cell r="C704" t="e">
            <v>#DIV/0!</v>
          </cell>
          <cell r="D704" t="e">
            <v>#DIV/0!</v>
          </cell>
          <cell r="E704" t="e">
            <v>#DIV/0!</v>
          </cell>
        </row>
        <row r="705">
          <cell r="A705" t="str">
            <v>Ukraine - Kiew Stadt</v>
          </cell>
          <cell r="B705">
            <v>252.21243136393588</v>
          </cell>
          <cell r="C705">
            <v>354.67373160553484</v>
          </cell>
          <cell r="D705">
            <v>45.713503184713375</v>
          </cell>
          <cell r="E705">
            <v>55.171469360860975</v>
          </cell>
        </row>
        <row r="706">
          <cell r="A706" t="str">
            <v>(Leer)</v>
          </cell>
          <cell r="B706">
            <v>252.21243136393588</v>
          </cell>
          <cell r="C706">
            <v>354.67373160553484</v>
          </cell>
          <cell r="D706">
            <v>45.713503184713375</v>
          </cell>
          <cell r="E706">
            <v>55.171469360860975</v>
          </cell>
        </row>
        <row r="707">
          <cell r="A707" t="str">
            <v>Ukraine - Nord</v>
          </cell>
          <cell r="B707" t="e">
            <v>#DIV/0!</v>
          </cell>
          <cell r="C707" t="e">
            <v>#DIV/0!</v>
          </cell>
          <cell r="D707" t="e">
            <v>#DIV/0!</v>
          </cell>
          <cell r="E707" t="e">
            <v>#DIV/0!</v>
          </cell>
        </row>
        <row r="708">
          <cell r="A708" t="str">
            <v>(Leer)</v>
          </cell>
          <cell r="B708" t="e">
            <v>#DIV/0!</v>
          </cell>
          <cell r="C708" t="e">
            <v>#DIV/0!</v>
          </cell>
          <cell r="D708" t="e">
            <v>#DIV/0!</v>
          </cell>
          <cell r="E708" t="e">
            <v>#DIV/0!</v>
          </cell>
        </row>
        <row r="709">
          <cell r="A709" t="str">
            <v>Ukraine - Ost</v>
          </cell>
          <cell r="B709" t="e">
            <v>#DIV/0!</v>
          </cell>
          <cell r="C709" t="e">
            <v>#DIV/0!</v>
          </cell>
          <cell r="D709" t="e">
            <v>#DIV/0!</v>
          </cell>
          <cell r="E709" t="e">
            <v>#DIV/0!</v>
          </cell>
        </row>
        <row r="710">
          <cell r="A710" t="str">
            <v>(Leer)</v>
          </cell>
          <cell r="B710" t="e">
            <v>#DIV/0!</v>
          </cell>
          <cell r="C710" t="e">
            <v>#DIV/0!</v>
          </cell>
          <cell r="D710" t="e">
            <v>#DIV/0!</v>
          </cell>
          <cell r="E710" t="e">
            <v>#DIV/0!</v>
          </cell>
        </row>
        <row r="711">
          <cell r="A711" t="str">
            <v>Ukraine - Süd</v>
          </cell>
          <cell r="B711" t="e">
            <v>#DIV/0!</v>
          </cell>
          <cell r="C711" t="e">
            <v>#DIV/0!</v>
          </cell>
          <cell r="D711" t="e">
            <v>#DIV/0!</v>
          </cell>
          <cell r="E711" t="e">
            <v>#DIV/0!</v>
          </cell>
        </row>
        <row r="712">
          <cell r="A712" t="str">
            <v>(Leer)</v>
          </cell>
          <cell r="B712" t="e">
            <v>#DIV/0!</v>
          </cell>
          <cell r="C712" t="e">
            <v>#DIV/0!</v>
          </cell>
          <cell r="D712" t="e">
            <v>#DIV/0!</v>
          </cell>
          <cell r="E712" t="e">
            <v>#DIV/0!</v>
          </cell>
        </row>
        <row r="713">
          <cell r="A713" t="str">
            <v>Ukraine - West</v>
          </cell>
          <cell r="B713" t="e">
            <v>#DIV/0!</v>
          </cell>
          <cell r="C713" t="e">
            <v>#DIV/0!</v>
          </cell>
          <cell r="D713" t="e">
            <v>#DIV/0!</v>
          </cell>
          <cell r="E713" t="e">
            <v>#DIV/0!</v>
          </cell>
        </row>
        <row r="714">
          <cell r="A714" t="str">
            <v>(Leer)</v>
          </cell>
          <cell r="B714" t="e">
            <v>#DIV/0!</v>
          </cell>
          <cell r="C714" t="e">
            <v>#DIV/0!</v>
          </cell>
          <cell r="D714" t="e">
            <v>#DIV/0!</v>
          </cell>
          <cell r="E714" t="e">
            <v>#DIV/0!</v>
          </cell>
        </row>
        <row r="715">
          <cell r="A715" t="str">
            <v>Ungarn</v>
          </cell>
          <cell r="B715">
            <v>3945.0000000000005</v>
          </cell>
          <cell r="C715">
            <v>5680.8</v>
          </cell>
          <cell r="D715">
            <v>1136.1600000000001</v>
          </cell>
          <cell r="E715">
            <v>1262.4000000000001</v>
          </cell>
        </row>
        <row r="716">
          <cell r="A716" t="str">
            <v>Ungarn</v>
          </cell>
          <cell r="B716" t="e">
            <v>#DIV/0!</v>
          </cell>
          <cell r="C716" t="e">
            <v>#DIV/0!</v>
          </cell>
          <cell r="D716" t="e">
            <v>#DIV/0!</v>
          </cell>
          <cell r="E716" t="e">
            <v>#DIV/0!</v>
          </cell>
        </row>
        <row r="717">
          <cell r="A717" t="str">
            <v>(Leer)</v>
          </cell>
          <cell r="B717" t="e">
            <v>#DIV/0!</v>
          </cell>
          <cell r="C717" t="e">
            <v>#DIV/0!</v>
          </cell>
          <cell r="D717" t="e">
            <v>#DIV/0!</v>
          </cell>
          <cell r="E717" t="e">
            <v>#DIV/0!</v>
          </cell>
        </row>
        <row r="718">
          <cell r="A718" t="str">
            <v>Ungarn - Budapest</v>
          </cell>
          <cell r="B718">
            <v>3945.0000000000005</v>
          </cell>
          <cell r="C718">
            <v>5680.8</v>
          </cell>
          <cell r="D718">
            <v>1136.1600000000001</v>
          </cell>
          <cell r="E718">
            <v>1262.4000000000001</v>
          </cell>
        </row>
        <row r="719">
          <cell r="A719" t="str">
            <v>(Leer)</v>
          </cell>
          <cell r="B719">
            <v>3945.0000000000005</v>
          </cell>
          <cell r="C719">
            <v>5680.8</v>
          </cell>
          <cell r="D719">
            <v>1136.1600000000001</v>
          </cell>
          <cell r="E719">
            <v>1262.4000000000001</v>
          </cell>
        </row>
        <row r="720">
          <cell r="A720" t="str">
            <v>Ungarn - Ost</v>
          </cell>
          <cell r="B720" t="e">
            <v>#DIV/0!</v>
          </cell>
          <cell r="C720" t="e">
            <v>#DIV/0!</v>
          </cell>
          <cell r="D720" t="e">
            <v>#DIV/0!</v>
          </cell>
          <cell r="E720" t="e">
            <v>#DIV/0!</v>
          </cell>
        </row>
        <row r="721">
          <cell r="A721" t="str">
            <v>(Leer)</v>
          </cell>
          <cell r="B721" t="e">
            <v>#DIV/0!</v>
          </cell>
          <cell r="C721" t="e">
            <v>#DIV/0!</v>
          </cell>
          <cell r="D721" t="e">
            <v>#DIV/0!</v>
          </cell>
          <cell r="E721" t="e">
            <v>#DIV/0!</v>
          </cell>
        </row>
        <row r="722">
          <cell r="A722" t="str">
            <v>Ungarn - West</v>
          </cell>
          <cell r="B722" t="e">
            <v>#DIV/0!</v>
          </cell>
          <cell r="C722" t="e">
            <v>#DIV/0!</v>
          </cell>
          <cell r="D722" t="e">
            <v>#DIV/0!</v>
          </cell>
          <cell r="E722" t="e">
            <v>#DIV/0!</v>
          </cell>
        </row>
        <row r="723">
          <cell r="A723" t="str">
            <v>(Leer)</v>
          </cell>
          <cell r="B723" t="e">
            <v>#DIV/0!</v>
          </cell>
          <cell r="C723" t="e">
            <v>#DIV/0!</v>
          </cell>
          <cell r="D723" t="e">
            <v>#DIV/0!</v>
          </cell>
          <cell r="E723" t="e">
            <v>#DIV/0!</v>
          </cell>
        </row>
        <row r="724">
          <cell r="A724" t="str">
            <v>USA</v>
          </cell>
          <cell r="B724">
            <v>24.640185202614383</v>
          </cell>
          <cell r="C724">
            <v>38.156075518115941</v>
          </cell>
          <cell r="D724">
            <v>3.2106321722222222</v>
          </cell>
          <cell r="E724">
            <v>3.42090196875</v>
          </cell>
        </row>
        <row r="725">
          <cell r="A725" t="str">
            <v>USA</v>
          </cell>
          <cell r="B725" t="e">
            <v>#DIV/0!</v>
          </cell>
          <cell r="C725" t="e">
            <v>#DIV/0!</v>
          </cell>
          <cell r="D725" t="e">
            <v>#DIV/0!</v>
          </cell>
          <cell r="E725" t="e">
            <v>#DIV/0!</v>
          </cell>
        </row>
        <row r="726">
          <cell r="A726" t="str">
            <v>gesamt</v>
          </cell>
          <cell r="B726" t="e">
            <v>#DIV/0!</v>
          </cell>
          <cell r="C726" t="e">
            <v>#DIV/0!</v>
          </cell>
          <cell r="D726" t="e">
            <v>#DIV/0!</v>
          </cell>
          <cell r="E726" t="e">
            <v>#DIV/0!</v>
          </cell>
        </row>
        <row r="727">
          <cell r="A727" t="str">
            <v>USA - Alabama</v>
          </cell>
          <cell r="B727" t="e">
            <v>#DIV/0!</v>
          </cell>
          <cell r="C727" t="e">
            <v>#DIV/0!</v>
          </cell>
          <cell r="D727" t="e">
            <v>#DIV/0!</v>
          </cell>
          <cell r="E727" t="e">
            <v>#DIV/0!</v>
          </cell>
        </row>
        <row r="728">
          <cell r="A728" t="str">
            <v>gesamt</v>
          </cell>
          <cell r="B728" t="e">
            <v>#DIV/0!</v>
          </cell>
          <cell r="C728" t="e">
            <v>#DIV/0!</v>
          </cell>
          <cell r="D728" t="e">
            <v>#DIV/0!</v>
          </cell>
          <cell r="E728" t="e">
            <v>#DIV/0!</v>
          </cell>
        </row>
        <row r="729">
          <cell r="A729" t="str">
            <v>USA - Arizona</v>
          </cell>
          <cell r="B729">
            <v>23.398027625000001</v>
          </cell>
          <cell r="C729">
            <v>34.758427083333331</v>
          </cell>
          <cell r="D729" t="e">
            <v>#DIV/0!</v>
          </cell>
          <cell r="E729" t="e">
            <v>#DIV/0!</v>
          </cell>
        </row>
        <row r="730">
          <cell r="A730" t="str">
            <v>gesamt</v>
          </cell>
          <cell r="B730" t="e">
            <v>#DIV/0!</v>
          </cell>
          <cell r="C730" t="e">
            <v>#DIV/0!</v>
          </cell>
          <cell r="D730" t="e">
            <v>#DIV/0!</v>
          </cell>
          <cell r="E730" t="e">
            <v>#DIV/0!</v>
          </cell>
        </row>
        <row r="731">
          <cell r="A731" t="str">
            <v>Phoenix</v>
          </cell>
          <cell r="B731">
            <v>23.398027625000001</v>
          </cell>
          <cell r="C731">
            <v>34.758427083333331</v>
          </cell>
          <cell r="D731" t="e">
            <v>#DIV/0!</v>
          </cell>
          <cell r="E731" t="e">
            <v>#DIV/0!</v>
          </cell>
        </row>
        <row r="732">
          <cell r="A732" t="str">
            <v>USA - Colorado</v>
          </cell>
          <cell r="B732">
            <v>21.415676041666664</v>
          </cell>
          <cell r="C732">
            <v>28.927981249999998</v>
          </cell>
          <cell r="D732">
            <v>2.9152229166666666</v>
          </cell>
          <cell r="E732">
            <v>3.1394708333333332</v>
          </cell>
        </row>
        <row r="733">
          <cell r="A733" t="str">
            <v>Denver (Colliers nicht in PPC)</v>
          </cell>
          <cell r="B733">
            <v>21.415676041666664</v>
          </cell>
          <cell r="C733">
            <v>28.927981249999998</v>
          </cell>
          <cell r="D733">
            <v>2.9152229166666666</v>
          </cell>
          <cell r="E733">
            <v>3.1394708333333332</v>
          </cell>
        </row>
        <row r="734">
          <cell r="A734" t="str">
            <v>gesamt</v>
          </cell>
          <cell r="B734" t="e">
            <v>#DIV/0!</v>
          </cell>
          <cell r="C734" t="e">
            <v>#DIV/0!</v>
          </cell>
          <cell r="D734" t="e">
            <v>#DIV/0!</v>
          </cell>
          <cell r="E734" t="e">
            <v>#DIV/0!</v>
          </cell>
        </row>
        <row r="735">
          <cell r="A735" t="str">
            <v>USA - Connecticut</v>
          </cell>
          <cell r="B735">
            <v>26.951235864583332</v>
          </cell>
          <cell r="C735">
            <v>37.483039270833331</v>
          </cell>
          <cell r="D735">
            <v>5.1218224166666664</v>
          </cell>
          <cell r="E735">
            <v>5.0410931666666663</v>
          </cell>
        </row>
        <row r="736">
          <cell r="A736" t="str">
            <v>Fairfield (Colliers nicht in PPC)</v>
          </cell>
          <cell r="B736">
            <v>31.080761249999998</v>
          </cell>
          <cell r="C736">
            <v>43.055599999999998</v>
          </cell>
          <cell r="D736">
            <v>5.1218224166666664</v>
          </cell>
          <cell r="E736">
            <v>5.0410931666666663</v>
          </cell>
        </row>
        <row r="737">
          <cell r="A737" t="str">
            <v>Fairfield County (Colliers nicht in PPC)</v>
          </cell>
          <cell r="B737">
            <v>23.250024</v>
          </cell>
          <cell r="C737">
            <v>31.753504999999997</v>
          </cell>
          <cell r="D737" t="e">
            <v>#DIV/0!</v>
          </cell>
          <cell r="E737" t="e">
            <v>#DIV/0!</v>
          </cell>
        </row>
        <row r="738">
          <cell r="A738" t="str">
            <v>gesamt</v>
          </cell>
          <cell r="B738" t="e">
            <v>#DIV/0!</v>
          </cell>
          <cell r="C738" t="e">
            <v>#DIV/0!</v>
          </cell>
          <cell r="D738" t="e">
            <v>#DIV/0!</v>
          </cell>
          <cell r="E738" t="e">
            <v>#DIV/0!</v>
          </cell>
        </row>
        <row r="739">
          <cell r="A739" t="str">
            <v>Hartford (Colliers nicht in PPC)</v>
          </cell>
          <cell r="B739">
            <v>19.442294374999996</v>
          </cell>
          <cell r="C739">
            <v>23.097535416666666</v>
          </cell>
          <cell r="D739" t="e">
            <v>#DIV/0!</v>
          </cell>
          <cell r="E739" t="e">
            <v>#DIV/0!</v>
          </cell>
        </row>
        <row r="740">
          <cell r="A740" t="str">
            <v>Stamford (Colliers nicht in PPC)</v>
          </cell>
          <cell r="B740">
            <v>34.031863833333333</v>
          </cell>
          <cell r="C740">
            <v>52.025516666666661</v>
          </cell>
          <cell r="D740" t="e">
            <v>#DIV/0!</v>
          </cell>
          <cell r="E740" t="e">
            <v>#DIV/0!</v>
          </cell>
        </row>
        <row r="741">
          <cell r="A741" t="str">
            <v>USA - Florida</v>
          </cell>
          <cell r="B741" t="e">
            <v>#DIV/0!</v>
          </cell>
          <cell r="C741" t="e">
            <v>#DIV/0!</v>
          </cell>
          <cell r="D741" t="e">
            <v>#DIV/0!</v>
          </cell>
          <cell r="E741" t="e">
            <v>#DIV/0!</v>
          </cell>
        </row>
        <row r="742">
          <cell r="A742" t="str">
            <v>gesamt</v>
          </cell>
          <cell r="B742" t="e">
            <v>#DIV/0!</v>
          </cell>
          <cell r="C742" t="e">
            <v>#DIV/0!</v>
          </cell>
          <cell r="D742" t="e">
            <v>#DIV/0!</v>
          </cell>
          <cell r="E742" t="e">
            <v>#DIV/0!</v>
          </cell>
        </row>
        <row r="743">
          <cell r="A743" t="str">
            <v xml:space="preserve">USA - Florida </v>
          </cell>
          <cell r="B743">
            <v>24.760707465277775</v>
          </cell>
          <cell r="C743">
            <v>32.650496666666662</v>
          </cell>
          <cell r="D743" t="e">
            <v>#DIV/0!</v>
          </cell>
          <cell r="E743" t="e">
            <v>#DIV/0!</v>
          </cell>
        </row>
        <row r="744">
          <cell r="A744" t="str">
            <v>Ft.Lauderale-Broward (Colliers nicht in PPC)</v>
          </cell>
          <cell r="B744">
            <v>26.761746375000001</v>
          </cell>
          <cell r="C744">
            <v>32.740195833333331</v>
          </cell>
          <cell r="D744" t="e">
            <v>#DIV/0!</v>
          </cell>
          <cell r="E744" t="e">
            <v>#DIV/0!</v>
          </cell>
        </row>
        <row r="745">
          <cell r="A745" t="str">
            <v>Jacksonville (Colliers nicht in PPC)</v>
          </cell>
          <cell r="B745">
            <v>17.141510749999998</v>
          </cell>
          <cell r="C745">
            <v>21.66234875</v>
          </cell>
          <cell r="D745" t="e">
            <v>#DIV/0!</v>
          </cell>
          <cell r="E745" t="e">
            <v>#DIV/0!</v>
          </cell>
        </row>
        <row r="746">
          <cell r="A746" t="str">
            <v>Miami</v>
          </cell>
          <cell r="B746" t="e">
            <v>#DIV/0!</v>
          </cell>
          <cell r="C746" t="e">
            <v>#DIV/0!</v>
          </cell>
          <cell r="D746" t="e">
            <v>#DIV/0!</v>
          </cell>
          <cell r="E746" t="e">
            <v>#DIV/0!</v>
          </cell>
        </row>
        <row r="747">
          <cell r="A747" t="str">
            <v>Miami-Dade</v>
          </cell>
          <cell r="B747">
            <v>33.013778291666668</v>
          </cell>
          <cell r="C747">
            <v>40.588872916666666</v>
          </cell>
          <cell r="D747" t="e">
            <v>#DIV/0!</v>
          </cell>
          <cell r="E747" t="e">
            <v>#DIV/0!</v>
          </cell>
        </row>
        <row r="748">
          <cell r="A748" t="str">
            <v>Orlando</v>
          </cell>
          <cell r="B748">
            <v>21.007544833333334</v>
          </cell>
          <cell r="C748">
            <v>31.843204166666666</v>
          </cell>
          <cell r="D748" t="e">
            <v>#DIV/0!</v>
          </cell>
          <cell r="E748" t="e">
            <v>#DIV/0!</v>
          </cell>
        </row>
        <row r="749">
          <cell r="A749" t="str">
            <v>Tampa (Colliers nicht in PPC)</v>
          </cell>
          <cell r="B749">
            <v>20.724992458333332</v>
          </cell>
          <cell r="C749">
            <v>26.461254166666667</v>
          </cell>
          <cell r="D749" t="e">
            <v>#DIV/0!</v>
          </cell>
          <cell r="E749" t="e">
            <v>#DIV/0!</v>
          </cell>
        </row>
        <row r="750">
          <cell r="A750" t="str">
            <v>Tampa Bay (Colliers nicht in PPC)</v>
          </cell>
          <cell r="B750" t="e">
            <v>#DIV/0!</v>
          </cell>
          <cell r="C750" t="e">
            <v>#DIV/0!</v>
          </cell>
          <cell r="D750" t="e">
            <v>#DIV/0!</v>
          </cell>
          <cell r="E750" t="e">
            <v>#DIV/0!</v>
          </cell>
        </row>
        <row r="751">
          <cell r="A751" t="str">
            <v>West Palm Beach (Colliers nicht in PPC)</v>
          </cell>
          <cell r="B751">
            <v>29.914672083333326</v>
          </cell>
          <cell r="C751">
            <v>42.607104166666666</v>
          </cell>
          <cell r="D751" t="e">
            <v>#DIV/0!</v>
          </cell>
          <cell r="E751" t="e">
            <v>#DIV/0!</v>
          </cell>
        </row>
        <row r="752">
          <cell r="A752" t="str">
            <v>USA - Georgia</v>
          </cell>
          <cell r="B752">
            <v>19.227016375000002</v>
          </cell>
          <cell r="C752">
            <v>32.291699999999999</v>
          </cell>
          <cell r="D752">
            <v>2.5474563333333333</v>
          </cell>
          <cell r="E752">
            <v>2.8793432499999998</v>
          </cell>
        </row>
        <row r="753">
          <cell r="A753" t="str">
            <v>Atlanta (Colliers nicht in PPC)</v>
          </cell>
          <cell r="B753">
            <v>19.227016375000002</v>
          </cell>
          <cell r="C753">
            <v>32.291699999999999</v>
          </cell>
          <cell r="D753">
            <v>2.5474563333333333</v>
          </cell>
          <cell r="E753">
            <v>2.8793432499999998</v>
          </cell>
        </row>
        <row r="754">
          <cell r="A754" t="str">
            <v>gesamt</v>
          </cell>
          <cell r="B754" t="e">
            <v>#DIV/0!</v>
          </cell>
          <cell r="C754" t="e">
            <v>#DIV/0!</v>
          </cell>
          <cell r="D754" t="e">
            <v>#DIV/0!</v>
          </cell>
          <cell r="E754" t="e">
            <v>#DIV/0!</v>
          </cell>
        </row>
        <row r="755">
          <cell r="A755" t="str">
            <v>Savannah (Colliers nicht in PPC)</v>
          </cell>
          <cell r="B755" t="e">
            <v>#DIV/0!</v>
          </cell>
          <cell r="C755" t="e">
            <v>#DIV/0!</v>
          </cell>
          <cell r="D755" t="e">
            <v>#DIV/0!</v>
          </cell>
          <cell r="E755" t="e">
            <v>#DIV/0!</v>
          </cell>
        </row>
        <row r="756">
          <cell r="A756" t="str">
            <v xml:space="preserve">USA - Idaho </v>
          </cell>
          <cell r="B756">
            <v>16.145849999999999</v>
          </cell>
          <cell r="C756">
            <v>19.733816666666666</v>
          </cell>
          <cell r="D756">
            <v>4.0364624999999998</v>
          </cell>
          <cell r="E756">
            <v>4.0364624999999998</v>
          </cell>
        </row>
        <row r="757">
          <cell r="A757" t="str">
            <v>Boise (Colliers nicht in PPC)</v>
          </cell>
          <cell r="B757">
            <v>16.145849999999999</v>
          </cell>
          <cell r="C757">
            <v>19.733816666666666</v>
          </cell>
          <cell r="D757">
            <v>4.0364624999999998</v>
          </cell>
          <cell r="E757">
            <v>4.0364624999999998</v>
          </cell>
        </row>
        <row r="758">
          <cell r="A758" t="str">
            <v>USA - Idaho (Colliers nicht in PPC)</v>
          </cell>
          <cell r="B758" t="e">
            <v>#DIV/0!</v>
          </cell>
          <cell r="C758" t="e">
            <v>#DIV/0!</v>
          </cell>
          <cell r="D758" t="e">
            <v>#DIV/0!</v>
          </cell>
          <cell r="E758" t="e">
            <v>#DIV/0!</v>
          </cell>
        </row>
        <row r="759">
          <cell r="A759" t="str">
            <v>gesamt</v>
          </cell>
          <cell r="B759" t="e">
            <v>#DIV/0!</v>
          </cell>
          <cell r="C759" t="e">
            <v>#DIV/0!</v>
          </cell>
          <cell r="D759" t="e">
            <v>#DIV/0!</v>
          </cell>
          <cell r="E759" t="e">
            <v>#DIV/0!</v>
          </cell>
        </row>
        <row r="760">
          <cell r="A760" t="str">
            <v>USA - Illinois</v>
          </cell>
          <cell r="B760" t="e">
            <v>#DIV/0!</v>
          </cell>
          <cell r="C760" t="e">
            <v>#DIV/0!</v>
          </cell>
          <cell r="D760" t="e">
            <v>#DIV/0!</v>
          </cell>
          <cell r="E760" t="e">
            <v>#DIV/0!</v>
          </cell>
        </row>
        <row r="761">
          <cell r="A761" t="str">
            <v>gesamt</v>
          </cell>
          <cell r="B761" t="e">
            <v>#DIV/0!</v>
          </cell>
          <cell r="C761" t="e">
            <v>#DIV/0!</v>
          </cell>
          <cell r="D761" t="e">
            <v>#DIV/0!</v>
          </cell>
          <cell r="E761" t="e">
            <v>#DIV/0!</v>
          </cell>
        </row>
        <row r="762">
          <cell r="A762" t="str">
            <v>USA - Illinois - Chicago</v>
          </cell>
          <cell r="B762">
            <v>26.609257791666664</v>
          </cell>
          <cell r="C762">
            <v>40.364624999999997</v>
          </cell>
          <cell r="D762">
            <v>2.6281855833333334</v>
          </cell>
          <cell r="E762">
            <v>4.0185226666666667</v>
          </cell>
        </row>
        <row r="763">
          <cell r="A763" t="str">
            <v>Chicago (Colliers nicht in PPC)</v>
          </cell>
          <cell r="B763">
            <v>26.609257791666664</v>
          </cell>
          <cell r="C763">
            <v>40.364624999999997</v>
          </cell>
          <cell r="D763">
            <v>2.6281855833333334</v>
          </cell>
          <cell r="E763">
            <v>4.0185226666666667</v>
          </cell>
        </row>
        <row r="764">
          <cell r="A764" t="str">
            <v>USA - Indiana</v>
          </cell>
          <cell r="B764">
            <v>16.823078708333334</v>
          </cell>
          <cell r="C764">
            <v>37.736439416666663</v>
          </cell>
          <cell r="D764" t="e">
            <v>#DIV/0!</v>
          </cell>
          <cell r="E764" t="e">
            <v>#DIV/0!</v>
          </cell>
        </row>
        <row r="765">
          <cell r="A765" t="str">
            <v>gesamt</v>
          </cell>
          <cell r="B765" t="e">
            <v>#DIV/0!</v>
          </cell>
          <cell r="C765" t="e">
            <v>#DIV/0!</v>
          </cell>
          <cell r="D765" t="e">
            <v>#DIV/0!</v>
          </cell>
          <cell r="E765" t="e">
            <v>#DIV/0!</v>
          </cell>
        </row>
        <row r="766">
          <cell r="A766" t="str">
            <v>Indianapolis (Colliers nicht in PPC)</v>
          </cell>
          <cell r="B766">
            <v>16.823078708333334</v>
          </cell>
          <cell r="C766">
            <v>37.736439416666663</v>
          </cell>
          <cell r="D766" t="e">
            <v>#DIV/0!</v>
          </cell>
          <cell r="E766" t="e">
            <v>#DIV/0!</v>
          </cell>
        </row>
        <row r="767">
          <cell r="A767" t="str">
            <v>USA - Iowa</v>
          </cell>
          <cell r="B767" t="e">
            <v>#DIV/0!</v>
          </cell>
          <cell r="C767" t="e">
            <v>#DIV/0!</v>
          </cell>
          <cell r="D767" t="e">
            <v>#DIV/0!</v>
          </cell>
          <cell r="E767" t="e">
            <v>#DIV/0!</v>
          </cell>
        </row>
        <row r="768">
          <cell r="A768" t="str">
            <v>gesamt</v>
          </cell>
          <cell r="B768" t="e">
            <v>#DIV/0!</v>
          </cell>
          <cell r="C768" t="e">
            <v>#DIV/0!</v>
          </cell>
          <cell r="D768" t="e">
            <v>#DIV/0!</v>
          </cell>
          <cell r="E768" t="e">
            <v>#DIV/0!</v>
          </cell>
        </row>
        <row r="769">
          <cell r="A769" t="str">
            <v>USA - Kalifornien</v>
          </cell>
          <cell r="B769">
            <v>25.218546961805554</v>
          </cell>
          <cell r="C769">
            <v>41.565098847222217</v>
          </cell>
          <cell r="D769">
            <v>2.5564262499999995</v>
          </cell>
          <cell r="E769">
            <v>2.8703733333333332</v>
          </cell>
        </row>
        <row r="770">
          <cell r="A770" t="str">
            <v>Bakersfield (Colliers nicht in PPC)</v>
          </cell>
          <cell r="B770">
            <v>18.5677275</v>
          </cell>
          <cell r="C770">
            <v>21.258702499999998</v>
          </cell>
          <cell r="D770">
            <v>3.0677114999999997</v>
          </cell>
          <cell r="E770">
            <v>3.5879666666666665</v>
          </cell>
        </row>
        <row r="771">
          <cell r="A771" t="str">
            <v>Fresno (Colliers nicht in PPC)</v>
          </cell>
          <cell r="B771">
            <v>22.335092499999998</v>
          </cell>
          <cell r="C771">
            <v>28.524335000000001</v>
          </cell>
          <cell r="D771">
            <v>2.0451409999999997</v>
          </cell>
          <cell r="E771">
            <v>2.1527799999999999</v>
          </cell>
        </row>
        <row r="772">
          <cell r="A772" t="str">
            <v>gesamt</v>
          </cell>
          <cell r="B772" t="e">
            <v>#DIV/0!</v>
          </cell>
          <cell r="C772" t="e">
            <v>#DIV/0!</v>
          </cell>
          <cell r="D772" t="e">
            <v>#DIV/0!</v>
          </cell>
          <cell r="E772" t="e">
            <v>#DIV/0!</v>
          </cell>
        </row>
        <row r="773">
          <cell r="A773" t="str">
            <v>Los Angeles (Colliers nicht in PPC)</v>
          </cell>
          <cell r="B773">
            <v>28.631974</v>
          </cell>
          <cell r="C773">
            <v>33.475729000000001</v>
          </cell>
          <cell r="D773" t="e">
            <v>#DIV/0!</v>
          </cell>
          <cell r="E773" t="e">
            <v>#DIV/0!</v>
          </cell>
        </row>
        <row r="774">
          <cell r="A774" t="str">
            <v>Los Angeles-Inalnd Empire (Colliers nicht in PPC)</v>
          </cell>
          <cell r="B774">
            <v>28.954891</v>
          </cell>
          <cell r="C774">
            <v>64.583399999999997</v>
          </cell>
          <cell r="D774" t="e">
            <v>#DIV/0!</v>
          </cell>
          <cell r="E774" t="e">
            <v>#DIV/0!</v>
          </cell>
        </row>
        <row r="775">
          <cell r="A775" t="str">
            <v>Oakland (Colliers nicht in PPC)</v>
          </cell>
          <cell r="B775">
            <v>25.348984499999997</v>
          </cell>
          <cell r="C775">
            <v>33.637187499999996</v>
          </cell>
          <cell r="D775" t="e">
            <v>#DIV/0!</v>
          </cell>
          <cell r="E775" t="e">
            <v>#DIV/0!</v>
          </cell>
        </row>
        <row r="776">
          <cell r="A776" t="str">
            <v>Orange County (Colliers nicht in PPC)</v>
          </cell>
          <cell r="B776">
            <v>23.465301999999998</v>
          </cell>
          <cell r="C776">
            <v>61.892424999999996</v>
          </cell>
          <cell r="D776" t="e">
            <v>#DIV/0!</v>
          </cell>
          <cell r="E776" t="e">
            <v>#DIV/0!</v>
          </cell>
        </row>
        <row r="777">
          <cell r="A777" t="str">
            <v>Pleasanton / Walnut Creek (Colliers nicht in PPC)</v>
          </cell>
          <cell r="B777">
            <v>22.388912000000001</v>
          </cell>
          <cell r="C777">
            <v>32.829894999999993</v>
          </cell>
          <cell r="D777" t="e">
            <v>#DIV/0!</v>
          </cell>
          <cell r="E777" t="e">
            <v>#DIV/0!</v>
          </cell>
        </row>
        <row r="778">
          <cell r="A778" t="str">
            <v>Sacramento</v>
          </cell>
          <cell r="B778">
            <v>25.357954416666665</v>
          </cell>
          <cell r="C778">
            <v>28.201418</v>
          </cell>
          <cell r="D778" t="e">
            <v>#DIV/0!</v>
          </cell>
          <cell r="E778" t="e">
            <v>#DIV/0!</v>
          </cell>
        </row>
        <row r="779">
          <cell r="A779" t="str">
            <v>San Diego (Colliers nicht in PPC)</v>
          </cell>
          <cell r="B779" t="e">
            <v>#DIV/0!</v>
          </cell>
          <cell r="C779" t="e">
            <v>#DIV/0!</v>
          </cell>
          <cell r="D779" t="e">
            <v>#DIV/0!</v>
          </cell>
          <cell r="E779" t="e">
            <v>#DIV/0!</v>
          </cell>
        </row>
        <row r="780">
          <cell r="A780" t="str">
            <v>San Diego County (Colliers nicht in PPC)</v>
          </cell>
          <cell r="B780">
            <v>27.125028</v>
          </cell>
          <cell r="C780">
            <v>34.7135775</v>
          </cell>
          <cell r="D780" t="e">
            <v>#DIV/0!</v>
          </cell>
          <cell r="E780" t="e">
            <v>#DIV/0!</v>
          </cell>
        </row>
        <row r="781">
          <cell r="A781" t="str">
            <v>San Francisco Peninsula</v>
          </cell>
          <cell r="B781">
            <v>30.556021124999997</v>
          </cell>
          <cell r="C781">
            <v>82.971729166666663</v>
          </cell>
          <cell r="D781" t="e">
            <v>#DIV/0!</v>
          </cell>
          <cell r="E781" t="e">
            <v>#DIV/0!</v>
          </cell>
        </row>
        <row r="782">
          <cell r="A782" t="str">
            <v>San Jose / Silicon Valley (Colliers nicht in PPC)</v>
          </cell>
          <cell r="B782">
            <v>30.946212499999998</v>
          </cell>
          <cell r="C782">
            <v>49.783037499999999</v>
          </cell>
          <cell r="D782" t="e">
            <v>#DIV/0!</v>
          </cell>
          <cell r="E782" t="e">
            <v>#DIV/0!</v>
          </cell>
        </row>
        <row r="783">
          <cell r="A783" t="str">
            <v>Stockton/San Joaquin County (Colliers nicht in PPC)</v>
          </cell>
          <cell r="B783">
            <v>18.944464</v>
          </cell>
          <cell r="C783">
            <v>26.909749999999999</v>
          </cell>
          <cell r="D783" t="e">
            <v>#DIV/0!</v>
          </cell>
          <cell r="E783" t="e">
            <v>#DIV/0!</v>
          </cell>
        </row>
        <row r="784">
          <cell r="A784" t="str">
            <v>USA - Kentucky</v>
          </cell>
          <cell r="B784">
            <v>18.998283499999999</v>
          </cell>
          <cell r="C784" t="e">
            <v>#DIV/0!</v>
          </cell>
          <cell r="D784" t="e">
            <v>#DIV/0!</v>
          </cell>
          <cell r="E784" t="e">
            <v>#DIV/0!</v>
          </cell>
        </row>
        <row r="785">
          <cell r="A785" t="str">
            <v>gesamt</v>
          </cell>
          <cell r="B785" t="e">
            <v>#DIV/0!</v>
          </cell>
          <cell r="C785" t="e">
            <v>#DIV/0!</v>
          </cell>
          <cell r="D785" t="e">
            <v>#DIV/0!</v>
          </cell>
          <cell r="E785" t="e">
            <v>#DIV/0!</v>
          </cell>
        </row>
        <row r="786">
          <cell r="A786" t="str">
            <v>Louisville (Colliers nicht in PPC)</v>
          </cell>
          <cell r="B786">
            <v>18.998283499999999</v>
          </cell>
          <cell r="C786" t="e">
            <v>#DIV/0!</v>
          </cell>
          <cell r="D786" t="e">
            <v>#DIV/0!</v>
          </cell>
          <cell r="E786" t="e">
            <v>#DIV/0!</v>
          </cell>
        </row>
        <row r="787">
          <cell r="A787" t="str">
            <v>USA - Maine</v>
          </cell>
          <cell r="B787" t="e">
            <v>#DIV/0!</v>
          </cell>
          <cell r="C787" t="e">
            <v>#DIV/0!</v>
          </cell>
          <cell r="D787" t="e">
            <v>#DIV/0!</v>
          </cell>
          <cell r="E787" t="e">
            <v>#DIV/0!</v>
          </cell>
        </row>
        <row r="788">
          <cell r="A788" t="str">
            <v>gesamt</v>
          </cell>
          <cell r="B788" t="e">
            <v>#DIV/0!</v>
          </cell>
          <cell r="C788" t="e">
            <v>#DIV/0!</v>
          </cell>
          <cell r="D788" t="e">
            <v>#DIV/0!</v>
          </cell>
          <cell r="E788" t="e">
            <v>#DIV/0!</v>
          </cell>
        </row>
        <row r="789">
          <cell r="A789" t="str">
            <v>USA - Maryland</v>
          </cell>
          <cell r="B789">
            <v>21.971810874999996</v>
          </cell>
          <cell r="C789" t="e">
            <v>#DIV/0!</v>
          </cell>
          <cell r="D789">
            <v>4.1261616666666665</v>
          </cell>
          <cell r="E789">
            <v>4.8706647499999995</v>
          </cell>
        </row>
        <row r="790">
          <cell r="A790" t="str">
            <v>Baltimore (Colliers nicht in PPC)</v>
          </cell>
          <cell r="B790">
            <v>21.971810874999996</v>
          </cell>
          <cell r="C790" t="e">
            <v>#DIV/0!</v>
          </cell>
          <cell r="D790">
            <v>4.1261616666666665</v>
          </cell>
          <cell r="E790">
            <v>4.8706647499999995</v>
          </cell>
        </row>
        <row r="791">
          <cell r="A791" t="str">
            <v>gesamt</v>
          </cell>
          <cell r="B791" t="e">
            <v>#DIV/0!</v>
          </cell>
          <cell r="C791" t="e">
            <v>#DIV/0!</v>
          </cell>
          <cell r="D791" t="e">
            <v>#DIV/0!</v>
          </cell>
          <cell r="E791" t="e">
            <v>#DIV/0!</v>
          </cell>
        </row>
        <row r="792">
          <cell r="A792" t="str">
            <v>USA - Massachusetts</v>
          </cell>
          <cell r="B792">
            <v>32.193030916666665</v>
          </cell>
          <cell r="C792">
            <v>51.577020833333329</v>
          </cell>
          <cell r="D792">
            <v>4.2607104166666669</v>
          </cell>
          <cell r="E792">
            <v>4.0364624999999998</v>
          </cell>
        </row>
        <row r="793">
          <cell r="A793" t="str">
            <v>Boston (Colliers nicht in PPC)</v>
          </cell>
          <cell r="B793">
            <v>32.193030916666665</v>
          </cell>
          <cell r="C793">
            <v>51.577020833333329</v>
          </cell>
          <cell r="D793">
            <v>4.2607104166666669</v>
          </cell>
          <cell r="E793">
            <v>4.0364624999999998</v>
          </cell>
        </row>
        <row r="794">
          <cell r="A794" t="str">
            <v>gesamt</v>
          </cell>
          <cell r="B794" t="e">
            <v>#DIV/0!</v>
          </cell>
          <cell r="C794" t="e">
            <v>#DIV/0!</v>
          </cell>
          <cell r="D794" t="e">
            <v>#DIV/0!</v>
          </cell>
          <cell r="E794" t="e">
            <v>#DIV/0!</v>
          </cell>
        </row>
        <row r="795">
          <cell r="A795" t="str">
            <v>USA - Michigan</v>
          </cell>
          <cell r="B795">
            <v>20.258556791666667</v>
          </cell>
          <cell r="C795">
            <v>21.245247625000001</v>
          </cell>
          <cell r="D795">
            <v>3.30989925</v>
          </cell>
          <cell r="E795">
            <v>3.516207333333333</v>
          </cell>
        </row>
        <row r="796">
          <cell r="A796" t="str">
            <v>Detroit (Colliers nicht in PPC)</v>
          </cell>
          <cell r="B796">
            <v>20.258556791666667</v>
          </cell>
          <cell r="C796">
            <v>21.245247625000001</v>
          </cell>
          <cell r="D796">
            <v>3.30989925</v>
          </cell>
          <cell r="E796">
            <v>3.516207333333333</v>
          </cell>
        </row>
        <row r="797">
          <cell r="A797" t="str">
            <v>gesamt</v>
          </cell>
          <cell r="B797" t="e">
            <v>#DIV/0!</v>
          </cell>
          <cell r="C797" t="e">
            <v>#DIV/0!</v>
          </cell>
          <cell r="D797" t="e">
            <v>#DIV/0!</v>
          </cell>
          <cell r="E797" t="e">
            <v>#DIV/0!</v>
          </cell>
        </row>
        <row r="798">
          <cell r="A798" t="str">
            <v>Grand Rapids (Colliers nicht in PPC)</v>
          </cell>
          <cell r="B798" t="e">
            <v>#DIV/0!</v>
          </cell>
          <cell r="C798" t="e">
            <v>#DIV/0!</v>
          </cell>
          <cell r="D798" t="e">
            <v>#DIV/0!</v>
          </cell>
          <cell r="E798" t="e">
            <v>#DIV/0!</v>
          </cell>
        </row>
        <row r="799">
          <cell r="A799" t="str">
            <v>USA - Minnesota</v>
          </cell>
          <cell r="B799" t="e">
            <v>#DIV/0!</v>
          </cell>
          <cell r="C799" t="e">
            <v>#DIV/0!</v>
          </cell>
          <cell r="D799" t="e">
            <v>#DIV/0!</v>
          </cell>
          <cell r="E799" t="e">
            <v>#DIV/0!</v>
          </cell>
        </row>
        <row r="800">
          <cell r="A800" t="str">
            <v>gesamt</v>
          </cell>
          <cell r="B800" t="e">
            <v>#DIV/0!</v>
          </cell>
          <cell r="C800" t="e">
            <v>#DIV/0!</v>
          </cell>
          <cell r="D800" t="e">
            <v>#DIV/0!</v>
          </cell>
          <cell r="E800" t="e">
            <v>#DIV/0!</v>
          </cell>
        </row>
        <row r="801">
          <cell r="A801" t="str">
            <v>Minneapolis (Colliers nicht in PPC)</v>
          </cell>
          <cell r="B801" t="e">
            <v>#DIV/0!</v>
          </cell>
          <cell r="C801" t="e">
            <v>#DIV/0!</v>
          </cell>
          <cell r="D801" t="e">
            <v>#DIV/0!</v>
          </cell>
          <cell r="E801" t="e">
            <v>#DIV/0!</v>
          </cell>
        </row>
        <row r="802">
          <cell r="A802" t="str">
            <v>St. Paul (Colliers nicht in PPC)</v>
          </cell>
          <cell r="B802" t="e">
            <v>#DIV/0!</v>
          </cell>
          <cell r="C802" t="e">
            <v>#DIV/0!</v>
          </cell>
          <cell r="D802" t="e">
            <v>#DIV/0!</v>
          </cell>
          <cell r="E802" t="e">
            <v>#DIV/0!</v>
          </cell>
        </row>
        <row r="803">
          <cell r="A803" t="str">
            <v>USA - Missouri</v>
          </cell>
          <cell r="B803">
            <v>17.370243625000001</v>
          </cell>
          <cell r="C803">
            <v>23.770279166666668</v>
          </cell>
          <cell r="D803" t="e">
            <v>#DIV/0!</v>
          </cell>
          <cell r="E803" t="e">
            <v>#DIV/0!</v>
          </cell>
        </row>
        <row r="804">
          <cell r="A804" t="str">
            <v>gesamt</v>
          </cell>
          <cell r="B804" t="e">
            <v>#DIV/0!</v>
          </cell>
          <cell r="C804" t="e">
            <v>#DIV/0!</v>
          </cell>
          <cell r="D804" t="e">
            <v>#DIV/0!</v>
          </cell>
          <cell r="E804" t="e">
            <v>#DIV/0!</v>
          </cell>
        </row>
        <row r="805">
          <cell r="A805" t="str">
            <v>Kansas City (Colliers nicht in PPC)</v>
          </cell>
          <cell r="B805">
            <v>17.110116041666664</v>
          </cell>
          <cell r="C805">
            <v>23.321783333333332</v>
          </cell>
          <cell r="D805" t="e">
            <v>#DIV/0!</v>
          </cell>
          <cell r="E805" t="e">
            <v>#DIV/0!</v>
          </cell>
        </row>
        <row r="806">
          <cell r="A806" t="str">
            <v>St. Louis (Colliers nicht in PPC)</v>
          </cell>
          <cell r="B806">
            <v>17.630371208333333</v>
          </cell>
          <cell r="C806">
            <v>24.218775000000001</v>
          </cell>
          <cell r="D806" t="e">
            <v>#DIV/0!</v>
          </cell>
          <cell r="E806" t="e">
            <v>#DIV/0!</v>
          </cell>
        </row>
        <row r="807">
          <cell r="A807" t="str">
            <v>USA - New Hampshire</v>
          </cell>
          <cell r="B807" t="e">
            <v>#DIV/0!</v>
          </cell>
          <cell r="C807" t="e">
            <v>#DIV/0!</v>
          </cell>
          <cell r="D807" t="e">
            <v>#DIV/0!</v>
          </cell>
          <cell r="E807" t="e">
            <v>#DIV/0!</v>
          </cell>
        </row>
        <row r="808">
          <cell r="A808" t="str">
            <v>gesamt</v>
          </cell>
          <cell r="B808" t="e">
            <v>#DIV/0!</v>
          </cell>
          <cell r="C808" t="e">
            <v>#DIV/0!</v>
          </cell>
          <cell r="D808" t="e">
            <v>#DIV/0!</v>
          </cell>
          <cell r="E808" t="e">
            <v>#DIV/0!</v>
          </cell>
        </row>
        <row r="809">
          <cell r="A809" t="str">
            <v>USA - New Mexico</v>
          </cell>
          <cell r="B809" t="e">
            <v>#DIV/0!</v>
          </cell>
          <cell r="C809" t="e">
            <v>#DIV/0!</v>
          </cell>
          <cell r="D809" t="e">
            <v>#DIV/0!</v>
          </cell>
          <cell r="E809" t="e">
            <v>#DIV/0!</v>
          </cell>
        </row>
        <row r="810">
          <cell r="A810" t="str">
            <v>gesamt</v>
          </cell>
          <cell r="B810" t="e">
            <v>#DIV/0!</v>
          </cell>
          <cell r="C810" t="e">
            <v>#DIV/0!</v>
          </cell>
          <cell r="D810" t="e">
            <v>#DIV/0!</v>
          </cell>
          <cell r="E810" t="e">
            <v>#DIV/0!</v>
          </cell>
        </row>
        <row r="811">
          <cell r="A811" t="str">
            <v>USA - New York</v>
          </cell>
          <cell r="B811">
            <v>39.543877625</v>
          </cell>
          <cell r="C811">
            <v>71.759333333333331</v>
          </cell>
          <cell r="D811" t="e">
            <v>#DIV/0!</v>
          </cell>
          <cell r="E811" t="e">
            <v>#DIV/0!</v>
          </cell>
        </row>
        <row r="812">
          <cell r="A812" t="str">
            <v>Downtown Manhatten (Colliers nicht in PPC)</v>
          </cell>
          <cell r="B812">
            <v>35.592629333333335</v>
          </cell>
          <cell r="C812">
            <v>58.304458333333329</v>
          </cell>
          <cell r="D812" t="e">
            <v>#DIV/0!</v>
          </cell>
          <cell r="E812" t="e">
            <v>#DIV/0!</v>
          </cell>
        </row>
        <row r="813">
          <cell r="A813" t="str">
            <v>gesamt</v>
          </cell>
          <cell r="B813" t="e">
            <v>#DIV/0!</v>
          </cell>
          <cell r="C813" t="e">
            <v>#DIV/0!</v>
          </cell>
          <cell r="D813" t="e">
            <v>#DIV/0!</v>
          </cell>
          <cell r="E813" t="e">
            <v>#DIV/0!</v>
          </cell>
        </row>
        <row r="814">
          <cell r="A814" t="str">
            <v>Long Island (Colliers nicht in PPC)</v>
          </cell>
          <cell r="B814" t="e">
            <v>#DIV/0!</v>
          </cell>
          <cell r="C814" t="e">
            <v>#DIV/0!</v>
          </cell>
          <cell r="D814" t="e">
            <v>#DIV/0!</v>
          </cell>
          <cell r="E814" t="e">
            <v>#DIV/0!</v>
          </cell>
        </row>
        <row r="815">
          <cell r="A815" t="str">
            <v>Midtown Manhatten (Colliers nicht in PPC)</v>
          </cell>
          <cell r="B815">
            <v>58.340338000000003</v>
          </cell>
          <cell r="C815">
            <v>134.54874999999998</v>
          </cell>
          <cell r="D815" t="e">
            <v>#DIV/0!</v>
          </cell>
          <cell r="E815" t="e">
            <v>#DIV/0!</v>
          </cell>
        </row>
        <row r="816">
          <cell r="A816" t="str">
            <v>Midtown S. Manhatten (Colliers nicht in PPC)</v>
          </cell>
          <cell r="B816">
            <v>38.759009916666663</v>
          </cell>
          <cell r="C816">
            <v>58.304458333333329</v>
          </cell>
          <cell r="D816" t="e">
            <v>#DIV/0!</v>
          </cell>
          <cell r="E816" t="e">
            <v>#DIV/0!</v>
          </cell>
        </row>
        <row r="817">
          <cell r="A817" t="str">
            <v>White Plains</v>
          </cell>
          <cell r="B817">
            <v>25.483533250000001</v>
          </cell>
          <cell r="C817">
            <v>35.879666666666665</v>
          </cell>
          <cell r="D817" t="e">
            <v>#DIV/0!</v>
          </cell>
          <cell r="E817" t="e">
            <v>#DIV/0!</v>
          </cell>
        </row>
        <row r="818">
          <cell r="A818" t="str">
            <v>USA - North Carolina</v>
          </cell>
          <cell r="B818">
            <v>19.7046644375</v>
          </cell>
          <cell r="C818" t="e">
            <v>#DIV/0!</v>
          </cell>
          <cell r="D818" t="e">
            <v>#DIV/0!</v>
          </cell>
          <cell r="E818" t="e">
            <v>#DIV/0!</v>
          </cell>
        </row>
        <row r="819">
          <cell r="A819" t="str">
            <v>gesamt</v>
          </cell>
          <cell r="B819" t="e">
            <v>#DIV/0!</v>
          </cell>
          <cell r="C819" t="e">
            <v>#DIV/0!</v>
          </cell>
          <cell r="D819" t="e">
            <v>#DIV/0!</v>
          </cell>
          <cell r="E819" t="e">
            <v>#DIV/0!</v>
          </cell>
        </row>
        <row r="820">
          <cell r="A820" t="str">
            <v>Raleigh</v>
          </cell>
          <cell r="B820">
            <v>19.330170416666668</v>
          </cell>
          <cell r="C820" t="e">
            <v>#DIV/0!</v>
          </cell>
          <cell r="D820" t="e">
            <v>#DIV/0!</v>
          </cell>
          <cell r="E820" t="e">
            <v>#DIV/0!</v>
          </cell>
        </row>
        <row r="821">
          <cell r="A821" t="str">
            <v>Raleigh/Durham/Chapel Hill</v>
          </cell>
          <cell r="B821">
            <v>20.079158458333332</v>
          </cell>
          <cell r="C821" t="e">
            <v>#DIV/0!</v>
          </cell>
          <cell r="D821" t="e">
            <v>#DIV/0!</v>
          </cell>
          <cell r="E821" t="e">
            <v>#DIV/0!</v>
          </cell>
        </row>
        <row r="822">
          <cell r="A822" t="str">
            <v>USA - Ohio</v>
          </cell>
          <cell r="B822">
            <v>17.795193427083333</v>
          </cell>
          <cell r="C822">
            <v>23.710479722222221</v>
          </cell>
          <cell r="D822">
            <v>2.6371555</v>
          </cell>
          <cell r="E822">
            <v>2.8277662291666665</v>
          </cell>
        </row>
        <row r="823">
          <cell r="A823" t="str">
            <v>Cincinnati (Colliers nicht in PPC)</v>
          </cell>
          <cell r="B823">
            <v>18.966888791666666</v>
          </cell>
          <cell r="C823">
            <v>29.044590166666669</v>
          </cell>
          <cell r="D823">
            <v>2.5833359999999996</v>
          </cell>
          <cell r="E823">
            <v>2.5833359999999996</v>
          </cell>
        </row>
        <row r="824">
          <cell r="A824" t="str">
            <v>Cleveland (Colliers nicht in PPC)</v>
          </cell>
          <cell r="B824">
            <v>19.038648125000002</v>
          </cell>
          <cell r="C824" t="e">
            <v>#DIV/0!</v>
          </cell>
          <cell r="D824" t="e">
            <v>#DIV/0!</v>
          </cell>
          <cell r="E824">
            <v>3.0677114999999997</v>
          </cell>
        </row>
        <row r="825">
          <cell r="A825" t="str">
            <v>Columbia (Colliers nicht in PPC)</v>
          </cell>
          <cell r="B825">
            <v>16.504646666666666</v>
          </cell>
          <cell r="C825">
            <v>19.733816666666666</v>
          </cell>
          <cell r="D825">
            <v>3.3637187499999999</v>
          </cell>
          <cell r="E825">
            <v>3.3637187499999999</v>
          </cell>
        </row>
        <row r="826">
          <cell r="A826" t="str">
            <v>Columbus (Colliers nicht in PPC)</v>
          </cell>
          <cell r="B826">
            <v>16.670590125</v>
          </cell>
          <cell r="C826">
            <v>22.353032333333335</v>
          </cell>
          <cell r="D826">
            <v>1.9644117499999998</v>
          </cell>
          <cell r="E826">
            <v>2.2962986666666665</v>
          </cell>
        </row>
        <row r="827">
          <cell r="A827" t="str">
            <v>gesamt</v>
          </cell>
          <cell r="B827" t="e">
            <v>#DIV/0!</v>
          </cell>
          <cell r="C827" t="e">
            <v>#DIV/0!</v>
          </cell>
          <cell r="D827" t="e">
            <v>#DIV/0!</v>
          </cell>
          <cell r="E827" t="e">
            <v>#DIV/0!</v>
          </cell>
        </row>
        <row r="828">
          <cell r="A828" t="str">
            <v>USA - Pennsylvania</v>
          </cell>
          <cell r="B828">
            <v>22.483096124999999</v>
          </cell>
          <cell r="C828">
            <v>33.60130783333333</v>
          </cell>
          <cell r="D828" t="e">
            <v>#DIV/0!</v>
          </cell>
          <cell r="E828" t="e">
            <v>#DIV/0!</v>
          </cell>
        </row>
        <row r="829">
          <cell r="A829" t="str">
            <v>gesamt</v>
          </cell>
          <cell r="B829" t="e">
            <v>#DIV/0!</v>
          </cell>
          <cell r="C829" t="e">
            <v>#DIV/0!</v>
          </cell>
          <cell r="D829" t="e">
            <v>#DIV/0!</v>
          </cell>
          <cell r="E829" t="e">
            <v>#DIV/0!</v>
          </cell>
        </row>
        <row r="830">
          <cell r="A830" t="str">
            <v>Philadelphia</v>
          </cell>
          <cell r="B830">
            <v>22.483096124999999</v>
          </cell>
          <cell r="C830">
            <v>33.60130783333333</v>
          </cell>
          <cell r="D830" t="e">
            <v>#DIV/0!</v>
          </cell>
          <cell r="E830" t="e">
            <v>#DIV/0!</v>
          </cell>
        </row>
        <row r="831">
          <cell r="A831" t="str">
            <v>Pittsburh</v>
          </cell>
          <cell r="B831" t="e">
            <v>#DIV/0!</v>
          </cell>
          <cell r="C831" t="e">
            <v>#DIV/0!</v>
          </cell>
          <cell r="D831" t="e">
            <v>#DIV/0!</v>
          </cell>
          <cell r="E831" t="e">
            <v>#DIV/0!</v>
          </cell>
        </row>
        <row r="832">
          <cell r="A832" t="str">
            <v>USA - South Carolina</v>
          </cell>
          <cell r="B832">
            <v>20.020853999999996</v>
          </cell>
          <cell r="C832">
            <v>24.667270833333333</v>
          </cell>
          <cell r="D832">
            <v>3.7673649999999999</v>
          </cell>
          <cell r="E832">
            <v>3.4534179166666665</v>
          </cell>
        </row>
        <row r="833">
          <cell r="A833" t="str">
            <v>Charleston (Colliers nicht in PPC)</v>
          </cell>
          <cell r="B833">
            <v>23.415967458333331</v>
          </cell>
          <cell r="C833">
            <v>28.2552375</v>
          </cell>
          <cell r="D833">
            <v>3.7673649999999999</v>
          </cell>
          <cell r="E833">
            <v>3.4534179166666665</v>
          </cell>
        </row>
        <row r="834">
          <cell r="A834" t="str">
            <v>gesamt</v>
          </cell>
          <cell r="B834" t="e">
            <v>#DIV/0!</v>
          </cell>
          <cell r="C834" t="e">
            <v>#DIV/0!</v>
          </cell>
          <cell r="D834" t="e">
            <v>#DIV/0!</v>
          </cell>
          <cell r="E834" t="e">
            <v>#DIV/0!</v>
          </cell>
        </row>
        <row r="835">
          <cell r="A835" t="str">
            <v>Greenville/Spartanburg (Colliers nicht in PPC)</v>
          </cell>
          <cell r="B835">
            <v>16.625740541666662</v>
          </cell>
          <cell r="C835">
            <v>21.079304166666667</v>
          </cell>
          <cell r="D835" t="e">
            <v>#DIV/0!</v>
          </cell>
          <cell r="E835" t="e">
            <v>#DIV/0!</v>
          </cell>
        </row>
        <row r="836">
          <cell r="A836" t="str">
            <v>USA - Texas</v>
          </cell>
          <cell r="B836">
            <v>25.041764854166665</v>
          </cell>
          <cell r="C836">
            <v>33.128144729166664</v>
          </cell>
          <cell r="D836">
            <v>2.4218774999999999</v>
          </cell>
          <cell r="E836">
            <v>2.6909749999999999</v>
          </cell>
        </row>
        <row r="837">
          <cell r="A837" t="str">
            <v>Dallas - Ft. Worth (Colliers nicht in PPC)</v>
          </cell>
          <cell r="B837">
            <v>22.402366875000002</v>
          </cell>
          <cell r="C837">
            <v>33.076567708333329</v>
          </cell>
          <cell r="D837">
            <v>2.4218774999999999</v>
          </cell>
          <cell r="E837">
            <v>2.6909749999999999</v>
          </cell>
        </row>
        <row r="838">
          <cell r="A838" t="str">
            <v>gesamt</v>
          </cell>
          <cell r="B838" t="e">
            <v>#DIV/0!</v>
          </cell>
          <cell r="C838" t="e">
            <v>#DIV/0!</v>
          </cell>
          <cell r="D838" t="e">
            <v>#DIV/0!</v>
          </cell>
          <cell r="E838" t="e">
            <v>#DIV/0!</v>
          </cell>
        </row>
        <row r="839">
          <cell r="A839" t="str">
            <v>Houston (Colliers nicht in PPC)</v>
          </cell>
          <cell r="B839">
            <v>27.681162833333332</v>
          </cell>
          <cell r="C839">
            <v>33.179721749999999</v>
          </cell>
          <cell r="D839" t="e">
            <v>#DIV/0!</v>
          </cell>
          <cell r="E839" t="e">
            <v>#DIV/0!</v>
          </cell>
        </row>
        <row r="840">
          <cell r="A840" t="str">
            <v>USA - Washington</v>
          </cell>
          <cell r="B840">
            <v>32.251335375000004</v>
          </cell>
          <cell r="C840">
            <v>44.51321145833333</v>
          </cell>
          <cell r="D840" t="e">
            <v>#DIV/0!</v>
          </cell>
          <cell r="E840" t="e">
            <v>#DIV/0!</v>
          </cell>
        </row>
        <row r="841">
          <cell r="A841" t="str">
            <v>gesamt</v>
          </cell>
          <cell r="B841" t="e">
            <v>#DIV/0!</v>
          </cell>
          <cell r="C841" t="e">
            <v>#DIV/0!</v>
          </cell>
          <cell r="D841" t="e">
            <v>#DIV/0!</v>
          </cell>
          <cell r="E841" t="e">
            <v>#DIV/0!</v>
          </cell>
        </row>
        <row r="842">
          <cell r="A842" t="str">
            <v>Seattle/Puget Sound</v>
          </cell>
          <cell r="B842">
            <v>26.4253745</v>
          </cell>
          <cell r="C842">
            <v>32.067452083333329</v>
          </cell>
          <cell r="D842" t="e">
            <v>#DIV/0!</v>
          </cell>
          <cell r="E842" t="e">
            <v>#DIV/0!</v>
          </cell>
        </row>
        <row r="843">
          <cell r="A843" t="str">
            <v>Washington DC</v>
          </cell>
          <cell r="B843">
            <v>38.077296250000003</v>
          </cell>
          <cell r="C843">
            <v>56.958970833333332</v>
          </cell>
          <cell r="D843" t="e">
            <v>#DIV/0!</v>
          </cell>
          <cell r="E843" t="e">
            <v>#DIV/0!</v>
          </cell>
        </row>
        <row r="844">
          <cell r="A844" t="str">
            <v>USA - Wisconsin</v>
          </cell>
          <cell r="B844" t="e">
            <v>#DIV/0!</v>
          </cell>
          <cell r="C844" t="e">
            <v>#DIV/0!</v>
          </cell>
          <cell r="D844" t="e">
            <v>#DIV/0!</v>
          </cell>
          <cell r="E844" t="e">
            <v>#DIV/0!</v>
          </cell>
        </row>
        <row r="845">
          <cell r="A845" t="str">
            <v>gesamt</v>
          </cell>
          <cell r="B845" t="e">
            <v>#DIV/0!</v>
          </cell>
          <cell r="C845" t="e">
            <v>#DIV/0!</v>
          </cell>
          <cell r="D845" t="e">
            <v>#DIV/0!</v>
          </cell>
          <cell r="E845" t="e">
            <v>#DIV/0!</v>
          </cell>
        </row>
        <row r="846">
          <cell r="A846" t="str">
            <v>Vietnam</v>
          </cell>
          <cell r="B846">
            <v>758528.63313566148</v>
          </cell>
          <cell r="C846">
            <v>952796.73475364211</v>
          </cell>
          <cell r="D846" t="e">
            <v>#DIV/0!</v>
          </cell>
          <cell r="E846" t="e">
            <v>#DIV/0!</v>
          </cell>
        </row>
        <row r="847">
          <cell r="A847" t="str">
            <v>Ho Chi Minh City (Colliers nicht in PPC)</v>
          </cell>
          <cell r="B847">
            <v>758528.63313566148</v>
          </cell>
          <cell r="C847">
            <v>952796.73475364211</v>
          </cell>
          <cell r="D847" t="e">
            <v>#DIV/0!</v>
          </cell>
          <cell r="E847" t="e">
            <v>#DIV/0!</v>
          </cell>
        </row>
        <row r="848">
          <cell r="A848" t="str">
            <v>(Leer)</v>
          </cell>
          <cell r="B848">
            <v>758528.63313566148</v>
          </cell>
          <cell r="C848">
            <v>952796.73475364211</v>
          </cell>
          <cell r="D848" t="e">
            <v>#DIV/0!</v>
          </cell>
          <cell r="E848" t="e">
            <v>#DIV/0!</v>
          </cell>
        </row>
        <row r="849">
          <cell r="A849" t="str">
            <v>Vietnam</v>
          </cell>
          <cell r="B849" t="e">
            <v>#DIV/0!</v>
          </cell>
          <cell r="C849" t="e">
            <v>#DIV/0!</v>
          </cell>
          <cell r="D849" t="e">
            <v>#DIV/0!</v>
          </cell>
          <cell r="E849" t="e">
            <v>#DIV/0!</v>
          </cell>
        </row>
        <row r="850">
          <cell r="A850" t="str">
            <v>(Leer)</v>
          </cell>
          <cell r="B850" t="e">
            <v>#DIV/0!</v>
          </cell>
          <cell r="C850" t="e">
            <v>#DIV/0!</v>
          </cell>
          <cell r="D850" t="e">
            <v>#DIV/0!</v>
          </cell>
          <cell r="E850" t="e">
            <v>#DIV/0!</v>
          </cell>
        </row>
        <row r="851">
          <cell r="A851" t="str">
            <v>Weißrussland</v>
          </cell>
          <cell r="B851">
            <v>80305.94</v>
          </cell>
          <cell r="C851">
            <v>98838.080000000002</v>
          </cell>
          <cell r="D851">
            <v>20076.485000000001</v>
          </cell>
          <cell r="E851">
            <v>24709.52</v>
          </cell>
        </row>
        <row r="852">
          <cell r="A852" t="str">
            <v>Weißrussland</v>
          </cell>
          <cell r="B852" t="e">
            <v>#DIV/0!</v>
          </cell>
          <cell r="C852" t="e">
            <v>#DIV/0!</v>
          </cell>
          <cell r="D852" t="e">
            <v>#DIV/0!</v>
          </cell>
          <cell r="E852" t="e">
            <v>#DIV/0!</v>
          </cell>
        </row>
        <row r="853">
          <cell r="A853" t="str">
            <v>(Leer)</v>
          </cell>
          <cell r="B853" t="e">
            <v>#DIV/0!</v>
          </cell>
          <cell r="C853" t="e">
            <v>#DIV/0!</v>
          </cell>
          <cell r="D853" t="e">
            <v>#DIV/0!</v>
          </cell>
          <cell r="E853" t="e">
            <v>#DIV/0!</v>
          </cell>
        </row>
        <row r="854">
          <cell r="A854" t="str">
            <v>Weißrussland - Brest</v>
          </cell>
          <cell r="B854" t="e">
            <v>#DIV/0!</v>
          </cell>
          <cell r="C854" t="e">
            <v>#DIV/0!</v>
          </cell>
          <cell r="D854" t="e">
            <v>#DIV/0!</v>
          </cell>
          <cell r="E854" t="e">
            <v>#DIV/0!</v>
          </cell>
        </row>
        <row r="855">
          <cell r="A855" t="str">
            <v>(Leer)</v>
          </cell>
          <cell r="B855" t="e">
            <v>#DIV/0!</v>
          </cell>
          <cell r="C855" t="e">
            <v>#DIV/0!</v>
          </cell>
          <cell r="D855" t="e">
            <v>#DIV/0!</v>
          </cell>
          <cell r="E855" t="e">
            <v>#DIV/0!</v>
          </cell>
        </row>
        <row r="856">
          <cell r="A856" t="str">
            <v>Weißrussland - Minsk</v>
          </cell>
          <cell r="B856">
            <v>80305.94</v>
          </cell>
          <cell r="C856">
            <v>98838.080000000002</v>
          </cell>
          <cell r="D856">
            <v>20076.485000000001</v>
          </cell>
          <cell r="E856">
            <v>24709.52</v>
          </cell>
        </row>
        <row r="857">
          <cell r="A857" t="str">
            <v>(Leer)</v>
          </cell>
          <cell r="B857">
            <v>80305.94</v>
          </cell>
          <cell r="C857">
            <v>98838.080000000002</v>
          </cell>
          <cell r="D857">
            <v>20076.485000000001</v>
          </cell>
          <cell r="E857">
            <v>24709.52</v>
          </cell>
        </row>
        <row r="858">
          <cell r="A858" t="str">
            <v>Weißrussland - Mogiljew/Mahiljou</v>
          </cell>
          <cell r="B858" t="e">
            <v>#DIV/0!</v>
          </cell>
          <cell r="C858" t="e">
            <v>#DIV/0!</v>
          </cell>
          <cell r="D858" t="e">
            <v>#DIV/0!</v>
          </cell>
          <cell r="E858" t="e">
            <v>#DIV/0!</v>
          </cell>
        </row>
        <row r="859">
          <cell r="A859" t="str">
            <v>(Leer)</v>
          </cell>
          <cell r="B859" t="e">
            <v>#DIV/0!</v>
          </cell>
          <cell r="C859" t="e">
            <v>#DIV/0!</v>
          </cell>
          <cell r="D859" t="e">
            <v>#DIV/0!</v>
          </cell>
          <cell r="E859" t="e">
            <v>#DIV/0!</v>
          </cell>
        </row>
        <row r="860">
          <cell r="A860" t="str">
            <v>Zypern</v>
          </cell>
          <cell r="B860" t="e">
            <v>#DIV/0!</v>
          </cell>
          <cell r="C860" t="e">
            <v>#DIV/0!</v>
          </cell>
          <cell r="D860" t="e">
            <v>#DIV/0!</v>
          </cell>
          <cell r="E860" t="e">
            <v>#DIV/0!</v>
          </cell>
        </row>
        <row r="861">
          <cell r="A861" t="str">
            <v>Zypern</v>
          </cell>
          <cell r="B861" t="e">
            <v>#DIV/0!</v>
          </cell>
          <cell r="C861" t="e">
            <v>#DIV/0!</v>
          </cell>
          <cell r="D861" t="e">
            <v>#DIV/0!</v>
          </cell>
          <cell r="E861" t="e">
            <v>#DIV/0!</v>
          </cell>
        </row>
        <row r="862">
          <cell r="A862" t="str">
            <v>(Leer)</v>
          </cell>
          <cell r="B862" t="e">
            <v>#DIV/0!</v>
          </cell>
          <cell r="C862" t="e">
            <v>#DIV/0!</v>
          </cell>
          <cell r="D862" t="e">
            <v>#DIV/0!</v>
          </cell>
          <cell r="E862" t="e">
            <v>#DIV/0!</v>
          </cell>
        </row>
        <row r="863">
          <cell r="A863" t="str">
            <v>Gesamtergebnis</v>
          </cell>
          <cell r="B863">
            <v>5664.8141265316244</v>
          </cell>
          <cell r="C863">
            <v>8156.1172806138547</v>
          </cell>
          <cell r="D863">
            <v>386.64405848451588</v>
          </cell>
          <cell r="E863">
            <v>1031.1709150357935</v>
          </cell>
        </row>
      </sheetData>
      <sheetData sheetId="52">
        <row r="1">
          <cell r="A1" t="str">
            <v>Quelle</v>
          </cell>
          <cell r="B1" t="str">
            <v>qm/Monat</v>
          </cell>
        </row>
        <row r="2">
          <cell r="A2" t="str">
            <v>SF/Year</v>
          </cell>
          <cell r="B2">
            <v>0.89699166666666663</v>
          </cell>
        </row>
        <row r="3">
          <cell r="A3" t="str">
            <v>SF/Month</v>
          </cell>
          <cell r="B3">
            <v>10.7639</v>
          </cell>
        </row>
        <row r="4">
          <cell r="A4" t="str">
            <v>qm/Monat</v>
          </cell>
          <cell r="B4">
            <v>1</v>
          </cell>
        </row>
        <row r="5">
          <cell r="A5" t="str">
            <v>qm/Jahr</v>
          </cell>
          <cell r="B5">
            <v>8.3333333333333329E-2</v>
          </cell>
        </row>
        <row r="6">
          <cell r="A6" t="str">
            <v>Ping/Month</v>
          </cell>
          <cell r="B6">
            <v>3.306</v>
          </cell>
        </row>
      </sheetData>
      <sheetData sheetId="53">
        <row r="1">
          <cell r="A1" t="str">
            <v>ISO-CODE</v>
          </cell>
          <cell r="B1" t="str">
            <v>Kurs</v>
          </cell>
          <cell r="C1" t="str">
            <v>Datum</v>
          </cell>
        </row>
        <row r="2">
          <cell r="A2" t="str">
            <v>ALL</v>
          </cell>
          <cell r="B2">
            <v>144.09220999999999</v>
          </cell>
          <cell r="C2">
            <v>40861</v>
          </cell>
        </row>
        <row r="3">
          <cell r="A3" t="str">
            <v>ARS</v>
          </cell>
          <cell r="B3">
            <v>5.8761311000000003</v>
          </cell>
          <cell r="C3">
            <v>40861</v>
          </cell>
        </row>
        <row r="4">
          <cell r="A4" t="str">
            <v>AUD</v>
          </cell>
          <cell r="B4">
            <v>1.3351</v>
          </cell>
          <cell r="C4">
            <v>40861</v>
          </cell>
        </row>
        <row r="5">
          <cell r="A5" t="str">
            <v>BAM</v>
          </cell>
          <cell r="B5">
            <v>1.9560667</v>
          </cell>
          <cell r="C5">
            <v>40861</v>
          </cell>
        </row>
        <row r="6">
          <cell r="A6" t="str">
            <v>BGN</v>
          </cell>
          <cell r="B6">
            <v>1.9558</v>
          </cell>
          <cell r="C6">
            <v>40861</v>
          </cell>
        </row>
        <row r="7">
          <cell r="A7" t="str">
            <v>BRL</v>
          </cell>
          <cell r="B7">
            <v>2.4077818999999998</v>
          </cell>
          <cell r="C7">
            <v>40861</v>
          </cell>
        </row>
        <row r="8">
          <cell r="A8" t="str">
            <v>BYR</v>
          </cell>
          <cell r="B8">
            <v>3088.69</v>
          </cell>
          <cell r="C8">
            <v>40861</v>
          </cell>
        </row>
        <row r="9">
          <cell r="A9" t="str">
            <v>CAD</v>
          </cell>
          <cell r="B9">
            <v>1.3886000000000001</v>
          </cell>
          <cell r="C9">
            <v>40861</v>
          </cell>
        </row>
        <row r="10">
          <cell r="A10" t="str">
            <v>CHF</v>
          </cell>
          <cell r="B10">
            <v>1.2367999999999999</v>
          </cell>
          <cell r="C10">
            <v>40861</v>
          </cell>
        </row>
        <row r="11">
          <cell r="A11" t="str">
            <v>CHF</v>
          </cell>
          <cell r="B11">
            <v>1.2385588000000001</v>
          </cell>
          <cell r="C11">
            <v>40861</v>
          </cell>
        </row>
        <row r="12">
          <cell r="A12" t="str">
            <v>CNY</v>
          </cell>
          <cell r="B12">
            <v>8.6813000000000002</v>
          </cell>
          <cell r="C12">
            <v>40861</v>
          </cell>
        </row>
        <row r="13">
          <cell r="A13" t="str">
            <v>CZK</v>
          </cell>
          <cell r="B13">
            <v>25.742999999999999</v>
          </cell>
          <cell r="C13">
            <v>40861</v>
          </cell>
        </row>
        <row r="14">
          <cell r="A14" t="str">
            <v>DKK</v>
          </cell>
          <cell r="B14">
            <v>7.4429999999999996</v>
          </cell>
          <cell r="C14">
            <v>40861</v>
          </cell>
        </row>
        <row r="15">
          <cell r="A15" t="str">
            <v>DZD</v>
          </cell>
          <cell r="B15">
            <v>102.6694</v>
          </cell>
          <cell r="C15">
            <v>40861</v>
          </cell>
        </row>
        <row r="16">
          <cell r="A16" t="str">
            <v>EGP</v>
          </cell>
          <cell r="B16">
            <v>8.2542302000000003</v>
          </cell>
          <cell r="C16">
            <v>40861</v>
          </cell>
        </row>
        <row r="17">
          <cell r="A17" t="str">
            <v>EUR</v>
          </cell>
          <cell r="B17">
            <v>1</v>
          </cell>
          <cell r="C17">
            <v>40861</v>
          </cell>
        </row>
        <row r="18">
          <cell r="A18" t="str">
            <v>GBP</v>
          </cell>
          <cell r="B18">
            <v>0.85660000000000003</v>
          </cell>
          <cell r="C18">
            <v>40861</v>
          </cell>
        </row>
        <row r="19">
          <cell r="A19" t="str">
            <v>HKD</v>
          </cell>
          <cell r="B19">
            <v>10.6264</v>
          </cell>
          <cell r="C19">
            <v>40861</v>
          </cell>
        </row>
        <row r="20">
          <cell r="A20" t="str">
            <v>HRK</v>
          </cell>
          <cell r="B20">
            <v>7.4793000000000003</v>
          </cell>
          <cell r="C20">
            <v>40861</v>
          </cell>
        </row>
        <row r="21">
          <cell r="A21" t="str">
            <v>HUF</v>
          </cell>
          <cell r="B21">
            <v>315.60000000000002</v>
          </cell>
          <cell r="C21">
            <v>40861</v>
          </cell>
        </row>
        <row r="22">
          <cell r="A22" t="str">
            <v>IDR</v>
          </cell>
          <cell r="B22">
            <v>12245.16</v>
          </cell>
          <cell r="C22">
            <v>40861</v>
          </cell>
        </row>
        <row r="23">
          <cell r="A23" t="str">
            <v>ILS</v>
          </cell>
          <cell r="B23">
            <v>5.0837000000000003</v>
          </cell>
          <cell r="C23">
            <v>40861</v>
          </cell>
        </row>
        <row r="24">
          <cell r="A24" t="str">
            <v>INR</v>
          </cell>
          <cell r="B24">
            <v>68.807000000000002</v>
          </cell>
          <cell r="C24">
            <v>40861</v>
          </cell>
        </row>
        <row r="25">
          <cell r="A25" t="str">
            <v>JPY</v>
          </cell>
          <cell r="B25">
            <v>105.18</v>
          </cell>
          <cell r="C25">
            <v>40861</v>
          </cell>
        </row>
        <row r="26">
          <cell r="A26" t="str">
            <v>KRW</v>
          </cell>
          <cell r="B26">
            <v>1537.97</v>
          </cell>
          <cell r="C26">
            <v>40861</v>
          </cell>
        </row>
        <row r="27">
          <cell r="A27" t="str">
            <v>LTL</v>
          </cell>
          <cell r="B27">
            <v>3.4527999999999999</v>
          </cell>
          <cell r="C27">
            <v>40861</v>
          </cell>
        </row>
        <row r="28">
          <cell r="A28" t="str">
            <v>LVL</v>
          </cell>
          <cell r="B28">
            <v>0.70120000000000005</v>
          </cell>
          <cell r="C28">
            <v>40861</v>
          </cell>
        </row>
        <row r="29">
          <cell r="A29" t="str">
            <v>MAD</v>
          </cell>
          <cell r="B29">
            <v>11.2447993</v>
          </cell>
          <cell r="C29">
            <v>40861</v>
          </cell>
        </row>
        <row r="30">
          <cell r="A30" t="str">
            <v>MKD</v>
          </cell>
          <cell r="B30">
            <v>60.132291000000002</v>
          </cell>
          <cell r="C30">
            <v>40861</v>
          </cell>
        </row>
        <row r="31">
          <cell r="A31" t="str">
            <v>MXN</v>
          </cell>
          <cell r="B31">
            <v>18.473299999999998</v>
          </cell>
          <cell r="C31">
            <v>40861</v>
          </cell>
        </row>
        <row r="32">
          <cell r="A32" t="str">
            <v>MYR</v>
          </cell>
          <cell r="B32">
            <v>4.2847999999999997</v>
          </cell>
          <cell r="C32">
            <v>40861</v>
          </cell>
        </row>
        <row r="33">
          <cell r="A33" t="str">
            <v>NIS</v>
          </cell>
          <cell r="B33">
            <v>5.1103842999999998</v>
          </cell>
          <cell r="C33">
            <v>40861</v>
          </cell>
        </row>
        <row r="34">
          <cell r="A34" t="str">
            <v>NOK</v>
          </cell>
          <cell r="B34">
            <v>7.7539999999999996</v>
          </cell>
          <cell r="C34">
            <v>40861</v>
          </cell>
        </row>
        <row r="35">
          <cell r="A35" t="str">
            <v>NZD</v>
          </cell>
          <cell r="B35">
            <v>1.7447999999999999</v>
          </cell>
          <cell r="C35">
            <v>40861</v>
          </cell>
        </row>
        <row r="36">
          <cell r="A36" t="str">
            <v>PHP</v>
          </cell>
          <cell r="B36">
            <v>59.1</v>
          </cell>
          <cell r="C36">
            <v>40861</v>
          </cell>
        </row>
        <row r="37">
          <cell r="A37" t="str">
            <v>PLN</v>
          </cell>
          <cell r="B37">
            <v>4.3956</v>
          </cell>
          <cell r="C37">
            <v>40861</v>
          </cell>
        </row>
        <row r="38">
          <cell r="A38" t="str">
            <v>RON</v>
          </cell>
          <cell r="B38">
            <v>4.3505000000000003</v>
          </cell>
          <cell r="C38">
            <v>40861</v>
          </cell>
        </row>
        <row r="39">
          <cell r="A39" t="str">
            <v>RSD</v>
          </cell>
          <cell r="B39">
            <v>102.6694</v>
          </cell>
          <cell r="C39">
            <v>40861</v>
          </cell>
        </row>
        <row r="40">
          <cell r="A40" t="str">
            <v>RUB</v>
          </cell>
          <cell r="B40">
            <v>41.652200000000001</v>
          </cell>
          <cell r="C40">
            <v>40861</v>
          </cell>
        </row>
        <row r="41">
          <cell r="A41" t="str">
            <v>SEK</v>
          </cell>
          <cell r="B41">
            <v>9.1145999999999994</v>
          </cell>
          <cell r="C41">
            <v>40861</v>
          </cell>
        </row>
        <row r="42">
          <cell r="A42" t="str">
            <v>SGD</v>
          </cell>
          <cell r="B42">
            <v>1.7594000000000001</v>
          </cell>
          <cell r="C42">
            <v>40861</v>
          </cell>
        </row>
        <row r="43">
          <cell r="A43" t="str">
            <v>THB</v>
          </cell>
          <cell r="B43">
            <v>42.055999999999997</v>
          </cell>
          <cell r="C43">
            <v>40861</v>
          </cell>
        </row>
        <row r="44">
          <cell r="A44" t="str">
            <v>TND</v>
          </cell>
          <cell r="B44">
            <v>1.7873739900000001</v>
          </cell>
          <cell r="C44">
            <v>40861</v>
          </cell>
        </row>
        <row r="45">
          <cell r="A45" t="str">
            <v>TRY</v>
          </cell>
          <cell r="B45">
            <v>2.4336000000000002</v>
          </cell>
          <cell r="C45">
            <v>40861</v>
          </cell>
        </row>
        <row r="46">
          <cell r="A46" t="str">
            <v>TWD</v>
          </cell>
          <cell r="B46">
            <v>41.928721000000003</v>
          </cell>
          <cell r="C46">
            <v>40861</v>
          </cell>
        </row>
        <row r="47">
          <cell r="A47" t="str">
            <v>UAH</v>
          </cell>
          <cell r="B47">
            <v>10.76553</v>
          </cell>
          <cell r="C47">
            <v>40861</v>
          </cell>
        </row>
        <row r="48">
          <cell r="A48" t="str">
            <v>USD</v>
          </cell>
          <cell r="B48">
            <v>1.3658999999999999</v>
          </cell>
          <cell r="C48">
            <v>40861</v>
          </cell>
        </row>
        <row r="49">
          <cell r="A49" t="str">
            <v>VND</v>
          </cell>
          <cell r="B49">
            <v>24122.799999999999</v>
          </cell>
          <cell r="C49">
            <v>40861</v>
          </cell>
        </row>
        <row r="50">
          <cell r="A50" t="str">
            <v>ZAR</v>
          </cell>
          <cell r="B50">
            <v>11.048501999999999</v>
          </cell>
          <cell r="C50">
            <v>40861</v>
          </cell>
        </row>
      </sheetData>
      <sheetData sheetId="54" refreshError="1"/>
      <sheetData sheetId="55">
        <row r="2">
          <cell r="B2">
            <v>0.5</v>
          </cell>
        </row>
        <row r="3">
          <cell r="B3">
            <v>0.25</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s"/>
      <sheetName val="Alignment Volume Inbound"/>
      <sheetName val="BasisStapler "/>
      <sheetName val="BasisFFZ"/>
      <sheetName val="BasisHandInfo"/>
      <sheetName val="Sequencing"/>
      <sheetName val="2.1 Seafreight Container GR"/>
      <sheetName val="1.1 Truck Boxes GR"/>
      <sheetName val="I-Local Truck Volume"/>
      <sheetName val="2.2 GR Sea single item"/>
      <sheetName val="2.2 GI "/>
      <sheetName val="1.2 GR Truck single item "/>
      <sheetName val="2.3 Seafreight Mixed items"/>
      <sheetName val="1.3 Truck Mixed items"/>
      <sheetName val="2.4 Seafreight Cross Dock"/>
      <sheetName val="I-Seafreight Volume"/>
      <sheetName val="1.4 Truck Cross Dock"/>
      <sheetName val="3.1 Floor Storage"/>
      <sheetName val="I-Floor Storage"/>
      <sheetName val="3.2 Pallet Rack"/>
      <sheetName val="I-Pallet Rack"/>
      <sheetName val="Workload"/>
      <sheetName val="3.3 Mezz Storage"/>
      <sheetName val="I-Mezzanine"/>
      <sheetName val="3.4 Locked Storage"/>
      <sheetName val="I-Locked"/>
      <sheetName val="3.5 Hazardous Storage"/>
      <sheetName val="Basis Volume"/>
      <sheetName val="I-Hazadous"/>
      <sheetName val="LISTE"/>
      <sheetName val="Distances"/>
      <sheetName val="Employees"/>
      <sheetName val="Invest"/>
      <sheetName val="PPC Data"/>
      <sheetName val="Tabelle2"/>
    </sheetNames>
    <sheetDataSet>
      <sheetData sheetId="0">
        <row r="12">
          <cell r="G12">
            <v>7.6</v>
          </cell>
        </row>
      </sheetData>
      <sheetData sheetId="1" refreshError="1"/>
      <sheetData sheetId="2">
        <row r="32">
          <cell r="K32">
            <v>30</v>
          </cell>
        </row>
      </sheetData>
      <sheetData sheetId="3">
        <row r="37">
          <cell r="R37">
            <v>28</v>
          </cell>
        </row>
      </sheetData>
      <sheetData sheetId="4">
        <row r="6">
          <cell r="N6">
            <v>60</v>
          </cell>
        </row>
      </sheetData>
      <sheetData sheetId="5" refreshError="1"/>
      <sheetData sheetId="6">
        <row r="20">
          <cell r="H20">
            <v>0.53137523763020822</v>
          </cell>
        </row>
      </sheetData>
      <sheetData sheetId="7">
        <row r="6">
          <cell r="D6">
            <v>3</v>
          </cell>
        </row>
      </sheetData>
      <sheetData sheetId="8">
        <row r="4">
          <cell r="X4">
            <v>17410.6815739292</v>
          </cell>
        </row>
      </sheetData>
      <sheetData sheetId="9">
        <row r="16">
          <cell r="H16">
            <v>0.85127004894120828</v>
          </cell>
        </row>
      </sheetData>
      <sheetData sheetId="10">
        <row r="10">
          <cell r="H10">
            <v>0.633160822149753</v>
          </cell>
        </row>
      </sheetData>
      <sheetData sheetId="11">
        <row r="10">
          <cell r="H10">
            <v>0.76506642089727817</v>
          </cell>
        </row>
      </sheetData>
      <sheetData sheetId="12">
        <row r="10">
          <cell r="G10">
            <v>2.1135807758912564</v>
          </cell>
        </row>
      </sheetData>
      <sheetData sheetId="13">
        <row r="10">
          <cell r="G10">
            <v>2.3914139332418087</v>
          </cell>
        </row>
      </sheetData>
      <sheetData sheetId="14">
        <row r="10">
          <cell r="G10">
            <v>1.8634666666666666</v>
          </cell>
        </row>
      </sheetData>
      <sheetData sheetId="15">
        <row r="4">
          <cell r="AD4">
            <v>154955.0660079699</v>
          </cell>
        </row>
      </sheetData>
      <sheetData sheetId="16">
        <row r="10">
          <cell r="G10">
            <v>0.59249999999999992</v>
          </cell>
        </row>
      </sheetData>
      <sheetData sheetId="17">
        <row r="1">
          <cell r="A1" t="str">
            <v>3.1 Floor storage - Binning process</v>
          </cell>
        </row>
      </sheetData>
      <sheetData sheetId="18">
        <row r="18">
          <cell r="E18">
            <v>3248.4313967357903</v>
          </cell>
        </row>
      </sheetData>
      <sheetData sheetId="19">
        <row r="1">
          <cell r="A1" t="str">
            <v>3.2 Pallet Rack storage - Binning process</v>
          </cell>
        </row>
      </sheetData>
      <sheetData sheetId="20">
        <row r="18">
          <cell r="E18">
            <v>89656.706549907816</v>
          </cell>
        </row>
      </sheetData>
      <sheetData sheetId="21" refreshError="1"/>
      <sheetData sheetId="22">
        <row r="1">
          <cell r="A1" t="str">
            <v>3.3 Mezzanine Storage with Trolley  - Binning process</v>
          </cell>
        </row>
      </sheetData>
      <sheetData sheetId="23">
        <row r="18">
          <cell r="E18">
            <v>137733.49122159751</v>
          </cell>
        </row>
      </sheetData>
      <sheetData sheetId="24">
        <row r="1">
          <cell r="A1" t="str">
            <v>3.4 Locked Area Storage with Trolley  - Binning process</v>
          </cell>
        </row>
      </sheetData>
      <sheetData sheetId="25">
        <row r="18">
          <cell r="E18">
            <v>21439.647218456215</v>
          </cell>
        </row>
      </sheetData>
      <sheetData sheetId="26">
        <row r="1">
          <cell r="A1" t="str">
            <v>3.5 Hazardous Goods Area Storage with Trolley  - Binning process</v>
          </cell>
        </row>
      </sheetData>
      <sheetData sheetId="27">
        <row r="4">
          <cell r="B4">
            <v>69900.91200983274</v>
          </cell>
        </row>
      </sheetData>
      <sheetData sheetId="28">
        <row r="17">
          <cell r="E17">
            <v>7796.235352165897</v>
          </cell>
        </row>
      </sheetData>
      <sheetData sheetId="29">
        <row r="4">
          <cell r="B4" t="str">
            <v>x</v>
          </cell>
          <cell r="D4" t="str">
            <v>leicht</v>
          </cell>
        </row>
        <row r="5">
          <cell r="D5" t="str">
            <v>schwierig</v>
          </cell>
        </row>
        <row r="8">
          <cell r="B8" t="str">
            <v>ja</v>
          </cell>
          <cell r="D8" t="str">
            <v>ungefähr</v>
          </cell>
        </row>
        <row r="9">
          <cell r="B9" t="str">
            <v>nein</v>
          </cell>
          <cell r="D9" t="str">
            <v>genau</v>
          </cell>
        </row>
        <row r="31">
          <cell r="B31" t="str">
            <v>stabil</v>
          </cell>
        </row>
        <row r="32">
          <cell r="B32" t="str">
            <v>labil</v>
          </cell>
        </row>
        <row r="35">
          <cell r="B35">
            <v>0</v>
          </cell>
        </row>
        <row r="36">
          <cell r="B36">
            <v>1.2</v>
          </cell>
        </row>
        <row r="37">
          <cell r="B37">
            <v>2.5</v>
          </cell>
        </row>
        <row r="38">
          <cell r="B38">
            <v>4</v>
          </cell>
        </row>
      </sheetData>
      <sheetData sheetId="30">
        <row r="12">
          <cell r="G12">
            <v>119.48916666666666</v>
          </cell>
        </row>
      </sheetData>
      <sheetData sheetId="31">
        <row r="5">
          <cell r="I5">
            <v>90</v>
          </cell>
        </row>
      </sheetData>
      <sheetData sheetId="32" refreshError="1"/>
      <sheetData sheetId="33" refreshError="1"/>
      <sheetData sheetId="3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iprozess"/>
      <sheetName val="BasisStapler "/>
      <sheetName val="BasisHandInfo"/>
      <sheetName val="BasisFFZ"/>
      <sheetName val="Dropdown"/>
      <sheetName val="LKW Proz"/>
      <sheetName val="n.r. LKW Anm K"/>
      <sheetName val="1. LKW Dummy K"/>
      <sheetName val="2. LKW Ablad K"/>
      <sheetName val="3. WEBU K"/>
      <sheetName val="4. WABU K "/>
      <sheetName val="5 LKW Belad K"/>
      <sheetName val="1-5 Ergblt"/>
      <sheetName val="n.r. LKW Abm K"/>
      <sheetName val="A. LG zu Rack K."/>
      <sheetName val="B+C. PW LG &amp; VG Versor K "/>
      <sheetName val="D+E. PW Tri LG &amp; VG Versor K"/>
      <sheetName val="A - E Ergblt"/>
      <sheetName val="Tabelle1"/>
      <sheetName val="Tabelle2"/>
      <sheetName val="Cover Sheet"/>
      <sheetName val="Price Sheet"/>
      <sheetName val="Ratio Clause 6 years"/>
    </sheetNames>
    <sheetDataSet>
      <sheetData sheetId="0" refreshError="1"/>
      <sheetData sheetId="1" refreshError="1"/>
      <sheetData sheetId="2" refreshError="1"/>
      <sheetData sheetId="3" refreshError="1"/>
      <sheetData sheetId="4" refreshError="1">
        <row r="3">
          <cell r="F3">
            <v>0</v>
          </cell>
        </row>
        <row r="21">
          <cell r="C21" t="str">
            <v>&lt;= 50 Kg</v>
          </cell>
        </row>
        <row r="22">
          <cell r="C22" t="str">
            <v>&lt; = 100 kg</v>
          </cell>
        </row>
        <row r="23">
          <cell r="C23" t="str">
            <v>&lt; = 200 kg</v>
          </cell>
        </row>
        <row r="24">
          <cell r="C24" t="str">
            <v>&gt; 200 kg</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rn"/>
      <sheetName val="BASIS-N"/>
      <sheetName val="master data equipment"/>
      <sheetName val="Prozessübersicht"/>
      <sheetName val="master_data_equipment"/>
      <sheetName val="master_data_equipment1"/>
      <sheetName val="master_data_equipment2"/>
      <sheetName val="master_data_equipment3"/>
      <sheetName val="Database"/>
      <sheetName val="Drop Down Names"/>
      <sheetName val="Matériel"/>
      <sheetName val="Opérations"/>
      <sheetName val="Moyens"/>
      <sheetName val="Compte UOs"/>
      <sheetName val="Tarif"/>
      <sheetName val="validationInfo"/>
      <sheetName val="Set up"/>
      <sheetName val="FX Rates"/>
      <sheetName val="Proj05"/>
      <sheetName val="General"/>
      <sheetName val="Anual"/>
      <sheetName val="SP Summary"/>
      <sheetName val="SourcingPlan"/>
      <sheetName val="MackieNewPrts"/>
      <sheetName val="MF"/>
      <sheetName val="OP"/>
      <sheetName val="PR"/>
      <sheetName val="SV"/>
      <sheetName val="数据库"/>
      <sheetName val="Teilepreise (Bratislava)"/>
      <sheetName val="Teilepreise (Pamplona)"/>
      <sheetName val="Kalkulationsbasis"/>
      <sheetName val="Datenblatt"/>
    </sheetNames>
    <sheetDataSet>
      <sheetData sheetId="0" refreshError="1">
        <row r="105">
          <cell r="H105">
            <v>28.0275</v>
          </cell>
        </row>
        <row r="114">
          <cell r="H114">
            <v>21.21</v>
          </cell>
        </row>
        <row r="186">
          <cell r="H186">
            <v>23.608875000000001</v>
          </cell>
        </row>
        <row r="202">
          <cell r="H202">
            <v>23.608875000000001</v>
          </cell>
        </row>
        <row r="243">
          <cell r="H243">
            <v>25.502499999999998</v>
          </cell>
        </row>
        <row r="256">
          <cell r="H256">
            <v>10.4535</v>
          </cell>
        </row>
      </sheetData>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_Process_tim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_Cost_model"/>
      <sheetName val=" "/>
      <sheetName val="1_Quotation_details"/>
      <sheetName val="MTM_Process"/>
      <sheetName val="Distanzen"/>
      <sheetName val="Stapler_Zeilen_1"/>
      <sheetName val="Stapler_Zeilen_2"/>
      <sheetName val="2.1_Process_times"/>
      <sheetName val="2.2_Process_costs"/>
      <sheetName val="3_On-&amp;Offsite_costs"/>
      <sheetName val="4_Overall_costs"/>
      <sheetName val=" "/>
      <sheetName val="2.2_LCC"/>
      <sheetName val="Price Sheet"/>
      <sheetName val="Produktivitätsvergleich"/>
      <sheetName val="Berechnung der Preispositionen"/>
      <sheetName val="Help Desk Kosten"/>
      <sheetName val="Packaging Costs"/>
      <sheetName val="Produktivität_ALT"/>
      <sheetName val="BP-Verteilung der IB&amp;OB-Lines"/>
      <sheetName val="Lohndaten-1"/>
      <sheetName val="Lohndaten-Übersicht"/>
      <sheetName val="Packaging with Prices"/>
      <sheetName val="Packaging_material"/>
      <sheetName val="IB&amp;OB-Verteilung"/>
      <sheetName val="Volumen2014-15"/>
      <sheetName val="Inbound truks from CDC"/>
      <sheetName val="Inbound Moto 2014_15"/>
      <sheetName val="ES Moto Outbound 2014_15"/>
      <sheetName val="PT Moto Outbound 2014_15"/>
      <sheetName val="Verteilung der IB&amp;OB-Lines ESP"/>
      <sheetName val="Basic_Data_Packaging"/>
      <sheetName val="Quellen-Screenshots"/>
      <sheetName val="Basic_Data_Trans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560">
          <cell r="D560" t="str">
            <v>Pay grade 1 - Operator (ungelernte Hilfskraft)</v>
          </cell>
        </row>
        <row r="561">
          <cell r="D561" t="str">
            <v>Pay grade 2 - FLT Driver (Staplerfahrer)</v>
          </cell>
        </row>
        <row r="562">
          <cell r="D562" t="str">
            <v>Pay grade 3 - Admin</v>
          </cell>
        </row>
        <row r="563">
          <cell r="D563" t="str">
            <v>Pay grade 4 - Teamlead (hier KEIN Schichtführer)</v>
          </cell>
        </row>
        <row r="564">
          <cell r="D564" t="str">
            <v>Pay grade 5 - Supervisor (HIER: Schichtführer)</v>
          </cell>
        </row>
        <row r="565">
          <cell r="D565" t="str">
            <v>Pay grade 6 - erfahrener Planer, Lean Manager</v>
          </cell>
        </row>
        <row r="566">
          <cell r="D566" t="str">
            <v>Pay grade 7 - Manager</v>
          </cell>
        </row>
        <row r="567">
          <cell r="D567" t="str">
            <v>Pay grade 8 - Helpdesk (evtl. wie Admin)</v>
          </cell>
        </row>
        <row r="568">
          <cell r="D568" t="str">
            <v>Pay grade 9 - Cleaner (falls nicht extern)</v>
          </cell>
        </row>
        <row r="569">
          <cell r="D569" t="str">
            <v>Pay grade 10 (please specify)</v>
          </cell>
        </row>
      </sheetData>
      <sheetData sheetId="8" refreshError="1"/>
      <sheetData sheetId="9" refreshError="1"/>
      <sheetData sheetId="10" refreshError="1"/>
      <sheetData sheetId="11" refreshError="1"/>
      <sheetData sheetId="12" refreshError="1"/>
      <sheetData sheetId="13">
        <row r="13">
          <cell r="M13">
            <v>180000</v>
          </cell>
        </row>
      </sheetData>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_Mengengerüst_Neu"/>
      <sheetName val="Mengengerüst_Teilefamilie"/>
      <sheetName val="Zeiten_Hallenzuordnung"/>
      <sheetName val="Gesamtübersicht"/>
      <sheetName val="LOT-Umfang"/>
      <sheetName val="P + G"/>
      <sheetName val="Mengengerüst1"/>
      <sheetName val="Mengengerüst_Neu"/>
      <sheetName val="Hallenzeiten"/>
      <sheetName val="MatFlow"/>
      <sheetName val="A Process"/>
      <sheetName val="Basis"/>
      <sheetName val="Budget"/>
      <sheetName val="Perso"/>
      <sheetName val="Cost Allocation"/>
      <sheetName val="Prices"/>
      <sheetName val="Pivot"/>
      <sheetName val="CBS_2015"/>
      <sheetName val="Preisblatt"/>
      <sheetName val="Vol"/>
      <sheetName val="Übersicht"/>
      <sheetName val="Details_Auswahl"/>
      <sheetName val="Packzeiten"/>
      <sheetName val="Auswahl"/>
      <sheetName val="Erlöse_x"/>
      <sheetName val="CBS_2015_neu"/>
      <sheetName val="Preisblatt_NEU"/>
      <sheetName val="Wirtschaftlichkeit_NEU"/>
      <sheetName val="DatenPräsi"/>
      <sheetName val="Erlöse_Zeitschiene"/>
      <sheetName val="Erlöse NEU"/>
      <sheetName val="Paket2-4"/>
      <sheetName val="Erlöse_alt"/>
      <sheetName val="Auswertung"/>
      <sheetName val="Wirtschaftlichkeit"/>
      <sheetName val="DB"/>
      <sheetName val="Preisverhandlung"/>
      <sheetName val="LG_ohne FFZ"/>
      <sheetName val="Kalk_Pack"/>
      <sheetName val="Kalk_Blech"/>
      <sheetName val="LG_mit FFZ"/>
      <sheetName val="Teamleader "/>
      <sheetName val="Meister"/>
      <sheetName val="Hallenzuordnung"/>
      <sheetName val="Packplan"/>
      <sheetName val="Blech_Umfänge"/>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8">
          <cell r="O8">
            <v>39.718507739173468</v>
          </cell>
        </row>
      </sheetData>
      <sheetData sheetId="13"/>
      <sheetData sheetId="14">
        <row r="255">
          <cell r="BM255">
            <v>100000</v>
          </cell>
        </row>
      </sheetData>
      <sheetData sheetId="15"/>
      <sheetData sheetId="16"/>
      <sheetData sheetId="17">
        <row r="244">
          <cell r="F244">
            <v>8.5000000000000006E-2</v>
          </cell>
        </row>
      </sheetData>
      <sheetData sheetId="18"/>
      <sheetData sheetId="19"/>
      <sheetData sheetId="20">
        <row r="5">
          <cell r="I5">
            <v>834988.32318213</v>
          </cell>
        </row>
      </sheetData>
      <sheetData sheetId="21"/>
      <sheetData sheetId="22"/>
      <sheetData sheetId="23"/>
      <sheetData sheetId="24"/>
      <sheetData sheetId="25">
        <row r="5">
          <cell r="N5">
            <v>101562.25909316406</v>
          </cell>
        </row>
      </sheetData>
      <sheetData sheetId="26"/>
      <sheetData sheetId="27"/>
      <sheetData sheetId="28"/>
      <sheetData sheetId="29"/>
      <sheetData sheetId="30">
        <row r="30">
          <cell r="O30">
            <v>144695.8472606866</v>
          </cell>
        </row>
      </sheetData>
      <sheetData sheetId="31"/>
      <sheetData sheetId="32"/>
      <sheetData sheetId="33"/>
      <sheetData sheetId="34">
        <row r="50">
          <cell r="D50">
            <v>30.91</v>
          </cell>
        </row>
      </sheetData>
      <sheetData sheetId="35"/>
      <sheetData sheetId="36"/>
      <sheetData sheetId="37"/>
      <sheetData sheetId="38"/>
      <sheetData sheetId="39"/>
      <sheetData sheetId="40">
        <row r="69">
          <cell r="D69">
            <v>1</v>
          </cell>
        </row>
      </sheetData>
      <sheetData sheetId="41"/>
      <sheetData sheetId="42"/>
      <sheetData sheetId="43"/>
      <sheetData sheetId="44"/>
      <sheetData sheetId="4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_Cost_model"/>
      <sheetName val=" "/>
      <sheetName val="1_Quotation_details"/>
      <sheetName val="Prämissenblatt"/>
      <sheetName val="2.1_Process_times"/>
      <sheetName val="2.2_Process_costs"/>
      <sheetName val="3_Site-related_costs_&amp;_OH"/>
      <sheetName val="4_Overall_costs"/>
      <sheetName val="Überleitung"/>
      <sheetName val="Price Sheet "/>
      <sheetName val=" "/>
      <sheetName val="2_Labour_costs_calculator"/>
      <sheetName val="Mercer Lohndatenbank"/>
      <sheetName val="External Warehouse"/>
      <sheetName val="Volume Info Foshan update"/>
      <sheetName val="Lines-Verteilung"/>
      <sheetName val="IB &amp; OB-Lines"/>
      <sheetName val="nur OB-lines"/>
      <sheetName val="Line-Rechner"/>
      <sheetName val="Price Sheet"/>
      <sheetName val="Basic_Data_Transport"/>
      <sheetName val="Packaging Costs"/>
      <sheetName val="Inbound  information"/>
      <sheetName val="Outbound Information"/>
      <sheetName val="Berechnungen FOSHAN"/>
    </sheetNames>
    <sheetDataSet>
      <sheetData sheetId="0"/>
      <sheetData sheetId="1"/>
      <sheetData sheetId="2">
        <row r="11">
          <cell r="I11">
            <v>302</v>
          </cell>
        </row>
      </sheetData>
      <sheetData sheetId="3"/>
      <sheetData sheetId="4">
        <row r="95">
          <cell r="CI95">
            <v>73549.817711847703</v>
          </cell>
        </row>
      </sheetData>
      <sheetData sheetId="5"/>
      <sheetData sheetId="6">
        <row r="8">
          <cell r="L8">
            <v>143001.60000000001</v>
          </cell>
        </row>
      </sheetData>
      <sheetData sheetId="7">
        <row r="28">
          <cell r="L28">
            <v>4.2000000000000003E-2</v>
          </cell>
        </row>
      </sheetData>
      <sheetData sheetId="8"/>
      <sheetData sheetId="9"/>
      <sheetData sheetId="10"/>
      <sheetData sheetId="11"/>
      <sheetData sheetId="12"/>
      <sheetData sheetId="13">
        <row r="3">
          <cell r="C3">
            <v>85479.52</v>
          </cell>
        </row>
      </sheetData>
      <sheetData sheetId="14">
        <row r="9">
          <cell r="G9">
            <v>220105.01960727479</v>
          </cell>
        </row>
      </sheetData>
      <sheetData sheetId="15">
        <row r="42">
          <cell r="J42">
            <v>31210.633173567992</v>
          </cell>
        </row>
      </sheetData>
      <sheetData sheetId="16"/>
      <sheetData sheetId="17"/>
      <sheetData sheetId="18">
        <row r="6">
          <cell r="F6">
            <v>1200</v>
          </cell>
          <cell r="G6">
            <v>800</v>
          </cell>
          <cell r="H6">
            <v>1000</v>
          </cell>
        </row>
        <row r="7">
          <cell r="F7">
            <v>1000</v>
          </cell>
          <cell r="G7">
            <v>1000</v>
          </cell>
          <cell r="H7">
            <v>1000</v>
          </cell>
        </row>
      </sheetData>
      <sheetData sheetId="19"/>
      <sheetData sheetId="20"/>
      <sheetData sheetId="21"/>
      <sheetData sheetId="22"/>
      <sheetData sheetId="23"/>
      <sheetData sheetId="2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g"/>
      <sheetName val="SUMMARY"/>
      <sheetName val="Main"/>
      <sheetName val="I_Body (EUR)"/>
      <sheetName val="I_Body (Tool) (EUR)"/>
      <sheetName val="I_Paint (EUR)"/>
      <sheetName val="I_Paint (Tool) (EUR)"/>
      <sheetName val="I_TCF (EUR)"/>
      <sheetName val="I_TCF (Tool) (EUR)"/>
      <sheetName val="I_Logistics (EUR)"/>
      <sheetName val="I_Waste (EUR)"/>
      <sheetName val="I_Other (EUR)"/>
      <sheetName val="I_Other (Tool) (EUR)"/>
      <sheetName val="I_Infra (EUR)"/>
      <sheetName val="I_Plann (EUR)"/>
      <sheetName val="I_Start (EUR)"/>
      <sheetName val="Neuinvest"/>
      <sheetName val="Altinvest1"/>
      <sheetName val="Altinvest2"/>
      <sheetName val="Altinvest1 (47.000)"/>
      <sheetName val="Altinvest 2(47.000)"/>
      <sheetName val="Vorfinanzierung"/>
      <sheetName val="Vorfinanzierung Tooling"/>
      <sheetName val="CRC _VERLAUF"/>
      <sheetName val="C_Areas"/>
      <sheetName val="C_Deprec"/>
      <sheetName val="Manning"/>
      <sheetName val="M_Body"/>
      <sheetName val="P_body"/>
      <sheetName val="M_Paint"/>
      <sheetName val="P_Paint"/>
      <sheetName val="M_TCF"/>
      <sheetName val="M_TCF_alt"/>
      <sheetName val="P_TCF"/>
      <sheetName val="M_Waste"/>
      <sheetName val="M_Quali"/>
      <sheetName val="M_Maint"/>
      <sheetName val="M_Maneng"/>
      <sheetName val="M_Prodeng"/>
      <sheetName val="M_Admin"/>
      <sheetName val="W_Body"/>
      <sheetName val="W_Paint"/>
      <sheetName val="W_TCF"/>
      <sheetName val="I_Body"/>
      <sheetName val="I_Body (Tool)"/>
      <sheetName val="I_Paint"/>
      <sheetName val="I_Paint (Tool)"/>
      <sheetName val="I_Paint_Full"/>
      <sheetName val="I_TCF"/>
      <sheetName val="I_TCF (Tool)"/>
      <sheetName val="I_TCF (alt)"/>
      <sheetName val="I_Logistics"/>
      <sheetName val="Alt_Neu"/>
      <sheetName val="I_Waste"/>
      <sheetName val="I_Other"/>
      <sheetName val="I_Other (Tool)"/>
      <sheetName val="I_Infra"/>
      <sheetName val="I_Plann"/>
      <sheetName val="I_Start"/>
      <sheetName val="I_Verlauf"/>
      <sheetName val="I_Verlauf (Tool)"/>
      <sheetName val="Material"/>
      <sheetName val="C_Chr_Fee"/>
      <sheetName val="C_Material"/>
      <sheetName val="C_Other"/>
      <sheetName val="C_Person"/>
      <sheetName val="SFT_Infra"/>
      <sheetName val="VB_f(x,y...)"/>
      <sheetName val="VB_Makro"/>
    </sheetNames>
    <sheetDataSet>
      <sheetData sheetId="0" refreshError="1">
        <row r="3">
          <cell r="G3" t="str">
            <v>1/5/1998 - 10:00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ndling"/>
      <sheetName val="Basics"/>
      <sheetName val="BasisHandInfo"/>
      <sheetName val="BasisFFZ"/>
      <sheetName val="BasisStapler "/>
      <sheetName val="Datainput"/>
      <sheetName val="Supply Sequencing"/>
      <sheetName val="Sequencing"/>
      <sheetName val="General Booking or Scanning"/>
      <sheetName val="Truck Unloading"/>
      <sheetName val="GR Booking"/>
      <sheetName val="Pallet Rack"/>
      <sheetName val="Transfer to Storage"/>
      <sheetName val="Mezz Storage"/>
      <sheetName val="Grafic WHS"/>
      <sheetName val="Average Inbound"/>
      <sheetName val="Result RDC"/>
      <sheetName val="MTM Def"/>
      <sheetName val="basic data transport"/>
      <sheetName val="Manpower based on VI v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
          <cell r="A3" t="str">
            <v>Komplettladung</v>
          </cell>
        </row>
        <row r="14">
          <cell r="A14" t="str">
            <v>Container - 20'</v>
          </cell>
        </row>
        <row r="15">
          <cell r="A15" t="str">
            <v>Container - 40'</v>
          </cell>
        </row>
        <row r="16">
          <cell r="A16" t="str">
            <v>Container - 40' High Cube</v>
          </cell>
        </row>
        <row r="17">
          <cell r="A17" t="str">
            <v>Container - 20' Open Top</v>
          </cell>
        </row>
        <row r="18">
          <cell r="A18" t="str">
            <v>Container - 40' Open Top</v>
          </cell>
        </row>
        <row r="20">
          <cell r="A20" t="str">
            <v>LD7</v>
          </cell>
        </row>
        <row r="21">
          <cell r="A21" t="str">
            <v>LD9</v>
          </cell>
        </row>
        <row r="22">
          <cell r="A22" t="str">
            <v>EU - Megatrailer</v>
          </cell>
        </row>
        <row r="23">
          <cell r="A23" t="str">
            <v>EU - Jumbo</v>
          </cell>
        </row>
        <row r="24">
          <cell r="A24" t="str">
            <v>EU - 7.5 Tonner</v>
          </cell>
        </row>
        <row r="25">
          <cell r="A25" t="str">
            <v>US - Truck 53'</v>
          </cell>
        </row>
        <row r="26">
          <cell r="A26" t="str">
            <v>CN - 8to</v>
          </cell>
        </row>
        <row r="27">
          <cell r="A27" t="str">
            <v>CN - 20to</v>
          </cell>
        </row>
        <row r="28">
          <cell r="A28" t="str">
            <v>CN - 25to</v>
          </cell>
        </row>
      </sheetData>
      <sheetData sheetId="1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Processes"/>
      <sheetName val="Prices"/>
      <sheetName val="Price Sheet (NEW)"/>
      <sheetName val="Cost Breakdown (NEW)"/>
      <sheetName val="Operating Costs"/>
      <sheetName val="Investments"/>
      <sheetName val="Tabelle1"/>
      <sheetName val="Data&amp;Figures BMW"/>
      <sheetName val="Volume Information"/>
      <sheetName val="Bin Information Beijing"/>
      <sheetName val="Controlling"/>
      <sheetName val="Profit and Loss"/>
      <sheetName val="Financial Charts"/>
      <sheetName val="Results Page"/>
      <sheetName val="Data &amp; Figures"/>
      <sheetName val="Help"/>
      <sheetName val="Section Split"/>
      <sheetName val="Price Sheet"/>
      <sheetName val="Cost Breakdown"/>
    </sheetNames>
    <sheetDataSet>
      <sheetData sheetId="0"/>
      <sheetData sheetId="1"/>
      <sheetData sheetId="2">
        <row r="93">
          <cell r="H93">
            <v>640342.93386201421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nan lu" id="{415906EE-136B-4456-9AC1-92CA13568F45}" userId="69020f04d55bf737"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陆颖" refreshedDate="46073.781370717596" createdVersion="8" refreshedVersion="8" minRefreshableVersion="3" recordCount="163" xr:uid="{00000000-000A-0000-FFFF-FFFF00000000}">
  <cacheSource type="worksheet">
    <worksheetSource ref="A1:AF164" sheet="Process"/>
  </cacheSource>
  <cacheFields count="32">
    <cacheField name="No." numFmtId="0">
      <sharedItems containsSemiMixedTypes="0" containsString="0" containsNumber="1" containsInteger="1" minValue="1" maxValue="163"/>
    </cacheField>
    <cacheField name="Rate-operation" numFmtId="0">
      <sharedItems count="12">
        <s v="Inbound processing"/>
        <s v="Chinese labelling"/>
        <s v="Warranty &amp; Return"/>
        <s v="Inbound DG processing"/>
        <s v="Warranty &amp; Return DG"/>
        <s v="Customs inspection"/>
        <s v="Outbound processing"/>
        <s v="Outbound DG processing"/>
        <s v="Key cutting handling"/>
        <s v="Engraved steal seal"/>
        <s v="Count"/>
        <s v="Outbound DG processing " u="1"/>
      </sharedItems>
    </cacheField>
    <cacheField name="Area-2" numFmtId="0">
      <sharedItems containsBlank="1"/>
    </cacheField>
    <cacheField name="Main-Process" numFmtId="0">
      <sharedItems containsBlank="1"/>
    </cacheField>
    <cacheField name="Sub-Process" numFmtId="0">
      <sharedItems containsBlank="1"/>
    </cacheField>
    <cacheField name="Daily Volume (2026)" numFmtId="0">
      <sharedItems containsString="0" containsBlank="1" containsNumber="1" minValue="0" maxValue="23228.806693242321"/>
    </cacheField>
    <cacheField name="UOM (HU)" numFmtId="0">
      <sharedItems containsBlank="1"/>
    </cacheField>
    <cacheField name="Index" numFmtId="0">
      <sharedItems containsBlank="1"/>
    </cacheField>
    <cacheField name="Distance (m)" numFmtId="183">
      <sharedItems containsBlank="1" containsMixedTypes="1" containsNumber="1" containsInteger="1" minValue="0" maxValue="320"/>
    </cacheField>
    <cacheField name="MHE" numFmtId="0">
      <sharedItems containsBlank="1" count="12">
        <s v="Manual"/>
        <s v="CB"/>
        <s v="Trolley"/>
        <s v="R-Truck"/>
        <s v="OP-raise/down"/>
        <s v="CB - DG"/>
        <s v="Rider on"/>
        <s v="OP-move"/>
        <m u="1"/>
        <s v="HPJ" u="1"/>
        <s v="Rider on " u="1"/>
        <s v="OP" u="1"/>
      </sharedItems>
    </cacheField>
    <cacheField name="MHE speed" numFmtId="176">
      <sharedItems containsString="0" containsBlank="1" containsNumber="1" minValue="0.42" maxValue="2.8"/>
    </cacheField>
    <cacheField name="Time (sec.) - movement" numFmtId="183">
      <sharedItems containsString="0" containsBlank="1" containsNumber="1" minValue="0" maxValue="640"/>
    </cacheField>
    <cacheField name="Time (sec.) /handling" numFmtId="0">
      <sharedItems containsString="0" containsBlank="1" containsNumber="1" minValue="0" maxValue="7200"/>
    </cacheField>
    <cacheField name="Total Time (sec.)" numFmtId="183">
      <sharedItems containsString="0" containsBlank="1" containsNumber="1" minValue="0" maxValue="7200"/>
    </cacheField>
    <cacheField name="Role" numFmtId="0">
      <sharedItems containsBlank="1"/>
    </cacheField>
    <cacheField name="FTE" numFmtId="184">
      <sharedItems containsString="0" containsBlank="1" containsNumber="1" minValue="0" maxValue="2.3722229057641262"/>
    </cacheField>
    <cacheField name="Packing Station" numFmtId="0">
      <sharedItems containsString="0" containsBlank="1" containsNumber="1" minValue="1.9906765642775884E-2" maxValue="2.3722229057641262"/>
    </cacheField>
    <cacheField name="HPJ with Scale" numFmtId="0">
      <sharedItems containsString="0" containsBlank="1" containsNumber="1" minValue="0.36495737011755791" maxValue="0.4391198303553504"/>
    </cacheField>
    <cacheField name="Customize 1" numFmtId="0">
      <sharedItems containsNonDate="0" containsString="0" containsBlank="1"/>
    </cacheField>
    <cacheField name="Customize 2" numFmtId="0">
      <sharedItems containsNonDate="0" containsString="0" containsBlank="1"/>
    </cacheField>
    <cacheField name="Customize 3" numFmtId="0">
      <sharedItems containsNonDate="0" containsString="0" containsBlank="1"/>
    </cacheField>
    <cacheField name="Customize 4" numFmtId="0">
      <sharedItems containsNonDate="0" containsString="0" containsBlank="1"/>
    </cacheField>
    <cacheField name="Customize 5" numFmtId="0">
      <sharedItems containsNonDate="0" containsString="0" containsBlank="1"/>
    </cacheField>
    <cacheField name="FTE-Y2" numFmtId="176">
      <sharedItems containsString="0" containsBlank="1" containsNumber="1" minValue="0" maxValue="2.301056218591202"/>
    </cacheField>
    <cacheField name="FTE-Y3" numFmtId="176">
      <sharedItems containsString="0" containsBlank="1" containsNumber="1" minValue="0" maxValue="2.1217625201510129"/>
    </cacheField>
    <cacheField name="FTE-Y4" numFmtId="176">
      <sharedItems containsString="0" containsBlank="1" containsNumber="1" minValue="0" maxValue="2.0151321989490625"/>
    </cacheField>
    <cacheField name="FTE-Y5" numFmtId="176">
      <sharedItems containsString="0" containsBlank="1" containsNumber="1" minValue="0" maxValue="1.9712764613830742"/>
    </cacheField>
    <cacheField name="FTE Cost - Y1" numFmtId="183">
      <sharedItems containsString="0" containsBlank="1" containsNumber="1" minValue="0" maxValue="229270.82959504463"/>
    </cacheField>
    <cacheField name="FTE Cost - Y2" numFmtId="183">
      <sharedItems containsString="0" containsBlank="1" containsNumber="1" minValue="0" maxValue="237960.19403669683"/>
    </cacheField>
    <cacheField name="FTE Cost - Y3" numFmtId="183">
      <sharedItems containsString="0" containsBlank="1" containsNumber="1" minValue="0" maxValue="234778.12845238761"/>
    </cacheField>
    <cacheField name="FTE Cost - Y4" numFmtId="183">
      <sharedItems containsString="0" containsBlank="1" containsNumber="1" minValue="0" maxValue="238587.77270470111"/>
    </cacheField>
    <cacheField name="FTE Cost - Y5" numFmtId="183">
      <sharedItems containsString="0" containsBlank="1" containsNumber="1" minValue="0" maxValue="249733.011457267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n v="1"/>
    <x v="0"/>
    <s v="Make IB plan"/>
    <s v="Make IB plan and paper work"/>
    <s v="Check IB Plan"/>
    <n v="1"/>
    <s v="Daily"/>
    <s v="HDL"/>
    <n v="0"/>
    <x v="0"/>
    <n v="1.2"/>
    <n v="0"/>
    <n v="7200"/>
    <n v="7200"/>
    <s v="IB Planner"/>
    <n v="0.29411764705882354"/>
    <m/>
    <m/>
    <m/>
    <m/>
    <m/>
    <m/>
    <m/>
    <n v="0.28529411764705881"/>
    <n v="0.26306457058823529"/>
    <n v="0.24984411853845537"/>
    <n v="0.24440670946884568"/>
    <n v="37078.999282639888"/>
    <n v="38484.29335545194"/>
    <n v="37969.671378786559"/>
    <n v="38585.78899282471"/>
    <n v="40388.261206325064"/>
  </r>
  <r>
    <n v="2"/>
    <x v="0"/>
    <s v="Good Receiving"/>
    <s v="Checking truck / container before unloading"/>
    <s v="Adjust Dock"/>
    <n v="4.8054607508532428"/>
    <s v="Truck/Ctnr."/>
    <s v="HDL"/>
    <n v="0"/>
    <x v="0"/>
    <n v="1.2"/>
    <n v="0"/>
    <n v="120"/>
    <n v="120"/>
    <s v="Operator"/>
    <n v="2.3556180151241387E-2"/>
    <m/>
    <m/>
    <m/>
    <m/>
    <m/>
    <m/>
    <m/>
    <n v="2.2849494746704141E-2"/>
    <n v="2.1069107815030446E-2"/>
    <n v="2.0010268424467865E-2"/>
    <n v="1.9574780826628817E-2"/>
    <n v="1979.7963970404612"/>
    <n v="2054.8306804882941"/>
    <n v="2027.352950372828"/>
    <n v="2060.2499393969351"/>
    <n v="2156.4911558022627"/>
  </r>
  <r>
    <n v="3"/>
    <x v="0"/>
    <s v="Good Receiving"/>
    <s v="Checking truck / container before unloading"/>
    <s v="Safety Confirm"/>
    <n v="4.8054607508532428"/>
    <s v="Truck/Ctnr."/>
    <s v="HDL"/>
    <n v="0"/>
    <x v="0"/>
    <n v="1.2"/>
    <n v="0"/>
    <n v="90"/>
    <n v="90"/>
    <s v="Operator"/>
    <n v="1.7667135113431039E-2"/>
    <m/>
    <m/>
    <m/>
    <m/>
    <m/>
    <m/>
    <m/>
    <n v="1.7137121060028106E-2"/>
    <n v="1.5801830861272834E-2"/>
    <n v="1.5007701318350899E-2"/>
    <n v="1.4681085619971614E-2"/>
    <n v="1484.8472977803458"/>
    <n v="1541.1230103662208"/>
    <n v="1520.5147127796208"/>
    <n v="1545.1874545477012"/>
    <n v="1617.3683668516969"/>
  </r>
  <r>
    <n v="4"/>
    <x v="0"/>
    <s v="Good Receiving"/>
    <s v="Checking truck / container before unloading"/>
    <s v="Check IB DN"/>
    <n v="4.8054607508532428"/>
    <s v="Truck/Ctnr."/>
    <s v="HDL"/>
    <n v="0"/>
    <x v="0"/>
    <n v="1.2"/>
    <n v="0"/>
    <n v="15"/>
    <n v="15"/>
    <s v="Operator"/>
    <n v="2.9445225189051734E-3"/>
    <m/>
    <m/>
    <m/>
    <m/>
    <m/>
    <m/>
    <m/>
    <n v="2.8561868433380176E-3"/>
    <n v="2.6336384768788058E-3"/>
    <n v="2.5012835530584831E-3"/>
    <n v="2.4468476033286022E-3"/>
    <n v="247.47454963005765"/>
    <n v="256.85383506103676"/>
    <n v="253.4191187966035"/>
    <n v="257.53124242461689"/>
    <n v="269.56139447528284"/>
  </r>
  <r>
    <n v="5"/>
    <x v="0"/>
    <s v="Good Receiving"/>
    <s v="Checking truck / container before unloading"/>
    <s v="Check Container"/>
    <n v="4.8054607508532428"/>
    <s v="Truck/Ctnr."/>
    <s v="HDL"/>
    <n v="0"/>
    <x v="0"/>
    <n v="1.2"/>
    <n v="0"/>
    <n v="75"/>
    <n v="75"/>
    <s v="Operator"/>
    <n v="1.4722612594525867E-2"/>
    <m/>
    <m/>
    <m/>
    <m/>
    <m/>
    <m/>
    <m/>
    <n v="1.428093421669009E-2"/>
    <n v="1.3168192384394031E-2"/>
    <n v="1.2506417765292419E-2"/>
    <n v="1.2234238016643015E-2"/>
    <n v="1237.3727481502883"/>
    <n v="1284.269175305184"/>
    <n v="1267.0955939830176"/>
    <n v="1287.6562121230847"/>
    <n v="1347.8069723764145"/>
  </r>
  <r>
    <n v="6"/>
    <x v="0"/>
    <s v="Good Receiving"/>
    <s v="Checking truck / container before unloading"/>
    <s v="Open Container"/>
    <n v="4.8054607508532428"/>
    <s v="Truck/Ctnr."/>
    <s v="HDL"/>
    <n v="0"/>
    <x v="0"/>
    <n v="1.2"/>
    <n v="0"/>
    <n v="75"/>
    <n v="75"/>
    <s v="Operator"/>
    <n v="1.4722612594525867E-2"/>
    <m/>
    <m/>
    <m/>
    <m/>
    <m/>
    <m/>
    <m/>
    <n v="1.428093421669009E-2"/>
    <n v="1.3168192384394031E-2"/>
    <n v="1.2506417765292419E-2"/>
    <n v="1.2234238016643015E-2"/>
    <n v="1237.3727481502883"/>
    <n v="1284.269175305184"/>
    <n v="1267.0955939830176"/>
    <n v="1287.6562121230847"/>
    <n v="1347.8069723764145"/>
  </r>
  <r>
    <n v="7"/>
    <x v="0"/>
    <s v="Good Receiving"/>
    <s v="Checking truck / container before unloading"/>
    <s v="Adjust Dock"/>
    <n v="4.8054607508532428"/>
    <s v="Truck/Ctnr."/>
    <s v="HDL"/>
    <n v="0"/>
    <x v="0"/>
    <n v="1.2"/>
    <n v="0"/>
    <n v="45"/>
    <n v="45"/>
    <s v="Operator"/>
    <n v="8.8335675567155197E-3"/>
    <m/>
    <m/>
    <m/>
    <m/>
    <m/>
    <m/>
    <m/>
    <n v="8.5685605300140529E-3"/>
    <n v="7.9009154306364168E-3"/>
    <n v="7.5038506591754497E-3"/>
    <n v="7.340542809985807E-3"/>
    <n v="742.4236488901729"/>
    <n v="770.5615051831104"/>
    <n v="760.25735638981041"/>
    <n v="772.59372727385062"/>
    <n v="808.68418342584846"/>
  </r>
  <r>
    <n v="8"/>
    <x v="0"/>
    <s v="Good Receiving"/>
    <s v="Unloading the truck / container"/>
    <s v="Unloading Cargos"/>
    <n v="137.12978763746685"/>
    <s v="HU"/>
    <s v="HDL"/>
    <n v="0"/>
    <x v="1"/>
    <n v="2.7777777777777777"/>
    <n v="0"/>
    <n v="30"/>
    <n v="30"/>
    <s v="MHE Driver"/>
    <n v="0.1680512103400329"/>
    <m/>
    <m/>
    <m/>
    <m/>
    <m/>
    <m/>
    <m/>
    <n v="0.16300967402983188"/>
    <n v="0.15030828624877543"/>
    <n v="0.14275446215686863"/>
    <n v="0.13964766736097858"/>
    <n v="16948.784324793978"/>
    <n v="17591.143250703666"/>
    <n v="17355.909909458009"/>
    <n v="17637.536834700524"/>
    <n v="18461.445607566315"/>
  </r>
  <r>
    <n v="9"/>
    <x v="0"/>
    <s v="Good Receiving"/>
    <s v="Unloading the truck / container"/>
    <s v="Move to IB staging"/>
    <n v="137.12978763746685"/>
    <s v="Trip"/>
    <s v="IBU"/>
    <n v="110"/>
    <x v="1"/>
    <n v="2.7777777777777777"/>
    <n v="39.6"/>
    <n v="0"/>
    <n v="39.6"/>
    <s v="MHE Driver"/>
    <n v="0.22182759764884347"/>
    <m/>
    <m/>
    <m/>
    <m/>
    <m/>
    <m/>
    <m/>
    <n v="0.21517276971937813"/>
    <n v="0.19840693784838362"/>
    <n v="0.18843589004706662"/>
    <n v="0.18433492091649176"/>
    <n v="22372.395308728053"/>
    <n v="23220.309090928844"/>
    <n v="22909.801080484576"/>
    <n v="23281.548621804697"/>
    <n v="24369.108201987539"/>
  </r>
  <r>
    <n v="10"/>
    <x v="0"/>
    <s v="Good Receiving"/>
    <s v="Unloading the truck / container"/>
    <s v="Check Cargos' Performance"/>
    <n v="137.12978763746685"/>
    <s v="HU"/>
    <s v="HDL"/>
    <n v="0"/>
    <x v="0"/>
    <n v="1.2"/>
    <n v="0"/>
    <n v="25"/>
    <n v="25"/>
    <s v="Operator"/>
    <n v="0.14004267528336076"/>
    <m/>
    <m/>
    <m/>
    <m/>
    <m/>
    <m/>
    <m/>
    <n v="0.13584139502485992"/>
    <n v="0.12525690520731289"/>
    <n v="0.11896205179739054"/>
    <n v="0.11637305613414883"/>
    <n v="11769.989114440261"/>
    <n v="12216.071701877547"/>
    <n v="12052.715214901398"/>
    <n v="12248.289468542032"/>
    <n v="12820.448338587721"/>
  </r>
  <r>
    <n v="11"/>
    <x v="0"/>
    <s v="Cross dock"/>
    <s v="Move cross dock to inbound staging"/>
    <s v="Move cross dock to inbound staging"/>
    <n v="37.039280375426621"/>
    <s v="Trip"/>
    <s v="IBXDO"/>
    <n v="30"/>
    <x v="1"/>
    <n v="2.7777777777777777"/>
    <n v="10.8"/>
    <m/>
    <n v="10.8"/>
    <s v="MHE Driver"/>
    <n v="1.6340858989158803E-2"/>
    <m/>
    <m/>
    <m/>
    <m/>
    <m/>
    <m/>
    <m/>
    <n v="1.5850633219484038E-2"/>
    <n v="1.4615583580288281E-2"/>
    <n v="1.3881069535045757E-2"/>
    <n v="1.3578972956478016E-2"/>
    <n v="1648.0553405639296"/>
    <n v="1710.5166379713025"/>
    <n v="1687.6431647540242"/>
    <n v="1715.0278284147416"/>
    <n v="1795.142556836448"/>
  </r>
  <r>
    <n v="12"/>
    <x v="0"/>
    <s v="Cross dock"/>
    <s v="Move confirmation"/>
    <s v="Scan zone code"/>
    <n v="74.078560750853242"/>
    <s v="Trip"/>
    <s v="HDL"/>
    <n v="0"/>
    <x v="1"/>
    <n v="2.7777777777777777"/>
    <n v="0"/>
    <n v="15"/>
    <n v="15"/>
    <s v="MHE Driver"/>
    <n v="4.5391274969885563E-2"/>
    <m/>
    <m/>
    <m/>
    <m/>
    <m/>
    <m/>
    <m/>
    <n v="4.4029536720788992E-2"/>
    <n v="4.0598843278578552E-2"/>
    <n v="3.8558526486238205E-2"/>
    <n v="3.7719369323550037E-2"/>
    <n v="4577.9315015664706"/>
    <n v="4751.4351054758399"/>
    <n v="4687.8976798722888"/>
    <n v="4763.9661900409483"/>
    <n v="4986.507102323465"/>
  </r>
  <r>
    <n v="13"/>
    <x v="0"/>
    <s v="Cross dock"/>
    <s v="Move cross dock to outbound staging"/>
    <s v="Move cross dock to outbound staging"/>
    <n v="37.039280375426621"/>
    <s v="Trip"/>
    <s v="OBXDOH"/>
    <n v="120"/>
    <x v="1"/>
    <n v="2.7777777777777777"/>
    <n v="43.2"/>
    <m/>
    <n v="43.2"/>
    <s v="MHE Driver"/>
    <n v="6.5363435956635213E-2"/>
    <m/>
    <m/>
    <m/>
    <m/>
    <m/>
    <m/>
    <m/>
    <n v="6.3402532877936152E-2"/>
    <n v="5.8462334321153123E-2"/>
    <n v="5.5524278140183028E-2"/>
    <n v="5.4315891825912066E-2"/>
    <n v="6592.2213622557183"/>
    <n v="6842.0665518852102"/>
    <n v="6750.5726590160966"/>
    <n v="6860.1113136589665"/>
    <n v="7180.5702273457919"/>
  </r>
  <r>
    <n v="14"/>
    <x v="1"/>
    <s v="Checking and labelling"/>
    <s v="Cargo checking and stick label"/>
    <s v="Scan Pallet"/>
    <n v="100.09050726204023"/>
    <s v="HU"/>
    <s v="HDL"/>
    <n v="0"/>
    <x v="1"/>
    <n v="2.7777777777777777"/>
    <n v="0"/>
    <n v="5"/>
    <n v="5"/>
    <s v="MHE Driver"/>
    <n v="2.0443322561691225E-2"/>
    <m/>
    <m/>
    <m/>
    <m/>
    <m/>
    <m/>
    <m/>
    <n v="1.9830022884840485E-2"/>
    <n v="1.8284907161699483E-2"/>
    <n v="1.7365989278438406E-2"/>
    <n v="1.6988049672904758E-2"/>
    <n v="2061.8088038712513"/>
    <n v="2139.9513575379715"/>
    <n v="2111.3353715976205"/>
    <n v="2145.5951074432628"/>
    <n v="2245.8230842071416"/>
  </r>
  <r>
    <n v="15"/>
    <x v="1"/>
    <s v="Checking and labelling"/>
    <s v="Cargo checking and stick label"/>
    <s v="Move HU to Sorting Area"/>
    <n v="100.09050726204023"/>
    <s v="HU"/>
    <s v="IBS"/>
    <n v="40"/>
    <x v="1"/>
    <n v="2.7777777777777777"/>
    <n v="14.4"/>
    <m/>
    <n v="14.4"/>
    <s v="MHE Driver"/>
    <n v="5.8876768977670725E-2"/>
    <m/>
    <m/>
    <m/>
    <m/>
    <m/>
    <m/>
    <m/>
    <n v="5.7110465908340596E-2"/>
    <n v="5.2660532625694513E-2"/>
    <n v="5.0014049121902604E-2"/>
    <n v="4.8925583057965703E-2"/>
    <n v="5938.0093551492037"/>
    <n v="6163.0599097093582"/>
    <n v="6080.6458702011469"/>
    <n v="6179.313909436597"/>
    <n v="6467.9704825165682"/>
  </r>
  <r>
    <n v="16"/>
    <x v="1"/>
    <s v="Checking and labelling"/>
    <s v="Cargo checking and stick label"/>
    <s v="Open Multi-collie"/>
    <n v="68.56489381873341"/>
    <s v="HU"/>
    <s v="HDL"/>
    <n v="0"/>
    <x v="0"/>
    <n v="1.2"/>
    <n v="0"/>
    <n v="60"/>
    <n v="60"/>
    <s v="Operator"/>
    <n v="0.16805121034003287"/>
    <m/>
    <m/>
    <m/>
    <m/>
    <m/>
    <m/>
    <m/>
    <n v="0.16300967402983185"/>
    <n v="0.1503082862487754"/>
    <n v="0.1427544621568686"/>
    <n v="0.13964766736097856"/>
    <n v="14123.986937328311"/>
    <n v="14659.28604225305"/>
    <n v="14463.258257881673"/>
    <n v="14697.947362250432"/>
    <n v="15384.53800630526"/>
  </r>
  <r>
    <n v="17"/>
    <x v="1"/>
    <s v="Checking and labelling"/>
    <s v="Cargo checking and stick label"/>
    <s v="Count Parts in multi-collie"/>
    <n v="10211.032640948048"/>
    <s v="Piece"/>
    <s v="HDL"/>
    <n v="0"/>
    <x v="0"/>
    <n v="1.2"/>
    <n v="0"/>
    <n v="2"/>
    <n v="2"/>
    <s v="Operator"/>
    <n v="0.83423469288791241"/>
    <m/>
    <m/>
    <m/>
    <m/>
    <m/>
    <m/>
    <m/>
    <n v="0.80920765210127488"/>
    <n v="0.74615581026484767"/>
    <n v="0.70865734709585004"/>
    <n v="0.693234691125858"/>
    <n v="70113.865179393542"/>
    <n v="72771.180669692534"/>
    <n v="71798.06552127043"/>
    <n v="72963.102015271637"/>
    <n v="76371.454349800144"/>
  </r>
  <r>
    <n v="18"/>
    <x v="1"/>
    <s v="Checking and labelling"/>
    <s v="Cargo checking and stick label"/>
    <s v="Check Performance"/>
    <n v="703.74632713310586"/>
    <s v="HU"/>
    <s v="HDL"/>
    <n v="0"/>
    <x v="0"/>
    <n v="1.2"/>
    <n v="0"/>
    <n v="5"/>
    <n v="5"/>
    <s v="Operator"/>
    <n v="0.14373903740463764"/>
    <m/>
    <m/>
    <m/>
    <m/>
    <m/>
    <m/>
    <m/>
    <n v="0.13942686628249851"/>
    <n v="0.12856300371549878"/>
    <n v="0.12210200053975435"/>
    <n v="0.11944466952457515"/>
    <n v="12080.652573578189"/>
    <n v="12538.509306116801"/>
    <n v="12370.841099662988"/>
    <n v="12571.577445941393"/>
    <n v="13158.838186686926"/>
  </r>
  <r>
    <n v="19"/>
    <x v="1"/>
    <s v="Checking and labelling"/>
    <s v="Update New Parts Info."/>
    <s v="Update New Parts Info."/>
    <n v="0"/>
    <s v="Line"/>
    <s v="HDL"/>
    <n v="0"/>
    <x v="0"/>
    <n v="1.2"/>
    <n v="0"/>
    <n v="10"/>
    <n v="10"/>
    <s v="Operator"/>
    <n v="0"/>
    <m/>
    <m/>
    <m/>
    <m/>
    <m/>
    <m/>
    <m/>
    <n v="0"/>
    <n v="0"/>
    <n v="0"/>
    <n v="0"/>
    <n v="0"/>
    <n v="0"/>
    <n v="0"/>
    <n v="0"/>
    <n v="0"/>
  </r>
  <r>
    <n v="20"/>
    <x v="1"/>
    <s v="Checking and labelling"/>
    <s v="Cargo checking and stick label"/>
    <s v="Scan HU, label printed in office"/>
    <n v="100.09050726204023"/>
    <s v="HU"/>
    <s v="HDL"/>
    <n v="0"/>
    <x v="0"/>
    <n v="1.2"/>
    <n v="0"/>
    <n v="5"/>
    <n v="5"/>
    <s v="Operator"/>
    <n v="2.0443322561691225E-2"/>
    <m/>
    <m/>
    <m/>
    <m/>
    <m/>
    <m/>
    <m/>
    <n v="1.9830022884840485E-2"/>
    <n v="1.8284907161699483E-2"/>
    <n v="1.7365989278438406E-2"/>
    <n v="1.6988049672904758E-2"/>
    <n v="1718.1740032260427"/>
    <n v="1783.2927979483093"/>
    <n v="1759.4461429980172"/>
    <n v="1787.9959228693856"/>
    <n v="1871.5192368392848"/>
  </r>
  <r>
    <n v="21"/>
    <x v="1"/>
    <s v="Checking and labelling"/>
    <s v="Cargo checking and stick label"/>
    <s v="Label sorting"/>
    <n v="100.09050726204023"/>
    <s v="HU"/>
    <s v="HDL"/>
    <n v="0"/>
    <x v="0"/>
    <n v="1.2"/>
    <n v="0"/>
    <n v="60"/>
    <n v="60"/>
    <s v="IB Planner"/>
    <n v="0.24531987074029471"/>
    <m/>
    <m/>
    <m/>
    <m/>
    <m/>
    <m/>
    <m/>
    <n v="0.23796027461808583"/>
    <n v="0.2194188859403938"/>
    <n v="0.20839187134126086"/>
    <n v="0.20385659607485709"/>
    <n v="30927.132058068772"/>
    <n v="32099.270363069576"/>
    <n v="31670.030573964308"/>
    <n v="32183.926611648942"/>
    <n v="33687.346263107131"/>
  </r>
  <r>
    <n v="22"/>
    <x v="1"/>
    <s v="Checking and labelling"/>
    <s v="Cargo checking and stick label"/>
    <s v="Stick Label"/>
    <n v="6746.2525597269623"/>
    <s v="Piece"/>
    <s v="HDL"/>
    <n v="0"/>
    <x v="0"/>
    <n v="1.2"/>
    <n v="0"/>
    <n v="3"/>
    <n v="3"/>
    <s v="Operator"/>
    <n v="0.82674663722144137"/>
    <m/>
    <m/>
    <m/>
    <m/>
    <m/>
    <m/>
    <m/>
    <n v="0.80194423810479798"/>
    <n v="0.73945834696014834"/>
    <n v="0.70229646842615856"/>
    <n v="0.68701224557026819"/>
    <n v="69484.526061839861"/>
    <n v="72117.989599583569"/>
    <n v="71153.609091980659"/>
    <n v="72308.188267202233"/>
    <n v="75685.9473739143"/>
  </r>
  <r>
    <n v="23"/>
    <x v="2"/>
    <s v="Return check"/>
    <s v="Return handling"/>
    <s v="Check return and sort by Class"/>
    <n v="83.047235494880539"/>
    <s v="Piece"/>
    <s v="HDL"/>
    <n v="0"/>
    <x v="0"/>
    <n v="1.2"/>
    <n v="0"/>
    <n v="180"/>
    <n v="180"/>
    <s v="IB Planner"/>
    <n v="0.610641437462357"/>
    <m/>
    <m/>
    <m/>
    <m/>
    <m/>
    <m/>
    <m/>
    <n v="0.59232219433848621"/>
    <n v="0.54616963360002002"/>
    <n v="0.51872158373184873"/>
    <n v="0.50743253894470186"/>
    <n v="76982.709633497536"/>
    <n v="79900.354328607093"/>
    <n v="78831.906016432826"/>
    <n v="80111.077631072068"/>
    <n v="83853.335990760621"/>
  </r>
  <r>
    <n v="24"/>
    <x v="2"/>
    <s v="Return check"/>
    <s v="Return handling"/>
    <s v="Put away to return shelving"/>
    <n v="83.047235494880539"/>
    <s v="Piece"/>
    <s v="HDL"/>
    <n v="0"/>
    <x v="0"/>
    <n v="1.2"/>
    <n v="0"/>
    <n v="90"/>
    <n v="90"/>
    <s v="IB Planner"/>
    <n v="0.3053207187311785"/>
    <m/>
    <m/>
    <m/>
    <m/>
    <m/>
    <m/>
    <m/>
    <n v="0.2961610971692431"/>
    <n v="0.27308481680001001"/>
    <n v="0.25936079186592437"/>
    <n v="0.25371626947235093"/>
    <n v="38491.354816748768"/>
    <n v="39950.177164303546"/>
    <n v="39415.953008216413"/>
    <n v="40055.538815536034"/>
    <n v="41926.66799538031"/>
  </r>
  <r>
    <n v="25"/>
    <x v="2"/>
    <s v="Return check"/>
    <s v="Return handling"/>
    <s v="System registration"/>
    <n v="41.523617747440269"/>
    <s v="Line"/>
    <s v="HDL"/>
    <n v="0"/>
    <x v="0"/>
    <n v="1.2"/>
    <n v="0"/>
    <n v="300"/>
    <n v="300"/>
    <s v="IB Planner"/>
    <n v="0.50886786455196409"/>
    <m/>
    <m/>
    <m/>
    <m/>
    <m/>
    <m/>
    <m/>
    <n v="0.49360182861540508"/>
    <n v="0.45514136133334993"/>
    <n v="0.43226798644320719"/>
    <n v="0.42286044912058479"/>
    <n v="64152.258027914606"/>
    <n v="66583.628607172577"/>
    <n v="65693.255013694012"/>
    <n v="66759.231359226716"/>
    <n v="69877.779992300508"/>
  </r>
  <r>
    <n v="26"/>
    <x v="0"/>
    <s v="Sorting to putaway"/>
    <s v="Scan single collie"/>
    <s v="RF show where the collie going"/>
    <n v="31.525613443306824"/>
    <s v="HU"/>
    <s v="HDL"/>
    <n v="0"/>
    <x v="0"/>
    <n v="1.2"/>
    <n v="0"/>
    <n v="3"/>
    <n v="3"/>
    <s v="Operator"/>
    <n v="3.8634330200130913E-3"/>
    <m/>
    <m/>
    <m/>
    <m/>
    <m/>
    <m/>
    <m/>
    <n v="3.7475300294126982E-3"/>
    <n v="3.4555299845809196E-3"/>
    <n v="3.281870459219613E-3"/>
    <n v="3.2104464356939272E-3"/>
    <n v="324.70505506921"/>
    <n v="337.01137665633303"/>
    <n v="332.50477290472662"/>
    <n v="337.90018560910971"/>
    <n v="353.68464178830789"/>
  </r>
  <r>
    <n v="27"/>
    <x v="0"/>
    <s v="Sorting to putaway"/>
    <s v="Sorting to M trolley "/>
    <s v="Sorting Parts to Trolley"/>
    <n v="1575.3546729276447"/>
    <s v="Piece"/>
    <s v="HDL"/>
    <n v="0"/>
    <x v="2"/>
    <n v="0.42"/>
    <n v="0"/>
    <n v="3"/>
    <n v="3"/>
    <s v="Operator"/>
    <n v="0.19305817070191725"/>
    <m/>
    <m/>
    <m/>
    <m/>
    <m/>
    <m/>
    <m/>
    <n v="0.18726642558085971"/>
    <n v="0.17267500023245028"/>
    <n v="0.16399712485126833"/>
    <n v="0.16042802160692302"/>
    <n v="16225.715218718758"/>
    <n v="16840.669825508197"/>
    <n v="16615.472010027348"/>
    <n v="16885.08416623513"/>
    <n v="17673.843339668467"/>
  </r>
  <r>
    <n v="28"/>
    <x v="0"/>
    <s v="Full inspection"/>
    <s v="Full inspection"/>
    <s v="Open check, take photo and system registration"/>
    <n v="44.447136450511941"/>
    <s v="Line"/>
    <s v="HDL"/>
    <m/>
    <x v="0"/>
    <n v="1.2"/>
    <n v="0"/>
    <n v="300"/>
    <n v="300"/>
    <s v="Operator"/>
    <n v="0.54469529963862673"/>
    <m/>
    <m/>
    <m/>
    <m/>
    <m/>
    <m/>
    <m/>
    <n v="0.5283544406494679"/>
    <n v="0.48718611934294265"/>
    <n v="0.46270231783485849"/>
    <n v="0.45263243188260044"/>
    <n v="45779.315015664703"/>
    <n v="47514.351054758394"/>
    <n v="46878.976798722892"/>
    <n v="47639.661900409475"/>
    <n v="49865.071023234654"/>
  </r>
  <r>
    <n v="29"/>
    <x v="0"/>
    <s v="M Put away"/>
    <s v="Mezzanine_Put away"/>
    <s v="Move trolley to M staging"/>
    <n v="12.963748131399315"/>
    <s v="Trip"/>
    <s v="IBSM"/>
    <n v="150"/>
    <x v="2"/>
    <n v="0.42"/>
    <n v="357.14285714285717"/>
    <m/>
    <n v="357.14285714285717"/>
    <s v="Operator"/>
    <n v="0.18913031237452319"/>
    <m/>
    <m/>
    <m/>
    <m/>
    <m/>
    <m/>
    <m/>
    <n v="0.18345640300328747"/>
    <n v="0.1691618469940773"/>
    <n v="0.16066052702599254"/>
    <n v="0.15716403884812516"/>
    <n v="15895.595491550246"/>
    <n v="16498.038560679997"/>
    <n v="16277.422499556558"/>
    <n v="16541.549270975513"/>
    <n v="17314.260771956477"/>
  </r>
  <r>
    <n v="30"/>
    <x v="0"/>
    <s v="M Put away"/>
    <s v="Mezzanine_Put away"/>
    <s v="Aisle Distance"/>
    <n v="12.963748131399315"/>
    <s v="Trip"/>
    <s v="MA"/>
    <n v="20"/>
    <x v="2"/>
    <n v="0.42"/>
    <n v="47.61904761904762"/>
    <m/>
    <n v="47.61904761904762"/>
    <s v="Operator"/>
    <n v="2.5217374983269755E-2"/>
    <m/>
    <m/>
    <m/>
    <m/>
    <m/>
    <m/>
    <m/>
    <n v="2.4460853733771659E-2"/>
    <n v="2.2554912932543639E-2"/>
    <n v="2.1421403603465672E-2"/>
    <n v="2.0955205179750021E-2"/>
    <n v="2119.4127322066993"/>
    <n v="2199.7384747573328"/>
    <n v="2170.3229999408745"/>
    <n v="2205.5399027967351"/>
    <n v="2308.5681029275302"/>
  </r>
  <r>
    <n v="31"/>
    <x v="0"/>
    <s v="M Put away"/>
    <s v="Mezzanine_Elevator operation"/>
    <s v="Move to Elevator and Back to Elevator"/>
    <n v="0"/>
    <s v="Trip"/>
    <s v="ME"/>
    <n v="0"/>
    <x v="2"/>
    <n v="0.42"/>
    <n v="0"/>
    <m/>
    <n v="0"/>
    <s v="Operator"/>
    <n v="0"/>
    <m/>
    <m/>
    <m/>
    <m/>
    <m/>
    <m/>
    <m/>
    <n v="0"/>
    <n v="0"/>
    <n v="0"/>
    <n v="0"/>
    <n v="0"/>
    <n v="0"/>
    <n v="0"/>
    <n v="0"/>
    <n v="0"/>
  </r>
  <r>
    <n v="32"/>
    <x v="0"/>
    <s v="M Put away"/>
    <s v="Mezzanine_Elevator operation"/>
    <s v="Elevator Operation"/>
    <n v="0"/>
    <s v="Trip"/>
    <s v="HDL"/>
    <n v="0"/>
    <x v="2"/>
    <n v="0.42"/>
    <n v="0"/>
    <n v="180"/>
    <n v="180"/>
    <s v="Operator"/>
    <n v="0"/>
    <m/>
    <m/>
    <m/>
    <m/>
    <m/>
    <m/>
    <m/>
    <n v="0"/>
    <n v="0"/>
    <n v="0"/>
    <n v="0"/>
    <n v="0"/>
    <n v="0"/>
    <n v="0"/>
    <n v="0"/>
    <n v="0"/>
  </r>
  <r>
    <n v="33"/>
    <x v="0"/>
    <s v="M Put away"/>
    <s v="Mezzanine_Put away"/>
    <s v="Find Bin Location"/>
    <n v="103.70998505119452"/>
    <s v="Line"/>
    <s v="ML"/>
    <n v="10"/>
    <x v="2"/>
    <n v="0.42"/>
    <n v="23.80952380952381"/>
    <m/>
    <n v="23.80952380952381"/>
    <s v="Operator"/>
    <n v="0.10086949993307902"/>
    <m/>
    <m/>
    <m/>
    <m/>
    <m/>
    <m/>
    <m/>
    <n v="9.7843414935086637E-2"/>
    <n v="9.0219651730174558E-2"/>
    <n v="8.5685614413862687E-2"/>
    <n v="8.3820820719000086E-2"/>
    <n v="8477.6509288267971"/>
    <n v="8798.9538990293313"/>
    <n v="8681.2919997634981"/>
    <n v="8822.1596111869403"/>
    <n v="9234.2724117101207"/>
  </r>
  <r>
    <n v="34"/>
    <x v="0"/>
    <s v="M Put away"/>
    <s v="Mezzanine_Put away"/>
    <s v="Put away Parts"/>
    <n v="103.70998505119452"/>
    <s v="Line"/>
    <s v="HDL"/>
    <n v="0"/>
    <x v="2"/>
    <n v="0.42"/>
    <n v="0"/>
    <n v="20"/>
    <n v="20"/>
    <s v="Operator"/>
    <n v="8.4730379943786391E-2"/>
    <m/>
    <m/>
    <m/>
    <m/>
    <m/>
    <m/>
    <m/>
    <n v="8.2188468545472793E-2"/>
    <n v="7.5784507453346639E-2"/>
    <n v="7.1975916107644658E-2"/>
    <n v="7.0409489403960079E-2"/>
    <n v="7121.2267802145107"/>
    <n v="7391.1212751846397"/>
    <n v="7292.2852798013391"/>
    <n v="7410.6140733970306"/>
    <n v="7756.7888258365028"/>
  </r>
  <r>
    <n v="35"/>
    <x v="0"/>
    <s v="M Put away"/>
    <s v="Mezzanine_Put away"/>
    <s v="Scan Bin Location"/>
    <n v="103.70998505119452"/>
    <s v="Line"/>
    <s v="HDL"/>
    <n v="0"/>
    <x v="2"/>
    <n v="0.42"/>
    <n v="0"/>
    <n v="3"/>
    <n v="3"/>
    <s v="Operator"/>
    <n v="1.2709556991567957E-2"/>
    <m/>
    <m/>
    <m/>
    <m/>
    <m/>
    <m/>
    <m/>
    <n v="1.2328270281820916E-2"/>
    <n v="1.1367676118001994E-2"/>
    <n v="1.0796387416146698E-2"/>
    <n v="1.0561423410594011E-2"/>
    <n v="1068.1840170321764"/>
    <n v="1108.6681912776958"/>
    <n v="1093.8427919702008"/>
    <n v="1111.5921110095544"/>
    <n v="1163.5183238754753"/>
  </r>
  <r>
    <n v="36"/>
    <x v="0"/>
    <s v="M Put away"/>
    <s v="Mezzanine_Put away"/>
    <s v="Back to IB Sorting from M Staging"/>
    <n v="12.963748131399315"/>
    <s v="Trip"/>
    <s v="IBSM"/>
    <n v="150"/>
    <x v="2"/>
    <n v="0.42"/>
    <n v="357.14285714285717"/>
    <m/>
    <n v="357.14285714285717"/>
    <s v="Operator"/>
    <n v="0.18913031237452319"/>
    <m/>
    <m/>
    <m/>
    <m/>
    <m/>
    <m/>
    <m/>
    <n v="0.18345640300328747"/>
    <n v="0.1691618469940773"/>
    <n v="0.16066052702599254"/>
    <n v="0.15716403884812516"/>
    <n v="15895.595491550246"/>
    <n v="16498.038560679997"/>
    <n v="16277.422499556558"/>
    <n v="16541.549270975513"/>
    <n v="17314.260771956477"/>
  </r>
  <r>
    <n v="37"/>
    <x v="0"/>
    <s v="F Put away"/>
    <s v="Floor_Put away"/>
    <s v="Check TO Label"/>
    <n v="222.23568225255966"/>
    <s v="Trip"/>
    <s v="HDL"/>
    <n v="0"/>
    <x v="1"/>
    <n v="2.7777777777777777"/>
    <n v="0"/>
    <n v="5"/>
    <n v="5"/>
    <s v="MHE Driver"/>
    <n v="4.5391274969885556E-2"/>
    <m/>
    <m/>
    <m/>
    <m/>
    <m/>
    <m/>
    <m/>
    <n v="4.4029536720788985E-2"/>
    <n v="4.0598843278578545E-2"/>
    <n v="3.8558526486238198E-2"/>
    <n v="3.771936932355003E-2"/>
    <n v="4577.9315015664697"/>
    <n v="4751.435105475839"/>
    <n v="4687.8976798722879"/>
    <n v="4763.9661900409474"/>
    <n v="4986.5071023234641"/>
  </r>
  <r>
    <n v="38"/>
    <x v="0"/>
    <s v="F Put away"/>
    <s v="Floor_Put away"/>
    <s v="Move to F Staging"/>
    <n v="222.23568225255966"/>
    <s v="Trip"/>
    <s v="IBSF"/>
    <n v="110"/>
    <x v="1"/>
    <n v="2.7777777777777777"/>
    <n v="39.6"/>
    <m/>
    <n v="39.6"/>
    <s v="MHE Driver"/>
    <n v="0.35949889776149357"/>
    <m/>
    <m/>
    <m/>
    <m/>
    <m/>
    <m/>
    <m/>
    <n v="0.34871393082864871"/>
    <n v="0.32154283876634204"/>
    <n v="0.30538352977100652"/>
    <n v="0.29873740504251622"/>
    <n v="36257.217492406438"/>
    <n v="37631.366035368643"/>
    <n v="37128.149624588514"/>
    <n v="37730.6122251243"/>
    <n v="39493.136250401833"/>
  </r>
  <r>
    <n v="39"/>
    <x v="0"/>
    <s v="F Put away"/>
    <s v="Floor_Put away"/>
    <s v="Aisle Distance"/>
    <n v="222.23568225255966"/>
    <s v="Trip"/>
    <s v="FA"/>
    <n v="90"/>
    <x v="1"/>
    <n v="2.7777777777777777"/>
    <n v="32.4"/>
    <m/>
    <n v="32.4"/>
    <s v="MHE Driver"/>
    <n v="0.29413546180485833"/>
    <m/>
    <m/>
    <m/>
    <m/>
    <m/>
    <m/>
    <m/>
    <n v="0.28531139795071253"/>
    <n v="0.26308050444518888"/>
    <n v="0.24985925163082345"/>
    <n v="0.2444215132166041"/>
    <n v="29664.996130150721"/>
    <n v="30789.299483483428"/>
    <n v="30377.576965572414"/>
    <n v="30870.500911465329"/>
    <n v="32312.566023056035"/>
  </r>
  <r>
    <n v="40"/>
    <x v="0"/>
    <s v="F Put away"/>
    <s v="Floor_Put away"/>
    <s v="Find Bin Location"/>
    <n v="222.23568225255966"/>
    <s v="Line"/>
    <s v="FL"/>
    <n v="60"/>
    <x v="1"/>
    <n v="2.7777777777777777"/>
    <n v="21.6"/>
    <m/>
    <n v="21.6"/>
    <s v="MHE Driver"/>
    <n v="0.19609030786990558"/>
    <m/>
    <m/>
    <m/>
    <m/>
    <m/>
    <m/>
    <m/>
    <n v="0.1902075986338084"/>
    <n v="0.1753870029634593"/>
    <n v="0.16657283442054902"/>
    <n v="0.16294767547773611"/>
    <n v="19776.664086767149"/>
    <n v="20526.199655655626"/>
    <n v="20251.717977048284"/>
    <n v="20580.333940976892"/>
    <n v="21541.710682037363"/>
  </r>
  <r>
    <n v="41"/>
    <x v="0"/>
    <s v="F Put away"/>
    <s v="Floor_Put away"/>
    <s v="Put away Pallet"/>
    <n v="222.23568225255966"/>
    <s v="Line"/>
    <s v="HDL"/>
    <n v="0"/>
    <x v="1"/>
    <n v="2.7777777777777777"/>
    <n v="0"/>
    <n v="15"/>
    <n v="15"/>
    <s v="MHE Driver"/>
    <n v="0.13617382490965665"/>
    <m/>
    <m/>
    <m/>
    <m/>
    <m/>
    <m/>
    <m/>
    <n v="0.13208861016236695"/>
    <n v="0.12179652983573563"/>
    <n v="0.11567557945871461"/>
    <n v="0.1131581079706501"/>
    <n v="13733.794504699408"/>
    <n v="14254.305316427517"/>
    <n v="14063.693039616863"/>
    <n v="14291.898570122843"/>
    <n v="14959.521306970393"/>
  </r>
  <r>
    <n v="42"/>
    <x v="0"/>
    <s v="F Put away"/>
    <s v="Floor_Put away"/>
    <s v="Scan Bin Location"/>
    <n v="222.23568225255966"/>
    <s v="Line"/>
    <s v="HDL"/>
    <n v="0"/>
    <x v="1"/>
    <n v="2.7777777777777777"/>
    <n v="0"/>
    <n v="5"/>
    <n v="5"/>
    <s v="MHE Driver"/>
    <n v="4.5391274969885556E-2"/>
    <m/>
    <m/>
    <m/>
    <m/>
    <m/>
    <m/>
    <m/>
    <n v="4.4029536720788985E-2"/>
    <n v="4.0598843278578545E-2"/>
    <n v="3.8558526486238198E-2"/>
    <n v="3.771936932355003E-2"/>
    <n v="4577.9315015664697"/>
    <n v="4751.435105475839"/>
    <n v="4687.8976798722879"/>
    <n v="4763.9661900409474"/>
    <n v="4986.5071023234641"/>
  </r>
  <r>
    <n v="43"/>
    <x v="0"/>
    <s v="F Put away"/>
    <s v="Floor_Put away"/>
    <s v="Back to IB Sorting from F"/>
    <n v="222.23568225255966"/>
    <s v="Trip"/>
    <s v="IBSF"/>
    <n v="110"/>
    <x v="1"/>
    <n v="2.7777777777777777"/>
    <n v="39.6"/>
    <m/>
    <n v="39.6"/>
    <s v="MHE Driver"/>
    <n v="0.35949889776149357"/>
    <m/>
    <m/>
    <m/>
    <m/>
    <m/>
    <m/>
    <m/>
    <n v="0.34871393082864871"/>
    <n v="0.32154283876634204"/>
    <n v="0.30538352977100652"/>
    <n v="0.29873740504251622"/>
    <n v="36257.217492406438"/>
    <n v="37631.366035368643"/>
    <n v="37128.149624588514"/>
    <n v="37730.6122251243"/>
    <n v="39493.136250401833"/>
  </r>
  <r>
    <n v="44"/>
    <x v="0"/>
    <s v="R Put away"/>
    <s v="Racking_Put away"/>
    <s v="Check TO Label"/>
    <n v="355.57709160409547"/>
    <s v="Trip"/>
    <s v="HDL"/>
    <n v="0"/>
    <x v="3"/>
    <n v="2.7777777777777777"/>
    <n v="0"/>
    <n v="5"/>
    <n v="5"/>
    <s v="MHE Driver"/>
    <n v="7.2626039951816893E-2"/>
    <m/>
    <m/>
    <m/>
    <m/>
    <m/>
    <m/>
    <m/>
    <n v="7.0447258753262382E-2"/>
    <n v="6.4958149245725683E-2"/>
    <n v="6.1693642377981132E-2"/>
    <n v="6.0350990917680064E-2"/>
    <n v="7324.6904025063523"/>
    <n v="7602.2961687613433"/>
    <n v="7500.6362877956617"/>
    <n v="7622.3459040655171"/>
    <n v="7978.4113637175451"/>
  </r>
  <r>
    <n v="45"/>
    <x v="0"/>
    <s v="R Put away"/>
    <s v="Racking_Put away"/>
    <s v="Move to R Staging"/>
    <n v="355.57709160409547"/>
    <s v="Trip"/>
    <s v="IBSR"/>
    <n v="77"/>
    <x v="3"/>
    <n v="2.7777777777777777"/>
    <n v="27.720000000000002"/>
    <m/>
    <n v="27.720000000000002"/>
    <s v="MHE Driver"/>
    <n v="0.40263876549287281"/>
    <m/>
    <m/>
    <m/>
    <m/>
    <m/>
    <m/>
    <m/>
    <n v="0.39055960252808658"/>
    <n v="0.3601279794183031"/>
    <n v="0.3420295533435273"/>
    <n v="0.33458589364761815"/>
    <n v="40608.083591495211"/>
    <n v="42147.129959612881"/>
    <n v="41583.527579539143"/>
    <n v="42258.285692139216"/>
    <n v="44232.312600450052"/>
  </r>
  <r>
    <n v="46"/>
    <x v="0"/>
    <s v="R Put away"/>
    <s v="Racking_Put away"/>
    <s v="Aisle Distance"/>
    <n v="355.57709160409547"/>
    <s v="Trip"/>
    <s v="RA"/>
    <n v="80"/>
    <x v="3"/>
    <n v="2.7777777777777777"/>
    <n v="28.8"/>
    <m/>
    <n v="28.8"/>
    <s v="MHE Driver"/>
    <n v="0.41832599012246524"/>
    <m/>
    <m/>
    <m/>
    <m/>
    <m/>
    <m/>
    <m/>
    <n v="0.40577621041879125"/>
    <n v="0.37415893965537983"/>
    <n v="0.35535538009717121"/>
    <n v="0.34762170768583706"/>
    <n v="42190.216718436583"/>
    <n v="43789.225932065332"/>
    <n v="43203.665017703002"/>
    <n v="43904.712407417363"/>
    <n v="45955.649455013045"/>
  </r>
  <r>
    <n v="47"/>
    <x v="0"/>
    <s v="R Put away"/>
    <s v="Racking_Put away"/>
    <s v="Find Bin Location"/>
    <n v="355.57709160409547"/>
    <s v="Line"/>
    <s v="RL"/>
    <n v="30"/>
    <x v="3"/>
    <n v="2.7777777777777777"/>
    <n v="10.8"/>
    <m/>
    <n v="10.8"/>
    <s v="MHE Driver"/>
    <n v="0.1568722462959245"/>
    <m/>
    <m/>
    <m/>
    <m/>
    <m/>
    <m/>
    <m/>
    <n v="0.15216607890704675"/>
    <n v="0.14030960237076748"/>
    <n v="0.13325826753643924"/>
    <n v="0.13035814038218893"/>
    <n v="15821.331269413722"/>
    <n v="16420.959724524502"/>
    <n v="16201.37438163863"/>
    <n v="16464.267152781515"/>
    <n v="17233.368545629895"/>
  </r>
  <r>
    <n v="48"/>
    <x v="0"/>
    <s v="R Put away"/>
    <s v="Racking_Put away"/>
    <s v="Put away Pallet"/>
    <n v="284.46167328327641"/>
    <s v="Line"/>
    <s v="HDL"/>
    <n v="0"/>
    <x v="3"/>
    <n v="2.7777777777777777"/>
    <n v="0"/>
    <n v="60"/>
    <n v="60"/>
    <s v="MHE Driver"/>
    <n v="0.69720998353744212"/>
    <m/>
    <m/>
    <m/>
    <m/>
    <m/>
    <m/>
    <m/>
    <n v="0.67629368403131873"/>
    <n v="0.62359823275896642"/>
    <n v="0.59225896682861878"/>
    <n v="0.57936951280972848"/>
    <n v="70317.027864060976"/>
    <n v="72982.043220108884"/>
    <n v="72006.108362838335"/>
    <n v="73174.520679028952"/>
    <n v="76592.749091688413"/>
  </r>
  <r>
    <n v="49"/>
    <x v="0"/>
    <s v="R Put away"/>
    <s v="Racking_Put away"/>
    <s v="Scan Bin Location"/>
    <n v="284.46167328327641"/>
    <s v="Line"/>
    <s v="HDL"/>
    <n v="0"/>
    <x v="3"/>
    <n v="2.7777777777777777"/>
    <n v="0"/>
    <n v="5"/>
    <n v="5"/>
    <s v="MHE Driver"/>
    <n v="5.810083196145352E-2"/>
    <m/>
    <m/>
    <m/>
    <m/>
    <m/>
    <m/>
    <m/>
    <n v="5.6357807002609908E-2"/>
    <n v="5.1966519396580549E-2"/>
    <n v="4.935491390238491E-2"/>
    <n v="4.8280792734144054E-2"/>
    <n v="5859.7523220050825"/>
    <n v="6081.8369350090752"/>
    <n v="6000.5090302365297"/>
    <n v="6097.8767232524142"/>
    <n v="6382.7290909740359"/>
  </r>
  <r>
    <n v="50"/>
    <x v="0"/>
    <s v="R Put away"/>
    <s v="Racking_Put away"/>
    <s v="Back to IB Sorting from R"/>
    <n v="355.57709160409547"/>
    <s v="Trip"/>
    <s v="IBSR"/>
    <n v="77"/>
    <x v="3"/>
    <n v="2.7777777777777777"/>
    <n v="27.720000000000002"/>
    <m/>
    <n v="27.720000000000002"/>
    <s v="MHE Driver"/>
    <n v="0.40263876549287281"/>
    <m/>
    <m/>
    <m/>
    <m/>
    <m/>
    <m/>
    <m/>
    <n v="0.39055960252808658"/>
    <n v="0.3601279794183031"/>
    <n v="0.3420295533435273"/>
    <n v="0.33458589364761815"/>
    <n v="40608.083591495211"/>
    <n v="42147.129959612881"/>
    <n v="41583.527579539143"/>
    <n v="42258.285692139216"/>
    <n v="44232.312600450052"/>
  </r>
  <r>
    <n v="51"/>
    <x v="0"/>
    <s v="R Put away"/>
    <s v="Racking_Put away"/>
    <s v="Case putaway "/>
    <n v="71.11541832081906"/>
    <s v="Line"/>
    <s v="HDL"/>
    <n v="0"/>
    <x v="4"/>
    <n v="0.5"/>
    <n v="0"/>
    <n v="240"/>
    <n v="240"/>
    <s v="MHE Driver"/>
    <n v="0.69720998353744179"/>
    <m/>
    <m/>
    <m/>
    <m/>
    <m/>
    <m/>
    <m/>
    <n v="0.6762936840313184"/>
    <n v="0.62359823275896609"/>
    <n v="0.59225896682861845"/>
    <n v="0.57936951280972815"/>
    <n v="70317.027864060947"/>
    <n v="72982.043220108855"/>
    <n v="72006.108362838306"/>
    <n v="73174.520679028908"/>
    <n v="76592.749091688369"/>
  </r>
  <r>
    <n v="52"/>
    <x v="0"/>
    <s v="C5 Put away"/>
    <s v="Non-critical DG parts put away"/>
    <s v="Check TO Label"/>
    <n v="18.763566552901022"/>
    <s v="Trip"/>
    <s v="HDL"/>
    <n v="0"/>
    <x v="5"/>
    <n v="0.5"/>
    <n v="0"/>
    <n v="5"/>
    <n v="5"/>
    <s v="DG operator"/>
    <n v="3.8324278090075617E-3"/>
    <m/>
    <m/>
    <m/>
    <m/>
    <m/>
    <m/>
    <m/>
    <n v="3.7174549747373345E-3"/>
    <n v="3.4277983180157506E-3"/>
    <n v="3.2555324625327766E-3"/>
    <n v="3.1846816382598815E-3"/>
    <n v="386.51903930821265"/>
    <n v="401.16811089799393"/>
    <n v="395.80358661535701"/>
    <n v="402.22612209059002"/>
    <n v="421.01545950046142"/>
  </r>
  <r>
    <n v="53"/>
    <x v="0"/>
    <s v="C5 Put away"/>
    <s v="Non-critical DG parts put away"/>
    <s v="Move to C5 Staging"/>
    <n v="18.763566552901022"/>
    <s v="Trip"/>
    <s v="IBSC"/>
    <n v="320"/>
    <x v="5"/>
    <n v="0.5"/>
    <n v="640"/>
    <m/>
    <n v="640"/>
    <s v="DG operator"/>
    <n v="0.4905507595529679"/>
    <m/>
    <m/>
    <m/>
    <m/>
    <m/>
    <m/>
    <m/>
    <n v="0.47583423676637882"/>
    <n v="0.43875818470601607"/>
    <n v="0.41670815520419541"/>
    <n v="0.40763924969726484"/>
    <n v="49474.43703145122"/>
    <n v="51349.518194943223"/>
    <n v="50662.859086765697"/>
    <n v="51484.943627595523"/>
    <n v="53889.978816059062"/>
  </r>
  <r>
    <n v="54"/>
    <x v="0"/>
    <s v="C5 Put away"/>
    <s v="Non-critical DG parts put away"/>
    <s v="Aisle Distance"/>
    <n v="18.763566552901022"/>
    <s v="Trip"/>
    <s v="CA"/>
    <n v="30"/>
    <x v="5"/>
    <n v="0.5"/>
    <n v="60"/>
    <m/>
    <n v="60"/>
    <s v="DG operator"/>
    <n v="4.598913370809074E-2"/>
    <m/>
    <m/>
    <m/>
    <m/>
    <m/>
    <m/>
    <m/>
    <n v="4.4609459696848014E-2"/>
    <n v="4.1133579816189009E-2"/>
    <n v="3.9066389550393321E-2"/>
    <n v="3.8216179659118582E-2"/>
    <n v="4638.2284716985514"/>
    <n v="4814.0173307759269"/>
    <n v="4749.6430393842847"/>
    <n v="4826.7134650870803"/>
    <n v="5052.1855140055377"/>
  </r>
  <r>
    <n v="55"/>
    <x v="0"/>
    <s v="C5 Put away"/>
    <s v="Non-critical DG parts put away"/>
    <s v="Find Bin Location"/>
    <n v="45.032559726962454"/>
    <s v="Line"/>
    <s v="CL"/>
    <n v="30"/>
    <x v="5"/>
    <n v="0.5"/>
    <n v="60"/>
    <m/>
    <n v="60"/>
    <s v="DG operator"/>
    <n v="0.11037392089941779"/>
    <m/>
    <m/>
    <m/>
    <m/>
    <m/>
    <m/>
    <m/>
    <n v="0.10706270327243524"/>
    <n v="9.8720591558853626E-2"/>
    <n v="9.3759334920943974E-2"/>
    <n v="9.1718831181884591E-2"/>
    <n v="11131.748332076526"/>
    <n v="11553.641593862225"/>
    <n v="11399.143294522282"/>
    <n v="11584.112316208993"/>
    <n v="12125.24523361329"/>
  </r>
  <r>
    <n v="56"/>
    <x v="0"/>
    <s v="C5 Put away"/>
    <s v="Non-critical DG parts put away"/>
    <s v="Put away Pallet"/>
    <n v="45.032559726962454"/>
    <s v="Line"/>
    <s v="HDL"/>
    <n v="0"/>
    <x v="5"/>
    <n v="0.5"/>
    <n v="0"/>
    <n v="15"/>
    <n v="15"/>
    <s v="DG operator"/>
    <n v="2.7593480224854448E-2"/>
    <m/>
    <m/>
    <m/>
    <m/>
    <m/>
    <m/>
    <m/>
    <n v="2.6765675818108809E-2"/>
    <n v="2.4680147889713407E-2"/>
    <n v="2.3439833730235993E-2"/>
    <n v="2.2929707795471148E-2"/>
    <n v="2782.9370830191315"/>
    <n v="2888.4103984655562"/>
    <n v="2849.7858236305706"/>
    <n v="2896.0280790522484"/>
    <n v="3031.3113084033225"/>
  </r>
  <r>
    <n v="57"/>
    <x v="0"/>
    <s v="C5 Put away"/>
    <s v="Non-critical DG parts put away"/>
    <s v="Scan Bin Location"/>
    <n v="45.032559726962454"/>
    <s v="Line"/>
    <s v="HDL"/>
    <n v="0"/>
    <x v="5"/>
    <n v="0.5"/>
    <n v="0"/>
    <n v="5"/>
    <n v="5"/>
    <s v="DG operator"/>
    <n v="9.1978267416181498E-3"/>
    <m/>
    <m/>
    <m/>
    <m/>
    <m/>
    <m/>
    <m/>
    <n v="8.9218919393696042E-3"/>
    <n v="8.2267159632378028E-3"/>
    <n v="7.8132779100786656E-3"/>
    <n v="7.6432359318237171E-3"/>
    <n v="927.64569433971053"/>
    <n v="962.80346615518556"/>
    <n v="949.92860787685697"/>
    <n v="965.3426930174162"/>
    <n v="1010.4371028011076"/>
  </r>
  <r>
    <n v="58"/>
    <x v="0"/>
    <s v="C5 Put away"/>
    <s v="Non-critical DG parts put away"/>
    <s v="Back to Dock"/>
    <n v="18.763566552901022"/>
    <s v="Trip"/>
    <s v="IBSC"/>
    <n v="320"/>
    <x v="5"/>
    <n v="0.5"/>
    <n v="640"/>
    <m/>
    <n v="640"/>
    <s v="DG operator"/>
    <n v="0.4905507595529679"/>
    <m/>
    <m/>
    <m/>
    <m/>
    <m/>
    <m/>
    <m/>
    <n v="0.47583423676637882"/>
    <n v="0.43875818470601607"/>
    <n v="0.41670815520419541"/>
    <n v="0.40763924969726484"/>
    <n v="49474.43703145122"/>
    <n v="51349.518194943223"/>
    <n v="50662.859086765697"/>
    <n v="51484.943627595523"/>
    <n v="53889.978816059062"/>
  </r>
  <r>
    <n v="59"/>
    <x v="3"/>
    <s v="(don't remove the line)"/>
    <m/>
    <m/>
    <m/>
    <m/>
    <m/>
    <m/>
    <x v="0"/>
    <m/>
    <m/>
    <m/>
    <m/>
    <m/>
    <m/>
    <m/>
    <m/>
    <m/>
    <m/>
    <m/>
    <m/>
    <m/>
    <m/>
    <m/>
    <m/>
    <m/>
    <m/>
    <m/>
    <m/>
    <m/>
    <m/>
  </r>
  <r>
    <n v="60"/>
    <x v="4"/>
    <s v="Return check"/>
    <s v="Return handling"/>
    <s v="Check return"/>
    <n v="5.3008873720136522"/>
    <s v="Piece"/>
    <s v="HDL"/>
    <n v="0"/>
    <x v="0"/>
    <n v="1.2"/>
    <n v="0"/>
    <n v="180"/>
    <n v="180"/>
    <s v="DG operator"/>
    <n v="3.8977113029512143E-2"/>
    <m/>
    <m/>
    <m/>
    <m/>
    <m/>
    <m/>
    <m/>
    <n v="3.7807799638626773E-2"/>
    <n v="3.4861891506384253E-2"/>
    <n v="3.3109888323309494E-2"/>
    <n v="3.2389310996470334E-2"/>
    <n v="3931.0319812849802"/>
    <n v="4080.018093375681"/>
    <n v="4025.4590306263567"/>
    <n v="4090.7784322249568"/>
    <n v="4281.8724761239464"/>
  </r>
  <r>
    <n v="61"/>
    <x v="4"/>
    <s v="Return check"/>
    <s v="Return handling"/>
    <s v="Sort by Class and put away to return shelving"/>
    <n v="5.3008873720136522"/>
    <s v="Piece"/>
    <s v="HDL"/>
    <n v="0"/>
    <x v="0"/>
    <n v="1.2"/>
    <n v="0"/>
    <n v="120"/>
    <n v="120"/>
    <s v="DG operator"/>
    <n v="2.5984742019674767E-2"/>
    <m/>
    <m/>
    <m/>
    <m/>
    <m/>
    <m/>
    <m/>
    <n v="2.5205199759084522E-2"/>
    <n v="2.3241261004256174E-2"/>
    <n v="2.2073258882206334E-2"/>
    <n v="2.1592873997646894E-2"/>
    <n v="2620.6879875233208"/>
    <n v="2720.0120622504546"/>
    <n v="2683.6393537509052"/>
    <n v="2727.1856214833051"/>
    <n v="2854.5816507492982"/>
  </r>
  <r>
    <n v="62"/>
    <x v="4"/>
    <s v="Return check"/>
    <s v="Return handling"/>
    <s v="System registration"/>
    <n v="2.6504436860068261"/>
    <s v="Line"/>
    <s v="HDL"/>
    <n v="0"/>
    <x v="0"/>
    <n v="1.2"/>
    <n v="0"/>
    <n v="300"/>
    <n v="300"/>
    <s v="DG operator"/>
    <n v="3.2480927524593459E-2"/>
    <m/>
    <m/>
    <m/>
    <m/>
    <m/>
    <m/>
    <m/>
    <n v="3.1506499698855647E-2"/>
    <n v="2.9051576255320212E-2"/>
    <n v="2.7591573602757911E-2"/>
    <n v="2.6991092497058607E-2"/>
    <n v="3275.859984404151"/>
    <n v="3400.0150778130678"/>
    <n v="3354.5491921886305"/>
    <n v="3408.9820268541307"/>
    <n v="3568.2270634366214"/>
  </r>
  <r>
    <n v="63"/>
    <x v="0"/>
    <s v="Other Put away"/>
    <s v="Others"/>
    <s v="Check TO Label"/>
    <n v="0"/>
    <s v="Trip"/>
    <s v="HDL"/>
    <n v="0"/>
    <x v="2"/>
    <n v="0.42"/>
    <n v="0"/>
    <n v="5"/>
    <n v="5"/>
    <s v="Operator"/>
    <n v="0"/>
    <m/>
    <m/>
    <m/>
    <m/>
    <m/>
    <m/>
    <m/>
    <n v="0"/>
    <n v="0"/>
    <n v="0"/>
    <n v="0"/>
    <n v="0"/>
    <n v="0"/>
    <n v="0"/>
    <n v="0"/>
    <n v="0"/>
  </r>
  <r>
    <n v="64"/>
    <x v="0"/>
    <s v="Other Put away"/>
    <s v="Others"/>
    <s v="Move Trolley to Other Storage Area"/>
    <n v="0"/>
    <s v="Trip"/>
    <s v="IBSL"/>
    <n v="0"/>
    <x v="2"/>
    <n v="0.42"/>
    <n v="0"/>
    <m/>
    <n v="0"/>
    <s v="Operator"/>
    <n v="0"/>
    <m/>
    <m/>
    <m/>
    <m/>
    <m/>
    <m/>
    <m/>
    <n v="0"/>
    <n v="0"/>
    <n v="0"/>
    <n v="0"/>
    <n v="0"/>
    <n v="0"/>
    <n v="0"/>
    <n v="0"/>
    <n v="0"/>
  </r>
  <r>
    <n v="65"/>
    <x v="0"/>
    <s v="Other Put away"/>
    <s v="Others"/>
    <s v="Aisle Distance"/>
    <n v="0"/>
    <s v="Trip"/>
    <s v="LA"/>
    <n v="0"/>
    <x v="2"/>
    <n v="0.42"/>
    <n v="0"/>
    <m/>
    <n v="0"/>
    <s v="Operator"/>
    <n v="0"/>
    <m/>
    <m/>
    <m/>
    <m/>
    <m/>
    <m/>
    <m/>
    <n v="0"/>
    <n v="0"/>
    <n v="0"/>
    <n v="0"/>
    <n v="0"/>
    <n v="0"/>
    <n v="0"/>
    <n v="0"/>
    <n v="0"/>
  </r>
  <r>
    <n v="66"/>
    <x v="0"/>
    <s v="Other Put away"/>
    <s v="Others"/>
    <s v="Find Bin Location"/>
    <n v="0"/>
    <s v="Line"/>
    <s v="LL"/>
    <n v="0"/>
    <x v="2"/>
    <n v="0.42"/>
    <n v="0"/>
    <m/>
    <n v="0"/>
    <s v="Operator"/>
    <n v="0"/>
    <m/>
    <m/>
    <m/>
    <m/>
    <m/>
    <m/>
    <m/>
    <n v="0"/>
    <n v="0"/>
    <n v="0"/>
    <n v="0"/>
    <n v="0"/>
    <n v="0"/>
    <n v="0"/>
    <n v="0"/>
    <n v="0"/>
  </r>
  <r>
    <n v="67"/>
    <x v="0"/>
    <s v="Other Put away"/>
    <s v="Others"/>
    <s v="Put away parts"/>
    <n v="0"/>
    <s v="Line"/>
    <s v="HDL"/>
    <n v="0"/>
    <x v="2"/>
    <n v="0.42"/>
    <n v="0"/>
    <n v="90"/>
    <n v="90"/>
    <s v="Operator"/>
    <n v="0"/>
    <m/>
    <m/>
    <m/>
    <m/>
    <m/>
    <m/>
    <m/>
    <n v="0"/>
    <n v="0"/>
    <n v="0"/>
    <n v="0"/>
    <n v="0"/>
    <n v="0"/>
    <n v="0"/>
    <n v="0"/>
    <n v="0"/>
  </r>
  <r>
    <n v="68"/>
    <x v="0"/>
    <s v="Other Put away"/>
    <s v="Others"/>
    <s v="Back to Dock"/>
    <n v="0"/>
    <s v="Trip"/>
    <s v="IBSL"/>
    <n v="0"/>
    <x v="2"/>
    <n v="0.42"/>
    <n v="0"/>
    <m/>
    <n v="0"/>
    <s v="Operator"/>
    <n v="0"/>
    <m/>
    <m/>
    <m/>
    <m/>
    <m/>
    <m/>
    <m/>
    <n v="0"/>
    <n v="0"/>
    <n v="0"/>
    <n v="0"/>
    <n v="0"/>
    <n v="0"/>
    <n v="0"/>
    <n v="0"/>
    <n v="0"/>
  </r>
  <r>
    <n v="69"/>
    <x v="5"/>
    <s v="Customs inspection"/>
    <s v="System handling"/>
    <s v="System handling"/>
    <n v="6.1433447098976108"/>
    <s v="Line"/>
    <s v="HDL"/>
    <n v="0"/>
    <x v="0"/>
    <n v="1.2"/>
    <n v="0"/>
    <n v="300"/>
    <n v="300"/>
    <s v="IB Planner"/>
    <n v="7.5286087131098189E-2"/>
    <m/>
    <m/>
    <m/>
    <m/>
    <m/>
    <m/>
    <m/>
    <n v="7.3027504517165234E-2"/>
    <n v="6.7337347420196744E-2"/>
    <n v="6.3953272663427138E-2"/>
    <n v="6.2561444403288133E-2"/>
    <n v="9491.2114204709633"/>
    <n v="9850.9283333068124"/>
    <n v="9719.1991583924646"/>
    <n v="9876.9084452622974"/>
    <n v="10338.292117659996"/>
  </r>
  <r>
    <n v="70"/>
    <x v="5"/>
    <s v="Customs inspection"/>
    <s v="Move to staging area"/>
    <s v="Move to staging area"/>
    <n v="6.1433447098976108"/>
    <s v="Trip"/>
    <s v="CS"/>
    <n v="90"/>
    <x v="1"/>
    <n v="2.7777777777777777"/>
    <n v="32.4"/>
    <m/>
    <m/>
    <s v="MHE Driver"/>
    <n v="0"/>
    <m/>
    <m/>
    <m/>
    <m/>
    <m/>
    <m/>
    <m/>
    <n v="0"/>
    <n v="0"/>
    <n v="0"/>
    <n v="0"/>
    <n v="0"/>
    <n v="0"/>
    <n v="0"/>
    <n v="0"/>
    <n v="0"/>
  </r>
  <r>
    <n v="71"/>
    <x v="0"/>
    <s v="Transit between chamber"/>
    <s v="Transit between chamber"/>
    <s v="Move to and back C1/2/5"/>
    <m/>
    <s v="Trip"/>
    <m/>
    <m/>
    <x v="1"/>
    <n v="2.7777777777777777"/>
    <n v="0"/>
    <m/>
    <m/>
    <s v="MHE Driver"/>
    <n v="0"/>
    <m/>
    <m/>
    <m/>
    <m/>
    <m/>
    <m/>
    <m/>
    <n v="0"/>
    <n v="0"/>
    <n v="0"/>
    <n v="0"/>
    <n v="0"/>
    <n v="0"/>
    <n v="0"/>
    <n v="0"/>
    <n v="0"/>
  </r>
  <r>
    <n v="72"/>
    <x v="6"/>
    <s v="Make OB Plan"/>
    <s v="Make OB plan and paper work"/>
    <s v="Cut off OB Plan"/>
    <n v="1"/>
    <s v="Daily"/>
    <s v="HDL"/>
    <n v="0"/>
    <x v="0"/>
    <n v="1.2"/>
    <n v="0"/>
    <n v="7200"/>
    <n v="7200"/>
    <s v="Documentation"/>
    <n v="0.29411764705882354"/>
    <m/>
    <m/>
    <m/>
    <m/>
    <m/>
    <m/>
    <m/>
    <n v="0.28529411764705881"/>
    <n v="0.26306457058823529"/>
    <n v="0.24984411853845537"/>
    <n v="0.24440670946884568"/>
    <n v="37179.878048780491"/>
    <n v="38588.995426829271"/>
    <n v="38072.973346842897"/>
    <n v="38690.767197724112"/>
    <n v="40498.143296885311"/>
  </r>
  <r>
    <n v="73"/>
    <x v="6"/>
    <s v="M Picking"/>
    <s v="Mezzaning_Move to storage area and back"/>
    <s v="Check TO List"/>
    <n v="30.775859683731511"/>
    <s v="Trip"/>
    <s v="HDL"/>
    <n v="0"/>
    <x v="2"/>
    <n v="0.42"/>
    <n v="0"/>
    <n v="5"/>
    <n v="5"/>
    <s v="Operator"/>
    <n v="6.2859190530497374E-3"/>
    <m/>
    <m/>
    <m/>
    <m/>
    <m/>
    <m/>
    <m/>
    <n v="6.0973414814582448E-3"/>
    <n v="5.6222488279059814E-3"/>
    <n v="5.3396996770451984E-3"/>
    <n v="5.2234906919275898E-3"/>
    <n v="528.30466626653083"/>
    <n v="548.32741311803227"/>
    <n v="540.99503638469059"/>
    <n v="549.77353140242826"/>
    <n v="575.45530544248004"/>
  </r>
  <r>
    <n v="74"/>
    <x v="6"/>
    <s v="M Picking"/>
    <s v="Mezzaning_Move to storage area and back"/>
    <s v="Move to M Staging"/>
    <n v="30.775859683731511"/>
    <s v="Trip"/>
    <s v="OBMP"/>
    <n v="55"/>
    <x v="2"/>
    <n v="0.42"/>
    <n v="130.95238095238096"/>
    <m/>
    <n v="130.95238095238096"/>
    <s v="Operator"/>
    <n v="0.16463121329415978"/>
    <m/>
    <m/>
    <m/>
    <m/>
    <m/>
    <m/>
    <m/>
    <n v="0.15969227689533497"/>
    <n v="0.14724937406420424"/>
    <n v="0.13984927725594562"/>
    <n v="0.13680570859810348"/>
    <n v="13836.550783171044"/>
    <n v="14360.956057853226"/>
    <n v="14168.917619599037"/>
    <n v="14398.830584349307"/>
    <n v="15071.448475874471"/>
  </r>
  <r>
    <n v="75"/>
    <x v="6"/>
    <s v="M Picking"/>
    <s v="Mezzaning_Move to storage area and back"/>
    <s v="Move Full Trolley to Packing Area"/>
    <n v="30.775859683731511"/>
    <s v="Trip"/>
    <s v="OBMP"/>
    <n v="55"/>
    <x v="2"/>
    <n v="0.42"/>
    <n v="130.95238095238096"/>
    <m/>
    <n v="130.95238095238096"/>
    <s v="Operator"/>
    <n v="0.16463121329415978"/>
    <m/>
    <m/>
    <m/>
    <m/>
    <m/>
    <m/>
    <m/>
    <n v="0.15969227689533497"/>
    <n v="0.14724937406420424"/>
    <n v="0.13984927725594562"/>
    <n v="0.13680570859810348"/>
    <n v="13836.550783171044"/>
    <n v="14360.956057853226"/>
    <n v="14168.917619599037"/>
    <n v="14398.830584349307"/>
    <n v="15071.448475874471"/>
  </r>
  <r>
    <n v="76"/>
    <x v="6"/>
    <s v="M Picking"/>
    <s v="Mezzanine_Picking"/>
    <s v="Aisle Distance"/>
    <n v="30.775859683731511"/>
    <s v="Trip"/>
    <s v="MA"/>
    <n v="20"/>
    <x v="2"/>
    <n v="0.42"/>
    <n v="47.61904761904762"/>
    <m/>
    <n v="47.61904761904762"/>
    <s v="Operator"/>
    <n v="5.9865895743330823E-2"/>
    <m/>
    <m/>
    <m/>
    <m/>
    <m/>
    <m/>
    <m/>
    <n v="5.8069918871030891E-2"/>
    <n v="5.3545226932437906E-2"/>
    <n v="5.0854282638525684E-2"/>
    <n v="4.9747530399310361E-2"/>
    <n v="5031.4730120621971"/>
    <n v="5222.165839219354"/>
    <n v="5152.333679854195"/>
    <n v="5235.9383943088396"/>
    <n v="5480.5267184998074"/>
  </r>
  <r>
    <n v="77"/>
    <x v="6"/>
    <s v="M Picking"/>
    <s v="Mezzanine_Picking"/>
    <s v="Find Bin Location"/>
    <n v="738.62063240955626"/>
    <s v="Line"/>
    <s v="ML"/>
    <n v="10"/>
    <x v="2"/>
    <n v="0.42"/>
    <n v="23.80952380952381"/>
    <m/>
    <n v="23.80952380952381"/>
    <s v="Operator"/>
    <n v="0.71839074891997001"/>
    <m/>
    <m/>
    <m/>
    <m/>
    <m/>
    <m/>
    <m/>
    <n v="0.69683902645237084"/>
    <n v="0.64254272318925498"/>
    <n v="0.61025139166230835"/>
    <n v="0.59697036479172449"/>
    <n v="60377.67614474638"/>
    <n v="62665.990070632259"/>
    <n v="61828.004158250355"/>
    <n v="62831.26073170609"/>
    <n v="65766.320621997715"/>
  </r>
  <r>
    <n v="78"/>
    <x v="6"/>
    <s v="M Picking"/>
    <s v="Mezzanine_Picking"/>
    <s v="Picking Parts according to List"/>
    <n v="4801.0341106621154"/>
    <s v="Piece"/>
    <s v="HDL"/>
    <n v="0"/>
    <x v="2"/>
    <n v="0.42"/>
    <n v="0"/>
    <n v="8"/>
    <n v="8"/>
    <s v="Operator"/>
    <n v="1.5689653956412142"/>
    <m/>
    <m/>
    <m/>
    <m/>
    <m/>
    <m/>
    <m/>
    <n v="1.5218964337719776"/>
    <n v="1.4033133074453326"/>
    <n v="1.3327890393904811"/>
    <n v="1.3037832767051258"/>
    <n v="131864.84470012606"/>
    <n v="136862.52231426083"/>
    <n v="135032.36108161873"/>
    <n v="137223.47343804606"/>
    <n v="143633.64423844294"/>
  </r>
  <r>
    <n v="79"/>
    <x v="6"/>
    <s v="M Picking"/>
    <s v="Mezzanine_Picking"/>
    <s v="Check Performance and Shelf Life"/>
    <n v="432.09306995959037"/>
    <s v="Piece"/>
    <s v="HDL"/>
    <n v="0"/>
    <x v="2"/>
    <n v="0.42"/>
    <n v="0"/>
    <n v="5"/>
    <n v="5"/>
    <s v="Operator"/>
    <n v="8.8254303504818291E-2"/>
    <m/>
    <m/>
    <m/>
    <m/>
    <m/>
    <m/>
    <m/>
    <n v="8.5606674399673732E-2"/>
    <n v="7.8936373543799954E-2"/>
    <n v="7.4969383465714551E-2"/>
    <n v="7.3337809314663327E-2"/>
    <n v="7417.3975143820908"/>
    <n v="7698.5168801771706"/>
    <n v="7595.5703108410535"/>
    <n v="7718.8203808900898"/>
    <n v="8079.3924884124162"/>
  </r>
  <r>
    <n v="80"/>
    <x v="6"/>
    <s v="M Picking"/>
    <s v="Mezzanine_Picking"/>
    <s v="Scan Bin Location"/>
    <n v="738.62063240955626"/>
    <s v="Line"/>
    <s v="HDL"/>
    <n v="0"/>
    <x v="2"/>
    <n v="0.42"/>
    <n v="0"/>
    <n v="5"/>
    <n v="5"/>
    <s v="Operator"/>
    <n v="0.15086205727319368"/>
    <m/>
    <m/>
    <m/>
    <m/>
    <m/>
    <m/>
    <m/>
    <n v="0.14633619555499786"/>
    <n v="0.13493397186974351"/>
    <n v="0.12815279224908471"/>
    <n v="0.12536377660626211"/>
    <n v="12679.311990396738"/>
    <n v="13159.857914832774"/>
    <n v="12983.880873232571"/>
    <n v="13194.564753658275"/>
    <n v="13810.927330619515"/>
  </r>
  <r>
    <n v="81"/>
    <x v="6"/>
    <s v="M Picking"/>
    <s v="Mezzanine_Picking"/>
    <s v="Move to Elevator and Back to Elevator"/>
    <n v="0"/>
    <s v="Trip"/>
    <s v="ME"/>
    <n v="0"/>
    <x v="2"/>
    <n v="0.42"/>
    <n v="0"/>
    <m/>
    <n v="0"/>
    <s v="Operator"/>
    <n v="0"/>
    <m/>
    <m/>
    <m/>
    <m/>
    <m/>
    <m/>
    <m/>
    <n v="0"/>
    <n v="0"/>
    <n v="0"/>
    <n v="0"/>
    <n v="0"/>
    <n v="0"/>
    <n v="0"/>
    <n v="0"/>
    <n v="0"/>
  </r>
  <r>
    <n v="82"/>
    <x v="6"/>
    <s v="M Picking"/>
    <s v="Mezzanine_Elevator operation"/>
    <s v="Elevator Operation"/>
    <n v="0"/>
    <s v="Trip"/>
    <s v="HDL"/>
    <n v="0"/>
    <x v="2"/>
    <n v="0.42"/>
    <n v="0"/>
    <n v="180"/>
    <n v="180"/>
    <s v="Operator"/>
    <n v="0"/>
    <m/>
    <m/>
    <m/>
    <m/>
    <m/>
    <m/>
    <m/>
    <n v="0"/>
    <n v="0"/>
    <n v="0"/>
    <n v="0"/>
    <n v="0"/>
    <n v="0"/>
    <n v="0"/>
    <n v="0"/>
    <n v="0"/>
  </r>
  <r>
    <n v="83"/>
    <x v="6"/>
    <s v="F Picking"/>
    <s v="Floor_Picking"/>
    <s v="Check TO List"/>
    <n v="358.32178156996594"/>
    <s v="Trip"/>
    <s v="HDL"/>
    <n v="0"/>
    <x v="1"/>
    <n v="2.7777777777777777"/>
    <n v="0"/>
    <n v="5"/>
    <n v="5"/>
    <s v="MHE Driver"/>
    <n v="7.3186638392558401E-2"/>
    <m/>
    <m/>
    <m/>
    <m/>
    <m/>
    <m/>
    <m/>
    <n v="7.0991039240781637E-2"/>
    <n v="6.5459559445218404E-2"/>
    <n v="6.2169853937136837E-2"/>
    <n v="6.0816838586479037E-2"/>
    <n v="7381.2294898816735"/>
    <n v="7660.9780875481883"/>
    <n v="7558.5334967071894"/>
    <n v="7681.1825862176256"/>
    <n v="8039.996505535295"/>
  </r>
  <r>
    <n v="84"/>
    <x v="6"/>
    <s v="F Picking"/>
    <s v="Floor_Picking"/>
    <s v="Move to F Staging"/>
    <n v="358.32178156996594"/>
    <s v="Trip"/>
    <s v="OBFP"/>
    <n v="11"/>
    <x v="1"/>
    <n v="2.7777777777777777"/>
    <n v="3.96"/>
    <m/>
    <n v="3.96"/>
    <s v="MHE Driver"/>
    <n v="5.7963817606906255E-2"/>
    <m/>
    <m/>
    <m/>
    <m/>
    <m/>
    <m/>
    <m/>
    <n v="5.6224903078699061E-2"/>
    <n v="5.1843971080612984E-2"/>
    <n v="4.9238524318212386E-2"/>
    <n v="4.8166936160491405E-2"/>
    <n v="5845.9337559862861"/>
    <n v="6067.4946453381663"/>
    <n v="5986.3585293920951"/>
    <n v="6083.4966082843612"/>
    <n v="6367.6772323839541"/>
  </r>
  <r>
    <n v="85"/>
    <x v="6"/>
    <s v="F Picking"/>
    <s v="Floor_Picking"/>
    <s v="Aisle Distance"/>
    <n v="358.32178156996594"/>
    <s v="Trip"/>
    <s v="FA"/>
    <n v="90"/>
    <x v="1"/>
    <n v="2.7777777777777777"/>
    <n v="32.4"/>
    <m/>
    <n v="32.4"/>
    <s v="MHE Driver"/>
    <n v="0.47424941678377847"/>
    <m/>
    <m/>
    <m/>
    <m/>
    <m/>
    <m/>
    <m/>
    <n v="0.46002193428026505"/>
    <n v="0.42417794520501534"/>
    <n v="0.40286065351264677"/>
    <n v="0.39409311404038422"/>
    <n v="47830.367094433248"/>
    <n v="49643.138007312271"/>
    <n v="48979.297058662596"/>
    <n v="49774.063158690224"/>
    <n v="52099.17735586872"/>
  </r>
  <r>
    <n v="86"/>
    <x v="6"/>
    <s v="F Picking"/>
    <s v="Floor_Picking"/>
    <s v="Find Bin Location"/>
    <n v="358.32178156996594"/>
    <s v="Line"/>
    <s v="FL"/>
    <n v="60"/>
    <x v="1"/>
    <n v="2.7777777777777777"/>
    <n v="21.6"/>
    <m/>
    <n v="21.6"/>
    <s v="MHE Driver"/>
    <n v="0.31616627785585233"/>
    <m/>
    <m/>
    <m/>
    <m/>
    <m/>
    <m/>
    <m/>
    <n v="0.3066812895201767"/>
    <n v="0.28278529680334358"/>
    <n v="0.26857376900843122"/>
    <n v="0.26272874269358953"/>
    <n v="31886.911396288833"/>
    <n v="33095.425338208181"/>
    <n v="32652.864705775068"/>
    <n v="33182.708772460152"/>
    <n v="34732.784903912485"/>
  </r>
  <r>
    <n v="87"/>
    <x v="6"/>
    <s v="F Picking"/>
    <s v="Floor_Picking"/>
    <s v="Check Performance and Shelf Life"/>
    <n v="32.248960341296936"/>
    <s v="Line"/>
    <s v="HDL"/>
    <n v="0"/>
    <x v="1"/>
    <n v="2.7777777777777777"/>
    <n v="0"/>
    <n v="5"/>
    <n v="5"/>
    <s v="MHE Driver"/>
    <n v="6.5867974553302571E-3"/>
    <m/>
    <m/>
    <m/>
    <m/>
    <m/>
    <m/>
    <m/>
    <n v="6.3891935316703488E-3"/>
    <n v="5.8913603500696582E-3"/>
    <n v="5.595286854342317E-3"/>
    <n v="5.4735154727831147E-3"/>
    <n v="664.31065408935069"/>
    <n v="689.48802787933721"/>
    <n v="680.26801470364728"/>
    <n v="691.30643275958653"/>
    <n v="723.59968549817665"/>
  </r>
  <r>
    <n v="88"/>
    <x v="6"/>
    <s v="F Picking"/>
    <s v="Floor_Picking"/>
    <s v="Picking Pallet"/>
    <n v="358.32178156996594"/>
    <s v="Line"/>
    <s v="HDL"/>
    <n v="0"/>
    <x v="1"/>
    <n v="2.7777777777777777"/>
    <n v="0"/>
    <n v="10"/>
    <n v="10"/>
    <s v="MHE Driver"/>
    <n v="0.1463732767851168"/>
    <m/>
    <m/>
    <m/>
    <m/>
    <m/>
    <m/>
    <m/>
    <n v="0.14198207848156327"/>
    <n v="0.13091911889043681"/>
    <n v="0.12433970787427367"/>
    <n v="0.12163367717295807"/>
    <n v="14762.458979763347"/>
    <n v="15321.956175096377"/>
    <n v="15117.066993414379"/>
    <n v="15362.365172435251"/>
    <n v="16079.99301107059"/>
  </r>
  <r>
    <n v="89"/>
    <x v="6"/>
    <s v="F Picking"/>
    <s v="Floor_Picking"/>
    <s v="Scan Bin Location"/>
    <n v="358.32178156996594"/>
    <s v="Line"/>
    <s v="HDL"/>
    <n v="0"/>
    <x v="1"/>
    <n v="2.7777777777777777"/>
    <n v="0"/>
    <n v="5"/>
    <n v="5"/>
    <s v="MHE Driver"/>
    <n v="7.3186638392558401E-2"/>
    <m/>
    <m/>
    <m/>
    <m/>
    <m/>
    <m/>
    <m/>
    <n v="7.0991039240781637E-2"/>
    <n v="6.5459559445218404E-2"/>
    <n v="6.2169853937136837E-2"/>
    <n v="6.0816838586479037E-2"/>
    <n v="7381.2294898816735"/>
    <n v="7660.9780875481883"/>
    <n v="7558.5334967071894"/>
    <n v="7681.1825862176256"/>
    <n v="8039.996505535295"/>
  </r>
  <r>
    <n v="90"/>
    <x v="6"/>
    <s v="F Picking"/>
    <s v="Floor_Picking"/>
    <s v="Back to Packing Area"/>
    <n v="358.32178156996594"/>
    <s v="Trip"/>
    <s v="OBFP"/>
    <n v="11"/>
    <x v="1"/>
    <n v="2.7777777777777777"/>
    <n v="3.96"/>
    <m/>
    <n v="3.96"/>
    <s v="MHE Driver"/>
    <n v="5.7963817606906255E-2"/>
    <m/>
    <m/>
    <m/>
    <m/>
    <m/>
    <m/>
    <m/>
    <n v="5.6224903078699061E-2"/>
    <n v="5.1843971080612984E-2"/>
    <n v="4.9238524318212386E-2"/>
    <n v="4.8166936160491405E-2"/>
    <n v="5845.9337559862861"/>
    <n v="6067.4946453381663"/>
    <n v="5986.3585293920951"/>
    <n v="6083.4966082843612"/>
    <n v="6367.6772323839541"/>
  </r>
  <r>
    <n v="91"/>
    <x v="6"/>
    <s v="R Picking"/>
    <s v="Racking_Move to storage area and back"/>
    <s v="Check TO List"/>
    <n v="203.84528018202511"/>
    <s v="Trip"/>
    <s v="HDL"/>
    <n v="0"/>
    <x v="6"/>
    <n v="2.4"/>
    <n v="0"/>
    <n v="5"/>
    <n v="5"/>
    <s v="Operator"/>
    <n v="4.1635065396655457E-2"/>
    <m/>
    <m/>
    <m/>
    <m/>
    <m/>
    <m/>
    <m/>
    <n v="4.0386013434755785E-2"/>
    <n v="3.7239216039946482E-2"/>
    <n v="3.5367739128682303E-2"/>
    <n v="3.4598023729196979E-2"/>
    <n v="3499.2495359439054"/>
    <n v="3631.8710933561788"/>
    <n v="3583.3047688093357"/>
    <n v="3641.4495223550239"/>
    <n v="3811.5538989204379"/>
  </r>
  <r>
    <n v="92"/>
    <x v="6"/>
    <s v="R Picking"/>
    <s v="Racking_Picking_Ground Level"/>
    <s v="Take empty pallet /container"/>
    <n v="61.153584054607528"/>
    <s v="Trip"/>
    <s v="HDL"/>
    <n v="0"/>
    <x v="6"/>
    <n v="2.4"/>
    <n v="0"/>
    <n v="30"/>
    <n v="30"/>
    <s v="Operator"/>
    <n v="7.4943117713979823E-2"/>
    <m/>
    <m/>
    <m/>
    <m/>
    <m/>
    <m/>
    <m/>
    <n v="7.2694824182560416E-2"/>
    <n v="6.7030588871903676E-2"/>
    <n v="6.3661930431628155E-2"/>
    <n v="6.2276442712554565E-2"/>
    <n v="6298.6491646990298"/>
    <n v="6537.3679680411215"/>
    <n v="6449.9485838568053"/>
    <n v="6554.6091402390439"/>
    <n v="6860.7970180567881"/>
  </r>
  <r>
    <n v="93"/>
    <x v="6"/>
    <s v="R Picking"/>
    <s v="Racking_Picking_Ground Level"/>
    <s v="Aisle Distance"/>
    <n v="61.153584054607528"/>
    <s v="Trip"/>
    <s v="RA"/>
    <n v="80"/>
    <x v="6"/>
    <n v="2.4"/>
    <n v="33.333333333333336"/>
    <m/>
    <n v="33.333333333333336"/>
    <s v="Operator"/>
    <n v="8.3270130793310915E-2"/>
    <m/>
    <m/>
    <m/>
    <m/>
    <m/>
    <m/>
    <m/>
    <n v="8.0772026869511571E-2"/>
    <n v="7.4478432079892964E-2"/>
    <n v="7.0735478257364606E-2"/>
    <n v="6.9196047458393958E-2"/>
    <n v="6998.4990718878107"/>
    <n v="7263.7421867123576"/>
    <n v="7166.6095376186713"/>
    <n v="7282.8990447100477"/>
    <n v="7623.1077978408757"/>
  </r>
  <r>
    <n v="94"/>
    <x v="6"/>
    <s v="R Picking"/>
    <s v="Racking_Picking_Ground Level"/>
    <s v="Find Bin Location"/>
    <n v="366.92150432764515"/>
    <s v="Line"/>
    <s v="RL"/>
    <n v="30"/>
    <x v="6"/>
    <n v="2.4"/>
    <n v="12.5"/>
    <m/>
    <n v="12.5"/>
    <s v="Operator"/>
    <n v="0.18735779428494953"/>
    <m/>
    <m/>
    <m/>
    <m/>
    <m/>
    <m/>
    <m/>
    <n v="0.18173706045640101"/>
    <n v="0.16757647217975916"/>
    <n v="0.15915482607907036"/>
    <n v="0.1556911067813864"/>
    <n v="15746.622911747572"/>
    <n v="16343.4199201028"/>
    <n v="16124.871459642009"/>
    <n v="16386.522850597608"/>
    <n v="17151.992545141969"/>
  </r>
  <r>
    <n v="95"/>
    <x v="6"/>
    <s v="R Picking"/>
    <s v="Racking_Picking_Ground Level"/>
    <s v="Picking Parts according to List"/>
    <n v="2384.9897781296936"/>
    <s v="Piece"/>
    <s v="HDL"/>
    <n v="0"/>
    <x v="6"/>
    <n v="2.4"/>
    <n v="0"/>
    <n v="15"/>
    <n v="15"/>
    <s v="Operator"/>
    <n v="1.4613907954226064"/>
    <m/>
    <m/>
    <m/>
    <m/>
    <m/>
    <m/>
    <m/>
    <n v="1.4175490715599279"/>
    <n v="1.3070964830021214"/>
    <n v="1.2414076434167487"/>
    <n v="1.2143906328948137"/>
    <n v="122823.65871163107"/>
    <n v="127478.67537680185"/>
    <n v="125773.99738520768"/>
    <n v="127814.87823466132"/>
    <n v="133785.54185210733"/>
  </r>
  <r>
    <n v="96"/>
    <x v="6"/>
    <s v="R Picking"/>
    <s v="Racking_Picking_Ground Level"/>
    <s v="Check Performance and Shelf Life"/>
    <n v="33.022935389488062"/>
    <s v="Line"/>
    <s v="HDL"/>
    <n v="0"/>
    <x v="6"/>
    <n v="2.4"/>
    <n v="0"/>
    <n v="5"/>
    <n v="5"/>
    <s v="Operator"/>
    <n v="6.7448805942581817E-3"/>
    <m/>
    <m/>
    <m/>
    <m/>
    <m/>
    <m/>
    <m/>
    <n v="6.5425341764304354E-3"/>
    <n v="6.0327529984713288E-3"/>
    <n v="5.7295737388465317E-3"/>
    <n v="5.6048798441299084E-3"/>
    <n v="566.87842482291251"/>
    <n v="588.36311712370082"/>
    <n v="580.4953725471122"/>
    <n v="589.91482262151374"/>
    <n v="617.47173162511069"/>
  </r>
  <r>
    <n v="97"/>
    <x v="6"/>
    <s v="R Picking"/>
    <s v="Racking_Picking_Ground Level"/>
    <s v="Scan Bin Location"/>
    <n v="366.92150432764515"/>
    <s v="Line"/>
    <s v="HDL"/>
    <n v="0"/>
    <x v="6"/>
    <n v="2.4"/>
    <n v="0"/>
    <n v="5"/>
    <n v="5"/>
    <s v="Operator"/>
    <n v="7.4943117713979823E-2"/>
    <m/>
    <m/>
    <m/>
    <m/>
    <m/>
    <m/>
    <m/>
    <n v="7.2694824182560416E-2"/>
    <n v="6.7030588871903676E-2"/>
    <n v="6.3661930431628155E-2"/>
    <n v="6.2276442712554565E-2"/>
    <n v="6298.6491646990298"/>
    <n v="6537.3679680411215"/>
    <n v="6449.9485838568053"/>
    <n v="6554.6091402390439"/>
    <n v="6860.7970180567881"/>
  </r>
  <r>
    <n v="98"/>
    <x v="6"/>
    <s v="R Picking"/>
    <s v="Racking_Picking_Ground Level"/>
    <s v="Move Picked pallet/container to Packing Area"/>
    <n v="61.153584054607528"/>
    <s v="Trip"/>
    <s v="OBRP"/>
    <n v="77"/>
    <x v="6"/>
    <n v="2.4"/>
    <n v="32.083333333333336"/>
    <m/>
    <n v="32.083333333333336"/>
    <s v="Operator"/>
    <n v="8.0147500888561762E-2"/>
    <m/>
    <m/>
    <m/>
    <m/>
    <m/>
    <m/>
    <m/>
    <n v="7.7743075861904903E-2"/>
    <n v="7.168549087689699E-2"/>
    <n v="6.8082897822713442E-2"/>
    <n v="6.6601195678704192E-2"/>
    <n v="6736.055356692018"/>
    <n v="6991.3518547106451"/>
    <n v="6897.8616799579722"/>
    <n v="7009.7903305334221"/>
    <n v="7337.2412554218436"/>
  </r>
  <r>
    <n v="99"/>
    <x v="6"/>
    <s v="R Picking"/>
    <s v="Racking_Picking_Ground Level"/>
    <s v="Move to Racking Staging"/>
    <n v="61.153584054607528"/>
    <s v="Trip"/>
    <s v="OBRP"/>
    <n v="77"/>
    <x v="6"/>
    <n v="2.4"/>
    <n v="32.083333333333336"/>
    <m/>
    <n v="32.083333333333336"/>
    <s v="Operator"/>
    <n v="8.0147500888561762E-2"/>
    <m/>
    <m/>
    <m/>
    <m/>
    <m/>
    <m/>
    <m/>
    <n v="7.7743075861904903E-2"/>
    <n v="7.168549087689699E-2"/>
    <n v="6.8082897822713442E-2"/>
    <n v="6.6601195678704192E-2"/>
    <n v="6736.055356692018"/>
    <n v="6991.3518547106451"/>
    <n v="6897.8616799579722"/>
    <n v="7009.7903305334221"/>
    <n v="7337.2412554218436"/>
  </r>
  <r>
    <n v="100"/>
    <x v="6"/>
    <s v="R Picking"/>
    <s v="Racking_Picking_High Level"/>
    <s v="Take empty pallet /container"/>
    <n v="142.69169612741757"/>
    <s v="Trip"/>
    <s v="HDL"/>
    <n v="0"/>
    <x v="7"/>
    <n v="2.8"/>
    <n v="0"/>
    <n v="30"/>
    <n v="30"/>
    <s v="MHE Driver"/>
    <n v="0.17486727466595292"/>
    <m/>
    <m/>
    <m/>
    <m/>
    <m/>
    <m/>
    <m/>
    <n v="0.16962125642597431"/>
    <n v="0.15640470736777523"/>
    <n v="0.14854450434046568"/>
    <n v="0.1453116996626273"/>
    <n v="17636.217661157283"/>
    <n v="18304.630310515146"/>
    <n v="18059.85603479905"/>
    <n v="18352.905592669322"/>
    <n v="19210.231650559006"/>
  </r>
  <r>
    <n v="101"/>
    <x v="6"/>
    <s v="R Picking"/>
    <s v="Racking_Picking_High Level"/>
    <s v="Aisle Distance"/>
    <n v="142.69169612741757"/>
    <s v="Trip"/>
    <s v="RA"/>
    <n v="80"/>
    <x v="7"/>
    <n v="2.8"/>
    <n v="28.571428571428573"/>
    <m/>
    <n v="28.571428571428573"/>
    <s v="MHE Driver"/>
    <n v="0.16654026158662183"/>
    <m/>
    <m/>
    <m/>
    <m/>
    <m/>
    <m/>
    <m/>
    <n v="0.16154405373902314"/>
    <n v="0.14895686415978593"/>
    <n v="0.14147095651472921"/>
    <n v="0.13839209491678792"/>
    <n v="16796.397772530745"/>
    <n v="17432.98124810966"/>
    <n v="17199.86289028481"/>
    <n v="17478.957707304115"/>
    <n v="18295.458714818102"/>
  </r>
  <r>
    <n v="102"/>
    <x v="6"/>
    <s v="R Picking"/>
    <s v="Racking_Picking_High Level"/>
    <s v="Find Bin Location"/>
    <n v="856.15017676450532"/>
    <s v="Line"/>
    <s v="RL"/>
    <n v="30"/>
    <x v="7"/>
    <n v="2.8"/>
    <n v="10.714285714285715"/>
    <m/>
    <n v="10.714285714285715"/>
    <s v="MHE Driver"/>
    <n v="0.37471558856989906"/>
    <m/>
    <m/>
    <m/>
    <m/>
    <m/>
    <m/>
    <m/>
    <n v="0.36347412091280201"/>
    <n v="0.33515294435951831"/>
    <n v="0.31830965215814072"/>
    <n v="0.31138221356277279"/>
    <n v="37791.894988194173"/>
    <n v="39224.207808246727"/>
    <n v="38699.691503140821"/>
    <n v="39327.654841434261"/>
    <n v="41164.782108340725"/>
  </r>
  <r>
    <n v="103"/>
    <x v="6"/>
    <s v="R Picking"/>
    <s v="Racking_Picking_High Level"/>
    <s v="Raise up to PIC Level"/>
    <n v="856.15017676450532"/>
    <s v="Line"/>
    <s v="RH"/>
    <n v="9"/>
    <x v="4"/>
    <n v="0.5"/>
    <n v="18"/>
    <m/>
    <n v="18"/>
    <s v="MHE Driver"/>
    <n v="0.62952218879743038"/>
    <m/>
    <m/>
    <m/>
    <m/>
    <m/>
    <m/>
    <m/>
    <n v="0.61063652313350736"/>
    <n v="0.56305694652399074"/>
    <n v="0.53476021562567633"/>
    <n v="0.52312211878545822"/>
    <n v="63490.383580166206"/>
    <n v="65896.669117854501"/>
    <n v="65015.481725276572"/>
    <n v="66070.460133609551"/>
    <n v="69156.83394201241"/>
  </r>
  <r>
    <n v="104"/>
    <x v="6"/>
    <s v="R Picking"/>
    <s v="Racking_Picking_High Level"/>
    <s v="Picking Parts according to List"/>
    <n v="5564.9761489692846"/>
    <s v="Piece"/>
    <s v="HDL"/>
    <n v="0"/>
    <x v="0"/>
    <n v="1.2"/>
    <n v="0"/>
    <n v="10"/>
    <n v="10"/>
    <s v="MHE Driver"/>
    <n v="2.2732745706573874"/>
    <m/>
    <m/>
    <m/>
    <m/>
    <m/>
    <m/>
    <m/>
    <n v="2.2050763335376655"/>
    <n v="2.0332611957810776"/>
    <n v="1.9310785564260533"/>
    <n v="1.8890520956141545"/>
    <n v="229270.82959504463"/>
    <n v="237960.19403669683"/>
    <n v="234778.12845238761"/>
    <n v="238587.77270470111"/>
    <n v="249733.01145726701"/>
  </r>
  <r>
    <n v="105"/>
    <x v="6"/>
    <s v="R Picking"/>
    <s v="Racking_Picking_High Level"/>
    <s v="Check Performance and Shelf Life"/>
    <n v="500.84785340723562"/>
    <s v="Piece"/>
    <s v="HDL"/>
    <n v="0"/>
    <x v="0"/>
    <n v="1.2"/>
    <n v="0"/>
    <n v="15"/>
    <n v="15"/>
    <s v="MHE Driver"/>
    <n v="0.30689206703874733"/>
    <m/>
    <m/>
    <m/>
    <m/>
    <m/>
    <m/>
    <m/>
    <n v="0.29768530502758489"/>
    <n v="0.27449026143044553"/>
    <n v="0.26069560511751727"/>
    <n v="0.25502203290791092"/>
    <n v="30951.561995331027"/>
    <n v="32124.626194954075"/>
    <n v="31695.047341072335"/>
    <n v="32209.349315134659"/>
    <n v="33713.956546731053"/>
  </r>
  <r>
    <n v="106"/>
    <x v="6"/>
    <s v="R Picking"/>
    <s v="Racking_Picking_High Level"/>
    <s v="Scan Bin Location"/>
    <n v="856.15017676450532"/>
    <s v="Line"/>
    <m/>
    <s v=""/>
    <x v="0"/>
    <n v="1.2"/>
    <n v="0"/>
    <n v="5"/>
    <n v="5"/>
    <s v="MHE Driver"/>
    <n v="0.17486727466595289"/>
    <m/>
    <m/>
    <m/>
    <m/>
    <m/>
    <m/>
    <m/>
    <n v="0.16962125642597428"/>
    <n v="0.1564047073677752"/>
    <n v="0.14854450434046565"/>
    <n v="0.14531169966262727"/>
    <n v="17636.21766115728"/>
    <n v="18304.630310515142"/>
    <n v="18059.85603479905"/>
    <n v="18352.905592669318"/>
    <n v="19210.231650559002"/>
  </r>
  <r>
    <n v="107"/>
    <x v="6"/>
    <s v="R Picking"/>
    <s v="Racking_Picking_High Level"/>
    <s v="Down to Ground"/>
    <n v="856.15017676450532"/>
    <s v="Line"/>
    <s v="RH"/>
    <n v="9"/>
    <x v="4"/>
    <n v="0.5"/>
    <n v="18"/>
    <m/>
    <n v="18"/>
    <s v="MHE Driver"/>
    <n v="0.62952218879743038"/>
    <m/>
    <m/>
    <m/>
    <m/>
    <m/>
    <m/>
    <m/>
    <n v="0.61063652313350736"/>
    <n v="0.56305694652399074"/>
    <n v="0.53476021562567633"/>
    <n v="0.52312211878545822"/>
    <n v="63490.383580166206"/>
    <n v="65896.669117854501"/>
    <n v="65015.481725276572"/>
    <n v="66070.460133609551"/>
    <n v="69156.83394201241"/>
  </r>
  <r>
    <n v="108"/>
    <x v="6"/>
    <s v="R Picking"/>
    <s v="Racking_Picking_High Level"/>
    <s v="Move Picked pallet/container to Packing Area"/>
    <n v="142.69169612741757"/>
    <s v="Trip"/>
    <s v="OBRP"/>
    <n v="77"/>
    <x v="7"/>
    <n v="2.8"/>
    <n v="27.5"/>
    <m/>
    <n v="27.5"/>
    <s v="MHE Driver"/>
    <n v="0.16029500177712352"/>
    <m/>
    <m/>
    <m/>
    <m/>
    <m/>
    <m/>
    <m/>
    <n v="0.15548615172380981"/>
    <n v="0.14337098175379398"/>
    <n v="0.13616579564542688"/>
    <n v="0.13320239135740838"/>
    <n v="16166.532856060845"/>
    <n v="16779.244451305553"/>
    <n v="16554.868031899132"/>
    <n v="16823.496793280214"/>
    <n v="17609.379013012425"/>
  </r>
  <r>
    <n v="109"/>
    <x v="6"/>
    <s v="R Picking"/>
    <s v="Racking_Picking_High Level"/>
    <s v="Move to Racking Staging"/>
    <n v="142.69169612741757"/>
    <s v="Trip"/>
    <s v="OBRP"/>
    <n v="77"/>
    <x v="7"/>
    <n v="2.8"/>
    <n v="27.5"/>
    <m/>
    <n v="27.5"/>
    <s v="MHE Driver"/>
    <n v="0.16029500177712352"/>
    <m/>
    <m/>
    <m/>
    <m/>
    <m/>
    <m/>
    <m/>
    <n v="0.15548615172380981"/>
    <n v="0.14337098175379398"/>
    <n v="0.13616579564542688"/>
    <n v="0.13320239135740838"/>
    <n v="16166.532856060845"/>
    <n v="16779.244451305553"/>
    <n v="16554.868031899132"/>
    <n v="16823.496793280214"/>
    <n v="17609.379013012425"/>
  </r>
  <r>
    <n v="110"/>
    <x v="6"/>
    <s v="Replenishment"/>
    <s v="RES replenishment to PIC"/>
    <s v="Pick pallet from RES and put away to PIC"/>
    <n v="0"/>
    <s v="Trip"/>
    <m/>
    <s v=""/>
    <x v="3"/>
    <n v="2.7777777777777777"/>
    <n v="0"/>
    <n v="144"/>
    <n v="144"/>
    <s v="MHE Driver"/>
    <n v="0"/>
    <m/>
    <m/>
    <m/>
    <m/>
    <m/>
    <m/>
    <m/>
    <n v="0"/>
    <n v="0"/>
    <n v="0"/>
    <n v="0"/>
    <n v="0"/>
    <n v="0"/>
    <n v="0"/>
    <n v="0"/>
    <n v="0"/>
  </r>
  <r>
    <n v="111"/>
    <x v="6"/>
    <s v="C5 Picking"/>
    <s v="DG picking"/>
    <s v="Check TO List"/>
    <n v="19.906765642775888"/>
    <s v="Trip"/>
    <m/>
    <s v=""/>
    <x v="5"/>
    <n v="0.5"/>
    <n v="0"/>
    <m/>
    <n v="0"/>
    <s v="DG operator"/>
    <n v="0"/>
    <m/>
    <m/>
    <m/>
    <m/>
    <m/>
    <m/>
    <m/>
    <n v="0"/>
    <n v="0"/>
    <n v="0"/>
    <n v="0"/>
    <n v="0"/>
    <n v="0"/>
    <n v="0"/>
    <n v="0"/>
    <n v="0"/>
  </r>
  <r>
    <n v="112"/>
    <x v="6"/>
    <s v="C5 Picking"/>
    <s v="DG picking"/>
    <s v="Move to C5 Staging"/>
    <n v="19.906765642775888"/>
    <s v="Trip"/>
    <s v="OBCP"/>
    <n v="160"/>
    <x v="5"/>
    <n v="0.5"/>
    <n v="320"/>
    <m/>
    <n v="320"/>
    <s v="DG operator"/>
    <n v="0.26021915872909662"/>
    <m/>
    <m/>
    <m/>
    <m/>
    <m/>
    <m/>
    <m/>
    <n v="0.25241258396722371"/>
    <n v="0.23274510024966558"/>
    <n v="0.22104836955426446"/>
    <n v="0.21623764830748116"/>
    <n v="26244.371519579294"/>
    <n v="27239.03320017135"/>
    <n v="26874.785766070025"/>
    <n v="27310.871417662689"/>
    <n v="28586.654241903288"/>
  </r>
  <r>
    <n v="113"/>
    <x v="6"/>
    <s v="C5 Picking"/>
    <s v="DG picking"/>
    <s v="Aisle Distance"/>
    <n v="19.906765642775888"/>
    <s v="Trip"/>
    <s v="CA"/>
    <n v="30"/>
    <x v="5"/>
    <n v="0.5"/>
    <n v="60"/>
    <m/>
    <n v="60"/>
    <s v="DG operator"/>
    <n v="4.879109226170561E-2"/>
    <m/>
    <m/>
    <m/>
    <m/>
    <m/>
    <m/>
    <m/>
    <n v="4.7327359493854436E-2"/>
    <n v="4.3639706296812283E-2"/>
    <n v="4.1446569291424575E-2"/>
    <n v="4.054455905765271E-2"/>
    <n v="4920.8196599211169"/>
    <n v="5107.3187250321271"/>
    <n v="5039.0223311381278"/>
    <n v="5120.7883908117528"/>
    <n v="5359.9976703568655"/>
  </r>
  <r>
    <n v="114"/>
    <x v="6"/>
    <s v="C5 Picking"/>
    <s v="DG picking"/>
    <s v="Find Bin Location"/>
    <n v="47.77623754266213"/>
    <s v="Line"/>
    <s v="CL"/>
    <n v="30"/>
    <x v="5"/>
    <n v="0.5"/>
    <n v="60"/>
    <m/>
    <n v="60"/>
    <s v="DG operator"/>
    <n v="0.11709862142809346"/>
    <m/>
    <m/>
    <m/>
    <m/>
    <m/>
    <m/>
    <m/>
    <n v="0.11358566278525065"/>
    <n v="0.10473529511234948"/>
    <n v="9.9471766299418979E-2"/>
    <n v="9.7306941738366501E-2"/>
    <n v="11809.967183810681"/>
    <n v="12257.564940077105"/>
    <n v="12093.653594731508"/>
    <n v="12289.892137948205"/>
    <n v="12863.994408856477"/>
  </r>
  <r>
    <n v="115"/>
    <x v="6"/>
    <s v="C5 Picking"/>
    <s v="DG picking"/>
    <s v="Check Performance and Shelf Life"/>
    <n v="47.77623754266213"/>
    <s v="Line"/>
    <m/>
    <s v=""/>
    <x v="0"/>
    <n v="1.2"/>
    <n v="0"/>
    <n v="15"/>
    <n v="15"/>
    <s v="DG operator"/>
    <n v="2.9274655357023366E-2"/>
    <m/>
    <m/>
    <m/>
    <m/>
    <m/>
    <m/>
    <m/>
    <n v="2.8396415696312662E-2"/>
    <n v="2.6183823778087371E-2"/>
    <n v="2.4867941574854745E-2"/>
    <n v="2.4326735434591625E-2"/>
    <n v="2952.4917959526701"/>
    <n v="3064.3912350192763"/>
    <n v="3023.413398682877"/>
    <n v="3072.4730344870513"/>
    <n v="3215.9986022141193"/>
  </r>
  <r>
    <n v="116"/>
    <x v="6"/>
    <s v="C5 Picking"/>
    <s v="DG picking"/>
    <s v="Picking Pallet"/>
    <n v="47.77623754266213"/>
    <s v="Line"/>
    <m/>
    <s v=""/>
    <x v="0"/>
    <n v="1.2"/>
    <n v="0"/>
    <n v="15"/>
    <n v="15"/>
    <s v="DG operator"/>
    <n v="2.9274655357023366E-2"/>
    <m/>
    <m/>
    <m/>
    <m/>
    <m/>
    <m/>
    <m/>
    <n v="2.8396415696312662E-2"/>
    <n v="2.6183823778087371E-2"/>
    <n v="2.4867941574854745E-2"/>
    <n v="2.4326735434591625E-2"/>
    <n v="2952.4917959526701"/>
    <n v="3064.3912350192763"/>
    <n v="3023.413398682877"/>
    <n v="3072.4730344870513"/>
    <n v="3215.9986022141193"/>
  </r>
  <r>
    <n v="117"/>
    <x v="6"/>
    <s v="C5 Picking"/>
    <s v="DG picking"/>
    <s v="Scan Bin Location"/>
    <n v="47.77623754266213"/>
    <s v="Line"/>
    <m/>
    <s v=""/>
    <x v="0"/>
    <n v="1.2"/>
    <n v="0"/>
    <n v="5"/>
    <n v="5"/>
    <s v="DG operator"/>
    <n v="9.758218452341122E-3"/>
    <m/>
    <m/>
    <m/>
    <m/>
    <m/>
    <m/>
    <m/>
    <n v="9.4654718987708872E-3"/>
    <n v="8.7279412593624563E-3"/>
    <n v="8.2893138582849149E-3"/>
    <n v="8.1089118115305406E-3"/>
    <n v="984.16393198422338"/>
    <n v="1021.4637450064254"/>
    <n v="1007.8044662276255"/>
    <n v="1024.1576781623505"/>
    <n v="1071.9995340713729"/>
  </r>
  <r>
    <n v="118"/>
    <x v="6"/>
    <s v="C5 Picking"/>
    <s v="DG picking"/>
    <s v="Back to Packing Area"/>
    <n v="19.906765642775888"/>
    <s v="Trip"/>
    <s v="OBCP"/>
    <n v="160"/>
    <x v="5"/>
    <n v="0.5"/>
    <n v="320"/>
    <m/>
    <n v="320"/>
    <s v="DG operator"/>
    <n v="0.26021915872909662"/>
    <m/>
    <m/>
    <m/>
    <m/>
    <m/>
    <m/>
    <m/>
    <n v="0.25241258396722371"/>
    <n v="0.23274510024966558"/>
    <n v="0.22104836955426446"/>
    <n v="0.21623764830748116"/>
    <n v="26244.371519579294"/>
    <n v="27239.03320017135"/>
    <n v="26874.785766070025"/>
    <n v="27310.871417662689"/>
    <n v="28586.654241903288"/>
  </r>
  <r>
    <n v="119"/>
    <x v="7"/>
    <m/>
    <m/>
    <m/>
    <m/>
    <m/>
    <m/>
    <m/>
    <x v="0"/>
    <m/>
    <m/>
    <m/>
    <m/>
    <m/>
    <m/>
    <m/>
    <m/>
    <m/>
    <m/>
    <m/>
    <m/>
    <m/>
    <m/>
    <m/>
    <m/>
    <m/>
    <m/>
    <m/>
    <m/>
    <m/>
    <m/>
  </r>
  <r>
    <n v="120"/>
    <x v="8"/>
    <s v="Others Picking (lock, cuttign etc.)"/>
    <s v="Move to pick for others handling"/>
    <s v="Others_Move to storage area and back"/>
    <n v="9.829351535836178"/>
    <s v="Trip"/>
    <s v="OBLP"/>
    <n v="30"/>
    <x v="2"/>
    <n v="0.42"/>
    <n v="71.428571428571431"/>
    <m/>
    <n v="71.428571428571431"/>
    <s v="Special handling"/>
    <n v="2.8680414145180258E-2"/>
    <m/>
    <m/>
    <m/>
    <m/>
    <m/>
    <m/>
    <m/>
    <n v="2.7820001720824845E-2"/>
    <n v="2.5652322826741614E-2"/>
    <n v="2.4363151490829384E-2"/>
    <n v="2.3832931201252624E-2"/>
    <n v="2892.5596710006739"/>
    <n v="3002.187682531599"/>
    <n v="2962.0416482719888"/>
    <n v="3010.1054309370807"/>
    <n v="3150.7175977630463"/>
  </r>
  <r>
    <n v="121"/>
    <x v="8"/>
    <s v="Others Picking (lock, cuttign etc.)"/>
    <s v="Key cutting handling"/>
    <s v="Overall handling"/>
    <n v="9.829351535836178"/>
    <s v="Piece"/>
    <s v="HDL"/>
    <n v="0"/>
    <x v="0"/>
    <n v="1.2"/>
    <n v="0"/>
    <n v="1440"/>
    <n v="1440"/>
    <s v="Special handling"/>
    <n v="0.57819714916683396"/>
    <m/>
    <m/>
    <m/>
    <m/>
    <m/>
    <m/>
    <m/>
    <n v="0.56085123469182885"/>
    <n v="0.51715082818711089"/>
    <n v="0.4911611340551203"/>
    <n v="0.48047189301725279"/>
    <n v="58314.002967373584"/>
    <n v="60524.103679837033"/>
    <n v="59714.759629163287"/>
    <n v="60683.725487691539"/>
    <n v="63518.466770903004"/>
  </r>
  <r>
    <n v="122"/>
    <x v="9"/>
    <s v="Others Picking (lock, cuttign etc.)"/>
    <s v="Move to pick for others handling"/>
    <s v="Others_Move to storage area and back"/>
    <n v="4.0955631399317405E-2"/>
    <s v="Trip"/>
    <s v="OBLP"/>
    <n v="30"/>
    <x v="2"/>
    <n v="0.42"/>
    <n v="71.428571428571431"/>
    <m/>
    <n v="71.428571428571431"/>
    <s v="Special handling"/>
    <n v="1.1950172560491775E-4"/>
    <m/>
    <m/>
    <m/>
    <m/>
    <m/>
    <m/>
    <m/>
    <n v="1.159166738367702E-4"/>
    <n v="1.0688467844475674E-4"/>
    <n v="1.0151313121178912E-4"/>
    <n v="9.9303880005219283E-5"/>
    <n v="12.052331962502809"/>
    <n v="12.509115343881664"/>
    <n v="12.341840201133289"/>
    <n v="12.542105962237839"/>
    <n v="13.127989990679362"/>
  </r>
  <r>
    <n v="123"/>
    <x v="9"/>
    <s v="Others Picking (lock, cuttign etc.)"/>
    <s v="Engraved steal seal"/>
    <s v="Overall handling"/>
    <n v="4.0955631399317405E-2"/>
    <s v="Piece"/>
    <s v="HDL"/>
    <n v="0"/>
    <x v="0"/>
    <n v="1.2"/>
    <n v="0"/>
    <n v="1440"/>
    <n v="1440"/>
    <s v="Special handling"/>
    <n v="2.4091547881951417E-3"/>
    <m/>
    <m/>
    <m/>
    <m/>
    <m/>
    <m/>
    <m/>
    <n v="2.336880144549287E-3"/>
    <n v="2.1547951174462955E-3"/>
    <n v="2.0465047252296682E-3"/>
    <n v="2.0019662209052203E-3"/>
    <n v="242.9750123640566"/>
    <n v="252.18376533265433"/>
    <n v="248.81149845484703"/>
    <n v="252.8488561987148"/>
    <n v="264.66027821209588"/>
  </r>
  <r>
    <n v="124"/>
    <x v="6"/>
    <s v="VOR packing"/>
    <s v="Check the parts and find the right package"/>
    <s v="Check all Parts"/>
    <n v="243.65881146757681"/>
    <s v="Line"/>
    <m/>
    <s v=""/>
    <x v="0"/>
    <n v="1.2"/>
    <n v="0"/>
    <n v="2"/>
    <n v="2"/>
    <s v="Packer"/>
    <n v="1.9906765642775884E-2"/>
    <n v="1.9906765642775884E-2"/>
    <m/>
    <m/>
    <m/>
    <m/>
    <m/>
    <m/>
    <n v="1.9309562673492604E-2"/>
    <n v="1.7805000169099406E-2"/>
    <n v="1.6910200270901222E-2"/>
    <n v="1.6542180095522298E-2"/>
    <n v="1673.0786843731792"/>
    <n v="1736.4883665109223"/>
    <n v="1713.267592586963"/>
    <n v="1741.0680528759954"/>
    <n v="1822.3992079213335"/>
  </r>
  <r>
    <n v="125"/>
    <x v="6"/>
    <s v="VOR packing"/>
    <s v="Check the parts and find the right package"/>
    <s v="Chose and build box"/>
    <n v="121.82940573378841"/>
    <s v="Package"/>
    <m/>
    <s v=""/>
    <x v="0"/>
    <n v="1.2"/>
    <n v="0"/>
    <n v="15"/>
    <n v="15"/>
    <s v="Packer"/>
    <n v="7.4650371160409554E-2"/>
    <n v="7.4650371160409554E-2"/>
    <m/>
    <m/>
    <m/>
    <m/>
    <m/>
    <m/>
    <n v="7.2410860025597254E-2"/>
    <n v="6.676875063412277E-2"/>
    <n v="6.3413251015879579E-2"/>
    <n v="6.2033175358208625E-2"/>
    <n v="6274.0450663994206"/>
    <n v="6511.8313744159577"/>
    <n v="6424.7534722011114"/>
    <n v="6529.0051982849818"/>
    <n v="6833.9970297050013"/>
  </r>
  <r>
    <n v="126"/>
    <x v="6"/>
    <s v="VOR packing"/>
    <s v="Packing and seal"/>
    <s v="Put all Parts in Box"/>
    <n v="3167.5645490784987"/>
    <s v="Piece"/>
    <m/>
    <s v=""/>
    <x v="0"/>
    <n v="1.2"/>
    <n v="0"/>
    <n v="2"/>
    <n v="2"/>
    <s v="Packer"/>
    <n v="0.25878795335608651"/>
    <n v="0.25878795335608651"/>
    <m/>
    <m/>
    <m/>
    <m/>
    <m/>
    <m/>
    <n v="0.25102431475540388"/>
    <n v="0.2314650021982923"/>
    <n v="0.21983260352171588"/>
    <n v="0.2150483412417899"/>
    <n v="21750.022896851329"/>
    <n v="22574.348764641993"/>
    <n v="22272.478703630521"/>
    <n v="22633.884687387937"/>
    <n v="23691.189702977335"/>
  </r>
  <r>
    <n v="127"/>
    <x v="6"/>
    <s v="VOR packing"/>
    <s v="Packing and seal"/>
    <s v="Confirm all Parts in Box"/>
    <n v="3167.5645490784987"/>
    <s v="Piece"/>
    <m/>
    <s v=""/>
    <x v="0"/>
    <n v="1.2"/>
    <n v="0"/>
    <n v="2"/>
    <n v="2"/>
    <s v="Packer"/>
    <n v="0.25878795335608651"/>
    <n v="0.25878795335608651"/>
    <m/>
    <m/>
    <m/>
    <m/>
    <m/>
    <m/>
    <n v="0.25102431475540388"/>
    <n v="0.2314650021982923"/>
    <n v="0.21983260352171588"/>
    <n v="0.2150483412417899"/>
    <n v="21750.022896851329"/>
    <n v="22574.348764641993"/>
    <n v="22272.478703630521"/>
    <n v="22633.884687387937"/>
    <n v="23691.189702977335"/>
  </r>
  <r>
    <n v="128"/>
    <x v="6"/>
    <s v="VOR packing"/>
    <s v="Packing and seal"/>
    <s v="Seal the Box"/>
    <n v="121.82940573378841"/>
    <s v="Package"/>
    <m/>
    <s v=""/>
    <x v="0"/>
    <n v="1.2"/>
    <n v="0"/>
    <n v="10"/>
    <n v="10"/>
    <s v="Packer"/>
    <n v="4.9766914106939709E-2"/>
    <n v="4.9766914106939709E-2"/>
    <m/>
    <m/>
    <m/>
    <m/>
    <m/>
    <m/>
    <n v="4.8273906683731514E-2"/>
    <n v="4.451250042274852E-2"/>
    <n v="4.2275500677253053E-2"/>
    <n v="4.1355450238805748E-2"/>
    <n v="4182.696710932948"/>
    <n v="4341.2209162773061"/>
    <n v="4283.1689814674082"/>
    <n v="4352.6701321899882"/>
    <n v="4555.9980198033336"/>
  </r>
  <r>
    <n v="129"/>
    <x v="6"/>
    <s v="VOR packing"/>
    <s v="Paper work and stick label"/>
    <s v="Weighing the Box"/>
    <n v="121.82940573378841"/>
    <s v="Package"/>
    <m/>
    <s v=""/>
    <x v="0"/>
    <n v="1.2"/>
    <n v="0"/>
    <n v="5"/>
    <n v="5"/>
    <s v="Packer"/>
    <n v="2.4883457053469855E-2"/>
    <n v="2.4883457053469855E-2"/>
    <m/>
    <m/>
    <m/>
    <m/>
    <m/>
    <m/>
    <n v="2.4136953341865757E-2"/>
    <n v="2.225625021137426E-2"/>
    <n v="2.1137750338626526E-2"/>
    <n v="2.0677725119402874E-2"/>
    <n v="2091.348355466474"/>
    <n v="2170.610458138653"/>
    <n v="2141.5844907337041"/>
    <n v="2176.3350660949941"/>
    <n v="2277.9990099016668"/>
  </r>
  <r>
    <n v="130"/>
    <x v="6"/>
    <s v="VOR packing"/>
    <s v="Paper work and stick label"/>
    <s v="Uploading Box Info. to Sys"/>
    <n v="121.82940573378841"/>
    <s v="Package"/>
    <m/>
    <s v=""/>
    <x v="0"/>
    <n v="1.2"/>
    <n v="0"/>
    <n v="30"/>
    <n v="30"/>
    <s v="Packer"/>
    <n v="0.14930074232081911"/>
    <n v="0.14930074232081911"/>
    <m/>
    <m/>
    <m/>
    <m/>
    <m/>
    <m/>
    <n v="0.14482172005119451"/>
    <n v="0.13353750126824554"/>
    <n v="0.12682650203175916"/>
    <n v="0.12406635071641725"/>
    <n v="12548.090132798841"/>
    <n v="13023.662748831915"/>
    <n v="12849.506944402223"/>
    <n v="13058.010396569964"/>
    <n v="13667.994059410003"/>
  </r>
  <r>
    <n v="131"/>
    <x v="6"/>
    <s v="VOR packing"/>
    <s v="Paper work and stick label"/>
    <s v="Stick Label"/>
    <n v="121.82940573378841"/>
    <s v="Package"/>
    <m/>
    <s v=""/>
    <x v="0"/>
    <n v="1.2"/>
    <n v="0"/>
    <n v="5"/>
    <n v="5"/>
    <s v="Packer"/>
    <n v="2.4883457053469855E-2"/>
    <n v="2.4883457053469855E-2"/>
    <m/>
    <m/>
    <m/>
    <m/>
    <m/>
    <m/>
    <n v="2.4136953341865757E-2"/>
    <n v="2.225625021137426E-2"/>
    <n v="2.1137750338626526E-2"/>
    <n v="2.0677725119402874E-2"/>
    <n v="2091.348355466474"/>
    <n v="2170.610458138653"/>
    <n v="2141.5844907337041"/>
    <n v="2176.3350660949941"/>
    <n v="2277.9990099016668"/>
  </r>
  <r>
    <n v="132"/>
    <x v="6"/>
    <s v="Rush/Stock packing"/>
    <s v="Check the parts and find the right package"/>
    <s v="Check all Parts"/>
    <n v="1786.8312840955632"/>
    <s v="Line"/>
    <m/>
    <s v=""/>
    <x v="0"/>
    <n v="1.2"/>
    <n v="0"/>
    <n v="10"/>
    <n v="10"/>
    <s v="Packer"/>
    <n v="0.7299147402351156"/>
    <n v="0.7299147402351156"/>
    <m/>
    <m/>
    <m/>
    <m/>
    <m/>
    <m/>
    <n v="0.70801729802806201"/>
    <n v="0.65285000620031142"/>
    <n v="0.62004067659971129"/>
    <n v="0.60654660350248413"/>
    <n v="61346.21842701656"/>
    <n v="63671.240105400473"/>
    <n v="62819.81172818863"/>
    <n v="63839.161938786478"/>
    <n v="66821.304290448883"/>
  </r>
  <r>
    <n v="133"/>
    <x v="6"/>
    <s v="Rush/Stock packing"/>
    <s v="Check the parts and find the right package"/>
    <s v="Chose and build box"/>
    <n v="297.80521401592722"/>
    <s v="Package"/>
    <m/>
    <s v=""/>
    <x v="0"/>
    <n v="1.2"/>
    <n v="0"/>
    <n v="30"/>
    <n v="30"/>
    <s v="Packer"/>
    <n v="0.36495737011755791"/>
    <n v="0.36495737011755791"/>
    <m/>
    <m/>
    <m/>
    <m/>
    <m/>
    <m/>
    <n v="0.35400864901403112"/>
    <n v="0.32642500310015582"/>
    <n v="0.31002033829985576"/>
    <n v="0.30327330175124217"/>
    <n v="30673.109213508287"/>
    <n v="31835.620052700247"/>
    <n v="31409.905864094326"/>
    <n v="31919.58096939325"/>
    <n v="33410.652145224449"/>
  </r>
  <r>
    <n v="134"/>
    <x v="6"/>
    <s v="Rush/Stock packing"/>
    <s v="Packing and seal"/>
    <s v="Put all Parts in Box"/>
    <n v="23228.806693242321"/>
    <s v="Piece"/>
    <m/>
    <s v=""/>
    <x v="0"/>
    <n v="1.2"/>
    <n v="0"/>
    <n v="2.5"/>
    <n v="2.5"/>
    <s v="Packer"/>
    <n v="2.3722229057641262"/>
    <n v="2.3722229057641262"/>
    <m/>
    <m/>
    <m/>
    <m/>
    <m/>
    <m/>
    <n v="2.301056218591202"/>
    <n v="2.1217625201510129"/>
    <n v="2.0151321989490625"/>
    <n v="1.9712764613830742"/>
    <n v="199375.20988780385"/>
    <n v="206931.53034255159"/>
    <n v="204164.38811661312"/>
    <n v="207477.27630105612"/>
    <n v="217169.23894395895"/>
  </r>
  <r>
    <n v="135"/>
    <x v="6"/>
    <s v="Rush/Stock packing"/>
    <s v="Packing and seal"/>
    <s v="Confirm all Parts in Box"/>
    <n v="297.80521401592722"/>
    <s v="Package"/>
    <m/>
    <s v=""/>
    <x v="0"/>
    <n v="1.2"/>
    <n v="0"/>
    <n v="5"/>
    <n v="5"/>
    <s v="Packer"/>
    <n v="6.0826228352926316E-2"/>
    <n v="6.0826228352926316E-2"/>
    <m/>
    <m/>
    <m/>
    <m/>
    <m/>
    <m/>
    <n v="5.900144150233852E-2"/>
    <n v="5.4404167183359303E-2"/>
    <n v="5.1670056383309293E-2"/>
    <n v="5.05455502918737E-2"/>
    <n v="5112.1848689180479"/>
    <n v="5305.9366754500415"/>
    <n v="5234.9843106823873"/>
    <n v="5319.9301615655413"/>
    <n v="5568.442024204076"/>
  </r>
  <r>
    <n v="136"/>
    <x v="6"/>
    <s v="Rush/Stock packing"/>
    <s v="Packing and seal"/>
    <s v="Seal the Box"/>
    <n v="297.80521401592722"/>
    <s v="Package"/>
    <m/>
    <s v=""/>
    <x v="0"/>
    <n v="1.2"/>
    <n v="0"/>
    <n v="20"/>
    <n v="20"/>
    <s v="Packer"/>
    <n v="0.24330491341170526"/>
    <n v="0.24330491341170526"/>
    <m/>
    <m/>
    <m/>
    <m/>
    <m/>
    <m/>
    <n v="0.23600576600935408"/>
    <n v="0.21761666873343721"/>
    <n v="0.20668022553323717"/>
    <n v="0.2021822011674948"/>
    <n v="20448.739475672191"/>
    <n v="21223.746701800166"/>
    <n v="20939.937242729549"/>
    <n v="21279.720646262165"/>
    <n v="22273.768096816304"/>
  </r>
  <r>
    <n v="137"/>
    <x v="6"/>
    <s v="Rush/Stock packing"/>
    <s v="Paper work and stick label"/>
    <s v="Weighing the Box"/>
    <n v="297.80521401592722"/>
    <s v="Package"/>
    <m/>
    <s v=""/>
    <x v="0"/>
    <n v="1.2"/>
    <n v="0"/>
    <n v="30"/>
    <n v="30"/>
    <s v="Packer"/>
    <n v="0.36495737011755791"/>
    <n v="0.36495737011755791"/>
    <n v="0.36495737011755791"/>
    <m/>
    <m/>
    <m/>
    <m/>
    <m/>
    <n v="0.35400864901403112"/>
    <n v="0.32642500310015582"/>
    <n v="0.31002033829985576"/>
    <n v="0.30327330175124217"/>
    <n v="30673.109213508287"/>
    <n v="31835.620052700247"/>
    <n v="31409.905864094326"/>
    <n v="31919.58096939325"/>
    <n v="33410.652145224449"/>
  </r>
  <r>
    <n v="138"/>
    <x v="6"/>
    <s v="Rush/Stock packing"/>
    <s v="Paper work and stick label"/>
    <s v="Uploading Box Info. to Sys"/>
    <n v="297.80521401592722"/>
    <s v="Package"/>
    <m/>
    <s v=""/>
    <x v="0"/>
    <n v="1.2"/>
    <n v="0"/>
    <n v="30"/>
    <n v="30"/>
    <s v="Packer"/>
    <n v="0.36495737011755791"/>
    <n v="0.36495737011755791"/>
    <m/>
    <m/>
    <m/>
    <m/>
    <m/>
    <m/>
    <n v="0.35400864901403112"/>
    <n v="0.32642500310015582"/>
    <n v="0.31002033829985576"/>
    <n v="0.30327330175124217"/>
    <n v="30673.109213508287"/>
    <n v="31835.620052700247"/>
    <n v="31409.905864094326"/>
    <n v="31919.58096939325"/>
    <n v="33410.652145224449"/>
  </r>
  <r>
    <n v="139"/>
    <x v="6"/>
    <s v="Rush/Stock packing"/>
    <s v="Paper work and stick label"/>
    <s v="Stick Label"/>
    <n v="297.80521401592722"/>
    <s v="Package"/>
    <m/>
    <s v=""/>
    <x v="0"/>
    <n v="1.2"/>
    <n v="0"/>
    <n v="5"/>
    <n v="5"/>
    <s v="Packer"/>
    <n v="6.0826228352926316E-2"/>
    <n v="6.0826228352926316E-2"/>
    <m/>
    <m/>
    <m/>
    <m/>
    <m/>
    <m/>
    <n v="5.900144150233852E-2"/>
    <n v="5.4404167183359303E-2"/>
    <n v="5.1670056383309293E-2"/>
    <n v="5.05455502918737E-2"/>
    <n v="5112.1848689180479"/>
    <n v="5305.9366754500415"/>
    <n v="5234.9843106823873"/>
    <n v="5319.9301615655413"/>
    <n v="5568.442024204076"/>
  </r>
  <r>
    <n v="140"/>
    <x v="6"/>
    <s v="Bulk packing"/>
    <s v="Packing and seal"/>
    <s v="Pack bulk"/>
    <n v="358.32178156996594"/>
    <s v="Piece"/>
    <m/>
    <s v=""/>
    <x v="0"/>
    <n v="1.2"/>
    <n v="0"/>
    <n v="120"/>
    <n v="120"/>
    <s v="Packer"/>
    <n v="1.7564793214214016"/>
    <n v="1.7564793214214016"/>
    <m/>
    <m/>
    <m/>
    <m/>
    <m/>
    <m/>
    <n v="1.7037849417787594"/>
    <n v="1.571029426685242"/>
    <n v="1.4920764944912845"/>
    <n v="1.4596041260754973"/>
    <n v="147624.58979763347"/>
    <n v="153219.56175096377"/>
    <n v="151170.66993414384"/>
    <n v="153623.65172435256"/>
    <n v="160799.93011070593"/>
  </r>
  <r>
    <n v="141"/>
    <x v="6"/>
    <s v="Bulk packing"/>
    <s v="Packing and seal"/>
    <s v="Confirm all Parts in Box"/>
    <n v="358.32178156996594"/>
    <s v="Piece"/>
    <m/>
    <s v=""/>
    <x v="0"/>
    <n v="1.2"/>
    <n v="0"/>
    <n v="5"/>
    <n v="5"/>
    <s v="Packer"/>
    <n v="7.3186638392558401E-2"/>
    <n v="7.3186638392558401E-2"/>
    <m/>
    <m/>
    <m/>
    <m/>
    <m/>
    <m/>
    <n v="7.0991039240781637E-2"/>
    <n v="6.5459559445218404E-2"/>
    <n v="6.2169853937136837E-2"/>
    <n v="6.0816838586479037E-2"/>
    <n v="6151.0245749013948"/>
    <n v="6384.1484062901563"/>
    <n v="6298.7779139226586"/>
    <n v="6400.9854885146879"/>
    <n v="6699.9970879460789"/>
  </r>
  <r>
    <n v="142"/>
    <x v="6"/>
    <s v="Bulk packing"/>
    <s v="Packing and seal"/>
    <s v="Seal the Box"/>
    <n v="358.32178156996594"/>
    <s v="Piece"/>
    <m/>
    <s v=""/>
    <x v="0"/>
    <n v="1.2"/>
    <n v="0"/>
    <n v="20"/>
    <n v="20"/>
    <s v="Packer"/>
    <n v="0.2927465535702336"/>
    <n v="0.2927465535702336"/>
    <m/>
    <m/>
    <m/>
    <m/>
    <m/>
    <m/>
    <n v="0.28396415696312655"/>
    <n v="0.26183823778087362"/>
    <n v="0.24867941574854735"/>
    <n v="0.24326735434591615"/>
    <n v="24604.098299605579"/>
    <n v="25536.593625160625"/>
    <n v="25195.111655690635"/>
    <n v="25603.941954058751"/>
    <n v="26799.988351784315"/>
  </r>
  <r>
    <n v="143"/>
    <x v="6"/>
    <s v="Bulk packing"/>
    <s v="Paper work and stick label"/>
    <s v="Weighing the Box"/>
    <n v="358.32178156996594"/>
    <s v="Piece"/>
    <m/>
    <s v=""/>
    <x v="0"/>
    <n v="1.2"/>
    <n v="0"/>
    <n v="30"/>
    <n v="30"/>
    <s v="Packer"/>
    <n v="0.4391198303553504"/>
    <n v="0.4391198303553504"/>
    <n v="0.4391198303553504"/>
    <m/>
    <m/>
    <m/>
    <m/>
    <m/>
    <n v="0.42594623544468985"/>
    <n v="0.39275735667131051"/>
    <n v="0.37301912362282114"/>
    <n v="0.36490103151887432"/>
    <n v="36906.147449408367"/>
    <n v="38304.890437740942"/>
    <n v="37792.667483535959"/>
    <n v="38405.91293108814"/>
    <n v="40199.982527676482"/>
  </r>
  <r>
    <n v="144"/>
    <x v="6"/>
    <s v="Bulk packing"/>
    <s v="Paper work and stick label"/>
    <s v="Uploading Box Info. to Sys"/>
    <n v="358.32178156996594"/>
    <s v="Piece"/>
    <m/>
    <s v=""/>
    <x v="0"/>
    <n v="1.2"/>
    <n v="0"/>
    <n v="30"/>
    <n v="30"/>
    <s v="Packer"/>
    <n v="0.4391198303553504"/>
    <n v="0.4391198303553504"/>
    <m/>
    <m/>
    <m/>
    <m/>
    <m/>
    <m/>
    <n v="0.42594623544468985"/>
    <n v="0.39275735667131051"/>
    <n v="0.37301912362282114"/>
    <n v="0.36490103151887432"/>
    <n v="36906.147449408367"/>
    <n v="38304.890437740942"/>
    <n v="37792.667483535959"/>
    <n v="38405.91293108814"/>
    <n v="40199.982527676482"/>
  </r>
  <r>
    <n v="145"/>
    <x v="6"/>
    <s v="Bulk packing"/>
    <s v="Paper work and stick label"/>
    <s v="Stick Label"/>
    <n v="358.32178156996594"/>
    <s v="Piece"/>
    <m/>
    <s v=""/>
    <x v="0"/>
    <n v="1.2"/>
    <n v="0"/>
    <n v="5"/>
    <n v="5"/>
    <s v="Packer"/>
    <n v="7.3186638392558401E-2"/>
    <n v="7.3186638392558401E-2"/>
    <m/>
    <m/>
    <m/>
    <m/>
    <m/>
    <m/>
    <n v="7.0991039240781637E-2"/>
    <n v="6.5459559445218404E-2"/>
    <n v="6.2169853937136837E-2"/>
    <n v="6.0816838586479037E-2"/>
    <n v="6151.0245749013948"/>
    <n v="6384.1484062901563"/>
    <n v="6298.7779139226586"/>
    <n v="6400.9854885146879"/>
    <n v="6699.9970879460789"/>
  </r>
  <r>
    <n v="146"/>
    <x v="6"/>
    <s v="Consolidate Packing"/>
    <s v="Move Box to Handover Area"/>
    <s v="Move Small Parts Box to Handover Area"/>
    <n v="20.3049009556314"/>
    <s v="Package"/>
    <s v="OBPH"/>
    <n v="60"/>
    <x v="1"/>
    <n v="2.7777777777777777"/>
    <n v="21.6"/>
    <m/>
    <n v="21.6"/>
    <s v="MHE Driver"/>
    <n v="1.7916089078498294E-2"/>
    <m/>
    <m/>
    <m/>
    <m/>
    <m/>
    <m/>
    <m/>
    <n v="1.7378606406143342E-2"/>
    <n v="1.6024500152189466E-2"/>
    <n v="1.5219180243811099E-2"/>
    <n v="1.4887962085970069E-2"/>
    <n v="1806.9249791230336"/>
    <n v="1875.4074358317964"/>
    <n v="1850.3289999939202"/>
    <n v="1880.3534971060749"/>
    <n v="1968.1911445550402"/>
  </r>
  <r>
    <n v="147"/>
    <x v="6"/>
    <s v="Consolidate Packing"/>
    <s v="Move Box to Handover Area"/>
    <s v="Move Large Parts Box to Handover Area"/>
    <n v="297.80521401592722"/>
    <s v="Package"/>
    <s v="OBPH"/>
    <n v="60"/>
    <x v="1"/>
    <n v="2.7777777777777777"/>
    <n v="21.6"/>
    <m/>
    <n v="21.6"/>
    <s v="MHE Driver"/>
    <n v="0.2627693064846417"/>
    <m/>
    <m/>
    <m/>
    <m/>
    <m/>
    <m/>
    <m/>
    <n v="0.25488622729010241"/>
    <n v="0.2350260022321122"/>
    <n v="0.22321464357589615"/>
    <n v="0.21835677726089439"/>
    <n v="26501.566360471163"/>
    <n v="27505.975725533019"/>
    <n v="27138.158666577499"/>
    <n v="27578.51795755577"/>
    <n v="28866.803453473931"/>
  </r>
  <r>
    <n v="148"/>
    <x v="6"/>
    <s v="Consolidate Packing"/>
    <s v="Move Box to Handover Area"/>
    <s v="Move Bulk to Handover Area"/>
    <n v="358.32178156996594"/>
    <s v="Package"/>
    <s v="OBPH"/>
    <n v="60"/>
    <x v="1"/>
    <n v="2.7777777777777777"/>
    <n v="21.6"/>
    <m/>
    <n v="21.6"/>
    <s v="MHE Driver"/>
    <n v="0.31616627785585233"/>
    <m/>
    <m/>
    <m/>
    <m/>
    <m/>
    <m/>
    <m/>
    <n v="0.3066812895201767"/>
    <n v="0.28278529680334358"/>
    <n v="0.26857376900843122"/>
    <n v="0.26272874269358953"/>
    <n v="31886.911396288833"/>
    <n v="33095.425338208181"/>
    <n v="32652.864705775068"/>
    <n v="33182.708772460152"/>
    <n v="34732.784903912485"/>
  </r>
  <r>
    <n v="149"/>
    <x v="6"/>
    <s v="Transit between chamber"/>
    <s v="Transit between chamber"/>
    <s v="Move to and back C1/2/5"/>
    <m/>
    <s v="Trip"/>
    <m/>
    <m/>
    <x v="1"/>
    <n v="2.7777777777777777"/>
    <n v="0"/>
    <m/>
    <m/>
    <s v="MHE Driver"/>
    <n v="0"/>
    <m/>
    <m/>
    <m/>
    <m/>
    <m/>
    <m/>
    <m/>
    <n v="0"/>
    <n v="0"/>
    <n v="0"/>
    <n v="0"/>
    <n v="0"/>
    <n v="0"/>
    <n v="0"/>
    <n v="0"/>
    <n v="0"/>
  </r>
  <r>
    <n v="150"/>
    <x v="10"/>
    <s v="Stock Counting"/>
    <s v="Counting preparation"/>
    <s v="Prepare Stock Counting List"/>
    <n v="1"/>
    <s v="Daily"/>
    <m/>
    <s v=""/>
    <x v="0"/>
    <n v="1.2"/>
    <n v="0"/>
    <n v="300"/>
    <n v="300"/>
    <s v="Inv. Operator"/>
    <n v="1.2254901960784314E-2"/>
    <m/>
    <m/>
    <m/>
    <m/>
    <m/>
    <m/>
    <m/>
    <n v="1.1887254901960782E-2"/>
    <n v="1.0961023774509802E-2"/>
    <n v="1.0410171605768971E-2"/>
    <n v="1.0183612894535234E-2"/>
    <n v="1235.9666427546629"/>
    <n v="1282.8097785150644"/>
    <n v="1265.6557126262185"/>
    <n v="1286.1929664274901"/>
    <n v="1346.2753735441681"/>
  </r>
  <r>
    <n v="151"/>
    <x v="10"/>
    <s v="Stock Counting"/>
    <s v="Mezzanine_Stock counting"/>
    <s v="Stock Counting"/>
    <n v="237.04141875337362"/>
    <s v="Line"/>
    <m/>
    <s v=""/>
    <x v="0"/>
    <n v="1.2"/>
    <n v="0"/>
    <n v="90"/>
    <n v="90"/>
    <s v="Inv. Operator"/>
    <n v="0.8714758042403441"/>
    <m/>
    <m/>
    <m/>
    <m/>
    <m/>
    <m/>
    <m/>
    <n v="0.84533153011313367"/>
    <n v="0.77946498794977848"/>
    <n v="0.74029255406926875"/>
    <n v="0.72418141456673446"/>
    <n v="87892.585959122807"/>
    <n v="91223.714966973552"/>
    <n v="90003.847732269278"/>
    <n v="91464.30166577475"/>
    <n v="95736.907373291295"/>
  </r>
  <r>
    <n v="152"/>
    <x v="10"/>
    <s v="Stock Counting"/>
    <s v="Mezzanine_Stock counting"/>
    <s v="Confirm Stock Situation"/>
    <n v="237.04141875337362"/>
    <s v="Line"/>
    <m/>
    <s v=""/>
    <x v="0"/>
    <n v="1.2"/>
    <n v="0"/>
    <n v="10"/>
    <n v="10"/>
    <s v="Inv. Operator"/>
    <n v="9.6830644915593816E-2"/>
    <m/>
    <m/>
    <m/>
    <m/>
    <m/>
    <m/>
    <m/>
    <n v="9.3925725568125992E-2"/>
    <n v="8.6607220883308744E-2"/>
    <n v="8.2254728229918764E-2"/>
    <n v="8.046460161852606E-2"/>
    <n v="9765.842884346981"/>
    <n v="10135.968329663732"/>
    <n v="10000.4275258077"/>
    <n v="10162.700185086085"/>
    <n v="10637.434152587923"/>
  </r>
  <r>
    <n v="153"/>
    <x v="10"/>
    <s v="Stock Counting"/>
    <s v="Racking_PIC Stock counting"/>
    <s v="Stock Counting for Ground Rack"/>
    <n v="40.962225255972704"/>
    <s v="Line"/>
    <m/>
    <s v=""/>
    <x v="6"/>
    <n v="2.4"/>
    <n v="0"/>
    <n v="30"/>
    <n v="30"/>
    <s v="Inv. Operator"/>
    <n v="5.0198805460750867E-2"/>
    <m/>
    <m/>
    <m/>
    <m/>
    <m/>
    <m/>
    <m/>
    <n v="4.8692841296928337E-2"/>
    <n v="4.4898792488754273E-2"/>
    <n v="4.2642379426883974E-2"/>
    <n v="4.1714344530558056E-2"/>
    <n v="5062.7944029384853"/>
    <n v="5254.6743108098535"/>
    <n v="5184.4074397103823"/>
    <n v="5268.5326013450594"/>
    <n v="5514.6435107685029"/>
  </r>
  <r>
    <n v="154"/>
    <x v="10"/>
    <s v="Stock Counting"/>
    <s v="Racking_PIC Stock counting"/>
    <s v="Stock Counting for High Rack"/>
    <n v="95.578525597269632"/>
    <s v="Line"/>
    <m/>
    <s v=""/>
    <x v="4"/>
    <n v="0.5"/>
    <n v="0"/>
    <n v="60"/>
    <n v="60"/>
    <s v="Inv. Operator"/>
    <n v="0.23426109215017069"/>
    <m/>
    <m/>
    <m/>
    <m/>
    <m/>
    <m/>
    <m/>
    <n v="0.22723325938566552"/>
    <n v="0.20952769828085321"/>
    <n v="0.19899777065879182"/>
    <n v="0.19466694114260419"/>
    <n v="23626.373880379593"/>
    <n v="24521.813450445978"/>
    <n v="24193.901385315112"/>
    <n v="24586.485472943605"/>
    <n v="25735.003050253003"/>
  </r>
  <r>
    <n v="155"/>
    <x v="10"/>
    <s v="Stock Counting"/>
    <s v="Racking_PIC Stock counting"/>
    <s v="Confirm Stock Situation"/>
    <n v="136.54075085324234"/>
    <s v="Line"/>
    <m/>
    <s v=""/>
    <x v="0"/>
    <n v="1.2"/>
    <n v="0"/>
    <n v="10"/>
    <n v="10"/>
    <s v="Inv. Operator"/>
    <n v="5.5776450511945401E-2"/>
    <m/>
    <m/>
    <m/>
    <m/>
    <m/>
    <m/>
    <m/>
    <n v="5.4103156996587035E-2"/>
    <n v="4.9887547209726962E-2"/>
    <n v="4.738042158542663E-2"/>
    <n v="4.6349271700620052E-2"/>
    <n v="5625.327114376094"/>
    <n v="5838.5270120109481"/>
    <n v="5760.4527107893127"/>
    <n v="5853.9251126056206"/>
    <n v="6127.3816786316684"/>
  </r>
  <r>
    <n v="156"/>
    <x v="10"/>
    <s v="Stock Counting"/>
    <s v="Racking_RES Stock counting"/>
    <s v="Stock Counting"/>
    <n v="0"/>
    <s v="Line"/>
    <m/>
    <s v=""/>
    <x v="4"/>
    <n v="0.5"/>
    <n v="0"/>
    <n v="15"/>
    <n v="15"/>
    <s v="Inv. Operator"/>
    <n v="0"/>
    <m/>
    <m/>
    <m/>
    <m/>
    <m/>
    <m/>
    <m/>
    <n v="0"/>
    <n v="0"/>
    <n v="0"/>
    <n v="0"/>
    <n v="0"/>
    <n v="0"/>
    <n v="0"/>
    <n v="0"/>
    <n v="0"/>
  </r>
  <r>
    <n v="157"/>
    <x v="10"/>
    <s v="Stock Counting"/>
    <s v="Racking_RES Stock counting"/>
    <s v="Confirm Stock Situation"/>
    <n v="0"/>
    <s v="Line"/>
    <m/>
    <s v=""/>
    <x v="4"/>
    <n v="0.5"/>
    <n v="0"/>
    <n v="10"/>
    <n v="10"/>
    <s v="Inv. Operator"/>
    <n v="0"/>
    <m/>
    <m/>
    <m/>
    <m/>
    <m/>
    <m/>
    <m/>
    <n v="0"/>
    <n v="0"/>
    <n v="0"/>
    <n v="0"/>
    <n v="0"/>
    <n v="0"/>
    <n v="0"/>
    <n v="0"/>
    <n v="0"/>
  </r>
  <r>
    <n v="158"/>
    <x v="10"/>
    <s v="Stock Counting"/>
    <s v="Floor&amp;Tire_Stock counting"/>
    <s v="Stock Counting"/>
    <n v="4.0123793490598603"/>
    <s v="Line"/>
    <m/>
    <s v=""/>
    <x v="1"/>
    <n v="2.7777777777777777"/>
    <n v="0"/>
    <n v="10"/>
    <n v="10"/>
    <s v="Inv. Operator"/>
    <n v="1.6390438517401389E-3"/>
    <m/>
    <m/>
    <m/>
    <m/>
    <m/>
    <m/>
    <m/>
    <n v="1.5898725361879345E-3"/>
    <n v="1.465992847913243E-3"/>
    <n v="1.3923185857052248E-3"/>
    <n v="1.3620172692284294E-3"/>
    <n v="165.30556778385517"/>
    <n v="171.57064880286327"/>
    <n v="169.27636147870265"/>
    <n v="172.02313657999011"/>
    <n v="180.058916898549"/>
  </r>
  <r>
    <n v="159"/>
    <x v="10"/>
    <s v="Stock Counting"/>
    <s v="Floor&amp;Tire_Stock counting"/>
    <s v="Confirm Stock Situation"/>
    <n v="4.0123793490598603"/>
    <s v="Line"/>
    <m/>
    <s v=""/>
    <x v="1"/>
    <n v="2.7777777777777777"/>
    <n v="0"/>
    <n v="10"/>
    <n v="10"/>
    <s v="Inv. Operator"/>
    <n v="1.6390438517401389E-3"/>
    <m/>
    <m/>
    <m/>
    <m/>
    <m/>
    <m/>
    <m/>
    <n v="1.5898725361879345E-3"/>
    <n v="1.465992847913243E-3"/>
    <n v="1.3923185857052248E-3"/>
    <n v="1.3620172692284294E-3"/>
    <n v="165.30556778385517"/>
    <n v="171.57064880286327"/>
    <n v="169.27636147870265"/>
    <n v="172.02313657999011"/>
    <n v="180.058916898549"/>
  </r>
  <r>
    <n v="160"/>
    <x v="10"/>
    <s v="Stock Counting"/>
    <s v="DG_Stock counting"/>
    <s v="Stock Counting"/>
    <n v="20.079522184300345"/>
    <s v="Line"/>
    <m/>
    <s v=""/>
    <x v="5"/>
    <n v="0.5"/>
    <n v="0"/>
    <n v="10"/>
    <n v="10"/>
    <s v="DG operator"/>
    <n v="8.2024191929331476E-3"/>
    <m/>
    <m/>
    <m/>
    <m/>
    <m/>
    <m/>
    <m/>
    <n v="7.9563466171451522E-3"/>
    <n v="7.336404001430436E-3"/>
    <n v="6.9677090566803868E-3"/>
    <n v="6.8160693677382428E-3"/>
    <n v="827.25398740824915"/>
    <n v="858.60691353102175"/>
    <n v="847.12539864548728"/>
    <n v="860.87134008906185"/>
    <n v="901.08554097524529"/>
  </r>
  <r>
    <n v="161"/>
    <x v="10"/>
    <s v="Stock Counting"/>
    <s v="DG_Stock counting"/>
    <s v="Confirm Stock Situation"/>
    <n v="20.079522184300345"/>
    <s v="Line"/>
    <m/>
    <s v=""/>
    <x v="5"/>
    <n v="0.5"/>
    <n v="0"/>
    <n v="10"/>
    <n v="10"/>
    <s v="DG operator"/>
    <n v="8.2024191929331476E-3"/>
    <m/>
    <m/>
    <m/>
    <m/>
    <m/>
    <m/>
    <m/>
    <n v="7.9563466171451522E-3"/>
    <n v="7.336404001430436E-3"/>
    <n v="6.9677090566803868E-3"/>
    <n v="6.8160693677382428E-3"/>
    <n v="827.25398740824915"/>
    <n v="858.60691353102175"/>
    <n v="847.12539864548728"/>
    <n v="860.87134008906185"/>
    <n v="901.08554097524529"/>
  </r>
  <r>
    <n v="162"/>
    <x v="10"/>
    <s v="Stock Counting"/>
    <s v="Others_Stock counting"/>
    <s v="Stock Counting"/>
    <n v="4.015904436860068"/>
    <s v="Line"/>
    <m/>
    <s v=""/>
    <x v="2"/>
    <n v="0.42"/>
    <n v="0"/>
    <n v="10"/>
    <n v="10"/>
    <s v="Inv. Operator"/>
    <n v="1.6404838385866293E-3"/>
    <m/>
    <m/>
    <m/>
    <m/>
    <m/>
    <m/>
    <m/>
    <n v="1.5912693234290301E-3"/>
    <n v="1.4672808002860868E-3"/>
    <n v="1.393541811336077E-3"/>
    <n v="1.3632138735476481E-3"/>
    <n v="165.4507974816498"/>
    <n v="171.72138270620431"/>
    <n v="169.4250797290974"/>
    <n v="172.17426801781232"/>
    <n v="180.21710819504901"/>
  </r>
  <r>
    <n v="163"/>
    <x v="10"/>
    <s v="Stock Counting"/>
    <s v="Others_Stock counting"/>
    <s v="Confirm Stock Situation"/>
    <n v="4.015904436860068"/>
    <s v="Line"/>
    <m/>
    <s v=""/>
    <x v="2"/>
    <n v="0.42"/>
    <n v="0"/>
    <n v="10"/>
    <n v="10"/>
    <s v="Inv. Operator"/>
    <n v="1.6404838385866293E-3"/>
    <m/>
    <m/>
    <m/>
    <m/>
    <m/>
    <m/>
    <m/>
    <n v="1.5912693234290301E-3"/>
    <n v="1.4672808002860868E-3"/>
    <n v="1.393541811336077E-3"/>
    <n v="1.3632138735476481E-3"/>
    <n v="165.4507974816498"/>
    <n v="171.72138270620431"/>
    <n v="169.4250797290974"/>
    <n v="172.17426801781232"/>
    <n v="180.217108195049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数据透视表1" cacheId="1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6:C18" firstHeaderRow="0" firstDataRow="1" firstDataCol="1"/>
  <pivotFields count="32">
    <pivotField showAll="0"/>
    <pivotField axis="axisRow" showAll="0">
      <items count="13">
        <item x="1"/>
        <item x="10"/>
        <item x="5"/>
        <item x="9"/>
        <item x="3"/>
        <item x="0"/>
        <item x="8"/>
        <item m="1" x="11"/>
        <item x="6"/>
        <item x="2"/>
        <item x="4"/>
        <item x="7"/>
        <item t="default"/>
      </items>
    </pivotField>
    <pivotField showAll="0"/>
    <pivotField showAll="0"/>
    <pivotField showAll="0"/>
    <pivotField numFmtId="183" showAll="0"/>
    <pivotField showAll="0"/>
    <pivotField showAll="0"/>
    <pivotField showAll="0"/>
    <pivotField showAll="0"/>
    <pivotField showAll="0"/>
    <pivotField numFmtId="183" showAll="0"/>
    <pivotField showAll="0"/>
    <pivotField showAll="0"/>
    <pivotField showAll="0"/>
    <pivotField dataField="1" numFmtId="184" showAll="0"/>
    <pivotField showAll="0"/>
    <pivotField showAll="0"/>
    <pivotField showAll="0"/>
    <pivotField showAll="0"/>
    <pivotField showAll="0"/>
    <pivotField showAll="0"/>
    <pivotField showAll="0"/>
    <pivotField numFmtId="176" showAll="0"/>
    <pivotField numFmtId="176" showAll="0"/>
    <pivotField numFmtId="176" showAll="0"/>
    <pivotField numFmtId="176" showAll="0"/>
    <pivotField dataField="1" numFmtId="183" showAll="0"/>
    <pivotField numFmtId="183" showAll="0"/>
    <pivotField numFmtId="183" showAll="0"/>
    <pivotField numFmtId="183" showAll="0"/>
    <pivotField numFmtId="183" showAll="0"/>
  </pivotFields>
  <rowFields count="1">
    <field x="1"/>
  </rowFields>
  <rowItems count="12">
    <i>
      <x/>
    </i>
    <i>
      <x v="1"/>
    </i>
    <i>
      <x v="2"/>
    </i>
    <i>
      <x v="3"/>
    </i>
    <i>
      <x v="4"/>
    </i>
    <i>
      <x v="5"/>
    </i>
    <i>
      <x v="6"/>
    </i>
    <i>
      <x v="8"/>
    </i>
    <i>
      <x v="9"/>
    </i>
    <i>
      <x v="10"/>
    </i>
    <i>
      <x v="11"/>
    </i>
    <i t="grand">
      <x/>
    </i>
  </rowItems>
  <colFields count="1">
    <field x="-2"/>
  </colFields>
  <colItems count="2">
    <i>
      <x/>
    </i>
    <i i="1">
      <x v="1"/>
    </i>
  </colItems>
  <dataFields count="2">
    <dataField name="FTE cost (Y1)" fld="27" baseField="0" baseItem="0" numFmtId="183"/>
    <dataField name="%WorkLoad" fld="15" showDataAs="percentOfCol" baseField="1" baseItem="3" numFmtId="10"/>
  </dataFields>
  <formats count="6">
    <format dxfId="21">
      <pivotArea collapsedLevelsAreSubtotals="1" fieldPosition="0">
        <references count="2">
          <reference field="4294967294" count="1" selected="0">
            <x v="1"/>
          </reference>
          <reference field="1" count="0"/>
        </references>
      </pivotArea>
    </format>
    <format dxfId="20">
      <pivotArea field="1" grandRow="1" outline="0" collapsedLevelsAreSubtotals="1" axis="axisRow" fieldPosition="0">
        <references count="1">
          <reference field="4294967294" count="1" selected="0">
            <x v="1"/>
          </reference>
        </references>
      </pivotArea>
    </format>
    <format dxfId="19">
      <pivotArea collapsedLevelsAreSubtotals="1" fieldPosition="0">
        <references count="1">
          <reference field="1" count="1">
            <x v="5"/>
          </reference>
        </references>
      </pivotArea>
    </format>
    <format dxfId="18">
      <pivotArea dataOnly="0" labelOnly="1" fieldPosition="0">
        <references count="1">
          <reference field="1" count="1">
            <x v="5"/>
          </reference>
        </references>
      </pivotArea>
    </format>
    <format dxfId="17">
      <pivotArea collapsedLevelsAreSubtotals="1" fieldPosition="0">
        <references count="1">
          <reference field="1" count="1">
            <x v="8"/>
          </reference>
        </references>
      </pivotArea>
    </format>
    <format dxfId="16">
      <pivotArea dataOnly="0" labelOnly="1" fieldPosition="0">
        <references count="1">
          <reference field="1"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数据透视表3" cacheId="10" applyNumberFormats="0" applyBorderFormats="0" applyFontFormats="0" applyPatternFormats="0" applyAlignmentFormats="0" applyWidthHeightFormats="1" dataCaption="值" updatedVersion="8" minRefreshableVersion="3" useAutoFormatting="1" colGrandTotals="0" itemPrintTitles="1" createdVersion="8" indent="0" outline="1" outlineData="1" multipleFieldFilters="0">
  <location ref="E5:M18" firstHeaderRow="1" firstDataRow="2" firstDataCol="1"/>
  <pivotFields count="32">
    <pivotField showAll="0"/>
    <pivotField axis="axisRow" showAll="0">
      <items count="13">
        <item x="1"/>
        <item x="10"/>
        <item x="5"/>
        <item x="9"/>
        <item x="3"/>
        <item x="0"/>
        <item x="8"/>
        <item m="1" x="11"/>
        <item x="6"/>
        <item x="2"/>
        <item x="4"/>
        <item x="7"/>
        <item t="default"/>
      </items>
    </pivotField>
    <pivotField showAll="0"/>
    <pivotField showAll="0"/>
    <pivotField showAll="0"/>
    <pivotField numFmtId="183" showAll="0"/>
    <pivotField showAll="0"/>
    <pivotField showAll="0"/>
    <pivotField showAll="0"/>
    <pivotField axis="axisCol" showAll="0">
      <items count="13">
        <item x="1"/>
        <item x="5"/>
        <item m="1" x="9"/>
        <item x="0"/>
        <item m="1" x="11"/>
        <item x="7"/>
        <item x="4"/>
        <item x="6"/>
        <item m="1" x="10"/>
        <item x="3"/>
        <item x="2"/>
        <item m="1" x="8"/>
        <item t="default"/>
      </items>
    </pivotField>
    <pivotField showAll="0"/>
    <pivotField numFmtId="183" showAll="0"/>
    <pivotField showAll="0"/>
    <pivotField showAll="0"/>
    <pivotField showAll="0"/>
    <pivotField dataField="1" numFmtId="184" showAll="0"/>
    <pivotField showAll="0"/>
    <pivotField showAll="0"/>
    <pivotField showAll="0"/>
    <pivotField showAll="0"/>
    <pivotField showAll="0"/>
    <pivotField showAll="0"/>
    <pivotField showAll="0"/>
    <pivotField numFmtId="176" showAll="0"/>
    <pivotField numFmtId="176" showAll="0"/>
    <pivotField numFmtId="176" showAll="0"/>
    <pivotField numFmtId="176" showAll="0"/>
    <pivotField numFmtId="183" showAll="0"/>
    <pivotField numFmtId="183" showAll="0"/>
    <pivotField numFmtId="183" showAll="0"/>
    <pivotField numFmtId="183" showAll="0"/>
    <pivotField numFmtId="183" showAll="0"/>
  </pivotFields>
  <rowFields count="1">
    <field x="1"/>
  </rowFields>
  <rowItems count="12">
    <i>
      <x/>
    </i>
    <i>
      <x v="1"/>
    </i>
    <i>
      <x v="2"/>
    </i>
    <i>
      <x v="3"/>
    </i>
    <i>
      <x v="4"/>
    </i>
    <i>
      <x v="5"/>
    </i>
    <i>
      <x v="6"/>
    </i>
    <i>
      <x v="8"/>
    </i>
    <i>
      <x v="9"/>
    </i>
    <i>
      <x v="10"/>
    </i>
    <i>
      <x v="11"/>
    </i>
    <i t="grand">
      <x/>
    </i>
  </rowItems>
  <colFields count="1">
    <field x="9"/>
  </colFields>
  <colItems count="8">
    <i>
      <x/>
    </i>
    <i>
      <x v="1"/>
    </i>
    <i>
      <x v="3"/>
    </i>
    <i>
      <x v="5"/>
    </i>
    <i>
      <x v="6"/>
    </i>
    <i>
      <x v="7"/>
    </i>
    <i>
      <x v="9"/>
    </i>
    <i>
      <x v="10"/>
    </i>
  </colItems>
  <dataFields count="1">
    <dataField name="求和项:FTE" fld="15" showDataAs="percentOfCol" baseField="1" baseItem="3" numFmtId="9"/>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49" dT="2026-02-20T08:57:06.97" personId="{415906EE-136B-4456-9AC1-92CA13568F45}" id="{A0EB5988-3234-4EDC-9FF3-BFED299AA2BC}">
    <text>Adjust from 30 to 60</text>
  </threadedComment>
  <threadedComment ref="M52" dT="2026-02-20T08:56:18.93" personId="{415906EE-136B-4456-9AC1-92CA13568F45}" id="{23D05D92-4D1C-4957-B729-5F11B16FE653}">
    <text>Adjust from 120 to 240</text>
  </threadedComment>
  <threadedComment ref="M79" dT="2026-02-20T07:55:26.20" personId="{415906EE-136B-4456-9AC1-92CA13568F45}" id="{2103944B-87C8-48A2-B67E-ACC0B6E5E7F5}">
    <text>Adjust from 3 to 8</text>
  </threadedComment>
  <threadedComment ref="M96" dT="2026-02-20T08:20:20.63" personId="{415906EE-136B-4456-9AC1-92CA13568F45}" id="{89B9BCCB-20D5-4C5E-B2B8-9764F56614F9}">
    <text>Adjust from 5 to 15</text>
  </threadedComment>
  <threadedComment ref="M105" dT="2026-02-20T07:53:59.83" personId="{415906EE-136B-4456-9AC1-92CA13568F45}" id="{0621C05B-3789-4BE7-9BDF-DF1B4512173B}">
    <text>Adjust from 5 to 10</text>
  </threadedComment>
  <threadedComment ref="M141" dT="2026-02-20T07:23:31.50" personId="{415906EE-136B-4456-9AC1-92CA13568F45}" id="{53E7C407-4B3E-4D19-A28F-1F99DC8929DE}">
    <text>Adjust from 180 to 120</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workbookViewId="0">
      <selection activeCell="A18" sqref="A18:G25"/>
    </sheetView>
  </sheetViews>
  <sheetFormatPr defaultColWidth="11.46484375" defaultRowHeight="12.75"/>
  <cols>
    <col min="1" max="1" width="11.46484375" style="1"/>
    <col min="2" max="2" width="13.46484375" style="1" bestFit="1" customWidth="1"/>
    <col min="3" max="6" width="11.46484375" style="1"/>
    <col min="7" max="7" width="18.265625" style="1" customWidth="1"/>
    <col min="8" max="16384" width="11.46484375" style="1"/>
  </cols>
  <sheetData>
    <row r="1" spans="1:7" ht="25.05" customHeight="1">
      <c r="A1" s="754"/>
      <c r="B1" s="754"/>
      <c r="C1" s="754"/>
      <c r="D1" s="754"/>
      <c r="E1" s="754"/>
      <c r="F1" s="754"/>
      <c r="G1" s="754"/>
    </row>
    <row r="2" spans="1:7" ht="25.05" customHeight="1">
      <c r="A2" s="755"/>
      <c r="B2" s="755"/>
      <c r="C2" s="755"/>
      <c r="D2" s="755"/>
      <c r="E2" s="755"/>
      <c r="F2" s="755"/>
      <c r="G2" s="755"/>
    </row>
    <row r="3" spans="1:7" ht="10.5" customHeight="1">
      <c r="A3" s="755"/>
      <c r="B3" s="755"/>
      <c r="C3" s="755"/>
      <c r="D3" s="755"/>
      <c r="E3" s="755"/>
      <c r="F3" s="755"/>
      <c r="G3" s="755"/>
    </row>
    <row r="4" spans="1:7" ht="8.25" customHeight="1">
      <c r="A4" s="755"/>
      <c r="B4" s="755"/>
      <c r="C4" s="755"/>
      <c r="D4" s="755"/>
      <c r="E4" s="755"/>
      <c r="F4" s="755"/>
      <c r="G4" s="755"/>
    </row>
    <row r="5" spans="1:7" ht="25.05" customHeight="1">
      <c r="A5" s="755"/>
      <c r="B5" s="755"/>
      <c r="C5" s="755"/>
      <c r="D5" s="755"/>
      <c r="E5" s="755"/>
      <c r="F5" s="755"/>
      <c r="G5" s="755"/>
    </row>
    <row r="6" spans="1:7" ht="32.25">
      <c r="A6" s="756" t="s">
        <v>18</v>
      </c>
      <c r="B6" s="756"/>
      <c r="C6" s="756"/>
      <c r="D6" s="756"/>
      <c r="E6" s="756"/>
      <c r="F6" s="756"/>
      <c r="G6" s="756"/>
    </row>
    <row r="7" spans="1:7" s="2" customFormat="1" ht="13.5">
      <c r="A7" s="758"/>
      <c r="B7" s="758"/>
      <c r="C7" s="758"/>
      <c r="D7" s="758"/>
      <c r="E7" s="758"/>
      <c r="F7" s="758"/>
      <c r="G7" s="758"/>
    </row>
    <row r="8" spans="1:7" ht="32.25">
      <c r="A8" s="757" t="s">
        <v>8</v>
      </c>
      <c r="B8" s="757"/>
      <c r="C8" s="757"/>
      <c r="D8" s="757"/>
      <c r="E8" s="757"/>
      <c r="F8" s="757"/>
      <c r="G8" s="757"/>
    </row>
    <row r="9" spans="1:7" s="3" customFormat="1" ht="34.5" customHeight="1">
      <c r="A9" s="760"/>
      <c r="B9" s="760"/>
      <c r="C9" s="760"/>
      <c r="D9" s="760"/>
      <c r="E9" s="760"/>
      <c r="F9" s="760"/>
      <c r="G9" s="760"/>
    </row>
    <row r="10" spans="1:7" ht="22.5">
      <c r="A10" s="761" t="s">
        <v>5</v>
      </c>
      <c r="B10" s="761"/>
      <c r="C10" s="761"/>
      <c r="D10" s="761"/>
      <c r="E10" s="761"/>
      <c r="F10" s="761"/>
      <c r="G10" s="761"/>
    </row>
    <row r="11" spans="1:7" s="4" customFormat="1" ht="7.5" customHeight="1">
      <c r="A11" s="763"/>
      <c r="B11" s="763"/>
      <c r="C11" s="763"/>
      <c r="D11" s="763"/>
      <c r="E11" s="763"/>
      <c r="F11" s="763"/>
      <c r="G11" s="763"/>
    </row>
    <row r="12" spans="1:7" ht="22.5">
      <c r="A12" s="761" t="s">
        <v>20</v>
      </c>
      <c r="B12" s="761"/>
      <c r="C12" s="761"/>
      <c r="D12" s="761"/>
      <c r="E12" s="761"/>
      <c r="F12" s="761"/>
      <c r="G12" s="761"/>
    </row>
    <row r="13" spans="1:7" s="4" customFormat="1" ht="7.5" customHeight="1">
      <c r="A13" s="763"/>
      <c r="B13" s="763"/>
      <c r="C13" s="763"/>
      <c r="D13" s="763"/>
      <c r="E13" s="763"/>
      <c r="F13" s="763"/>
      <c r="G13" s="763"/>
    </row>
    <row r="14" spans="1:7" ht="22.5">
      <c r="A14" s="761" t="s">
        <v>6</v>
      </c>
      <c r="B14" s="761"/>
      <c r="C14" s="761"/>
      <c r="D14" s="761"/>
      <c r="E14" s="761"/>
      <c r="F14" s="761"/>
      <c r="G14" s="761"/>
    </row>
    <row r="15" spans="1:7" ht="17.649999999999999">
      <c r="A15" s="762"/>
      <c r="B15" s="762"/>
      <c r="C15" s="762"/>
      <c r="D15" s="762"/>
      <c r="E15" s="762"/>
      <c r="F15" s="762"/>
      <c r="G15" s="762"/>
    </row>
    <row r="16" spans="1:7" ht="15" customHeight="1">
      <c r="A16" s="5"/>
    </row>
    <row r="17" spans="1:7" ht="15" customHeight="1">
      <c r="A17" s="5" t="s">
        <v>7</v>
      </c>
    </row>
    <row r="18" spans="1:7" ht="15" customHeight="1">
      <c r="A18" s="759" t="s">
        <v>17</v>
      </c>
      <c r="B18" s="759"/>
      <c r="C18" s="759"/>
      <c r="D18" s="759"/>
      <c r="E18" s="759"/>
      <c r="F18" s="759"/>
      <c r="G18" s="759"/>
    </row>
    <row r="19" spans="1:7" ht="12.75" customHeight="1">
      <c r="A19" s="759"/>
      <c r="B19" s="759"/>
      <c r="C19" s="759"/>
      <c r="D19" s="759"/>
      <c r="E19" s="759"/>
      <c r="F19" s="759"/>
      <c r="G19" s="759"/>
    </row>
    <row r="20" spans="1:7" ht="12.75" customHeight="1">
      <c r="A20" s="759"/>
      <c r="B20" s="759"/>
      <c r="C20" s="759"/>
      <c r="D20" s="759"/>
      <c r="E20" s="759"/>
      <c r="F20" s="759"/>
      <c r="G20" s="759"/>
    </row>
    <row r="21" spans="1:7" ht="12.75" customHeight="1">
      <c r="A21" s="759"/>
      <c r="B21" s="759"/>
      <c r="C21" s="759"/>
      <c r="D21" s="759"/>
      <c r="E21" s="759"/>
      <c r="F21" s="759"/>
      <c r="G21" s="759"/>
    </row>
    <row r="22" spans="1:7" ht="12.75" customHeight="1">
      <c r="A22" s="759"/>
      <c r="B22" s="759"/>
      <c r="C22" s="759"/>
      <c r="D22" s="759"/>
      <c r="E22" s="759"/>
      <c r="F22" s="759"/>
      <c r="G22" s="759"/>
    </row>
    <row r="23" spans="1:7" ht="12.75" customHeight="1">
      <c r="A23" s="759"/>
      <c r="B23" s="759"/>
      <c r="C23" s="759"/>
      <c r="D23" s="759"/>
      <c r="E23" s="759"/>
      <c r="F23" s="759"/>
      <c r="G23" s="759"/>
    </row>
    <row r="24" spans="1:7" ht="12.75" customHeight="1">
      <c r="A24" s="759"/>
      <c r="B24" s="759"/>
      <c r="C24" s="759"/>
      <c r="D24" s="759"/>
      <c r="E24" s="759"/>
      <c r="F24" s="759"/>
      <c r="G24" s="759"/>
    </row>
    <row r="25" spans="1:7" ht="12.75" customHeight="1">
      <c r="A25" s="759"/>
      <c r="B25" s="759"/>
      <c r="C25" s="759"/>
      <c r="D25" s="759"/>
      <c r="E25" s="759"/>
      <c r="F25" s="759"/>
      <c r="G25" s="759"/>
    </row>
    <row r="26" spans="1:7" ht="12.75" customHeight="1">
      <c r="A26" s="6"/>
      <c r="B26" s="6"/>
      <c r="C26" s="6"/>
      <c r="D26" s="6"/>
      <c r="E26" s="6"/>
      <c r="F26" s="6"/>
      <c r="G26" s="6"/>
    </row>
    <row r="27" spans="1:7" ht="12.75" customHeight="1">
      <c r="A27" s="6"/>
      <c r="B27" s="6"/>
      <c r="C27" s="6"/>
      <c r="D27" s="6"/>
      <c r="E27" s="6"/>
      <c r="F27" s="6"/>
      <c r="G27" s="6"/>
    </row>
    <row r="28" spans="1:7" ht="12.75" customHeight="1">
      <c r="A28" s="6"/>
      <c r="B28" s="6"/>
      <c r="C28" s="6"/>
      <c r="D28" s="6"/>
      <c r="E28" s="6"/>
      <c r="F28" s="6"/>
      <c r="G28" s="6"/>
    </row>
    <row r="29" spans="1:7" ht="12.75" customHeight="1">
      <c r="A29" s="6"/>
      <c r="B29" s="6"/>
      <c r="C29" s="6"/>
      <c r="D29" s="6"/>
      <c r="E29" s="6"/>
      <c r="F29" s="6"/>
      <c r="G29" s="6"/>
    </row>
    <row r="30" spans="1:7" ht="12.75" customHeight="1">
      <c r="A30" s="6"/>
      <c r="B30" s="6"/>
      <c r="C30" s="6"/>
      <c r="D30" s="6"/>
      <c r="E30" s="6"/>
      <c r="F30" s="6"/>
      <c r="G30" s="6"/>
    </row>
    <row r="31" spans="1:7" ht="12.75" customHeight="1">
      <c r="A31" s="6"/>
      <c r="B31" s="6"/>
      <c r="C31" s="6"/>
      <c r="D31" s="6"/>
      <c r="E31" s="6"/>
      <c r="F31" s="6"/>
      <c r="G31" s="6"/>
    </row>
  </sheetData>
  <mergeCells count="16">
    <mergeCell ref="A18:G25"/>
    <mergeCell ref="A9:G9"/>
    <mergeCell ref="A12:G12"/>
    <mergeCell ref="A15:G15"/>
    <mergeCell ref="A11:G11"/>
    <mergeCell ref="A13:G13"/>
    <mergeCell ref="A14:G14"/>
    <mergeCell ref="A10:G10"/>
    <mergeCell ref="A1:G1"/>
    <mergeCell ref="A5:G5"/>
    <mergeCell ref="A6:G6"/>
    <mergeCell ref="A8:G8"/>
    <mergeCell ref="A4:G4"/>
    <mergeCell ref="A3:G3"/>
    <mergeCell ref="A2:G2"/>
    <mergeCell ref="A7:G7"/>
  </mergeCells>
  <phoneticPr fontId="0" type="noConversion"/>
  <pageMargins left="0.70866141732283505" right="0.70866141732283505" top="0.78740157480314998" bottom="0.66929133858267698" header="0.511811023622047" footer="0.47244094488188998"/>
  <pageSetup paperSize="9" orientation="portrait" r:id="rId1"/>
  <headerFooter alignWithMargins="0">
    <oddHeader>&amp;L&amp;"BMWTypeLight,Regular"&amp;14BMW Brilliance Automotive Ltd.&amp;R&amp;"BMWTypeLight,Regular"&amp;12Volume Information Ningbo</oddHeader>
    <oddFooter>&amp;L&amp;"BMWTypeRegular,Regular"&amp;8BBS-A-3 / November 2020&amp;C&amp;"BMWTypeRegular,Regular"&amp;8Page &amp;P of &amp;N&amp;R&amp;"BMWTypeRegular,Regular"&amp;8&amp;F</oddFooter>
  </headerFooter>
  <rowBreaks count="1" manualBreakCount="1">
    <brk id="15" max="16383" man="1"/>
  </rowBreak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2"/>
  <sheetViews>
    <sheetView showGridLines="0" topLeftCell="C1" zoomScale="80" zoomScaleNormal="80" workbookViewId="0">
      <selection activeCell="H8" sqref="G8:H8"/>
    </sheetView>
  </sheetViews>
  <sheetFormatPr defaultColWidth="9.06640625" defaultRowHeight="13.5"/>
  <cols>
    <col min="1" max="1" width="3.265625" style="634" customWidth="1"/>
    <col min="2" max="2" width="43.73046875" style="634" customWidth="1"/>
    <col min="3" max="3" width="15.73046875" style="634" customWidth="1"/>
    <col min="4" max="4" width="95.33203125" style="634" customWidth="1"/>
    <col min="5" max="5" width="56.59765625" style="634" customWidth="1"/>
    <col min="6" max="6" width="16.46484375" style="634" bestFit="1" customWidth="1"/>
    <col min="7" max="7" width="45.06640625" style="634" customWidth="1"/>
    <col min="8" max="8" width="45.796875" style="634" customWidth="1"/>
    <col min="9" max="16384" width="9.06640625" style="634"/>
  </cols>
  <sheetData>
    <row r="1" spans="1:8" s="631" customFormat="1">
      <c r="A1" s="630" t="s">
        <v>798</v>
      </c>
      <c r="B1" s="630" t="s">
        <v>799</v>
      </c>
      <c r="C1" s="630" t="s">
        <v>800</v>
      </c>
      <c r="D1" s="630" t="s">
        <v>801</v>
      </c>
      <c r="E1" s="630" t="s">
        <v>802</v>
      </c>
      <c r="F1" s="630" t="s">
        <v>803</v>
      </c>
      <c r="G1" s="630" t="s">
        <v>804</v>
      </c>
    </row>
    <row r="2" spans="1:8">
      <c r="A2" s="632">
        <v>1</v>
      </c>
      <c r="B2" s="633" t="s">
        <v>805</v>
      </c>
      <c r="C2" s="632" t="s">
        <v>806</v>
      </c>
      <c r="D2" s="633" t="s">
        <v>807</v>
      </c>
      <c r="E2" s="632" t="s">
        <v>808</v>
      </c>
      <c r="F2" s="632"/>
      <c r="G2" s="632"/>
    </row>
    <row r="3" spans="1:8" ht="81">
      <c r="A3" s="632">
        <v>2</v>
      </c>
      <c r="B3" s="633" t="s">
        <v>805</v>
      </c>
      <c r="C3" s="632" t="s">
        <v>806</v>
      </c>
      <c r="D3" s="633" t="s">
        <v>809</v>
      </c>
      <c r="E3" s="632" t="s">
        <v>808</v>
      </c>
      <c r="F3" s="632" t="s">
        <v>808</v>
      </c>
      <c r="G3" s="635" t="s">
        <v>810</v>
      </c>
    </row>
    <row r="4" spans="1:8" ht="30.4" customHeight="1">
      <c r="A4" s="632">
        <v>3</v>
      </c>
      <c r="B4" s="633" t="s">
        <v>805</v>
      </c>
      <c r="C4" s="632" t="s">
        <v>806</v>
      </c>
      <c r="D4" s="633" t="s">
        <v>811</v>
      </c>
      <c r="E4" s="632" t="s">
        <v>808</v>
      </c>
      <c r="F4" s="632" t="s">
        <v>808</v>
      </c>
      <c r="G4" s="632" t="s">
        <v>960</v>
      </c>
    </row>
    <row r="5" spans="1:8">
      <c r="A5" s="632">
        <v>4</v>
      </c>
      <c r="B5" s="633" t="s">
        <v>805</v>
      </c>
      <c r="C5" s="632" t="s">
        <v>806</v>
      </c>
      <c r="D5" s="633" t="s">
        <v>812</v>
      </c>
      <c r="E5" s="632"/>
      <c r="F5" s="632"/>
      <c r="G5" s="636">
        <v>0.05</v>
      </c>
    </row>
    <row r="6" spans="1:8">
      <c r="A6" s="632">
        <v>5</v>
      </c>
      <c r="B6" s="633" t="s">
        <v>813</v>
      </c>
      <c r="C6" s="632"/>
      <c r="D6" s="633" t="s">
        <v>814</v>
      </c>
      <c r="E6" s="632"/>
      <c r="F6" s="632"/>
      <c r="G6" s="632" t="s">
        <v>961</v>
      </c>
    </row>
    <row r="7" spans="1:8" ht="40.5">
      <c r="A7" s="632">
        <v>6</v>
      </c>
      <c r="B7" s="633" t="s">
        <v>815</v>
      </c>
      <c r="C7" s="632" t="s">
        <v>816</v>
      </c>
      <c r="D7" s="633" t="s">
        <v>817</v>
      </c>
      <c r="E7" s="632" t="s">
        <v>808</v>
      </c>
      <c r="F7" s="632"/>
      <c r="G7" s="632"/>
      <c r="H7" s="637" t="s">
        <v>818</v>
      </c>
    </row>
    <row r="8" spans="1:8" ht="170.25" customHeight="1">
      <c r="A8" s="632">
        <v>7</v>
      </c>
      <c r="B8" s="633" t="s">
        <v>813</v>
      </c>
      <c r="C8" s="632" t="s">
        <v>816</v>
      </c>
      <c r="D8" s="633" t="s">
        <v>819</v>
      </c>
      <c r="E8" s="632" t="s">
        <v>808</v>
      </c>
      <c r="F8" s="632"/>
      <c r="G8" s="635" t="s">
        <v>820</v>
      </c>
    </row>
    <row r="9" spans="1:8">
      <c r="A9" s="632">
        <v>8</v>
      </c>
      <c r="B9" s="633" t="s">
        <v>813</v>
      </c>
      <c r="C9" s="632" t="s">
        <v>816</v>
      </c>
      <c r="D9" s="633" t="s">
        <v>821</v>
      </c>
      <c r="E9" s="632"/>
      <c r="F9" s="632"/>
      <c r="G9" s="635" t="s">
        <v>822</v>
      </c>
    </row>
    <row r="10" spans="1:8" ht="27">
      <c r="A10" s="632">
        <v>9</v>
      </c>
      <c r="B10" s="633" t="s">
        <v>813</v>
      </c>
      <c r="C10" s="632" t="s">
        <v>816</v>
      </c>
      <c r="D10" s="633" t="s">
        <v>823</v>
      </c>
      <c r="E10" s="632" t="s">
        <v>808</v>
      </c>
      <c r="F10" s="632"/>
      <c r="G10" s="632"/>
    </row>
    <row r="11" spans="1:8">
      <c r="A11" s="632">
        <v>10</v>
      </c>
      <c r="B11" s="633" t="s">
        <v>813</v>
      </c>
      <c r="C11" s="632" t="s">
        <v>824</v>
      </c>
      <c r="D11" s="633" t="s">
        <v>825</v>
      </c>
      <c r="E11" s="632" t="s">
        <v>808</v>
      </c>
      <c r="F11" s="632"/>
      <c r="G11" s="632"/>
    </row>
    <row r="12" spans="1:8" ht="27">
      <c r="A12" s="632">
        <v>11</v>
      </c>
      <c r="B12" s="633" t="s">
        <v>826</v>
      </c>
      <c r="C12" s="632" t="s">
        <v>824</v>
      </c>
      <c r="D12" s="633" t="s">
        <v>827</v>
      </c>
      <c r="E12" s="632" t="s">
        <v>808</v>
      </c>
      <c r="F12" s="632"/>
      <c r="G12" s="632"/>
    </row>
    <row r="13" spans="1:8" ht="27">
      <c r="A13" s="632">
        <v>12</v>
      </c>
      <c r="B13" s="633" t="s">
        <v>826</v>
      </c>
      <c r="C13" s="632" t="s">
        <v>824</v>
      </c>
      <c r="D13" s="633" t="s">
        <v>828</v>
      </c>
      <c r="E13" s="632" t="s">
        <v>808</v>
      </c>
      <c r="F13" s="632"/>
      <c r="G13" s="632"/>
    </row>
    <row r="14" spans="1:8" ht="54">
      <c r="A14" s="632">
        <v>13</v>
      </c>
      <c r="B14" s="633" t="s">
        <v>813</v>
      </c>
      <c r="C14" s="632" t="s">
        <v>824</v>
      </c>
      <c r="D14" s="633" t="s">
        <v>829</v>
      </c>
      <c r="E14" s="632" t="s">
        <v>808</v>
      </c>
      <c r="F14" s="632"/>
      <c r="G14" s="635" t="s">
        <v>830</v>
      </c>
    </row>
    <row r="15" spans="1:8" ht="54">
      <c r="A15" s="632">
        <v>14</v>
      </c>
      <c r="B15" s="633" t="s">
        <v>831</v>
      </c>
      <c r="C15" s="632"/>
      <c r="D15" s="638" t="s">
        <v>832</v>
      </c>
      <c r="E15" s="632"/>
      <c r="F15" s="632" t="s">
        <v>808</v>
      </c>
      <c r="G15" s="635" t="s">
        <v>833</v>
      </c>
    </row>
    <row r="16" spans="1:8" ht="54">
      <c r="A16" s="632">
        <v>15</v>
      </c>
      <c r="B16" s="633" t="s">
        <v>831</v>
      </c>
      <c r="C16" s="632"/>
      <c r="D16" s="633" t="s">
        <v>834</v>
      </c>
      <c r="E16" s="632"/>
      <c r="F16" s="632" t="s">
        <v>808</v>
      </c>
      <c r="G16" s="635" t="s">
        <v>835</v>
      </c>
    </row>
    <row r="17" spans="1:8" ht="40.5">
      <c r="A17" s="632">
        <v>16</v>
      </c>
      <c r="B17" s="633" t="s">
        <v>831</v>
      </c>
      <c r="C17" s="632"/>
      <c r="D17" s="633" t="s">
        <v>836</v>
      </c>
      <c r="E17" s="632"/>
      <c r="F17" s="632" t="s">
        <v>808</v>
      </c>
      <c r="G17" s="632" t="s">
        <v>962</v>
      </c>
    </row>
    <row r="18" spans="1:8" ht="27">
      <c r="A18" s="632">
        <v>17</v>
      </c>
      <c r="B18" s="633" t="s">
        <v>831</v>
      </c>
      <c r="C18" s="632"/>
      <c r="D18" s="633" t="s">
        <v>837</v>
      </c>
      <c r="E18" s="632"/>
      <c r="F18" s="632" t="s">
        <v>808</v>
      </c>
      <c r="G18" s="632"/>
    </row>
    <row r="19" spans="1:8" ht="108">
      <c r="A19" s="632">
        <v>18</v>
      </c>
      <c r="B19" s="633" t="s">
        <v>831</v>
      </c>
      <c r="C19" s="632"/>
      <c r="D19" s="633" t="s">
        <v>838</v>
      </c>
      <c r="E19" s="632" t="s">
        <v>808</v>
      </c>
      <c r="F19" s="632" t="s">
        <v>808</v>
      </c>
      <c r="G19" s="633" t="s">
        <v>963</v>
      </c>
    </row>
    <row r="20" spans="1:8" ht="27">
      <c r="A20" s="632">
        <v>19</v>
      </c>
      <c r="B20" s="633" t="s">
        <v>831</v>
      </c>
      <c r="C20" s="632"/>
      <c r="D20" s="633" t="s">
        <v>839</v>
      </c>
      <c r="E20" s="632" t="s">
        <v>808</v>
      </c>
      <c r="F20" s="632"/>
      <c r="G20" s="635" t="s">
        <v>840</v>
      </c>
    </row>
    <row r="21" spans="1:8" ht="27">
      <c r="A21" s="632">
        <v>20</v>
      </c>
      <c r="B21" s="633" t="s">
        <v>831</v>
      </c>
      <c r="C21" s="632"/>
      <c r="D21" s="633" t="s">
        <v>841</v>
      </c>
      <c r="E21" s="632" t="s">
        <v>808</v>
      </c>
      <c r="F21" s="632"/>
      <c r="G21" s="632"/>
    </row>
    <row r="22" spans="1:8">
      <c r="A22" s="632">
        <v>21</v>
      </c>
      <c r="B22" s="633" t="s">
        <v>842</v>
      </c>
      <c r="C22" s="632"/>
      <c r="D22" s="633" t="s">
        <v>843</v>
      </c>
      <c r="E22" s="632" t="s">
        <v>808</v>
      </c>
      <c r="F22" s="632" t="s">
        <v>808</v>
      </c>
      <c r="G22" s="632" t="s">
        <v>964</v>
      </c>
      <c r="H22" s="666" t="s">
        <v>965</v>
      </c>
    </row>
    <row r="23" spans="1:8">
      <c r="A23" s="632">
        <v>22</v>
      </c>
      <c r="B23" s="633" t="s">
        <v>842</v>
      </c>
      <c r="C23" s="632"/>
      <c r="D23" s="633" t="s">
        <v>844</v>
      </c>
      <c r="E23" s="632" t="s">
        <v>808</v>
      </c>
      <c r="F23" s="632" t="s">
        <v>808</v>
      </c>
      <c r="G23" s="632" t="s">
        <v>964</v>
      </c>
    </row>
    <row r="24" spans="1:8" ht="94.5">
      <c r="A24" s="632">
        <v>23</v>
      </c>
      <c r="B24" s="633" t="s">
        <v>845</v>
      </c>
      <c r="C24" s="632"/>
      <c r="D24" s="633" t="s">
        <v>846</v>
      </c>
      <c r="E24" s="632" t="s">
        <v>808</v>
      </c>
      <c r="F24" s="632"/>
      <c r="G24" s="635" t="s">
        <v>847</v>
      </c>
    </row>
    <row r="25" spans="1:8" ht="27">
      <c r="A25" s="632">
        <v>24</v>
      </c>
      <c r="B25" s="633" t="s">
        <v>848</v>
      </c>
      <c r="C25" s="632"/>
      <c r="D25" s="633" t="s">
        <v>849</v>
      </c>
      <c r="E25" s="632"/>
      <c r="F25" s="632"/>
      <c r="G25" s="632"/>
    </row>
    <row r="26" spans="1:8" ht="30" customHeight="1">
      <c r="A26" s="632">
        <v>25</v>
      </c>
      <c r="B26" s="632" t="s">
        <v>826</v>
      </c>
      <c r="C26" s="632" t="s">
        <v>850</v>
      </c>
      <c r="D26" s="632" t="s">
        <v>851</v>
      </c>
      <c r="E26" s="632" t="s">
        <v>808</v>
      </c>
      <c r="F26" s="632"/>
      <c r="G26" s="632" t="s">
        <v>966</v>
      </c>
    </row>
    <row r="27" spans="1:8">
      <c r="C27" s="632" t="s">
        <v>968</v>
      </c>
      <c r="D27" s="632" t="s">
        <v>969</v>
      </c>
      <c r="E27" s="632" t="s">
        <v>970</v>
      </c>
      <c r="F27" s="632"/>
      <c r="G27" s="632" t="s">
        <v>967</v>
      </c>
    </row>
    <row r="28" spans="1:8">
      <c r="D28" s="632"/>
      <c r="E28" s="632"/>
    </row>
    <row r="29" spans="1:8" ht="51">
      <c r="D29" s="639" t="s">
        <v>852</v>
      </c>
      <c r="E29" s="640" t="s">
        <v>853</v>
      </c>
    </row>
    <row r="30" spans="1:8">
      <c r="D30" s="639" t="s">
        <v>854</v>
      </c>
      <c r="E30" s="640" t="s">
        <v>855</v>
      </c>
    </row>
    <row r="31" spans="1:8" ht="17.25" customHeight="1">
      <c r="D31" s="639" t="s">
        <v>856</v>
      </c>
      <c r="E31" s="640" t="s">
        <v>857</v>
      </c>
    </row>
    <row r="32" spans="1:8" ht="17.25" customHeight="1">
      <c r="D32" s="641" t="s">
        <v>858</v>
      </c>
      <c r="E32" s="640">
        <v>2.4</v>
      </c>
    </row>
    <row r="33" spans="4:5" ht="17.25" customHeight="1">
      <c r="D33" s="641" t="s">
        <v>859</v>
      </c>
      <c r="E33" s="640">
        <v>5</v>
      </c>
    </row>
    <row r="34" spans="4:5">
      <c r="D34" s="639" t="s">
        <v>860</v>
      </c>
      <c r="E34" s="640" t="s">
        <v>861</v>
      </c>
    </row>
    <row r="35" spans="4:5">
      <c r="D35" s="639" t="s">
        <v>862</v>
      </c>
      <c r="E35" s="640" t="s">
        <v>863</v>
      </c>
    </row>
    <row r="36" spans="4:5" ht="25.5">
      <c r="D36" s="639" t="s">
        <v>864</v>
      </c>
      <c r="E36" s="640" t="s">
        <v>865</v>
      </c>
    </row>
    <row r="37" spans="4:5" ht="408">
      <c r="D37" s="642" t="s">
        <v>866</v>
      </c>
      <c r="E37" s="640" t="s">
        <v>867</v>
      </c>
    </row>
    <row r="38" spans="4:5">
      <c r="D38" s="642" t="s">
        <v>868</v>
      </c>
      <c r="E38" s="640" t="s">
        <v>869</v>
      </c>
    </row>
    <row r="39" spans="4:5">
      <c r="D39" s="641" t="s">
        <v>870</v>
      </c>
      <c r="E39" s="640" t="s">
        <v>871</v>
      </c>
    </row>
    <row r="40" spans="4:5" ht="57.75" customHeight="1">
      <c r="D40" s="639" t="s">
        <v>872</v>
      </c>
      <c r="E40" s="640" t="s">
        <v>873</v>
      </c>
    </row>
    <row r="41" spans="4:5" ht="25.5">
      <c r="D41" s="639" t="s">
        <v>874</v>
      </c>
      <c r="E41" s="640" t="s">
        <v>875</v>
      </c>
    </row>
    <row r="42" spans="4:5" ht="76.5">
      <c r="D42" s="639" t="s">
        <v>876</v>
      </c>
      <c r="E42" s="640" t="s">
        <v>877</v>
      </c>
    </row>
    <row r="43" spans="4:5" ht="25.5">
      <c r="D43" s="639" t="s">
        <v>878</v>
      </c>
      <c r="E43" s="640" t="s">
        <v>879</v>
      </c>
    </row>
    <row r="44" spans="4:5" ht="25.5">
      <c r="D44" s="639" t="s">
        <v>880</v>
      </c>
      <c r="E44" s="640" t="s">
        <v>881</v>
      </c>
    </row>
    <row r="45" spans="4:5" ht="26.65">
      <c r="D45" s="639" t="s">
        <v>882</v>
      </c>
      <c r="E45" s="640" t="s">
        <v>883</v>
      </c>
    </row>
    <row r="46" spans="4:5" ht="51">
      <c r="D46" s="639" t="s">
        <v>884</v>
      </c>
      <c r="E46" s="640" t="s">
        <v>885</v>
      </c>
    </row>
    <row r="47" spans="4:5" ht="25.5">
      <c r="D47" s="639" t="s">
        <v>886</v>
      </c>
      <c r="E47" s="640" t="s">
        <v>139</v>
      </c>
    </row>
    <row r="48" spans="4:5" ht="25.5">
      <c r="D48" s="639" t="s">
        <v>887</v>
      </c>
      <c r="E48" s="643" t="s">
        <v>888</v>
      </c>
    </row>
    <row r="49" spans="4:5" ht="25.5">
      <c r="D49" s="639" t="s">
        <v>889</v>
      </c>
      <c r="E49" s="640" t="s">
        <v>890</v>
      </c>
    </row>
    <row r="50" spans="4:5">
      <c r="D50" s="639" t="s">
        <v>891</v>
      </c>
      <c r="E50" s="640" t="s">
        <v>892</v>
      </c>
    </row>
    <row r="51" spans="4:5">
      <c r="D51" s="639" t="s">
        <v>893</v>
      </c>
      <c r="E51" s="640" t="s">
        <v>894</v>
      </c>
    </row>
    <row r="52" spans="4:5" ht="38.25">
      <c r="D52" s="639" t="s">
        <v>895</v>
      </c>
      <c r="E52" s="640" t="s">
        <v>896</v>
      </c>
    </row>
  </sheetData>
  <phoneticPr fontId="2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F95A8-EACC-4CDB-AB33-BCA6A35E2E1C}">
  <sheetPr>
    <tabColor rgb="FF00B050"/>
  </sheetPr>
  <dimension ref="A1:O49"/>
  <sheetViews>
    <sheetView topLeftCell="A6" zoomScale="90" zoomScaleNormal="90" workbookViewId="0">
      <selection activeCell="I27" sqref="I27"/>
    </sheetView>
  </sheetViews>
  <sheetFormatPr defaultRowHeight="12.75"/>
  <cols>
    <col min="1" max="1" width="34" customWidth="1"/>
    <col min="2" max="2" width="14.53125" customWidth="1"/>
    <col min="3" max="3" width="11.59765625" customWidth="1"/>
    <col min="4" max="4" width="14" bestFit="1" customWidth="1"/>
    <col min="5" max="5" width="11.796875" bestFit="1" customWidth="1"/>
    <col min="6" max="6" width="15.06640625" customWidth="1"/>
    <col min="7" max="7" width="15.73046875" customWidth="1"/>
    <col min="8" max="8" width="12.1328125" customWidth="1"/>
    <col min="9" max="9" width="13.265625" customWidth="1"/>
    <col min="10" max="10" width="13.9296875" customWidth="1"/>
    <col min="11" max="11" width="16.1328125" customWidth="1"/>
    <col min="12" max="12" width="16.33203125" customWidth="1"/>
    <col min="13" max="13" width="15.53125" customWidth="1"/>
    <col min="14" max="14" width="16.73046875" customWidth="1"/>
  </cols>
  <sheetData>
    <row r="1" spans="1:15" s="521" customFormat="1" ht="13.15">
      <c r="A1" s="521" t="s">
        <v>1083</v>
      </c>
    </row>
    <row r="2" spans="1:15">
      <c r="A2" s="694" t="s">
        <v>1085</v>
      </c>
    </row>
    <row r="3" spans="1:15">
      <c r="A3" s="694" t="s">
        <v>1086</v>
      </c>
    </row>
    <row r="4" spans="1:15">
      <c r="A4" s="694" t="s">
        <v>1087</v>
      </c>
      <c r="B4" s="694" t="s">
        <v>1084</v>
      </c>
    </row>
    <row r="5" spans="1:15" ht="13.15">
      <c r="A5" s="694" t="s">
        <v>1088</v>
      </c>
    </row>
    <row r="6" spans="1:15">
      <c r="A6" s="694"/>
    </row>
    <row r="7" spans="1:15" s="718" customFormat="1" ht="20.25" customHeight="1">
      <c r="B7" s="776" t="s">
        <v>1089</v>
      </c>
      <c r="C7" s="776"/>
      <c r="D7" s="776"/>
      <c r="E7" s="776"/>
      <c r="F7" s="778" t="s">
        <v>1038</v>
      </c>
      <c r="G7" s="778"/>
      <c r="H7" s="778"/>
      <c r="I7" s="778"/>
      <c r="J7" s="778"/>
      <c r="K7" s="778"/>
    </row>
    <row r="8" spans="1:15" s="719" customFormat="1" ht="43.15" customHeight="1">
      <c r="A8" s="720" t="s">
        <v>1028</v>
      </c>
      <c r="B8" s="721" t="s">
        <v>1039</v>
      </c>
      <c r="C8" s="721" t="s">
        <v>1045</v>
      </c>
      <c r="D8" s="720" t="s">
        <v>1031</v>
      </c>
      <c r="E8" s="721" t="s">
        <v>1037</v>
      </c>
      <c r="F8" s="721" t="s">
        <v>1078</v>
      </c>
      <c r="G8" s="721" t="s">
        <v>1079</v>
      </c>
      <c r="H8" s="721" t="s">
        <v>1045</v>
      </c>
      <c r="I8" s="720" t="s">
        <v>1031</v>
      </c>
      <c r="J8" s="721" t="s">
        <v>1080</v>
      </c>
      <c r="K8" s="721" t="s">
        <v>1081</v>
      </c>
      <c r="L8" s="721" t="s">
        <v>1090</v>
      </c>
      <c r="M8" s="738" t="s">
        <v>1043</v>
      </c>
      <c r="N8" s="738" t="s">
        <v>1044</v>
      </c>
    </row>
    <row r="9" spans="1:15">
      <c r="A9" s="722" t="s">
        <v>1030</v>
      </c>
      <c r="B9" s="723">
        <v>7</v>
      </c>
      <c r="C9" s="740">
        <f>B9/$B$15</f>
        <v>7.4468085106382975E-2</v>
      </c>
      <c r="D9" s="774">
        <v>1141</v>
      </c>
      <c r="E9" s="723">
        <v>17.7</v>
      </c>
      <c r="F9" s="727"/>
      <c r="G9" s="727">
        <f>SUM(Process!P2:P29)</f>
        <v>5.5178831175775134</v>
      </c>
      <c r="H9" s="740">
        <f>G9/$G$15</f>
        <v>0.15691622370203165</v>
      </c>
      <c r="I9" s="777">
        <f>Volume!B9/Parameter!$P$4</f>
        <v>750.5426621160409</v>
      </c>
      <c r="J9" s="727"/>
      <c r="K9" s="727">
        <f>I9/G9/Parameter!$P$6/Parameter!$P$7</f>
        <v>20.002946519076442</v>
      </c>
      <c r="L9" s="737">
        <f t="shared" ref="L9:L15" si="0">K9/E9</f>
        <v>1.1301099728291775</v>
      </c>
      <c r="M9" s="730"/>
      <c r="N9" s="729"/>
    </row>
    <row r="10" spans="1:15">
      <c r="A10" s="722" t="s">
        <v>1032</v>
      </c>
      <c r="B10" s="723">
        <v>11</v>
      </c>
      <c r="C10" s="740">
        <f>B10/$B$15</f>
        <v>0.11702127659574468</v>
      </c>
      <c r="D10" s="775"/>
      <c r="E10" s="723">
        <v>11.3</v>
      </c>
      <c r="F10" s="735">
        <v>5.5971971776965788</v>
      </c>
      <c r="G10" s="735">
        <f>SUM(Process!P30:P72)</f>
        <v>6.2944071612340204</v>
      </c>
      <c r="H10" s="740">
        <f>G10/$G$15</f>
        <v>0.17899882638642947</v>
      </c>
      <c r="I10" s="775"/>
      <c r="J10" s="735">
        <v>19.719498419535775</v>
      </c>
      <c r="K10" s="735">
        <f>I9/G10/Parameter!$P$6/Parameter!$P$7</f>
        <v>17.535236928934058</v>
      </c>
      <c r="L10" s="737">
        <f t="shared" si="0"/>
        <v>1.5517908786667307</v>
      </c>
      <c r="M10" s="730">
        <f>B10*9.2*($B$21*$B$20+(1-$B$21))</f>
        <v>70.839999999999989</v>
      </c>
      <c r="N10" s="739">
        <f>D9/M10</f>
        <v>16.106719367588934</v>
      </c>
      <c r="O10" s="733"/>
    </row>
    <row r="11" spans="1:15" ht="13.15">
      <c r="A11" s="724" t="s">
        <v>1033</v>
      </c>
      <c r="B11" s="724">
        <f>SUM(B9:B10)</f>
        <v>18</v>
      </c>
      <c r="C11" s="741">
        <f>SUM(C9:C10)</f>
        <v>0.19148936170212766</v>
      </c>
      <c r="D11" s="724" t="s">
        <v>763</v>
      </c>
      <c r="E11" s="724">
        <v>6.9</v>
      </c>
      <c r="F11" s="728"/>
      <c r="G11" s="728">
        <f>SUM(G9:G10)</f>
        <v>11.812290278811535</v>
      </c>
      <c r="H11" s="741">
        <f>SUM(H9:H10)</f>
        <v>0.33591505008846112</v>
      </c>
      <c r="I11" s="724" t="s">
        <v>763</v>
      </c>
      <c r="J11" s="728"/>
      <c r="K11" s="728">
        <f>I9/G11/Parameter!$P$6/Parameter!$P$7</f>
        <v>9.3439898863137998</v>
      </c>
      <c r="L11" s="737">
        <f t="shared" si="0"/>
        <v>1.3542014327991014</v>
      </c>
      <c r="N11" s="729"/>
      <c r="O11" s="729"/>
    </row>
    <row r="12" spans="1:15">
      <c r="A12" s="722" t="s">
        <v>1034</v>
      </c>
      <c r="B12" s="723">
        <v>47</v>
      </c>
      <c r="C12" s="740">
        <f>B12/$B$15</f>
        <v>0.5</v>
      </c>
      <c r="D12" s="774">
        <v>8271</v>
      </c>
      <c r="E12" s="723">
        <v>19.100000000000001</v>
      </c>
      <c r="F12" s="735">
        <v>9.8355929889462637</v>
      </c>
      <c r="G12" s="735">
        <f>SUM(Process!O73:P124)</f>
        <v>12.927094176832457</v>
      </c>
      <c r="H12" s="740">
        <f>G12/$G$15</f>
        <v>0.36761757334207923</v>
      </c>
      <c r="I12" s="777">
        <f>Volume!B58/Parameter!$P$4</f>
        <v>2437.5631399317408</v>
      </c>
      <c r="J12" s="735">
        <v>36.445709784847949</v>
      </c>
      <c r="K12" s="735">
        <f>I12/G12/Parameter!$P$6/Parameter!$P$7</f>
        <v>27.729756025097355</v>
      </c>
      <c r="L12" s="737">
        <f t="shared" si="0"/>
        <v>1.4518196871778719</v>
      </c>
      <c r="M12" s="730">
        <f>B12*9.2*($B$21*$B$20+(1-$B$21))</f>
        <v>302.67999999999995</v>
      </c>
      <c r="N12" s="739">
        <f>D12/M12</f>
        <v>27.325888727368842</v>
      </c>
      <c r="O12" s="733"/>
    </row>
    <row r="13" spans="1:15">
      <c r="A13" s="722" t="s">
        <v>735</v>
      </c>
      <c r="B13" s="723">
        <v>24</v>
      </c>
      <c r="C13" s="740">
        <f>B13/$B$15</f>
        <v>0.25531914893617019</v>
      </c>
      <c r="D13" s="775"/>
      <c r="E13" s="723">
        <v>37.5</v>
      </c>
      <c r="F13" s="736">
        <v>10.446309468289506</v>
      </c>
      <c r="G13" s="736">
        <f>SUM(Process!P125:P149)</f>
        <v>9.0936252264259778</v>
      </c>
      <c r="H13" s="740">
        <f>G13/$G$15</f>
        <v>0.25860231177182991</v>
      </c>
      <c r="I13" s="775"/>
      <c r="J13" s="736">
        <v>34.315005574472636</v>
      </c>
      <c r="K13" s="736">
        <f>I12/G13/Parameter!$P$6/Parameter!$P$7</f>
        <v>39.419390915223197</v>
      </c>
      <c r="L13" s="737">
        <f t="shared" si="0"/>
        <v>1.0511837577392853</v>
      </c>
    </row>
    <row r="14" spans="1:15" ht="13.15">
      <c r="A14" s="724" t="s">
        <v>1035</v>
      </c>
      <c r="B14" s="724">
        <v>71</v>
      </c>
      <c r="C14" s="741">
        <f>SUM(C12:C13)</f>
        <v>0.75531914893617014</v>
      </c>
      <c r="D14" s="724" t="s">
        <v>763</v>
      </c>
      <c r="E14" s="724">
        <v>12.7</v>
      </c>
      <c r="F14" s="728"/>
      <c r="G14" s="728">
        <f>SUM(G12:G13)</f>
        <v>22.020719403258433</v>
      </c>
      <c r="H14" s="741">
        <f>SUM(H12:H13)</f>
        <v>0.62621988511390914</v>
      </c>
      <c r="I14" s="724" t="s">
        <v>763</v>
      </c>
      <c r="J14" s="728"/>
      <c r="K14" s="728">
        <f>I12/G14/Parameter!$P$6/Parameter!$P$7</f>
        <v>16.278540272575206</v>
      </c>
      <c r="L14" s="737">
        <f t="shared" si="0"/>
        <v>1.2817748246122211</v>
      </c>
    </row>
    <row r="15" spans="1:15" s="521" customFormat="1" ht="13.15">
      <c r="A15" s="725" t="s">
        <v>1036</v>
      </c>
      <c r="B15" s="725">
        <v>94</v>
      </c>
      <c r="C15" s="742">
        <f>C11+C14</f>
        <v>0.94680851063829774</v>
      </c>
      <c r="D15" s="726">
        <f>D9+D12</f>
        <v>9412</v>
      </c>
      <c r="E15" s="725">
        <v>10.9</v>
      </c>
      <c r="F15" s="731">
        <v>32.728489443555183</v>
      </c>
      <c r="G15" s="731">
        <f>SUM(G11,G14,Process!P152:P164)</f>
        <v>35.164516373115291</v>
      </c>
      <c r="H15" s="742">
        <f>H11+H14</f>
        <v>0.96213493520237026</v>
      </c>
      <c r="I15" s="734">
        <f>I9+I12</f>
        <v>3188.1058020477817</v>
      </c>
      <c r="J15" s="732">
        <v>14.325106245585104</v>
      </c>
      <c r="K15" s="732">
        <f>I15/G15/Parameter!$P$6/Parameter!$P$7</f>
        <v>13.332732450001364</v>
      </c>
      <c r="L15" s="737">
        <f t="shared" si="0"/>
        <v>1.2231864633028775</v>
      </c>
      <c r="M15" s="733"/>
    </row>
    <row r="16" spans="1:15">
      <c r="G16" s="730">
        <f>G10-F10</f>
        <v>0.69720998353744168</v>
      </c>
    </row>
    <row r="17" spans="1:7">
      <c r="G17" s="730">
        <f>G12-F12</f>
        <v>3.0915011878861929</v>
      </c>
    </row>
    <row r="18" spans="1:7">
      <c r="A18" s="694"/>
      <c r="C18" s="694"/>
      <c r="G18" s="730">
        <f>G13-F13</f>
        <v>-1.3526842418635283</v>
      </c>
    </row>
    <row r="19" spans="1:7">
      <c r="A19" s="694"/>
      <c r="C19" s="694"/>
      <c r="G19" s="729"/>
    </row>
    <row r="20" spans="1:7">
      <c r="A20" s="694" t="s">
        <v>1042</v>
      </c>
      <c r="B20" s="520">
        <v>0.5</v>
      </c>
      <c r="C20" s="520"/>
    </row>
    <row r="21" spans="1:7">
      <c r="A21" s="694" t="s">
        <v>1041</v>
      </c>
      <c r="B21" s="520">
        <v>0.6</v>
      </c>
      <c r="C21" s="520"/>
    </row>
    <row r="24" spans="1:7" ht="13.15" thickBot="1"/>
    <row r="25" spans="1:7" ht="13.5" thickTop="1" thickBot="1">
      <c r="A25" s="743" t="s">
        <v>1046</v>
      </c>
      <c r="B25" s="744" t="s">
        <v>1047</v>
      </c>
      <c r="C25" s="745" t="s">
        <v>1048</v>
      </c>
      <c r="D25" s="745" t="s">
        <v>1049</v>
      </c>
      <c r="E25" s="745" t="s">
        <v>1050</v>
      </c>
    </row>
    <row r="26" spans="1:7" ht="13.5" thickTop="1" thickBot="1">
      <c r="A26" s="746" t="s">
        <v>1051</v>
      </c>
      <c r="B26" s="746">
        <v>117.02020129032259</v>
      </c>
      <c r="C26" s="747">
        <v>6755.6509871861927</v>
      </c>
      <c r="D26" s="747" t="s">
        <v>1052</v>
      </c>
      <c r="E26" s="748">
        <v>1.9329270086574285E-2</v>
      </c>
      <c r="F26" s="520">
        <f>SUM(E26:E31)</f>
        <v>0.18804947559062818</v>
      </c>
      <c r="G26" s="694" t="s">
        <v>1029</v>
      </c>
    </row>
    <row r="27" spans="1:7" ht="13.5" thickTop="1" thickBot="1">
      <c r="A27" s="746" t="s">
        <v>1053</v>
      </c>
      <c r="B27" s="746">
        <v>24.638364913471602</v>
      </c>
      <c r="C27" s="747">
        <v>15077.682346147141</v>
      </c>
      <c r="D27" s="747" t="s">
        <v>1052</v>
      </c>
      <c r="E27" s="748">
        <v>3.8160783830293748E-3</v>
      </c>
    </row>
    <row r="28" spans="1:7" ht="13.5" thickTop="1" thickBot="1">
      <c r="A28" s="746" t="s">
        <v>1054</v>
      </c>
      <c r="B28" s="746">
        <v>29.784325686488298</v>
      </c>
      <c r="C28" s="747">
        <v>4252.0338840895738</v>
      </c>
      <c r="D28" s="747" t="s">
        <v>1052</v>
      </c>
      <c r="E28" s="748">
        <v>5.4244928540943451E-3</v>
      </c>
    </row>
    <row r="29" spans="1:7" ht="13.5" thickTop="1" thickBot="1">
      <c r="A29" s="746" t="s">
        <v>1055</v>
      </c>
      <c r="B29" s="746">
        <v>842.91319409611924</v>
      </c>
      <c r="C29" s="747">
        <v>14416.079566104729</v>
      </c>
      <c r="D29" s="747" t="s">
        <v>1052</v>
      </c>
      <c r="E29" s="748">
        <v>0.12722452523022973</v>
      </c>
    </row>
    <row r="30" spans="1:7" ht="13.5" thickTop="1" thickBot="1">
      <c r="A30" s="746" t="s">
        <v>1056</v>
      </c>
      <c r="B30" s="746">
        <v>212.49635795648624</v>
      </c>
      <c r="C30" s="747">
        <v>3165.219883139031</v>
      </c>
      <c r="D30" s="747" t="s">
        <v>1052</v>
      </c>
      <c r="E30" s="748">
        <v>3.2255109036700452E-2</v>
      </c>
    </row>
    <row r="31" spans="1:7" ht="13.5" thickTop="1" thickBot="1">
      <c r="A31" s="746" t="s">
        <v>1057</v>
      </c>
      <c r="B31" s="746">
        <v>0</v>
      </c>
      <c r="C31" s="747">
        <v>0</v>
      </c>
      <c r="D31" s="747" t="s">
        <v>1052</v>
      </c>
      <c r="E31" s="748">
        <v>0</v>
      </c>
    </row>
    <row r="32" spans="1:7" ht="13.5" thickTop="1" thickBot="1">
      <c r="A32" s="746" t="s">
        <v>1058</v>
      </c>
      <c r="B32" s="746">
        <v>82.485411489620148</v>
      </c>
      <c r="C32" s="747">
        <v>14416.079566104729</v>
      </c>
      <c r="D32" s="747" t="s">
        <v>1052</v>
      </c>
      <c r="E32" s="748">
        <v>1.1963865420561827E-2</v>
      </c>
      <c r="F32" s="520">
        <f>SUM(E32:E37)</f>
        <v>7.9471444411888206E-2</v>
      </c>
      <c r="G32" s="694" t="s">
        <v>1077</v>
      </c>
    </row>
    <row r="33" spans="1:7" ht="13.5" thickTop="1" thickBot="1">
      <c r="A33" s="746" t="s">
        <v>1059</v>
      </c>
      <c r="B33" s="746">
        <v>459.10669900827531</v>
      </c>
      <c r="C33" s="747">
        <v>7308.0871005619383</v>
      </c>
      <c r="D33" s="747" t="s">
        <v>1052</v>
      </c>
      <c r="E33" s="748">
        <v>6.6816648219096775E-2</v>
      </c>
    </row>
    <row r="34" spans="1:7" ht="13.5" thickTop="1" thickBot="1">
      <c r="A34" s="746" t="s">
        <v>1060</v>
      </c>
      <c r="B34" s="746">
        <v>4.7474836666666667</v>
      </c>
      <c r="C34" s="747">
        <v>109.16666666666667</v>
      </c>
      <c r="D34" s="747" t="s">
        <v>1052</v>
      </c>
      <c r="E34" s="748">
        <v>6.9093077222960879E-4</v>
      </c>
    </row>
    <row r="35" spans="1:7" ht="13.5" thickTop="1" thickBot="1">
      <c r="A35" s="746" t="s">
        <v>1061</v>
      </c>
      <c r="B35" s="746">
        <v>0</v>
      </c>
      <c r="C35" s="747">
        <v>0</v>
      </c>
      <c r="D35" s="747" t="s">
        <v>1052</v>
      </c>
      <c r="E35" s="748">
        <v>0</v>
      </c>
    </row>
    <row r="36" spans="1:7" ht="13.5" thickTop="1" thickBot="1">
      <c r="A36" s="746" t="s">
        <v>1062</v>
      </c>
      <c r="B36" s="746">
        <v>0</v>
      </c>
      <c r="C36" s="747">
        <v>0</v>
      </c>
      <c r="D36" s="747" t="s">
        <v>1052</v>
      </c>
      <c r="E36" s="748">
        <v>0</v>
      </c>
    </row>
    <row r="37" spans="1:7" ht="13.5" thickTop="1" thickBot="1">
      <c r="A37" s="746" t="s">
        <v>1063</v>
      </c>
      <c r="B37" s="746">
        <v>0</v>
      </c>
      <c r="C37" s="747">
        <v>0</v>
      </c>
      <c r="D37" s="747" t="s">
        <v>1052</v>
      </c>
      <c r="E37" s="748">
        <v>0</v>
      </c>
    </row>
    <row r="38" spans="1:7" ht="13.5" thickTop="1" thickBot="1">
      <c r="A38" s="746" t="s">
        <v>1064</v>
      </c>
      <c r="B38" s="746">
        <v>1459.4317962842204</v>
      </c>
      <c r="C38" s="747">
        <v>40607.124884676676</v>
      </c>
      <c r="D38" s="747" t="s">
        <v>1052</v>
      </c>
      <c r="E38" s="748">
        <v>0.23235285737531128</v>
      </c>
      <c r="F38" s="520">
        <f>SUM(E38:E42,E46)</f>
        <v>0.43872334069436392</v>
      </c>
      <c r="G38" s="694" t="s">
        <v>1034</v>
      </c>
    </row>
    <row r="39" spans="1:7" ht="13.5" thickTop="1" thickBot="1">
      <c r="A39" s="746" t="s">
        <v>1065</v>
      </c>
      <c r="B39" s="746">
        <v>16.523334833333333</v>
      </c>
      <c r="C39" s="747">
        <v>307.5</v>
      </c>
      <c r="D39" s="747" t="s">
        <v>1052</v>
      </c>
      <c r="E39" s="748">
        <v>2.4170939710574414E-3</v>
      </c>
    </row>
    <row r="40" spans="1:7" ht="13.5" thickTop="1" thickBot="1">
      <c r="A40" s="746" t="s">
        <v>1066</v>
      </c>
      <c r="B40" s="746">
        <v>1193.4923020169251</v>
      </c>
      <c r="C40" s="747">
        <v>20585.375115323324</v>
      </c>
      <c r="D40" s="747" t="s">
        <v>1052</v>
      </c>
      <c r="E40" s="748">
        <v>0.17445232403228322</v>
      </c>
    </row>
    <row r="41" spans="1:7" ht="13.5" thickTop="1" thickBot="1">
      <c r="A41" s="746" t="s">
        <v>1067</v>
      </c>
      <c r="B41" s="746">
        <v>0</v>
      </c>
      <c r="C41" s="747">
        <v>0</v>
      </c>
      <c r="D41" s="747" t="s">
        <v>1052</v>
      </c>
      <c r="E41" s="748">
        <v>0</v>
      </c>
    </row>
    <row r="42" spans="1:7" ht="13.5" thickTop="1" thickBot="1">
      <c r="A42" s="746" t="s">
        <v>1068</v>
      </c>
      <c r="B42" s="746">
        <v>0</v>
      </c>
      <c r="C42" s="747">
        <v>0</v>
      </c>
      <c r="D42" s="747" t="s">
        <v>1052</v>
      </c>
      <c r="E42" s="748">
        <v>0</v>
      </c>
    </row>
    <row r="43" spans="1:7" ht="13.5" thickTop="1" thickBot="1">
      <c r="A43" s="746" t="s">
        <v>1069</v>
      </c>
      <c r="B43" s="746">
        <v>1623.9571789801653</v>
      </c>
      <c r="C43" s="747">
        <v>61500</v>
      </c>
      <c r="D43" s="747" t="s">
        <v>1052</v>
      </c>
      <c r="E43" s="748">
        <v>0.23884154953468523</v>
      </c>
      <c r="F43" s="520">
        <f>SUM(E43:E44)</f>
        <v>0.24373542577111437</v>
      </c>
      <c r="G43" s="694" t="s">
        <v>735</v>
      </c>
    </row>
    <row r="44" spans="1:7" ht="13.5" thickTop="1" thickBot="1">
      <c r="A44" s="746" t="s">
        <v>1070</v>
      </c>
      <c r="B44" s="746">
        <v>32.075329401796203</v>
      </c>
      <c r="C44" s="747">
        <v>61500</v>
      </c>
      <c r="D44" s="747" t="s">
        <v>1052</v>
      </c>
      <c r="E44" s="748">
        <v>4.8938762364291359E-3</v>
      </c>
    </row>
    <row r="45" spans="1:7" ht="13.5" thickTop="1" thickBot="1">
      <c r="A45" s="746" t="s">
        <v>1071</v>
      </c>
      <c r="B45" s="746">
        <v>137.74186195555555</v>
      </c>
      <c r="C45" s="747">
        <v>4371.7666666666664</v>
      </c>
      <c r="D45" s="747" t="s">
        <v>1072</v>
      </c>
      <c r="E45" s="748">
        <v>2.6112592817415122E-2</v>
      </c>
    </row>
    <row r="46" spans="1:7" ht="13.5" thickTop="1" thickBot="1">
      <c r="A46" s="746" t="s">
        <v>1073</v>
      </c>
      <c r="B46" s="746">
        <v>202.61963857777783</v>
      </c>
      <c r="C46" s="747">
        <v>61500</v>
      </c>
      <c r="D46" s="747" t="s">
        <v>1052</v>
      </c>
      <c r="E46" s="748">
        <v>2.9501065315711936E-2</v>
      </c>
    </row>
    <row r="47" spans="1:7" ht="13.5" thickTop="1" thickBot="1">
      <c r="A47" s="746" t="s">
        <v>1074</v>
      </c>
      <c r="B47" s="746">
        <v>13.533333333333335</v>
      </c>
      <c r="C47" s="747">
        <v>116.66666666666667</v>
      </c>
      <c r="D47" s="747" t="s">
        <v>1075</v>
      </c>
      <c r="E47" s="748">
        <v>2.3302893124306612E-2</v>
      </c>
    </row>
    <row r="48" spans="1:7" ht="13.5" thickTop="1" thickBot="1">
      <c r="A48" s="746" t="s">
        <v>1076</v>
      </c>
      <c r="B48" s="746">
        <v>0</v>
      </c>
      <c r="C48" s="747">
        <v>0</v>
      </c>
      <c r="D48" s="747" t="s">
        <v>1052</v>
      </c>
      <c r="E48" s="748">
        <v>6.7040615078273733E-4</v>
      </c>
    </row>
    <row r="49" spans="6:7" ht="13.5" thickTop="1">
      <c r="F49" s="684">
        <f>SUM(F26:F48)</f>
        <v>0.94997968646799469</v>
      </c>
      <c r="G49" s="684"/>
    </row>
  </sheetData>
  <mergeCells count="6">
    <mergeCell ref="D9:D10"/>
    <mergeCell ref="D12:D13"/>
    <mergeCell ref="B7:E7"/>
    <mergeCell ref="I9:I10"/>
    <mergeCell ref="I12:I13"/>
    <mergeCell ref="F7:K7"/>
  </mergeCells>
  <phoneticPr fontId="2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1:T60"/>
  <sheetViews>
    <sheetView tabSelected="1" topLeftCell="A25" zoomScale="115" zoomScaleNormal="115" workbookViewId="0">
      <selection activeCell="E41" sqref="E41"/>
    </sheetView>
  </sheetViews>
  <sheetFormatPr defaultColWidth="9.06640625" defaultRowHeight="13.5"/>
  <cols>
    <col min="1" max="1" width="4.73046875" style="277" customWidth="1"/>
    <col min="2" max="3" width="9.06640625" style="277"/>
    <col min="4" max="4" width="16.73046875" style="277" customWidth="1"/>
    <col min="5" max="5" width="11.59765625" style="277" bestFit="1" customWidth="1"/>
    <col min="6" max="19" width="9.06640625" style="277"/>
    <col min="20" max="20" width="57.06640625" style="277" customWidth="1"/>
    <col min="21" max="21" width="3.73046875" style="277" customWidth="1"/>
    <col min="22" max="16384" width="9.06640625" style="277"/>
  </cols>
  <sheetData>
    <row r="1" spans="2:20" s="244" customFormat="1" ht="15.75" customHeight="1"/>
    <row r="2" spans="2:20" s="244" customFormat="1" ht="15.75" customHeight="1"/>
    <row r="3" spans="2:20" s="244" customFormat="1" ht="41.25" customHeight="1"/>
    <row r="4" spans="2:20" s="248" customFormat="1" ht="25.15">
      <c r="B4" s="245" t="s">
        <v>264</v>
      </c>
      <c r="C4" s="246"/>
      <c r="D4" s="247"/>
      <c r="E4" s="247"/>
      <c r="H4" s="249"/>
    </row>
    <row r="5" spans="2:20" s="244" customFormat="1">
      <c r="T5" s="250"/>
    </row>
    <row r="6" spans="2:20" s="244" customFormat="1" ht="15">
      <c r="B6" s="251" t="s">
        <v>265</v>
      </c>
      <c r="T6" s="250"/>
    </row>
    <row r="7" spans="2:20" s="244" customFormat="1" ht="15">
      <c r="B7" s="251"/>
      <c r="C7" s="244" t="s">
        <v>266</v>
      </c>
      <c r="T7" s="250"/>
    </row>
    <row r="8" spans="2:20" s="244" customFormat="1" ht="8.25" customHeight="1">
      <c r="T8" s="250"/>
    </row>
    <row r="9" spans="2:20" s="244" customFormat="1" ht="13.9" thickBot="1">
      <c r="T9" s="250"/>
    </row>
    <row r="10" spans="2:20" s="244" customFormat="1" ht="9" customHeight="1">
      <c r="B10" s="252"/>
      <c r="C10" s="253"/>
      <c r="D10" s="253"/>
      <c r="E10" s="253"/>
      <c r="F10" s="253"/>
      <c r="G10" s="253"/>
      <c r="H10" s="253"/>
      <c r="I10" s="253"/>
      <c r="J10" s="253"/>
      <c r="K10" s="253"/>
      <c r="L10" s="253"/>
      <c r="M10" s="253"/>
      <c r="N10" s="253"/>
      <c r="O10" s="253"/>
      <c r="P10" s="253"/>
      <c r="Q10" s="253"/>
      <c r="R10" s="254"/>
      <c r="T10" s="255"/>
    </row>
    <row r="11" spans="2:20" s="244" customFormat="1" ht="13.9">
      <c r="B11" s="256"/>
      <c r="C11" s="257" t="s">
        <v>267</v>
      </c>
      <c r="J11" s="244" t="s">
        <v>268</v>
      </c>
      <c r="R11" s="258"/>
      <c r="T11" s="259" t="s">
        <v>269</v>
      </c>
    </row>
    <row r="12" spans="2:20" s="244" customFormat="1">
      <c r="B12" s="256"/>
      <c r="R12" s="258"/>
      <c r="T12" s="764" t="s">
        <v>270</v>
      </c>
    </row>
    <row r="13" spans="2:20" s="244" customFormat="1" ht="15" customHeight="1">
      <c r="B13" s="256"/>
      <c r="C13" s="244" t="s">
        <v>271</v>
      </c>
      <c r="E13" s="260"/>
      <c r="F13" s="244" t="s">
        <v>272</v>
      </c>
      <c r="R13" s="258"/>
      <c r="T13" s="764"/>
    </row>
    <row r="14" spans="2:20" s="244" customFormat="1" ht="8.25" customHeight="1">
      <c r="B14" s="256"/>
      <c r="E14" s="261"/>
      <c r="R14" s="258"/>
      <c r="T14" s="764"/>
    </row>
    <row r="15" spans="2:20" s="244" customFormat="1" ht="15" customHeight="1">
      <c r="B15" s="256"/>
      <c r="E15" s="260"/>
      <c r="F15" s="244" t="s">
        <v>273</v>
      </c>
      <c r="R15" s="258"/>
      <c r="T15" s="764"/>
    </row>
    <row r="16" spans="2:20" s="244" customFormat="1" ht="15" customHeight="1">
      <c r="B16" s="256"/>
      <c r="R16" s="258"/>
      <c r="T16" s="764"/>
    </row>
    <row r="17" spans="2:20" s="244" customFormat="1" ht="15" customHeight="1">
      <c r="B17" s="256"/>
      <c r="C17" s="244" t="s">
        <v>274</v>
      </c>
      <c r="E17" s="260"/>
      <c r="F17" s="244" t="s">
        <v>275</v>
      </c>
      <c r="G17" s="262"/>
      <c r="H17" s="262"/>
      <c r="I17" s="262"/>
      <c r="J17" s="262"/>
      <c r="K17" s="262"/>
      <c r="L17" s="262"/>
      <c r="M17" s="262"/>
      <c r="N17" s="262"/>
      <c r="O17" s="262"/>
      <c r="P17" s="262"/>
      <c r="Q17" s="262"/>
      <c r="R17" s="263"/>
      <c r="T17" s="764"/>
    </row>
    <row r="18" spans="2:20" s="244" customFormat="1" ht="7.5" customHeight="1">
      <c r="B18" s="256"/>
      <c r="G18" s="262"/>
      <c r="H18" s="262"/>
      <c r="I18" s="262"/>
      <c r="J18" s="262"/>
      <c r="K18" s="262"/>
      <c r="L18" s="262"/>
      <c r="M18" s="262"/>
      <c r="N18" s="262"/>
      <c r="O18" s="262"/>
      <c r="P18" s="262"/>
      <c r="Q18" s="262"/>
      <c r="R18" s="263"/>
      <c r="T18" s="764"/>
    </row>
    <row r="19" spans="2:20" s="244" customFormat="1" ht="15" customHeight="1">
      <c r="B19" s="256"/>
      <c r="E19" s="260"/>
      <c r="F19" s="244" t="s">
        <v>276</v>
      </c>
      <c r="G19" s="262"/>
      <c r="H19" s="262"/>
      <c r="I19" s="262"/>
      <c r="J19" s="262"/>
      <c r="K19" s="262"/>
      <c r="L19" s="262"/>
      <c r="M19" s="262"/>
      <c r="N19" s="262"/>
      <c r="O19" s="262"/>
      <c r="P19" s="262"/>
      <c r="Q19" s="262"/>
      <c r="R19" s="263"/>
      <c r="T19" s="764"/>
    </row>
    <row r="20" spans="2:20" s="244" customFormat="1">
      <c r="B20" s="256"/>
      <c r="E20" s="264"/>
      <c r="G20" s="262"/>
      <c r="H20" s="262"/>
      <c r="I20" s="262"/>
      <c r="J20" s="262"/>
      <c r="K20" s="262"/>
      <c r="L20" s="262"/>
      <c r="M20" s="262"/>
      <c r="N20" s="262"/>
      <c r="O20" s="262"/>
      <c r="P20" s="262"/>
      <c r="Q20" s="262"/>
      <c r="R20" s="263"/>
      <c r="T20" s="764"/>
    </row>
    <row r="21" spans="2:20" s="244" customFormat="1" ht="15" customHeight="1">
      <c r="B21" s="256"/>
      <c r="E21" s="260"/>
      <c r="F21" s="244" t="s">
        <v>277</v>
      </c>
      <c r="G21" s="262"/>
      <c r="H21" s="262"/>
      <c r="I21" s="262"/>
      <c r="J21" s="262"/>
      <c r="K21" s="262"/>
      <c r="L21" s="262"/>
      <c r="M21" s="262"/>
      <c r="N21" s="262"/>
      <c r="O21" s="262"/>
      <c r="P21" s="262"/>
      <c r="Q21" s="262"/>
      <c r="R21" s="263"/>
      <c r="T21" s="764"/>
    </row>
    <row r="22" spans="2:20" s="244" customFormat="1" ht="9" customHeight="1" thickBot="1">
      <c r="B22" s="265"/>
      <c r="C22" s="266"/>
      <c r="D22" s="266"/>
      <c r="E22" s="266"/>
      <c r="F22" s="266"/>
      <c r="G22" s="266"/>
      <c r="H22" s="266"/>
      <c r="I22" s="266"/>
      <c r="J22" s="266"/>
      <c r="K22" s="266"/>
      <c r="L22" s="266"/>
      <c r="M22" s="266"/>
      <c r="N22" s="266"/>
      <c r="O22" s="266"/>
      <c r="P22" s="266"/>
      <c r="Q22" s="266"/>
      <c r="R22" s="267"/>
      <c r="T22" s="765"/>
    </row>
    <row r="23" spans="2:20" s="244" customFormat="1" ht="15" customHeight="1">
      <c r="C23" s="248" t="s">
        <v>278</v>
      </c>
      <c r="T23" s="250"/>
    </row>
    <row r="24" spans="2:20" s="244" customFormat="1" ht="15" customHeight="1">
      <c r="C24" s="248" t="s">
        <v>279</v>
      </c>
      <c r="T24" s="250"/>
    </row>
    <row r="25" spans="2:20" s="244" customFormat="1" ht="9" customHeight="1">
      <c r="T25" s="250"/>
    </row>
    <row r="26" spans="2:20" s="244" customFormat="1" ht="15">
      <c r="B26" s="251" t="s">
        <v>280</v>
      </c>
      <c r="T26" s="250"/>
    </row>
    <row r="27" spans="2:20" s="244" customFormat="1">
      <c r="C27" s="766" t="s">
        <v>281</v>
      </c>
      <c r="D27" s="767"/>
      <c r="E27" s="767"/>
      <c r="F27" s="767"/>
      <c r="G27" s="767"/>
      <c r="H27" s="767"/>
      <c r="I27" s="767"/>
      <c r="J27" s="767"/>
      <c r="K27" s="767"/>
      <c r="L27" s="767"/>
      <c r="M27" s="767"/>
      <c r="N27" s="767"/>
      <c r="O27" s="767"/>
      <c r="P27" s="767"/>
      <c r="Q27" s="767"/>
      <c r="R27" s="767"/>
      <c r="S27" s="767"/>
      <c r="T27" s="767"/>
    </row>
    <row r="28" spans="2:20" s="244" customFormat="1" ht="3.75" customHeight="1" thickBot="1">
      <c r="C28" s="268"/>
      <c r="D28" s="268"/>
      <c r="E28" s="268"/>
      <c r="F28" s="268"/>
      <c r="G28" s="268"/>
      <c r="H28" s="268"/>
      <c r="I28" s="268"/>
      <c r="J28" s="268"/>
      <c r="K28" s="268"/>
      <c r="L28" s="268"/>
      <c r="M28" s="268"/>
      <c r="N28" s="268"/>
      <c r="O28" s="268"/>
      <c r="P28" s="268"/>
      <c r="Q28" s="268"/>
      <c r="R28" s="268"/>
      <c r="S28" s="268"/>
      <c r="T28" s="268"/>
    </row>
    <row r="29" spans="2:20" s="244" customFormat="1" ht="15">
      <c r="B29" s="252"/>
      <c r="C29" s="710"/>
      <c r="D29" s="711" t="s">
        <v>1027</v>
      </c>
      <c r="E29" s="710"/>
      <c r="F29" s="710"/>
      <c r="G29" s="710"/>
      <c r="H29" s="710"/>
      <c r="I29" s="253"/>
      <c r="J29" s="253" t="s">
        <v>1026</v>
      </c>
      <c r="K29" s="253"/>
      <c r="L29" s="253"/>
      <c r="M29" s="253"/>
      <c r="N29" s="253"/>
      <c r="O29" s="253"/>
      <c r="P29" s="253"/>
      <c r="Q29" s="253"/>
      <c r="R29" s="254"/>
      <c r="T29" s="255"/>
    </row>
    <row r="30" spans="2:20" s="244" customFormat="1" ht="13.9">
      <c r="B30" s="256"/>
      <c r="C30" s="244" t="s">
        <v>282</v>
      </c>
      <c r="E30" s="712">
        <f>'Cost Allocation'!U12</f>
        <v>8.1632845733545469</v>
      </c>
      <c r="F30" s="244" t="s">
        <v>283</v>
      </c>
      <c r="J30" s="709">
        <f>'Cost Allocation'!U12</f>
        <v>8.1632845733545469</v>
      </c>
      <c r="R30" s="258"/>
      <c r="T30" s="259" t="s">
        <v>284</v>
      </c>
    </row>
    <row r="31" spans="2:20" s="244" customFormat="1">
      <c r="B31" s="256"/>
      <c r="C31" s="244" t="s">
        <v>285</v>
      </c>
      <c r="E31" s="712">
        <v>0</v>
      </c>
      <c r="F31" s="244" t="s">
        <v>283</v>
      </c>
      <c r="J31" s="716"/>
      <c r="R31" s="258"/>
      <c r="T31" s="768" t="s">
        <v>286</v>
      </c>
    </row>
    <row r="32" spans="2:20" s="244" customFormat="1">
      <c r="B32" s="256"/>
      <c r="E32" s="713"/>
      <c r="J32" s="716"/>
      <c r="R32" s="258"/>
      <c r="T32" s="768"/>
    </row>
    <row r="33" spans="2:20" s="244" customFormat="1" ht="15" customHeight="1">
      <c r="B33" s="256"/>
      <c r="C33" s="244" t="s">
        <v>287</v>
      </c>
      <c r="E33" s="712">
        <f>'Cost Allocation'!U14</f>
        <v>6.53693520205979</v>
      </c>
      <c r="F33" s="244" t="s">
        <v>288</v>
      </c>
      <c r="J33" s="709">
        <f>'Cost Allocation'!U14</f>
        <v>6.53693520205979</v>
      </c>
      <c r="R33" s="258"/>
      <c r="T33" s="768"/>
    </row>
    <row r="34" spans="2:20" s="244" customFormat="1" ht="15" customHeight="1">
      <c r="B34" s="256"/>
      <c r="C34" s="244" t="s">
        <v>289</v>
      </c>
      <c r="E34" s="712">
        <v>0</v>
      </c>
      <c r="F34" s="244" t="s">
        <v>288</v>
      </c>
      <c r="J34" s="716"/>
      <c r="R34" s="258"/>
      <c r="T34" s="768"/>
    </row>
    <row r="35" spans="2:20" s="244" customFormat="1" ht="15" customHeight="1">
      <c r="B35" s="256"/>
      <c r="E35" s="713"/>
      <c r="J35" s="716"/>
      <c r="R35" s="258"/>
      <c r="T35" s="768"/>
    </row>
    <row r="36" spans="2:20" s="244" customFormat="1" ht="15" customHeight="1">
      <c r="B36" s="256"/>
      <c r="C36" s="244" t="s">
        <v>290</v>
      </c>
      <c r="E36" s="712">
        <f>'Cost Allocation'!U15</f>
        <v>23.523858150644465</v>
      </c>
      <c r="F36" s="244" t="s">
        <v>291</v>
      </c>
      <c r="J36" s="709">
        <f>'Cost Allocation'!U15</f>
        <v>23.523858150644465</v>
      </c>
      <c r="R36" s="258"/>
      <c r="T36" s="768"/>
    </row>
    <row r="37" spans="2:20" s="244" customFormat="1" ht="15" customHeight="1">
      <c r="B37" s="256"/>
      <c r="C37" s="244" t="s">
        <v>292</v>
      </c>
      <c r="E37" s="712">
        <f>'Cost Allocation'!U16</f>
        <v>26.812908226418465</v>
      </c>
      <c r="F37" s="244" t="s">
        <v>291</v>
      </c>
      <c r="J37" s="709">
        <f>'Cost Allocation'!U16</f>
        <v>26.812908226418465</v>
      </c>
      <c r="R37" s="258"/>
      <c r="T37" s="768"/>
    </row>
    <row r="38" spans="2:20" s="244" customFormat="1" ht="15" customHeight="1">
      <c r="B38" s="256"/>
      <c r="E38" s="713"/>
      <c r="J38" s="716"/>
      <c r="R38" s="258"/>
      <c r="T38" s="768"/>
    </row>
    <row r="39" spans="2:20" s="244" customFormat="1" ht="15" customHeight="1">
      <c r="B39" s="256"/>
      <c r="C39" s="244" t="s">
        <v>293</v>
      </c>
      <c r="E39" s="712">
        <f>'Cost Allocation'!U13</f>
        <v>45.028661751667826</v>
      </c>
      <c r="F39" s="244" t="s">
        <v>294</v>
      </c>
      <c r="J39" s="709">
        <f>'Cost Allocation'!U13</f>
        <v>45.028661751667826</v>
      </c>
      <c r="R39" s="258"/>
      <c r="T39" s="768"/>
    </row>
    <row r="40" spans="2:20" s="244" customFormat="1" ht="15" customHeight="1">
      <c r="B40" s="256"/>
      <c r="E40" s="714"/>
      <c r="J40" s="716"/>
      <c r="R40" s="258"/>
      <c r="T40" s="768"/>
    </row>
    <row r="41" spans="2:20" s="244" customFormat="1" ht="15" customHeight="1">
      <c r="B41" s="256"/>
      <c r="C41" s="244" t="s">
        <v>295</v>
      </c>
      <c r="E41" s="269">
        <v>0.15</v>
      </c>
      <c r="F41" s="244" t="s">
        <v>296</v>
      </c>
      <c r="J41" s="709">
        <f>'Cost Allocation'!U7</f>
        <v>0.25057426672045241</v>
      </c>
      <c r="R41" s="258"/>
      <c r="T41" s="768"/>
    </row>
    <row r="42" spans="2:20" s="244" customFormat="1" ht="15" customHeight="1">
      <c r="B42" s="256"/>
      <c r="E42" s="713"/>
      <c r="J42" s="716"/>
      <c r="R42" s="258"/>
      <c r="T42" s="768"/>
    </row>
    <row r="43" spans="2:20" s="244" customFormat="1" ht="15" customHeight="1">
      <c r="B43" s="256"/>
      <c r="C43" s="244" t="s">
        <v>522</v>
      </c>
      <c r="E43" s="712">
        <f>'Cost Allocation'!U10</f>
        <v>45.028661751667833</v>
      </c>
      <c r="F43" s="244" t="s">
        <v>297</v>
      </c>
      <c r="J43" s="709">
        <f>'Cost Allocation'!U10</f>
        <v>45.028661751667833</v>
      </c>
      <c r="R43" s="258"/>
      <c r="T43" s="768"/>
    </row>
    <row r="44" spans="2:20" s="244" customFormat="1" ht="15" customHeight="1">
      <c r="B44" s="256"/>
      <c r="E44" s="713"/>
      <c r="J44" s="716"/>
      <c r="R44" s="258"/>
      <c r="T44" s="768"/>
    </row>
    <row r="45" spans="2:20" s="244" customFormat="1" ht="15.75" customHeight="1" thickBot="1">
      <c r="B45" s="265"/>
      <c r="C45" s="266" t="s">
        <v>298</v>
      </c>
      <c r="D45" s="266"/>
      <c r="E45" s="715">
        <f>'Cost Allocation'!U9</f>
        <v>8.9376360754728239</v>
      </c>
      <c r="F45" s="266" t="s">
        <v>299</v>
      </c>
      <c r="G45" s="266"/>
      <c r="H45" s="266"/>
      <c r="I45" s="266"/>
      <c r="J45" s="717">
        <f>'Cost Allocation'!U9</f>
        <v>8.9376360754728239</v>
      </c>
      <c r="K45" s="266"/>
      <c r="L45" s="266"/>
      <c r="M45" s="266"/>
      <c r="N45" s="266"/>
      <c r="O45" s="266"/>
      <c r="P45" s="266"/>
      <c r="Q45" s="266"/>
      <c r="R45" s="267"/>
      <c r="T45" s="769"/>
    </row>
    <row r="46" spans="2:20" s="244" customFormat="1" ht="15.75" customHeight="1">
      <c r="T46" s="270"/>
    </row>
    <row r="47" spans="2:20" s="244" customFormat="1" ht="15.75" customHeight="1">
      <c r="B47" s="251" t="s">
        <v>300</v>
      </c>
      <c r="T47" s="270"/>
    </row>
    <row r="48" spans="2:20" s="244" customFormat="1" ht="15.75" customHeight="1">
      <c r="C48" s="244" t="s">
        <v>301</v>
      </c>
      <c r="E48" s="260"/>
      <c r="F48" s="244" t="s">
        <v>302</v>
      </c>
      <c r="T48" s="270"/>
    </row>
    <row r="49" spans="2:20" s="244" customFormat="1" ht="15.75" customHeight="1">
      <c r="T49" s="270"/>
    </row>
    <row r="50" spans="2:20" s="244" customFormat="1" ht="15.75" customHeight="1" thickBot="1">
      <c r="B50" s="251" t="s">
        <v>303</v>
      </c>
      <c r="T50" s="270"/>
    </row>
    <row r="51" spans="2:20" s="244" customFormat="1" ht="15.75" customHeight="1">
      <c r="B51" s="271"/>
      <c r="C51" s="253"/>
      <c r="D51" s="253"/>
      <c r="E51" s="253"/>
      <c r="F51" s="253"/>
      <c r="G51" s="253"/>
      <c r="H51" s="253"/>
      <c r="I51" s="253"/>
      <c r="J51" s="253"/>
      <c r="K51" s="253"/>
      <c r="L51" s="253"/>
      <c r="M51" s="253"/>
      <c r="N51" s="253"/>
      <c r="O51" s="253"/>
      <c r="P51" s="253"/>
      <c r="Q51" s="253"/>
      <c r="R51" s="254"/>
      <c r="T51" s="272" t="s">
        <v>284</v>
      </c>
    </row>
    <row r="52" spans="2:20" s="244" customFormat="1" ht="15.75" customHeight="1">
      <c r="B52" s="256"/>
      <c r="C52" s="770" t="s">
        <v>304</v>
      </c>
      <c r="D52" s="770"/>
      <c r="E52" s="770"/>
      <c r="F52" s="770" t="s">
        <v>305</v>
      </c>
      <c r="G52" s="770"/>
      <c r="H52" s="770"/>
      <c r="I52" s="770"/>
      <c r="J52" s="770"/>
      <c r="K52" s="770"/>
      <c r="L52" s="770"/>
      <c r="M52" s="770"/>
      <c r="N52" s="770"/>
      <c r="O52" s="770" t="s">
        <v>306</v>
      </c>
      <c r="P52" s="770"/>
      <c r="R52" s="273"/>
      <c r="T52" s="771" t="s">
        <v>307</v>
      </c>
    </row>
    <row r="53" spans="2:20" s="244" customFormat="1" ht="15.75" customHeight="1">
      <c r="B53" s="256"/>
      <c r="C53" s="770" t="str">
        <f>Startup!B2</f>
        <v>1. Pre- on board and training</v>
      </c>
      <c r="D53" s="770"/>
      <c r="E53" s="770"/>
      <c r="F53" s="770" t="s">
        <v>1020</v>
      </c>
      <c r="G53" s="770"/>
      <c r="H53" s="770"/>
      <c r="I53" s="770"/>
      <c r="J53" s="770"/>
      <c r="K53" s="770"/>
      <c r="L53" s="770"/>
      <c r="M53" s="770"/>
      <c r="N53" s="770"/>
      <c r="O53" s="842">
        <f>Startup!D2</f>
        <v>58704.605487804889</v>
      </c>
      <c r="P53" s="842"/>
      <c r="R53" s="273"/>
      <c r="T53" s="772"/>
    </row>
    <row r="54" spans="2:20" s="244" customFormat="1" ht="15.75" customHeight="1">
      <c r="B54" s="256"/>
      <c r="C54" s="770" t="str">
        <f>Startup!B18</f>
        <v>2. Stock count for handover</v>
      </c>
      <c r="D54" s="770"/>
      <c r="E54" s="770"/>
      <c r="F54" s="770" t="s">
        <v>1021</v>
      </c>
      <c r="G54" s="770"/>
      <c r="H54" s="770"/>
      <c r="I54" s="770"/>
      <c r="J54" s="770"/>
      <c r="K54" s="770"/>
      <c r="L54" s="770"/>
      <c r="M54" s="770"/>
      <c r="N54" s="770"/>
      <c r="O54" s="842">
        <f>Startup!D18</f>
        <v>53478.96671186891</v>
      </c>
      <c r="P54" s="842"/>
      <c r="R54" s="273"/>
      <c r="T54" s="772"/>
    </row>
    <row r="55" spans="2:20" s="244" customFormat="1" ht="15.75" customHeight="1">
      <c r="B55" s="256"/>
      <c r="C55" s="770" t="s">
        <v>1022</v>
      </c>
      <c r="D55" s="770"/>
      <c r="E55" s="770"/>
      <c r="F55" s="770" t="s">
        <v>1023</v>
      </c>
      <c r="G55" s="770"/>
      <c r="H55" s="770"/>
      <c r="I55" s="770"/>
      <c r="J55" s="770"/>
      <c r="K55" s="770"/>
      <c r="L55" s="770"/>
      <c r="M55" s="770"/>
      <c r="N55" s="770"/>
      <c r="O55" s="842">
        <f>'MHE&amp;INV list'!K30*(1+'Cost Allocation'!R4)</f>
        <v>457600.00000000006</v>
      </c>
      <c r="P55" s="842"/>
      <c r="R55" s="273"/>
      <c r="T55" s="772"/>
    </row>
    <row r="56" spans="2:20" s="244" customFormat="1" ht="15.75" customHeight="1">
      <c r="B56" s="256"/>
      <c r="C56" s="770" t="s">
        <v>1091</v>
      </c>
      <c r="D56" s="770"/>
      <c r="E56" s="770"/>
      <c r="F56" s="770"/>
      <c r="G56" s="770"/>
      <c r="H56" s="770"/>
      <c r="I56" s="770"/>
      <c r="J56" s="770"/>
      <c r="K56" s="770"/>
      <c r="L56" s="770"/>
      <c r="M56" s="770"/>
      <c r="N56" s="770"/>
      <c r="O56" s="842">
        <f>'MHE&amp;INV list'!K26*(1+'Cost Allocation'!R4)</f>
        <v>644644</v>
      </c>
      <c r="P56" s="842"/>
      <c r="R56" s="273"/>
      <c r="T56" s="772"/>
    </row>
    <row r="57" spans="2:20" s="244" customFormat="1" ht="15.75" customHeight="1">
      <c r="B57" s="256"/>
      <c r="C57" s="770"/>
      <c r="D57" s="770"/>
      <c r="E57" s="770"/>
      <c r="F57" s="770"/>
      <c r="G57" s="770"/>
      <c r="H57" s="770"/>
      <c r="I57" s="770"/>
      <c r="J57" s="770"/>
      <c r="K57" s="770"/>
      <c r="L57" s="770"/>
      <c r="M57" s="770"/>
      <c r="N57" s="770"/>
      <c r="O57" s="770"/>
      <c r="P57" s="770"/>
      <c r="R57" s="273"/>
      <c r="T57" s="772"/>
    </row>
    <row r="58" spans="2:20" ht="13.9" thickBot="1">
      <c r="B58" s="274"/>
      <c r="C58" s="275"/>
      <c r="D58" s="275"/>
      <c r="E58" s="275"/>
      <c r="F58" s="275"/>
      <c r="G58" s="275"/>
      <c r="H58" s="275"/>
      <c r="I58" s="275"/>
      <c r="J58" s="275"/>
      <c r="K58" s="275"/>
      <c r="L58" s="275"/>
      <c r="M58" s="275"/>
      <c r="N58" s="275"/>
      <c r="O58" s="275"/>
      <c r="P58" s="275"/>
      <c r="Q58" s="275"/>
      <c r="R58" s="276"/>
      <c r="T58" s="773"/>
    </row>
    <row r="59" spans="2:20" ht="13.9" thickBot="1"/>
    <row r="60" spans="2:20" ht="14.25" thickBot="1">
      <c r="B60" s="278" t="s">
        <v>308</v>
      </c>
      <c r="C60" s="278"/>
      <c r="D60" s="279"/>
      <c r="E60" s="278" t="s">
        <v>309</v>
      </c>
      <c r="F60" s="278"/>
      <c r="G60" s="278"/>
      <c r="H60" s="278"/>
      <c r="I60" s="280" t="s">
        <v>310</v>
      </c>
    </row>
  </sheetData>
  <protectedRanges>
    <protectedRange sqref="Q8:S8" name="Range2_1"/>
    <protectedRange sqref="E30:E51" name="Storage_1"/>
    <protectedRange sqref="E14 E20" name="Storage_1_1"/>
    <protectedRange sqref="E15" name="Storage_1_1_1"/>
    <protectedRange sqref="E13" name="Storage_1_1_2"/>
    <protectedRange sqref="E17" name="Storage_1_1_3"/>
    <protectedRange sqref="E19" name="Storage_1_1_4"/>
    <protectedRange sqref="E21" name="Storage_1_1_5"/>
    <protectedRange sqref="D60" name="Overview_1"/>
  </protectedRanges>
  <mergeCells count="22">
    <mergeCell ref="C56:E56"/>
    <mergeCell ref="F56:N56"/>
    <mergeCell ref="O56:P56"/>
    <mergeCell ref="C57:E57"/>
    <mergeCell ref="F57:N57"/>
    <mergeCell ref="O57:P57"/>
    <mergeCell ref="T12:T22"/>
    <mergeCell ref="C27:T27"/>
    <mergeCell ref="T31:T45"/>
    <mergeCell ref="C52:E52"/>
    <mergeCell ref="F52:N52"/>
    <mergeCell ref="O52:P52"/>
    <mergeCell ref="T52:T58"/>
    <mergeCell ref="C53:E53"/>
    <mergeCell ref="F53:N53"/>
    <mergeCell ref="O53:P53"/>
    <mergeCell ref="C54:E54"/>
    <mergeCell ref="F54:N54"/>
    <mergeCell ref="O54:P54"/>
    <mergeCell ref="C55:E55"/>
    <mergeCell ref="F55:N55"/>
    <mergeCell ref="O55:P55"/>
  </mergeCells>
  <phoneticPr fontId="2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2"/>
  <sheetViews>
    <sheetView showGridLines="0" zoomScaleNormal="100" workbookViewId="0">
      <selection activeCell="C15" sqref="C15"/>
    </sheetView>
  </sheetViews>
  <sheetFormatPr defaultColWidth="9.06640625" defaultRowHeight="12.75"/>
  <cols>
    <col min="1" max="1" width="15.265625" style="598" bestFit="1" customWidth="1"/>
    <col min="2" max="2" width="36" style="598" bestFit="1" customWidth="1"/>
    <col min="3" max="13" width="14.9296875" style="598" customWidth="1"/>
    <col min="14" max="14" width="9.06640625" style="598"/>
    <col min="15" max="15" width="14.73046875" style="598" bestFit="1" customWidth="1"/>
    <col min="16" max="16" width="15.796875" style="598" bestFit="1" customWidth="1"/>
    <col min="17" max="17" width="9.06640625" style="598"/>
    <col min="18" max="18" width="9.06640625" style="598" bestFit="1" customWidth="1"/>
    <col min="19" max="24" width="12.33203125" style="598" bestFit="1" customWidth="1"/>
    <col min="25" max="16384" width="9.06640625" style="598"/>
  </cols>
  <sheetData>
    <row r="1" spans="1:14">
      <c r="C1" s="553"/>
      <c r="D1" s="553"/>
      <c r="E1" s="553"/>
      <c r="F1" s="553"/>
      <c r="G1" s="553"/>
      <c r="H1" s="553"/>
    </row>
    <row r="2" spans="1:14" ht="13.15">
      <c r="B2" s="554"/>
      <c r="C2" s="555" t="s">
        <v>768</v>
      </c>
      <c r="D2" s="556"/>
      <c r="E2" s="557"/>
      <c r="F2" s="557"/>
      <c r="G2" s="557"/>
      <c r="H2" s="557"/>
      <c r="I2" s="557"/>
      <c r="J2" s="557"/>
      <c r="K2" s="557"/>
      <c r="L2" s="557"/>
      <c r="M2" s="558"/>
    </row>
    <row r="3" spans="1:14" ht="13.15">
      <c r="B3" s="554"/>
      <c r="C3" s="559"/>
      <c r="D3" s="560"/>
      <c r="E3" s="560"/>
      <c r="F3" s="560"/>
      <c r="G3" s="560"/>
      <c r="H3" s="560"/>
      <c r="I3" s="560"/>
      <c r="J3" s="560"/>
      <c r="K3" s="560"/>
      <c r="L3" s="560"/>
      <c r="M3" s="561"/>
    </row>
    <row r="4" spans="1:14" ht="13.15">
      <c r="B4" s="554"/>
      <c r="C4" s="622" t="s">
        <v>769</v>
      </c>
      <c r="D4" s="562" t="s">
        <v>770</v>
      </c>
      <c r="E4" s="562" t="s">
        <v>771</v>
      </c>
      <c r="F4" s="562" t="s">
        <v>772</v>
      </c>
      <c r="G4" s="562" t="s">
        <v>773</v>
      </c>
      <c r="H4" s="562" t="s">
        <v>774</v>
      </c>
      <c r="I4" s="562" t="s">
        <v>775</v>
      </c>
      <c r="J4" s="562" t="s">
        <v>776</v>
      </c>
      <c r="K4" s="562" t="s">
        <v>777</v>
      </c>
      <c r="L4" s="562" t="s">
        <v>778</v>
      </c>
      <c r="M4" s="563" t="s">
        <v>759</v>
      </c>
    </row>
    <row r="5" spans="1:14">
      <c r="B5" s="607" t="str">
        <f>'Rate sheet'!C30</f>
        <v>a)  Inbound Processing</v>
      </c>
      <c r="C5" s="599">
        <f>'Rate sheet'!$E$30*Volume!B7</f>
        <v>1687468.9624073154</v>
      </c>
      <c r="D5" s="600">
        <f>'Rate sheet'!$E$30*Volume!C7</f>
        <v>1636844.893535096</v>
      </c>
      <c r="E5" s="600">
        <f>'Rate sheet'!$E$30*Volume!D7</f>
        <v>1587739.5467290429</v>
      </c>
      <c r="F5" s="600">
        <f>'Rate sheet'!$E$30*Volume!E7</f>
        <v>1635371.7331309142</v>
      </c>
      <c r="G5" s="600">
        <f>'Rate sheet'!$E$30*Volume!F7</f>
        <v>1684432.8851248417</v>
      </c>
      <c r="H5" s="601"/>
      <c r="I5" s="601"/>
      <c r="J5" s="601"/>
      <c r="K5" s="601"/>
      <c r="L5" s="601"/>
      <c r="M5" s="678">
        <f t="shared" ref="M5:M18" si="0">SUM(C5:L5)</f>
        <v>8231858.0209272103</v>
      </c>
      <c r="N5" s="680">
        <f>M5/$M$19</f>
        <v>0.22433791451881763</v>
      </c>
    </row>
    <row r="6" spans="1:14" ht="13.15">
      <c r="A6" s="602"/>
      <c r="B6" s="592" t="str">
        <f>'Rate sheet'!C31</f>
        <v>b)  Inbound DG Processing</v>
      </c>
      <c r="C6" s="591">
        <f>'Rate sheet'!$E$31*Volume!B8</f>
        <v>0</v>
      </c>
      <c r="D6" s="591">
        <f>'Rate sheet'!$E$31*Volume!C8</f>
        <v>0</v>
      </c>
      <c r="E6" s="591">
        <f>'Rate sheet'!$E$31*Volume!D8</f>
        <v>0</v>
      </c>
      <c r="F6" s="591">
        <f>'Rate sheet'!$E$31*Volume!E8</f>
        <v>0</v>
      </c>
      <c r="G6" s="591">
        <f>'Rate sheet'!$E$31*Volume!F8</f>
        <v>0</v>
      </c>
      <c r="H6" s="590"/>
      <c r="I6" s="590"/>
      <c r="J6" s="603"/>
      <c r="K6" s="603"/>
      <c r="L6" s="603"/>
      <c r="M6" s="679">
        <f t="shared" si="0"/>
        <v>0</v>
      </c>
      <c r="N6" s="680">
        <f t="shared" ref="N6:N18" si="1">M6/$M$19</f>
        <v>0</v>
      </c>
    </row>
    <row r="7" spans="1:14" ht="13.15">
      <c r="A7" s="602"/>
      <c r="B7" s="592" t="str">
        <f>'Rate sheet'!C33</f>
        <v>c)  Outbound Processing</v>
      </c>
      <c r="C7" s="591">
        <f>'Rate sheet'!$E$33*Volume!B56</f>
        <v>4575343.976063868</v>
      </c>
      <c r="D7" s="591">
        <f>'Rate sheet'!$E$33*Volume!C56</f>
        <v>4438083.656781951</v>
      </c>
      <c r="E7" s="591">
        <f>'Rate sheet'!$E$33*Volume!D56</f>
        <v>4304941.1470784936</v>
      </c>
      <c r="F7" s="591">
        <f>'Rate sheet'!$E$33*Volume!E56</f>
        <v>4434089.381490848</v>
      </c>
      <c r="G7" s="591">
        <f>'Rate sheet'!$E$33*Volume!F56</f>
        <v>4567112.062935574</v>
      </c>
      <c r="H7" s="590"/>
      <c r="I7" s="590"/>
      <c r="J7" s="591"/>
      <c r="K7" s="591"/>
      <c r="L7" s="591"/>
      <c r="M7" s="676">
        <f t="shared" si="0"/>
        <v>22319570.224350736</v>
      </c>
      <c r="N7" s="680">
        <f t="shared" si="1"/>
        <v>0.60826192875993701</v>
      </c>
    </row>
    <row r="8" spans="1:14" ht="13.15">
      <c r="A8" s="602"/>
      <c r="B8" s="592" t="str">
        <f>'Rate sheet'!C34</f>
        <v>d)  Outbound DG Processing</v>
      </c>
      <c r="C8" s="591">
        <f>'Rate sheet'!$E$37*Volume!B57</f>
        <v>382998.79865514854</v>
      </c>
      <c r="D8" s="591">
        <f>'Rate sheet'!$E$37*Volume!C57</f>
        <v>371508.83469549404</v>
      </c>
      <c r="E8" s="591">
        <f>'Rate sheet'!$E$37*Volume!D57</f>
        <v>360363.56965462922</v>
      </c>
      <c r="F8" s="591">
        <f>'Rate sheet'!$E$37*Volume!E57</f>
        <v>371174.47674426809</v>
      </c>
      <c r="G8" s="591">
        <f>'Rate sheet'!$E$37*Volume!F57</f>
        <v>382309.71104659617</v>
      </c>
      <c r="H8" s="590"/>
      <c r="I8" s="590"/>
      <c r="J8" s="591"/>
      <c r="K8" s="591"/>
      <c r="L8" s="591"/>
      <c r="M8" s="676">
        <f t="shared" si="0"/>
        <v>1868355.3907961361</v>
      </c>
      <c r="N8" s="680">
        <f t="shared" si="1"/>
        <v>5.0917174577797777E-2</v>
      </c>
    </row>
    <row r="9" spans="1:14" ht="13.15">
      <c r="A9" s="602"/>
      <c r="B9" s="592" t="str">
        <f>'Rate sheet'!C36</f>
        <v>e)  Warrenty &amp; Return</v>
      </c>
      <c r="C9" s="591">
        <f>'Rate sheet'!$E$36*Volume!B84</f>
        <v>304469.29604379128</v>
      </c>
      <c r="D9" s="591">
        <f>'Rate sheet'!$E$36*Volume!C84</f>
        <v>295335.21716247755</v>
      </c>
      <c r="E9" s="591">
        <f>'Rate sheet'!$E$36*Volume!D84</f>
        <v>286475.16064760322</v>
      </c>
      <c r="F9" s="591">
        <f>'Rate sheet'!$E$36*Volume!E84</f>
        <v>295069.4154670313</v>
      </c>
      <c r="G9" s="591">
        <f>'Rate sheet'!$E$36*Volume!F84</f>
        <v>303921.49793104222</v>
      </c>
      <c r="H9" s="590"/>
      <c r="I9" s="590"/>
      <c r="J9" s="591"/>
      <c r="K9" s="591"/>
      <c r="L9" s="591"/>
      <c r="M9" s="676">
        <f t="shared" si="0"/>
        <v>1485270.5872519456</v>
      </c>
      <c r="N9" s="680">
        <f t="shared" si="1"/>
        <v>4.047719302169283E-2</v>
      </c>
    </row>
    <row r="10" spans="1:14" ht="13.15">
      <c r="A10" s="602"/>
      <c r="B10" s="592" t="str">
        <f>'Rate sheet'!C37</f>
        <v>f)   Warrenty &amp; Return DG</v>
      </c>
      <c r="C10" s="591">
        <f>'Rate sheet'!$E$37*Volume!B84*Volume!$J$26</f>
        <v>20822.368270472049</v>
      </c>
      <c r="D10" s="591">
        <f>'Rate sheet'!$E$37*Volume!C84*Volume!$J$26</f>
        <v>20197.697222357889</v>
      </c>
      <c r="E10" s="591">
        <f>'Rate sheet'!$E$37*Volume!D84*Volume!$J$26</f>
        <v>19591.76630568715</v>
      </c>
      <c r="F10" s="591">
        <f>'Rate sheet'!$E$37*Volume!E84*Volume!$J$26</f>
        <v>20179.519294857764</v>
      </c>
      <c r="G10" s="591">
        <f>'Rate sheet'!$E$37*Volume!F84*Volume!$J$26</f>
        <v>20784.904873703497</v>
      </c>
      <c r="H10" s="590"/>
      <c r="I10" s="590"/>
      <c r="J10" s="591"/>
      <c r="K10" s="591"/>
      <c r="L10" s="591"/>
      <c r="M10" s="676">
        <f t="shared" si="0"/>
        <v>101576.25596707835</v>
      </c>
      <c r="N10" s="680">
        <f t="shared" si="1"/>
        <v>2.7681970911492058E-3</v>
      </c>
    </row>
    <row r="11" spans="1:14" ht="13.15">
      <c r="B11" s="592" t="str">
        <f>'Rate sheet'!C39</f>
        <v>g)  Key cutting handling</v>
      </c>
      <c r="C11" s="591">
        <f>'Rate sheet'!$E$39*Volume!B87</f>
        <v>129682.54584480335</v>
      </c>
      <c r="D11" s="591">
        <f>'Rate sheet'!$E$39*Volume!C87</f>
        <v>125765.05227240824</v>
      </c>
      <c r="E11" s="591">
        <f>'Rate sheet'!$E$39*Volume!D87</f>
        <v>116984.46323083302</v>
      </c>
      <c r="F11" s="591">
        <f>'Rate sheet'!$E$39*Volume!E87</f>
        <v>111130.73720311619</v>
      </c>
      <c r="G11" s="591">
        <f>'Rate sheet'!$E$39*Volume!F87</f>
        <v>105547.18314590938</v>
      </c>
      <c r="H11" s="590"/>
      <c r="I11" s="590"/>
      <c r="J11" s="591"/>
      <c r="K11" s="591"/>
      <c r="L11" s="591"/>
      <c r="M11" s="676">
        <f t="shared" si="0"/>
        <v>589109.98169707018</v>
      </c>
      <c r="N11" s="680">
        <f t="shared" si="1"/>
        <v>1.6054662796680923E-2</v>
      </c>
    </row>
    <row r="12" spans="1:14" ht="12" customHeight="1">
      <c r="B12" s="592" t="str">
        <f>'Rate sheet'!C41</f>
        <v>h)  Chinese labelling</v>
      </c>
      <c r="C12" s="591">
        <f>'Rate sheet'!$E$41*Volume!B85</f>
        <v>296497.8</v>
      </c>
      <c r="D12" s="591">
        <f>'Rate sheet'!$E$41*Volume!C85</f>
        <v>287602.86599999998</v>
      </c>
      <c r="E12" s="591">
        <f>'Rate sheet'!$E$41*Volume!D85</f>
        <v>278974.78002000001</v>
      </c>
      <c r="F12" s="591">
        <f>'Rate sheet'!$E$41*Volume!E85</f>
        <v>287344.02342059999</v>
      </c>
      <c r="G12" s="591">
        <f>'Rate sheet'!$E$41*Volume!F85</f>
        <v>295964.34412321798</v>
      </c>
      <c r="H12" s="590"/>
      <c r="I12" s="590"/>
      <c r="J12" s="591"/>
      <c r="K12" s="591"/>
      <c r="L12" s="591"/>
      <c r="M12" s="676">
        <f t="shared" si="0"/>
        <v>1446383.8135638179</v>
      </c>
      <c r="N12" s="680">
        <f t="shared" si="1"/>
        <v>3.9417434982938759E-2</v>
      </c>
    </row>
    <row r="13" spans="1:14" ht="12" customHeight="1">
      <c r="B13" s="592" t="str">
        <f>'Rate sheet'!C43</f>
        <v>i)  Engraved steal seal</v>
      </c>
      <c r="C13" s="591">
        <f>'Rate sheet'!E43*第二轮数据!C60</f>
        <v>540.34394102001397</v>
      </c>
      <c r="D13" s="591">
        <f>C13</f>
        <v>540.34394102001397</v>
      </c>
      <c r="E13" s="591">
        <f t="shared" ref="E13:G13" si="2">D13</f>
        <v>540.34394102001397</v>
      </c>
      <c r="F13" s="591">
        <f t="shared" si="2"/>
        <v>540.34394102001397</v>
      </c>
      <c r="G13" s="591">
        <f t="shared" si="2"/>
        <v>540.34394102001397</v>
      </c>
      <c r="H13" s="590"/>
      <c r="I13" s="590"/>
      <c r="J13" s="591"/>
      <c r="K13" s="591"/>
      <c r="L13" s="591"/>
      <c r="M13" s="676">
        <f t="shared" si="0"/>
        <v>2701.7197051000699</v>
      </c>
      <c r="N13" s="680">
        <f t="shared" si="1"/>
        <v>7.362835494923608E-5</v>
      </c>
    </row>
    <row r="14" spans="1:14" ht="12" customHeight="1">
      <c r="B14" s="592" t="str">
        <f>'Rate sheet'!C45</f>
        <v>j)  Customs inspection</v>
      </c>
      <c r="C14" s="591">
        <f>'Rate sheet'!$E$45*Volume!B86</f>
        <v>16087.744935851082</v>
      </c>
      <c r="D14" s="591">
        <f>'Rate sheet'!$E$45*Volume!C86</f>
        <v>15605.112587775551</v>
      </c>
      <c r="E14" s="591">
        <f>'Rate sheet'!$E$45*Volume!D86</f>
        <v>15131.417875775491</v>
      </c>
      <c r="F14" s="591">
        <f>'Rate sheet'!$E$45*Volume!E86</f>
        <v>15891.116942190682</v>
      </c>
      <c r="G14" s="591">
        <f>'Rate sheet'!$E$45*Volume!F86</f>
        <v>16686.566552907763</v>
      </c>
      <c r="H14" s="590"/>
      <c r="I14" s="590"/>
      <c r="J14" s="591"/>
      <c r="K14" s="591"/>
      <c r="L14" s="591"/>
      <c r="M14" s="676">
        <f t="shared" si="0"/>
        <v>79401.958894500567</v>
      </c>
      <c r="N14" s="680">
        <f t="shared" si="1"/>
        <v>2.1638942049069447E-3</v>
      </c>
    </row>
    <row r="15" spans="1:14">
      <c r="B15" s="592" t="s">
        <v>784</v>
      </c>
      <c r="C15" s="591" cm="1">
        <f t="array" ref="C15:D15">'Rate sheet'!O53:P53+'Rate sheet'!O54:P54+'Rate sheet'!O55:P55</f>
        <v>569783.57219967386</v>
      </c>
      <c r="D15" s="591">
        <v>0</v>
      </c>
      <c r="E15" s="591"/>
      <c r="F15" s="591"/>
      <c r="G15" s="591"/>
      <c r="H15" s="591"/>
      <c r="I15" s="591"/>
      <c r="J15" s="591"/>
      <c r="K15" s="591"/>
      <c r="L15" s="591"/>
      <c r="M15" s="676">
        <f t="shared" si="0"/>
        <v>569783.57219967386</v>
      </c>
      <c r="N15" s="680">
        <f t="shared" si="1"/>
        <v>1.5527971691129737E-2</v>
      </c>
    </row>
    <row r="16" spans="1:14">
      <c r="B16" s="592" t="s">
        <v>787</v>
      </c>
      <c r="C16" s="591"/>
      <c r="D16" s="591"/>
      <c r="E16" s="591"/>
      <c r="F16" s="591"/>
      <c r="G16" s="591"/>
      <c r="H16" s="591"/>
      <c r="I16" s="591"/>
      <c r="J16" s="591"/>
      <c r="K16" s="591"/>
      <c r="L16" s="591"/>
      <c r="M16" s="676">
        <f t="shared" si="0"/>
        <v>0</v>
      </c>
      <c r="N16" s="680">
        <f t="shared" si="1"/>
        <v>0</v>
      </c>
    </row>
    <row r="17" spans="1:16">
      <c r="B17" s="592"/>
      <c r="C17" s="591"/>
      <c r="D17" s="591"/>
      <c r="E17" s="591"/>
      <c r="F17" s="591"/>
      <c r="G17" s="591"/>
      <c r="H17" s="591"/>
      <c r="I17" s="591"/>
      <c r="J17" s="591"/>
      <c r="K17" s="591"/>
      <c r="L17" s="591"/>
      <c r="M17" s="676">
        <f t="shared" si="0"/>
        <v>0</v>
      </c>
      <c r="N17" s="680">
        <f t="shared" si="1"/>
        <v>0</v>
      </c>
    </row>
    <row r="18" spans="1:16" ht="13.15">
      <c r="B18" s="593"/>
      <c r="C18" s="590"/>
      <c r="D18" s="590"/>
      <c r="E18" s="590"/>
      <c r="F18" s="590"/>
      <c r="G18" s="590"/>
      <c r="H18" s="590"/>
      <c r="I18" s="590"/>
      <c r="J18" s="590"/>
      <c r="K18" s="590"/>
      <c r="L18" s="590"/>
      <c r="M18" s="677">
        <f t="shared" si="0"/>
        <v>0</v>
      </c>
      <c r="N18" s="680">
        <f t="shared" si="1"/>
        <v>0</v>
      </c>
    </row>
    <row r="19" spans="1:16" ht="13.15">
      <c r="B19" s="594" t="s">
        <v>779</v>
      </c>
      <c r="C19" s="595">
        <f>SUM(C5:C18)</f>
        <v>7983695.4083619434</v>
      </c>
      <c r="D19" s="608">
        <f t="shared" ref="D19:I19" si="3">SUM(D5:D18)</f>
        <v>7191483.67419858</v>
      </c>
      <c r="E19" s="608">
        <f t="shared" si="3"/>
        <v>6970742.1954830857</v>
      </c>
      <c r="F19" s="608">
        <f t="shared" si="3"/>
        <v>7170790.7476348467</v>
      </c>
      <c r="G19" s="608">
        <f t="shared" si="3"/>
        <v>7377299.4996748129</v>
      </c>
      <c r="H19" s="608">
        <f t="shared" si="3"/>
        <v>0</v>
      </c>
      <c r="I19" s="608">
        <f t="shared" si="3"/>
        <v>0</v>
      </c>
      <c r="J19" s="596">
        <v>0</v>
      </c>
      <c r="K19" s="596">
        <v>0</v>
      </c>
      <c r="L19" s="596">
        <v>0</v>
      </c>
      <c r="M19" s="597">
        <f>SUM(C19:L19)</f>
        <v>36694011.525353268</v>
      </c>
    </row>
    <row r="20" spans="1:16" ht="13.15">
      <c r="B20" s="615"/>
      <c r="C20" s="616"/>
      <c r="D20" s="616"/>
      <c r="E20" s="617"/>
      <c r="F20" s="617"/>
      <c r="G20" s="617"/>
      <c r="H20" s="617"/>
      <c r="I20" s="617"/>
      <c r="J20" s="616"/>
      <c r="K20" s="616"/>
      <c r="L20" s="616"/>
      <c r="M20" s="615"/>
    </row>
    <row r="21" spans="1:16" ht="13.15">
      <c r="B21" s="620" t="s">
        <v>792</v>
      </c>
      <c r="C21" s="618"/>
      <c r="D21" s="619"/>
      <c r="E21" s="619"/>
      <c r="F21" s="619"/>
      <c r="G21" s="619"/>
      <c r="H21" s="619"/>
      <c r="I21" s="619"/>
      <c r="J21" s="619"/>
      <c r="K21" s="619"/>
      <c r="L21" s="619"/>
      <c r="M21" s="619"/>
    </row>
    <row r="22" spans="1:16" ht="13.15">
      <c r="B22" s="621" t="s">
        <v>780</v>
      </c>
      <c r="C22" s="565">
        <f>SUM(C23:C24)</f>
        <v>4729186.0168287242</v>
      </c>
      <c r="D22" s="565">
        <f t="shared" ref="D22:G22" si="4">SUM(D23:D24)</f>
        <v>4897287.9068665337</v>
      </c>
      <c r="E22" s="565">
        <f t="shared" si="4"/>
        <v>4894762.8288223781</v>
      </c>
      <c r="F22" s="589">
        <f t="shared" si="4"/>
        <v>4994782.527598164</v>
      </c>
      <c r="G22" s="565">
        <f t="shared" si="4"/>
        <v>5202365.5651489291</v>
      </c>
      <c r="H22" s="565">
        <f t="shared" ref="H22:I22" si="5">SUM(H23:H26)</f>
        <v>0</v>
      </c>
      <c r="I22" s="565">
        <f t="shared" si="5"/>
        <v>0</v>
      </c>
      <c r="J22" s="565">
        <v>0</v>
      </c>
      <c r="K22" s="565">
        <v>0</v>
      </c>
      <c r="L22" s="565">
        <v>0</v>
      </c>
      <c r="M22" s="566">
        <f>SUM(C22:K22)</f>
        <v>24718384.845264733</v>
      </c>
      <c r="P22" s="604"/>
    </row>
    <row r="23" spans="1:16">
      <c r="B23" s="567" t="s">
        <v>785</v>
      </c>
      <c r="C23" s="568">
        <f>SUM(Process!AB:AB)</f>
        <v>3319786.0168287242</v>
      </c>
      <c r="D23" s="568">
        <f>SUM(Process!AC:AC)</f>
        <v>3445605.9068665337</v>
      </c>
      <c r="E23" s="568">
        <f>SUM(Process!AD:AD)</f>
        <v>3399530.3688223781</v>
      </c>
      <c r="F23" s="568">
        <f>SUM(Process!AE:AE)</f>
        <v>3454693.0937981643</v>
      </c>
      <c r="G23" s="568">
        <f>SUM(Process!AF:AF)</f>
        <v>3616073.4483349286</v>
      </c>
      <c r="H23" s="568">
        <f>$P$23*W23</f>
        <v>0</v>
      </c>
      <c r="I23" s="568">
        <f>$P$23*X23</f>
        <v>0</v>
      </c>
      <c r="J23" s="568">
        <v>0</v>
      </c>
      <c r="K23" s="568">
        <v>0</v>
      </c>
      <c r="L23" s="568">
        <v>0</v>
      </c>
      <c r="M23" s="569">
        <f>SUM(C23:L23)</f>
        <v>17235688.834650729</v>
      </c>
      <c r="P23" s="602"/>
    </row>
    <row r="24" spans="1:16">
      <c r="B24" s="567" t="s">
        <v>786</v>
      </c>
      <c r="C24" s="568">
        <f>SUM(Parameter!V19:V22)</f>
        <v>1409400</v>
      </c>
      <c r="D24" s="568">
        <f>SUM(Parameter!W19:W22)</f>
        <v>1451682</v>
      </c>
      <c r="E24" s="568">
        <f>SUM(Parameter!X19:X22)</f>
        <v>1495232.46</v>
      </c>
      <c r="F24" s="568">
        <f>SUM(Parameter!Y19:Y22)</f>
        <v>1540089.4338</v>
      </c>
      <c r="G24" s="568">
        <f>SUM(Parameter!Z19:Z22)</f>
        <v>1586292.1168140003</v>
      </c>
      <c r="H24" s="568">
        <f>$P$23*W24</f>
        <v>0</v>
      </c>
      <c r="I24" s="568">
        <f>$P$23*X24</f>
        <v>0</v>
      </c>
      <c r="J24" s="568">
        <v>0</v>
      </c>
      <c r="K24" s="568">
        <v>0</v>
      </c>
      <c r="L24" s="568">
        <v>0</v>
      </c>
      <c r="M24" s="569">
        <f t="shared" ref="M24:M43" si="6">SUM(C24:L24)</f>
        <v>7482696.0106140003</v>
      </c>
    </row>
    <row r="25" spans="1:16">
      <c r="B25" s="567"/>
      <c r="C25" s="568"/>
      <c r="D25" s="568"/>
      <c r="E25" s="568"/>
      <c r="F25" s="568"/>
      <c r="G25" s="568"/>
      <c r="H25" s="568"/>
      <c r="I25" s="568"/>
      <c r="J25" s="568"/>
      <c r="K25" s="568"/>
      <c r="L25" s="568"/>
      <c r="M25" s="569"/>
    </row>
    <row r="26" spans="1:16" ht="13.15">
      <c r="B26" s="611" t="s">
        <v>797</v>
      </c>
      <c r="C26" s="614"/>
      <c r="D26" s="614"/>
      <c r="E26" s="614"/>
      <c r="F26" s="614"/>
      <c r="G26" s="614"/>
      <c r="H26" s="612"/>
      <c r="I26" s="612"/>
      <c r="J26" s="612"/>
      <c r="K26" s="612"/>
      <c r="L26" s="612"/>
      <c r="M26" s="613"/>
    </row>
    <row r="27" spans="1:16" ht="13.15">
      <c r="B27" s="625"/>
      <c r="C27" s="626"/>
      <c r="D27" s="626"/>
      <c r="E27" s="626"/>
      <c r="F27" s="626"/>
      <c r="G27" s="626"/>
      <c r="H27" s="627"/>
      <c r="I27" s="627"/>
      <c r="J27" s="627"/>
      <c r="K27" s="627"/>
      <c r="L27" s="627"/>
      <c r="M27" s="628"/>
    </row>
    <row r="28" spans="1:16" ht="13.15">
      <c r="B28" s="621" t="s">
        <v>793</v>
      </c>
      <c r="C28" s="609">
        <f>C29+C30</f>
        <v>2741746.1313245813</v>
      </c>
      <c r="D28" s="609">
        <f t="shared" ref="D28:G28" si="7">D29+D30</f>
        <v>1706584.0138129266</v>
      </c>
      <c r="E28" s="609">
        <f t="shared" si="7"/>
        <v>1700317.3297796003</v>
      </c>
      <c r="F28" s="609">
        <f t="shared" si="7"/>
        <v>1561161.795181958</v>
      </c>
      <c r="G28" s="609">
        <f t="shared" si="7"/>
        <v>1555929.795181958</v>
      </c>
      <c r="H28" s="609">
        <v>0</v>
      </c>
      <c r="I28" s="609">
        <v>0</v>
      </c>
      <c r="J28" s="609">
        <v>0</v>
      </c>
      <c r="K28" s="571">
        <v>0</v>
      </c>
      <c r="L28" s="571">
        <v>0</v>
      </c>
      <c r="M28" s="569">
        <f t="shared" si="6"/>
        <v>9265739.0652810242</v>
      </c>
    </row>
    <row r="29" spans="1:16">
      <c r="A29" s="604"/>
      <c r="B29" s="570" t="s">
        <v>794</v>
      </c>
      <c r="C29" s="568">
        <f>SUMIF('MHE&amp;INV list'!$B:$B,"Lease/Consume",'MHE&amp;INV list'!K:K)</f>
        <v>1577782.662493156</v>
      </c>
      <c r="D29" s="568">
        <f>SUMIF('MHE&amp;INV list'!$B:$B,"Lease/Consume",'MHE&amp;INV list'!L:L)</f>
        <v>1571625.795181958</v>
      </c>
      <c r="E29" s="568">
        <f>SUMIF('MHE&amp;INV list'!$B:$B,"Lease/Consume",'MHE&amp;INV list'!M:M)</f>
        <v>1566393.795181958</v>
      </c>
      <c r="F29" s="568">
        <f>SUMIF('MHE&amp;INV list'!$B:$B,"Lease/Consume",'MHE&amp;INV list'!N:N)</f>
        <v>1561161.795181958</v>
      </c>
      <c r="G29" s="568">
        <f>SUMIF('MHE&amp;INV list'!$B:$B,"Lease/Consume",'MHE&amp;INV list'!O:O)</f>
        <v>1555929.795181958</v>
      </c>
      <c r="H29" s="571">
        <v>0</v>
      </c>
      <c r="I29" s="571">
        <v>0</v>
      </c>
      <c r="J29" s="571">
        <v>0</v>
      </c>
      <c r="K29" s="571">
        <v>0</v>
      </c>
      <c r="L29" s="571">
        <v>0</v>
      </c>
      <c r="M29" s="572">
        <f t="shared" si="6"/>
        <v>7832893.8432209883</v>
      </c>
    </row>
    <row r="30" spans="1:16">
      <c r="A30" s="573"/>
      <c r="B30" s="570" t="s">
        <v>795</v>
      </c>
      <c r="C30" s="571">
        <f>SUMIF('MHE&amp;INV list'!$B:$B,"Purchase",'MHE&amp;INV list'!K:K)</f>
        <v>1163963.4688314253</v>
      </c>
      <c r="D30" s="571">
        <f>SUMIF('MHE&amp;INV list'!$B:$B,"Purchase",'MHE&amp;INV list'!L:L)</f>
        <v>134958.21863096853</v>
      </c>
      <c r="E30" s="571">
        <f>SUMIF('MHE&amp;INV list'!$B:$B,"Purchase",'MHE&amp;INV list'!M:M)</f>
        <v>133923.53459764225</v>
      </c>
      <c r="F30" s="571">
        <f>SUMIF('MHE&amp;INV list'!$B:$B,"Purchase",'MHE&amp;INV list'!N:N)</f>
        <v>0</v>
      </c>
      <c r="G30" s="571">
        <f>SUMIF('MHE&amp;INV list'!$B:$B,"Purchase",'MHE&amp;INV list'!O:O)</f>
        <v>0</v>
      </c>
      <c r="H30" s="571">
        <v>0</v>
      </c>
      <c r="I30" s="571">
        <v>0</v>
      </c>
      <c r="J30" s="574">
        <v>0</v>
      </c>
      <c r="K30" s="574">
        <v>0</v>
      </c>
      <c r="L30" s="575">
        <v>0</v>
      </c>
      <c r="M30" s="572">
        <f t="shared" si="6"/>
        <v>1432845.2220600361</v>
      </c>
      <c r="O30" s="553"/>
      <c r="P30" s="604"/>
    </row>
    <row r="31" spans="1:16">
      <c r="B31" s="570"/>
      <c r="C31" s="574"/>
      <c r="D31" s="574"/>
      <c r="E31" s="577"/>
      <c r="F31" s="577"/>
      <c r="G31" s="577"/>
      <c r="H31" s="577"/>
      <c r="I31" s="577"/>
      <c r="J31" s="574"/>
      <c r="K31" s="574"/>
      <c r="L31" s="575"/>
      <c r="M31" s="578">
        <f t="shared" si="6"/>
        <v>0</v>
      </c>
    </row>
    <row r="32" spans="1:16" ht="13.15">
      <c r="B32" s="621" t="s">
        <v>782</v>
      </c>
      <c r="C32" s="579">
        <f>C34</f>
        <v>0</v>
      </c>
      <c r="D32" s="579">
        <f t="shared" ref="D32:I32" si="8">D34</f>
        <v>0</v>
      </c>
      <c r="E32" s="579">
        <f t="shared" si="8"/>
        <v>0</v>
      </c>
      <c r="F32" s="589">
        <f t="shared" si="8"/>
        <v>0</v>
      </c>
      <c r="G32" s="579">
        <f t="shared" si="8"/>
        <v>0</v>
      </c>
      <c r="H32" s="579">
        <f t="shared" si="8"/>
        <v>0</v>
      </c>
      <c r="I32" s="579">
        <f t="shared" si="8"/>
        <v>0</v>
      </c>
      <c r="J32" s="574">
        <v>0</v>
      </c>
      <c r="K32" s="574">
        <v>0</v>
      </c>
      <c r="L32" s="575">
        <v>0</v>
      </c>
      <c r="M32" s="580">
        <f t="shared" si="6"/>
        <v>0</v>
      </c>
      <c r="O32" s="605"/>
      <c r="P32" s="604"/>
    </row>
    <row r="33" spans="2:16">
      <c r="B33" s="570" t="s">
        <v>783</v>
      </c>
      <c r="C33" s="574">
        <v>0</v>
      </c>
      <c r="D33" s="574">
        <v>0</v>
      </c>
      <c r="E33" s="574">
        <v>0</v>
      </c>
      <c r="F33" s="574">
        <v>0</v>
      </c>
      <c r="G33" s="574">
        <v>0</v>
      </c>
      <c r="H33" s="574">
        <v>0</v>
      </c>
      <c r="I33" s="574">
        <v>0</v>
      </c>
      <c r="J33" s="574">
        <v>0</v>
      </c>
      <c r="K33" s="574">
        <v>0</v>
      </c>
      <c r="L33" s="574">
        <v>0</v>
      </c>
      <c r="M33" s="578">
        <f t="shared" si="6"/>
        <v>0</v>
      </c>
      <c r="O33" s="605"/>
    </row>
    <row r="34" spans="2:16">
      <c r="B34" s="570" t="s">
        <v>781</v>
      </c>
      <c r="C34" s="571">
        <v>0</v>
      </c>
      <c r="D34" s="571">
        <v>0</v>
      </c>
      <c r="E34" s="571">
        <v>0</v>
      </c>
      <c r="F34" s="571">
        <v>0</v>
      </c>
      <c r="G34" s="571">
        <v>0</v>
      </c>
      <c r="H34" s="571">
        <v>0</v>
      </c>
      <c r="I34" s="571">
        <v>0</v>
      </c>
      <c r="J34" s="574">
        <v>0</v>
      </c>
      <c r="K34" s="574">
        <v>0</v>
      </c>
      <c r="L34" s="575">
        <v>0</v>
      </c>
      <c r="M34" s="572">
        <f t="shared" si="6"/>
        <v>0</v>
      </c>
    </row>
    <row r="35" spans="2:16">
      <c r="B35" s="576"/>
      <c r="C35" s="574"/>
      <c r="D35" s="574"/>
      <c r="E35" s="574"/>
      <c r="F35" s="574"/>
      <c r="G35" s="574"/>
      <c r="H35" s="574"/>
      <c r="I35" s="574"/>
      <c r="J35" s="574"/>
      <c r="K35" s="574"/>
      <c r="L35" s="575"/>
      <c r="M35" s="578">
        <f t="shared" si="6"/>
        <v>0</v>
      </c>
    </row>
    <row r="36" spans="2:16" ht="13.15">
      <c r="B36" s="621" t="s">
        <v>787</v>
      </c>
      <c r="C36" s="571">
        <v>0</v>
      </c>
      <c r="D36" s="571">
        <v>0</v>
      </c>
      <c r="E36" s="571">
        <v>0</v>
      </c>
      <c r="F36" s="571">
        <v>0</v>
      </c>
      <c r="G36" s="571">
        <v>0</v>
      </c>
      <c r="H36" s="571">
        <v>0</v>
      </c>
      <c r="I36" s="571">
        <v>0</v>
      </c>
      <c r="J36" s="574">
        <v>0</v>
      </c>
      <c r="K36" s="574">
        <v>0</v>
      </c>
      <c r="L36" s="575">
        <v>0</v>
      </c>
      <c r="M36" s="566">
        <f t="shared" si="6"/>
        <v>0</v>
      </c>
    </row>
    <row r="37" spans="2:16">
      <c r="B37" s="570"/>
      <c r="C37" s="568"/>
      <c r="D37" s="568"/>
      <c r="E37" s="581"/>
      <c r="F37" s="574"/>
      <c r="G37" s="574"/>
      <c r="H37" s="574"/>
      <c r="I37" s="574"/>
      <c r="J37" s="574"/>
      <c r="K37" s="574"/>
      <c r="L37" s="575"/>
      <c r="M37" s="572">
        <f t="shared" si="6"/>
        <v>0</v>
      </c>
    </row>
    <row r="38" spans="2:16" ht="13.15">
      <c r="B38" s="564" t="s">
        <v>788</v>
      </c>
      <c r="C38" s="579">
        <f>Startup!D2+Startup!D18+Startup!D32</f>
        <v>387360.43497411063</v>
      </c>
      <c r="D38" s="579">
        <v>0</v>
      </c>
      <c r="E38" s="579">
        <v>0</v>
      </c>
      <c r="F38" s="579">
        <v>0</v>
      </c>
      <c r="G38" s="579">
        <v>0</v>
      </c>
      <c r="H38" s="579">
        <v>0</v>
      </c>
      <c r="I38" s="579">
        <v>0</v>
      </c>
      <c r="J38" s="579">
        <v>0</v>
      </c>
      <c r="K38" s="579">
        <v>0</v>
      </c>
      <c r="L38" s="579">
        <v>0</v>
      </c>
      <c r="M38" s="580">
        <f t="shared" si="6"/>
        <v>387360.43497411063</v>
      </c>
    </row>
    <row r="39" spans="2:16" ht="13.15">
      <c r="B39" s="576"/>
      <c r="C39" s="574"/>
      <c r="D39" s="574"/>
      <c r="E39" s="574"/>
      <c r="F39" s="574"/>
      <c r="G39" s="579"/>
      <c r="H39" s="574"/>
      <c r="I39" s="574"/>
      <c r="J39" s="574"/>
      <c r="K39" s="574"/>
      <c r="L39" s="574"/>
      <c r="M39" s="578">
        <f t="shared" si="6"/>
        <v>0</v>
      </c>
    </row>
    <row r="40" spans="2:16" ht="13.15">
      <c r="B40" s="564"/>
      <c r="C40" s="582"/>
      <c r="D40" s="582"/>
      <c r="E40" s="582"/>
      <c r="F40" s="582"/>
      <c r="G40" s="582"/>
      <c r="H40" s="582"/>
      <c r="I40" s="582"/>
      <c r="J40" s="565"/>
      <c r="K40" s="565"/>
      <c r="L40" s="565"/>
      <c r="M40" s="566">
        <f t="shared" si="6"/>
        <v>0</v>
      </c>
    </row>
    <row r="41" spans="2:16" ht="13.15">
      <c r="B41" s="583"/>
      <c r="C41" s="582"/>
      <c r="D41" s="584"/>
      <c r="E41" s="582"/>
      <c r="F41" s="582"/>
      <c r="G41" s="582"/>
      <c r="H41" s="582"/>
      <c r="I41" s="582"/>
      <c r="J41" s="565"/>
      <c r="K41" s="565"/>
      <c r="L41" s="565"/>
      <c r="M41" s="566">
        <f t="shared" si="6"/>
        <v>0</v>
      </c>
    </row>
    <row r="42" spans="2:16" ht="13.15">
      <c r="B42" s="564"/>
      <c r="C42" s="609"/>
      <c r="D42" s="610"/>
      <c r="E42" s="610"/>
      <c r="F42" s="610"/>
      <c r="G42" s="610"/>
      <c r="H42" s="610"/>
      <c r="I42" s="610"/>
      <c r="J42" s="610"/>
      <c r="K42" s="610"/>
      <c r="L42" s="610"/>
      <c r="M42" s="566">
        <f t="shared" si="6"/>
        <v>0</v>
      </c>
    </row>
    <row r="43" spans="2:16" ht="13.15">
      <c r="B43" s="564"/>
      <c r="C43" s="609"/>
      <c r="D43" s="610"/>
      <c r="E43" s="610"/>
      <c r="F43" s="610"/>
      <c r="G43" s="610"/>
      <c r="H43" s="610"/>
      <c r="I43" s="610"/>
      <c r="J43" s="610"/>
      <c r="K43" s="610"/>
      <c r="L43" s="610"/>
      <c r="M43" s="566">
        <f t="shared" si="6"/>
        <v>0</v>
      </c>
    </row>
    <row r="44" spans="2:16" ht="13.15">
      <c r="B44" s="585" t="s">
        <v>790</v>
      </c>
      <c r="C44" s="586">
        <f>C38+C36+C32+C28+C22</f>
        <v>7858292.5831274167</v>
      </c>
      <c r="D44" s="586">
        <f t="shared" ref="D44:M44" si="9">D38+D36+D32+D28+D22</f>
        <v>6603871.9206794603</v>
      </c>
      <c r="E44" s="586">
        <f t="shared" si="9"/>
        <v>6595080.1586019788</v>
      </c>
      <c r="F44" s="586">
        <f t="shared" si="9"/>
        <v>6555944.322780122</v>
      </c>
      <c r="G44" s="586">
        <f t="shared" si="9"/>
        <v>6758295.3603308871</v>
      </c>
      <c r="H44" s="586">
        <f t="shared" si="9"/>
        <v>0</v>
      </c>
      <c r="I44" s="586">
        <f t="shared" si="9"/>
        <v>0</v>
      </c>
      <c r="J44" s="586">
        <f t="shared" si="9"/>
        <v>0</v>
      </c>
      <c r="K44" s="586">
        <f t="shared" si="9"/>
        <v>0</v>
      </c>
      <c r="L44" s="586">
        <f t="shared" si="9"/>
        <v>0</v>
      </c>
      <c r="M44" s="587">
        <f t="shared" si="9"/>
        <v>34371484.345519871</v>
      </c>
      <c r="O44" s="606"/>
      <c r="P44" s="604"/>
    </row>
    <row r="45" spans="2:16" ht="13.15">
      <c r="B45" s="585" t="s">
        <v>789</v>
      </c>
      <c r="C45" s="586">
        <f>C19-C44</f>
        <v>125402.82523452677</v>
      </c>
      <c r="D45" s="586">
        <f t="shared" ref="D45:I45" si="10">D19-D44</f>
        <v>587611.75351911969</v>
      </c>
      <c r="E45" s="586">
        <f t="shared" si="10"/>
        <v>375662.03688110691</v>
      </c>
      <c r="F45" s="586">
        <f t="shared" si="10"/>
        <v>614846.42485472467</v>
      </c>
      <c r="G45" s="586">
        <f t="shared" si="10"/>
        <v>619004.13934392575</v>
      </c>
      <c r="H45" s="586">
        <f t="shared" si="10"/>
        <v>0</v>
      </c>
      <c r="I45" s="586">
        <f t="shared" si="10"/>
        <v>0</v>
      </c>
      <c r="J45" s="586">
        <v>0</v>
      </c>
      <c r="K45" s="586">
        <v>0</v>
      </c>
      <c r="L45" s="586">
        <v>0</v>
      </c>
      <c r="M45" s="587">
        <f>SUM(C45:L45)</f>
        <v>2322527.1798334038</v>
      </c>
      <c r="P45" s="588"/>
    </row>
    <row r="46" spans="2:16" ht="13.15">
      <c r="B46" s="611" t="s">
        <v>791</v>
      </c>
      <c r="C46" s="614">
        <f>C45/C19</f>
        <v>1.5707365927710951E-2</v>
      </c>
      <c r="D46" s="614">
        <f>D45/D19</f>
        <v>8.1709391293946484E-2</v>
      </c>
      <c r="E46" s="614">
        <f>E45/E19</f>
        <v>5.3891253807166917E-2</v>
      </c>
      <c r="F46" s="614">
        <f>F45/F19</f>
        <v>8.5743183212746862E-2</v>
      </c>
      <c r="G46" s="614">
        <f>G45/G19</f>
        <v>8.3906602866158697E-2</v>
      </c>
      <c r="H46" s="612" t="e">
        <f t="shared" ref="H46:M46" si="11">H45/H19</f>
        <v>#DIV/0!</v>
      </c>
      <c r="I46" s="612" t="e">
        <f t="shared" si="11"/>
        <v>#DIV/0!</v>
      </c>
      <c r="J46" s="612" t="e">
        <f t="shared" si="11"/>
        <v>#DIV/0!</v>
      </c>
      <c r="K46" s="612" t="e">
        <f t="shared" si="11"/>
        <v>#DIV/0!</v>
      </c>
      <c r="L46" s="612" t="e">
        <f t="shared" si="11"/>
        <v>#DIV/0!</v>
      </c>
      <c r="M46" s="613">
        <f t="shared" si="11"/>
        <v>6.3294447330422915E-2</v>
      </c>
    </row>
    <row r="51" spans="3:10">
      <c r="C51" s="588"/>
      <c r="D51" s="588"/>
      <c r="E51" s="588"/>
      <c r="F51" s="588"/>
      <c r="G51" s="588"/>
      <c r="H51" s="588"/>
      <c r="I51" s="588"/>
    </row>
    <row r="52" spans="3:10">
      <c r="C52" s="604"/>
      <c r="D52" s="604"/>
      <c r="E52" s="604"/>
      <c r="F52" s="604"/>
      <c r="G52" s="604"/>
      <c r="H52" s="604"/>
      <c r="I52" s="604"/>
      <c r="J52" s="604"/>
    </row>
  </sheetData>
  <phoneticPr fontId="2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U46"/>
  <sheetViews>
    <sheetView showGridLines="0" topLeftCell="B1" zoomScale="85" zoomScaleNormal="85" workbookViewId="0">
      <selection activeCell="S24" sqref="S24"/>
    </sheetView>
  </sheetViews>
  <sheetFormatPr defaultRowHeight="12.75"/>
  <cols>
    <col min="1" max="1" width="22.265625" bestFit="1" customWidth="1"/>
    <col min="2" max="2" width="13" bestFit="1" customWidth="1"/>
    <col min="3" max="3" width="11.73046875" bestFit="1" customWidth="1"/>
    <col min="4" max="4" width="11.06640625" customWidth="1"/>
    <col min="5" max="5" width="22.265625" bestFit="1" customWidth="1"/>
    <col min="6" max="6" width="9.265625" bestFit="1" customWidth="1"/>
    <col min="7" max="7" width="8.19921875" bestFit="1" customWidth="1"/>
    <col min="8" max="8" width="7.6640625" bestFit="1" customWidth="1"/>
    <col min="9" max="9" width="9.1328125" bestFit="1" customWidth="1"/>
    <col min="10" max="10" width="14.3984375" bestFit="1" customWidth="1"/>
    <col min="11" max="11" width="8.6640625" bestFit="1" customWidth="1"/>
    <col min="12" max="12" width="8.33203125" bestFit="1" customWidth="1"/>
    <col min="13" max="13" width="7.19921875" bestFit="1" customWidth="1"/>
    <col min="14" max="14" width="11.53125" customWidth="1"/>
    <col min="15" max="15" width="10.265625" customWidth="1"/>
    <col min="16" max="17" width="15.796875" customWidth="1"/>
    <col min="18" max="18" width="13.796875" bestFit="1" customWidth="1"/>
    <col min="19" max="19" width="13.796875" customWidth="1"/>
    <col min="20" max="20" width="14.33203125" customWidth="1"/>
    <col min="21" max="21" width="10.33203125" customWidth="1"/>
  </cols>
  <sheetData>
    <row r="1" spans="1:21" ht="13.9">
      <c r="A1" s="675" t="s">
        <v>951</v>
      </c>
    </row>
    <row r="2" spans="1:21" ht="13.15">
      <c r="A2" s="521"/>
    </row>
    <row r="3" spans="1:21" ht="13.15">
      <c r="A3" s="521"/>
      <c r="B3" s="521" t="s">
        <v>765</v>
      </c>
      <c r="N3" s="539" t="s">
        <v>765</v>
      </c>
      <c r="O3" s="539" t="s">
        <v>765</v>
      </c>
      <c r="Q3" s="539" t="s">
        <v>765</v>
      </c>
      <c r="R3" s="539" t="s">
        <v>765</v>
      </c>
    </row>
    <row r="4" spans="1:21" ht="13.5" thickBot="1">
      <c r="B4" s="538">
        <v>0.1</v>
      </c>
      <c r="N4" s="538">
        <v>0.1</v>
      </c>
      <c r="O4" s="538">
        <v>0.1</v>
      </c>
      <c r="P4" s="539"/>
      <c r="Q4" s="538">
        <v>0.1</v>
      </c>
      <c r="R4" s="538">
        <v>0.1</v>
      </c>
    </row>
    <row r="5" spans="1:21" ht="26.25">
      <c r="E5" s="517" t="s">
        <v>734</v>
      </c>
      <c r="F5" s="517" t="s">
        <v>733</v>
      </c>
      <c r="N5" s="524" t="s">
        <v>534</v>
      </c>
      <c r="O5" s="524" t="s">
        <v>735</v>
      </c>
      <c r="P5" s="544" t="s">
        <v>766</v>
      </c>
      <c r="Q5" s="670" t="s">
        <v>949</v>
      </c>
      <c r="R5" s="545" t="s">
        <v>758</v>
      </c>
      <c r="S5" s="546" t="s">
        <v>950</v>
      </c>
      <c r="T5" s="547" t="s">
        <v>762</v>
      </c>
      <c r="U5" s="547" t="s">
        <v>764</v>
      </c>
    </row>
    <row r="6" spans="1:21" ht="13.15">
      <c r="A6" s="517" t="s">
        <v>718</v>
      </c>
      <c r="B6" t="s">
        <v>977</v>
      </c>
      <c r="C6" t="s">
        <v>978</v>
      </c>
      <c r="D6" s="550" t="s">
        <v>767</v>
      </c>
      <c r="E6" s="517" t="s">
        <v>718</v>
      </c>
      <c r="F6" t="s">
        <v>464</v>
      </c>
      <c r="G6" t="s">
        <v>639</v>
      </c>
      <c r="H6" t="s">
        <v>455</v>
      </c>
      <c r="I6" t="s">
        <v>643</v>
      </c>
      <c r="J6" t="s">
        <v>644</v>
      </c>
      <c r="K6" t="s">
        <v>564</v>
      </c>
      <c r="L6" t="s">
        <v>678</v>
      </c>
      <c r="M6" t="s">
        <v>636</v>
      </c>
      <c r="N6" s="524" t="s">
        <v>760</v>
      </c>
      <c r="O6" s="624"/>
      <c r="P6" s="548" t="s">
        <v>760</v>
      </c>
      <c r="Q6" s="524" t="s">
        <v>760</v>
      </c>
      <c r="R6" s="524" t="s">
        <v>760</v>
      </c>
      <c r="S6" s="534" t="s">
        <v>760</v>
      </c>
      <c r="T6" s="540" t="s">
        <v>760</v>
      </c>
      <c r="U6" s="540" t="s">
        <v>760</v>
      </c>
    </row>
    <row r="7" spans="1:21" ht="13.15">
      <c r="A7" s="518" t="s">
        <v>719</v>
      </c>
      <c r="B7" s="519">
        <v>206448.15497245517</v>
      </c>
      <c r="C7" s="520">
        <v>6.5891631854730515E-2</v>
      </c>
      <c r="D7" s="549">
        <f>C7/(1-$C$8)</f>
        <v>6.8508680855659587E-2</v>
      </c>
      <c r="E7" s="518" t="s">
        <v>719</v>
      </c>
      <c r="F7" s="520">
        <v>2.0665525689324445E-2</v>
      </c>
      <c r="G7" s="520">
        <v>0</v>
      </c>
      <c r="H7" s="520">
        <v>0.12345471725434108</v>
      </c>
      <c r="I7" s="520">
        <v>0</v>
      </c>
      <c r="J7" s="520">
        <v>0</v>
      </c>
      <c r="K7" s="520">
        <v>0</v>
      </c>
      <c r="L7" s="520">
        <v>0</v>
      </c>
      <c r="M7" s="520">
        <v>0</v>
      </c>
      <c r="N7" s="523">
        <f>SUMPRODUCT(F7:M7,$F$22:$M$22)</f>
        <v>4265.3645022765659</v>
      </c>
      <c r="O7" s="624"/>
      <c r="P7" s="528">
        <f>$P$18*D7</f>
        <v>316722.04483400285</v>
      </c>
      <c r="Q7" s="671">
        <f>D7*$Q$18</f>
        <v>106211.7482777633</v>
      </c>
      <c r="R7" s="529">
        <f>$R$18*D7</f>
        <v>72364.332349749558</v>
      </c>
      <c r="S7" s="535">
        <f>P7+Q7+R7</f>
        <v>495298.12546151574</v>
      </c>
      <c r="T7" s="541">
        <f>Volume!B85</f>
        <v>1976652</v>
      </c>
      <c r="U7" s="674">
        <f>S7/T7</f>
        <v>0.25057426672045241</v>
      </c>
    </row>
    <row r="8" spans="1:21" ht="13.15">
      <c r="A8" s="518" t="s">
        <v>81</v>
      </c>
      <c r="B8" s="519">
        <v>135524.91158926609</v>
      </c>
      <c r="C8" s="520">
        <v>3.8200253869183527E-2</v>
      </c>
      <c r="D8" s="549"/>
      <c r="E8" s="518" t="s">
        <v>81</v>
      </c>
      <c r="F8" s="520">
        <v>8.5405102709082404E-4</v>
      </c>
      <c r="G8" s="520">
        <v>8.7221680495494589E-3</v>
      </c>
      <c r="H8" s="520">
        <v>5.7153809683278753E-2</v>
      </c>
      <c r="I8" s="520">
        <v>0</v>
      </c>
      <c r="J8" s="520">
        <v>0.10694336431141443</v>
      </c>
      <c r="K8" s="520">
        <v>2.3448853095378471E-2</v>
      </c>
      <c r="L8" s="520">
        <v>0</v>
      </c>
      <c r="M8" s="520">
        <v>8.7520168897398619E-4</v>
      </c>
      <c r="N8" s="523">
        <f t="shared" ref="N8:N17" si="0">SUMPRODUCT(F8:M8,$F$22:$M$22)</f>
        <v>14960.915140227273</v>
      </c>
      <c r="O8" s="624"/>
      <c r="P8" s="528">
        <f t="shared" ref="P8:P17" si="1">$P$18*D8</f>
        <v>0</v>
      </c>
      <c r="Q8" s="671">
        <f t="shared" ref="Q8:Q17" si="2">D8*$Q$18</f>
        <v>0</v>
      </c>
      <c r="R8" s="529">
        <f t="shared" ref="R8:R17" si="3">$R$18*D8</f>
        <v>0</v>
      </c>
      <c r="S8" s="535">
        <f t="shared" ref="S8:S17" si="4">P8+Q8+R8</f>
        <v>0</v>
      </c>
      <c r="T8" s="541"/>
      <c r="U8" s="551"/>
    </row>
    <row r="9" spans="1:21" ht="13.15">
      <c r="A9" s="518" t="s">
        <v>720</v>
      </c>
      <c r="B9" s="519">
        <v>9491.2114204709633</v>
      </c>
      <c r="C9" s="520">
        <v>2.1402216406495758E-3</v>
      </c>
      <c r="D9" s="656">
        <f t="shared" ref="D9:D17" si="5">C9/(1-$C$8)</f>
        <v>2.2252258323620724E-3</v>
      </c>
      <c r="E9" s="518" t="s">
        <v>720</v>
      </c>
      <c r="F9" s="520">
        <v>0</v>
      </c>
      <c r="G9" s="520">
        <v>0</v>
      </c>
      <c r="H9" s="520">
        <v>4.1520117175377382E-3</v>
      </c>
      <c r="I9" s="520">
        <v>0</v>
      </c>
      <c r="J9" s="520">
        <v>0</v>
      </c>
      <c r="K9" s="520">
        <v>0</v>
      </c>
      <c r="L9" s="520">
        <v>0</v>
      </c>
      <c r="M9" s="520">
        <v>0</v>
      </c>
      <c r="N9" s="523">
        <f t="shared" si="0"/>
        <v>0</v>
      </c>
      <c r="O9" s="624"/>
      <c r="P9" s="528">
        <f t="shared" si="1"/>
        <v>10287.42733096924</v>
      </c>
      <c r="Q9" s="671">
        <f t="shared" si="2"/>
        <v>3449.8566169442161</v>
      </c>
      <c r="R9" s="529">
        <f t="shared" si="3"/>
        <v>2350.4609879376249</v>
      </c>
      <c r="S9" s="535">
        <f t="shared" si="4"/>
        <v>16087.744935851082</v>
      </c>
      <c r="T9" s="541">
        <f>Volume!B86</f>
        <v>1800</v>
      </c>
      <c r="U9" s="551">
        <f t="shared" ref="U9:U16" si="6">S9/T9</f>
        <v>8.9376360754728239</v>
      </c>
    </row>
    <row r="10" spans="1:21" ht="13.15">
      <c r="A10" s="518" t="s">
        <v>647</v>
      </c>
      <c r="B10" s="519">
        <v>255.02734432655942</v>
      </c>
      <c r="C10" s="520">
        <v>7.1884269708166694E-5</v>
      </c>
      <c r="D10" s="656">
        <f t="shared" si="5"/>
        <v>7.4739331131399119E-5</v>
      </c>
      <c r="E10" s="518" t="s">
        <v>647</v>
      </c>
      <c r="F10" s="520">
        <v>0</v>
      </c>
      <c r="G10" s="520">
        <v>0</v>
      </c>
      <c r="H10" s="520">
        <v>1.328643749612076E-4</v>
      </c>
      <c r="I10" s="520">
        <v>0</v>
      </c>
      <c r="J10" s="520">
        <v>0</v>
      </c>
      <c r="K10" s="520">
        <v>0</v>
      </c>
      <c r="L10" s="520">
        <v>0</v>
      </c>
      <c r="M10" s="520">
        <v>3.187721500957867E-5</v>
      </c>
      <c r="N10" s="523">
        <f t="shared" si="0"/>
        <v>0.12865336806342537</v>
      </c>
      <c r="O10" s="624"/>
      <c r="P10" s="528">
        <f t="shared" si="1"/>
        <v>345.52692432271283</v>
      </c>
      <c r="Q10" s="671">
        <f t="shared" si="2"/>
        <v>115.87137462625333</v>
      </c>
      <c r="R10" s="529">
        <f t="shared" si="3"/>
        <v>78.945642071047843</v>
      </c>
      <c r="S10" s="535">
        <f t="shared" si="4"/>
        <v>540.34394102001397</v>
      </c>
      <c r="T10" s="541">
        <f>第二轮数据!C60</f>
        <v>12</v>
      </c>
      <c r="U10" s="551">
        <f t="shared" si="6"/>
        <v>45.028661751667833</v>
      </c>
    </row>
    <row r="11" spans="1:21" ht="13.15">
      <c r="A11" s="518" t="s">
        <v>721</v>
      </c>
      <c r="B11" s="519"/>
      <c r="C11" s="520">
        <v>0</v>
      </c>
      <c r="D11" s="549">
        <f t="shared" si="5"/>
        <v>0</v>
      </c>
      <c r="E11" s="518" t="s">
        <v>721</v>
      </c>
      <c r="F11" s="520">
        <v>0</v>
      </c>
      <c r="G11" s="520">
        <v>0</v>
      </c>
      <c r="H11" s="520">
        <v>0</v>
      </c>
      <c r="I11" s="520">
        <v>0</v>
      </c>
      <c r="J11" s="520">
        <v>0</v>
      </c>
      <c r="K11" s="520">
        <v>0</v>
      </c>
      <c r="L11" s="520">
        <v>0</v>
      </c>
      <c r="M11" s="520">
        <v>0</v>
      </c>
      <c r="N11" s="523">
        <f t="shared" si="0"/>
        <v>0</v>
      </c>
      <c r="O11" s="624"/>
      <c r="P11" s="528">
        <f t="shared" si="1"/>
        <v>0</v>
      </c>
      <c r="Q11" s="671">
        <f t="shared" si="2"/>
        <v>0</v>
      </c>
      <c r="R11" s="529">
        <f t="shared" si="3"/>
        <v>0</v>
      </c>
      <c r="S11" s="535">
        <f t="shared" si="4"/>
        <v>0</v>
      </c>
      <c r="T11" s="541">
        <f>Volume!B8</f>
        <v>13194.539999999999</v>
      </c>
      <c r="U11" s="551">
        <f t="shared" si="6"/>
        <v>0</v>
      </c>
    </row>
    <row r="12" spans="1:21" ht="13.15">
      <c r="A12" s="682" t="s">
        <v>722</v>
      </c>
      <c r="B12" s="683">
        <v>777532.9833718451</v>
      </c>
      <c r="C12" s="684">
        <v>0.22449122643785635</v>
      </c>
      <c r="D12" s="685">
        <f t="shared" si="5"/>
        <v>0.23340745029404783</v>
      </c>
      <c r="E12" s="518" t="s">
        <v>722</v>
      </c>
      <c r="F12" s="520">
        <v>0.50886175178979398</v>
      </c>
      <c r="G12" s="520">
        <v>0.62636912124064448</v>
      </c>
      <c r="H12" s="520">
        <v>5.8743661358561405E-2</v>
      </c>
      <c r="I12" s="520">
        <v>0</v>
      </c>
      <c r="J12" s="520">
        <v>0.31828580916545335</v>
      </c>
      <c r="K12" s="520">
        <v>0</v>
      </c>
      <c r="L12" s="520">
        <v>1</v>
      </c>
      <c r="M12" s="520">
        <v>0.21202592845540927</v>
      </c>
      <c r="N12" s="523">
        <f t="shared" si="0"/>
        <v>443532.28589841787</v>
      </c>
      <c r="O12" s="624"/>
      <c r="P12" s="528">
        <f t="shared" si="1"/>
        <v>1079064.4924600769</v>
      </c>
      <c r="Q12" s="671">
        <f t="shared" si="2"/>
        <v>361860.90648887417</v>
      </c>
      <c r="R12" s="529">
        <f t="shared" si="3"/>
        <v>246543.56345836414</v>
      </c>
      <c r="S12" s="535">
        <f t="shared" si="4"/>
        <v>1687468.9624073154</v>
      </c>
      <c r="T12" s="653">
        <f>Volume!B7</f>
        <v>206714.46</v>
      </c>
      <c r="U12" s="654">
        <f t="shared" si="6"/>
        <v>8.1632845733545469</v>
      </c>
    </row>
    <row r="13" spans="1:21" ht="13.15">
      <c r="A13" s="518" t="s">
        <v>723</v>
      </c>
      <c r="B13" s="519">
        <v>61206.562638374256</v>
      </c>
      <c r="C13" s="520">
        <v>1.7252224729960006E-2</v>
      </c>
      <c r="D13" s="549">
        <f t="shared" si="5"/>
        <v>1.7937439471535786E-2</v>
      </c>
      <c r="E13" s="518" t="s">
        <v>723</v>
      </c>
      <c r="F13" s="520">
        <v>0</v>
      </c>
      <c r="G13" s="520">
        <v>0</v>
      </c>
      <c r="H13" s="520">
        <v>3.1887449990689827E-2</v>
      </c>
      <c r="I13" s="520">
        <v>0</v>
      </c>
      <c r="J13" s="520">
        <v>0</v>
      </c>
      <c r="K13" s="520">
        <v>0</v>
      </c>
      <c r="L13" s="520">
        <v>0</v>
      </c>
      <c r="M13" s="520">
        <v>7.6505316022988804E-3</v>
      </c>
      <c r="N13" s="523">
        <f t="shared" si="0"/>
        <v>30.876808335222087</v>
      </c>
      <c r="O13" s="624"/>
      <c r="P13" s="528">
        <f t="shared" si="1"/>
        <v>82926.461837451076</v>
      </c>
      <c r="Q13" s="671">
        <f t="shared" si="2"/>
        <v>27809.129910300795</v>
      </c>
      <c r="R13" s="529">
        <f t="shared" si="3"/>
        <v>18946.954097051479</v>
      </c>
      <c r="S13" s="535">
        <f t="shared" si="4"/>
        <v>129682.54584480335</v>
      </c>
      <c r="T13" s="541">
        <f>Volume!B87</f>
        <v>2880</v>
      </c>
      <c r="U13" s="551">
        <f t="shared" si="6"/>
        <v>45.028661751667826</v>
      </c>
    </row>
    <row r="14" spans="1:21" ht="13.15">
      <c r="A14" s="682" t="s">
        <v>724</v>
      </c>
      <c r="B14" s="683">
        <v>1939873.2630606131</v>
      </c>
      <c r="C14" s="684">
        <v>0.60867761330339187</v>
      </c>
      <c r="D14" s="685">
        <f t="shared" si="5"/>
        <v>0.63285274897608923</v>
      </c>
      <c r="E14" s="518" t="s">
        <v>724</v>
      </c>
      <c r="F14" s="520">
        <v>0.46961867149379066</v>
      </c>
      <c r="G14" s="520">
        <v>0.36490871070980602</v>
      </c>
      <c r="H14" s="520">
        <v>0.64052246378719901</v>
      </c>
      <c r="I14" s="520">
        <v>1</v>
      </c>
      <c r="J14" s="520">
        <v>0.57477082652313216</v>
      </c>
      <c r="K14" s="520">
        <v>0.97655114690462153</v>
      </c>
      <c r="L14" s="520">
        <v>0</v>
      </c>
      <c r="M14" s="520">
        <v>0.77941646103830819</v>
      </c>
      <c r="N14" s="523">
        <f>SUMPRODUCT(F14:M14,$F$22:$M$22)</f>
        <v>366366.33263653441</v>
      </c>
      <c r="O14" s="523">
        <f>SUM('MHE&amp;INV list'!K13:K14,'MHE&amp;INV list'!K20:K25)*C14/(C15+C14)</f>
        <v>50509.280587117792</v>
      </c>
      <c r="P14" s="528">
        <f t="shared" si="1"/>
        <v>2925737.5011617732</v>
      </c>
      <c r="Q14" s="671">
        <f t="shared" si="2"/>
        <v>981136.93084759032</v>
      </c>
      <c r="R14" s="529">
        <f t="shared" si="3"/>
        <v>668469.54405450483</v>
      </c>
      <c r="S14" s="535">
        <f t="shared" si="4"/>
        <v>4575343.976063868</v>
      </c>
      <c r="T14" s="541">
        <f>Volume!B56</f>
        <v>699921.88</v>
      </c>
      <c r="U14" s="551">
        <f t="shared" si="6"/>
        <v>6.53693520205979</v>
      </c>
    </row>
    <row r="15" spans="1:21" ht="13.15">
      <c r="A15" s="518" t="s">
        <v>725</v>
      </c>
      <c r="B15" s="519">
        <v>179626.3224781609</v>
      </c>
      <c r="C15" s="520">
        <v>4.050485502502725E-2</v>
      </c>
      <c r="D15" s="549">
        <f t="shared" si="5"/>
        <v>4.2113605444347973E-2</v>
      </c>
      <c r="E15" s="518" t="s">
        <v>725</v>
      </c>
      <c r="F15" s="520">
        <v>0</v>
      </c>
      <c r="G15" s="520">
        <v>0</v>
      </c>
      <c r="H15" s="520">
        <v>7.8579073067421859E-2</v>
      </c>
      <c r="I15" s="520">
        <v>0</v>
      </c>
      <c r="J15" s="520">
        <v>0</v>
      </c>
      <c r="K15" s="520">
        <v>0</v>
      </c>
      <c r="L15" s="520">
        <v>0</v>
      </c>
      <c r="M15" s="520">
        <v>0</v>
      </c>
      <c r="N15" s="523">
        <f t="shared" si="0"/>
        <v>0</v>
      </c>
      <c r="O15" s="523">
        <f>SUM('MHE&amp;INV list'!K13:K14,'MHE&amp;INV list'!K20:K25)*C15/(C15+C14)</f>
        <v>3361.1735389714036</v>
      </c>
      <c r="P15" s="528">
        <f t="shared" si="1"/>
        <v>194695.14031030115</v>
      </c>
      <c r="Q15" s="671">
        <f t="shared" si="2"/>
        <v>65290.40706459045</v>
      </c>
      <c r="R15" s="529">
        <f t="shared" si="3"/>
        <v>44483.748668899665</v>
      </c>
      <c r="S15" s="535">
        <f t="shared" si="4"/>
        <v>304469.29604379128</v>
      </c>
      <c r="T15" s="668">
        <f>Volume!B84</f>
        <v>12943</v>
      </c>
      <c r="U15" s="669">
        <f t="shared" si="6"/>
        <v>23.523858150644465</v>
      </c>
    </row>
    <row r="16" spans="1:21" ht="13.15">
      <c r="A16" s="518" t="s">
        <v>726</v>
      </c>
      <c r="B16" s="519">
        <v>9827.5799532124511</v>
      </c>
      <c r="C16" s="520">
        <v>2.7700888694927456E-3</v>
      </c>
      <c r="D16" s="549">
        <f t="shared" si="5"/>
        <v>2.8801097948262296E-3</v>
      </c>
      <c r="E16" s="518" t="s">
        <v>726</v>
      </c>
      <c r="F16" s="520">
        <v>0</v>
      </c>
      <c r="G16" s="520">
        <v>0</v>
      </c>
      <c r="H16" s="520">
        <v>5.3739487660090946E-3</v>
      </c>
      <c r="I16" s="520">
        <v>0</v>
      </c>
      <c r="J16" s="520">
        <v>0</v>
      </c>
      <c r="K16" s="520">
        <v>0</v>
      </c>
      <c r="L16" s="520">
        <v>0</v>
      </c>
      <c r="M16" s="520">
        <v>0</v>
      </c>
      <c r="N16" s="523">
        <f t="shared" si="0"/>
        <v>0</v>
      </c>
      <c r="O16" s="624"/>
      <c r="P16" s="528">
        <f t="shared" si="1"/>
        <v>13315.017194473485</v>
      </c>
      <c r="Q16" s="671">
        <f t="shared" si="2"/>
        <v>4465.1494193108974</v>
      </c>
      <c r="R16" s="529">
        <f t="shared" si="3"/>
        <v>3042.2016566876673</v>
      </c>
      <c r="S16" s="535">
        <f t="shared" si="4"/>
        <v>20822.368270472049</v>
      </c>
      <c r="T16" s="668">
        <f>T15*Volume!J26</f>
        <v>776.57999999999993</v>
      </c>
      <c r="U16" s="669">
        <f t="shared" si="6"/>
        <v>26.812908226418465</v>
      </c>
    </row>
    <row r="17" spans="1:21" ht="13.15">
      <c r="A17" s="518" t="s">
        <v>971</v>
      </c>
      <c r="B17" s="519"/>
      <c r="C17" s="520">
        <v>0</v>
      </c>
      <c r="D17" s="656">
        <f t="shared" si="5"/>
        <v>0</v>
      </c>
      <c r="E17" s="518" t="s">
        <v>971</v>
      </c>
      <c r="F17" s="520">
        <v>0</v>
      </c>
      <c r="G17" s="520">
        <v>0</v>
      </c>
      <c r="H17" s="520">
        <v>0</v>
      </c>
      <c r="I17" s="520">
        <v>0</v>
      </c>
      <c r="J17" s="520">
        <v>0</v>
      </c>
      <c r="K17" s="520">
        <v>0</v>
      </c>
      <c r="L17" s="520">
        <v>0</v>
      </c>
      <c r="M17" s="520">
        <v>0</v>
      </c>
      <c r="N17" s="523">
        <f t="shared" si="0"/>
        <v>0</v>
      </c>
      <c r="O17" s="624"/>
      <c r="P17" s="532">
        <f t="shared" si="1"/>
        <v>0</v>
      </c>
      <c r="Q17" s="672">
        <f t="shared" si="2"/>
        <v>0</v>
      </c>
      <c r="R17" s="533">
        <f t="shared" si="3"/>
        <v>0</v>
      </c>
      <c r="S17" s="536">
        <f t="shared" si="4"/>
        <v>0</v>
      </c>
      <c r="T17" s="542">
        <v>0</v>
      </c>
      <c r="U17" s="552">
        <v>0</v>
      </c>
    </row>
    <row r="18" spans="1:21" ht="13.5" thickBot="1">
      <c r="A18" s="518" t="s">
        <v>727</v>
      </c>
      <c r="B18" s="519">
        <v>3319786.0168287242</v>
      </c>
      <c r="C18" s="520">
        <v>1</v>
      </c>
      <c r="D18" s="690">
        <f>SUM(D7:D17)</f>
        <v>1.0000000000000002</v>
      </c>
      <c r="E18" s="518" t="s">
        <v>727</v>
      </c>
      <c r="F18" s="520">
        <v>1</v>
      </c>
      <c r="G18" s="520">
        <v>1</v>
      </c>
      <c r="H18" s="520">
        <v>1</v>
      </c>
      <c r="I18" s="520">
        <v>1</v>
      </c>
      <c r="J18" s="520">
        <v>1</v>
      </c>
      <c r="K18" s="520">
        <v>1</v>
      </c>
      <c r="L18" s="520">
        <v>1</v>
      </c>
      <c r="M18" s="520">
        <v>1</v>
      </c>
      <c r="N18" s="525">
        <f>SUM(N7:N17)</f>
        <v>829155.9036391594</v>
      </c>
      <c r="O18" s="525">
        <f>SUM(O7:O17)</f>
        <v>53870.454126089193</v>
      </c>
      <c r="P18" s="530">
        <f>N18*(1+$B$4)+O18*(1+$N$4)+B18*(1+$O$4)</f>
        <v>4623093.6120533701</v>
      </c>
      <c r="Q18" s="673">
        <f>SUM(Parameter!V19:V22)*(1+Q4)</f>
        <v>1550340.0000000002</v>
      </c>
      <c r="R18" s="531">
        <f>SUM('MHE&amp;INV list'!K25:K53)*(1+R4)-SUMIF('MHE&amp;INV list'!A:A,"Startup",'MHE&amp;INV list'!K:K)</f>
        <v>1056279.7509152659</v>
      </c>
      <c r="S18" s="537">
        <f>R18+P18+Q18</f>
        <v>7229713.3629686357</v>
      </c>
      <c r="T18" s="543" t="s">
        <v>763</v>
      </c>
      <c r="U18" s="543" t="s">
        <v>763</v>
      </c>
    </row>
    <row r="22" spans="1:21" ht="13.15">
      <c r="E22" s="521" t="s">
        <v>757</v>
      </c>
      <c r="F22" s="522">
        <f>VLOOKUP(F$6,'MHE&amp;INV list'!$C$2:$K$10,9,0)</f>
        <v>206400</v>
      </c>
      <c r="G22" s="522">
        <f>VLOOKUP(G$6,'MHE&amp;INV list'!$C$2:$K$10,9,0)</f>
        <v>120000</v>
      </c>
      <c r="H22" s="522"/>
      <c r="I22" s="522">
        <f>VLOOKUP(I$6,'MHE&amp;INV list'!$C$2:$K$10,9,0)</f>
        <v>41520</v>
      </c>
      <c r="J22" s="522">
        <f>VLOOKUP(J$6,'MHE&amp;INV list'!$C$2:$K$10,9,0)</f>
        <v>100800</v>
      </c>
      <c r="K22" s="522">
        <f>VLOOKUP(K$6,'MHE&amp;INV list'!$C$2:$K$10,9,0)</f>
        <v>126000</v>
      </c>
      <c r="L22" s="522">
        <f>VLOOKUP(L$6,'MHE&amp;INV list'!$C$2:$K$10,9,0)</f>
        <v>230400</v>
      </c>
      <c r="M22" s="522">
        <f>VLOOKUP(M$6,'MHE&amp;INV list'!$C$2:$K$10,9,0)</f>
        <v>4035.9036391594054</v>
      </c>
    </row>
    <row r="28" spans="1:21" ht="13.15">
      <c r="A28" s="521"/>
    </row>
    <row r="36" spans="2:2">
      <c r="B36" t="s">
        <v>719</v>
      </c>
    </row>
    <row r="37" spans="2:2">
      <c r="B37" t="s">
        <v>81</v>
      </c>
    </row>
    <row r="38" spans="2:2">
      <c r="B38" t="s">
        <v>720</v>
      </c>
    </row>
    <row r="39" spans="2:2">
      <c r="B39" t="s">
        <v>647</v>
      </c>
    </row>
    <row r="40" spans="2:2">
      <c r="B40" t="s">
        <v>721</v>
      </c>
    </row>
    <row r="41" spans="2:2">
      <c r="B41" t="s">
        <v>722</v>
      </c>
    </row>
    <row r="42" spans="2:2">
      <c r="B42" t="s">
        <v>723</v>
      </c>
    </row>
    <row r="43" spans="2:2">
      <c r="B43" t="s">
        <v>724</v>
      </c>
    </row>
    <row r="44" spans="2:2">
      <c r="B44" t="s">
        <v>725</v>
      </c>
    </row>
    <row r="45" spans="2:2">
      <c r="B45" t="s">
        <v>726</v>
      </c>
    </row>
    <row r="46" spans="2:2">
      <c r="B46" t="s">
        <v>971</v>
      </c>
    </row>
  </sheetData>
  <phoneticPr fontId="26" type="noConversion"/>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2:S87"/>
  <sheetViews>
    <sheetView showGridLines="0" topLeftCell="A22" zoomScale="70" zoomScaleNormal="70" zoomScalePageLayoutView="80" workbookViewId="0">
      <selection activeCell="K28" sqref="K28"/>
    </sheetView>
  </sheetViews>
  <sheetFormatPr defaultColWidth="11.46484375" defaultRowHeight="15.75" outlineLevelRow="1"/>
  <cols>
    <col min="1" max="1" width="50.265625" style="290" customWidth="1"/>
    <col min="2" max="2" width="14.33203125" style="290" bestFit="1" customWidth="1"/>
    <col min="3" max="3" width="14.265625" style="290" bestFit="1" customWidth="1"/>
    <col min="4" max="4" width="13.33203125" style="290" bestFit="1" customWidth="1"/>
    <col min="5" max="5" width="13.73046875" style="290" customWidth="1"/>
    <col min="6" max="6" width="13.33203125" style="290" bestFit="1" customWidth="1"/>
    <col min="7" max="8" width="12.73046875" style="290" bestFit="1" customWidth="1"/>
    <col min="9" max="9" width="14.265625" style="290" customWidth="1"/>
    <col min="10" max="10" width="12.73046875" style="290" bestFit="1" customWidth="1"/>
    <col min="11" max="11" width="14.46484375" style="290" customWidth="1"/>
    <col min="12" max="12" width="13.19921875" style="290" bestFit="1" customWidth="1"/>
    <col min="13" max="13" width="12.73046875" style="290" customWidth="1"/>
    <col min="14" max="15" width="15" style="290" bestFit="1" customWidth="1"/>
    <col min="16" max="16" width="13.19921875" style="290" bestFit="1" customWidth="1"/>
    <col min="17" max="17" width="11.59765625" style="290" bestFit="1" customWidth="1"/>
    <col min="18" max="18" width="11.53125" style="290" bestFit="1" customWidth="1"/>
    <col min="19" max="16384" width="11.46484375" style="290"/>
  </cols>
  <sheetData>
    <row r="2" spans="1:19" ht="18">
      <c r="A2" s="415" t="s">
        <v>3</v>
      </c>
      <c r="M2" s="290" t="s">
        <v>387</v>
      </c>
      <c r="N2" s="291"/>
    </row>
    <row r="3" spans="1:19">
      <c r="A3" s="294"/>
      <c r="B3" s="296" t="s">
        <v>392</v>
      </c>
      <c r="M3" s="290" t="s">
        <v>388</v>
      </c>
      <c r="N3" s="292"/>
    </row>
    <row r="4" spans="1:19" s="299" customFormat="1" ht="18.75" customHeight="1">
      <c r="A4" s="297" t="s">
        <v>575</v>
      </c>
      <c r="B4" s="298">
        <v>2026</v>
      </c>
      <c r="C4" s="298">
        <v>2027</v>
      </c>
      <c r="D4" s="298">
        <v>2028</v>
      </c>
      <c r="E4" s="298">
        <v>2029</v>
      </c>
      <c r="F4" s="298">
        <v>2030</v>
      </c>
      <c r="G4" s="290"/>
      <c r="M4" s="290" t="s">
        <v>389</v>
      </c>
      <c r="N4" s="293"/>
      <c r="O4" s="290"/>
    </row>
    <row r="5" spans="1:19" s="299" customFormat="1" ht="18.75" customHeight="1">
      <c r="A5" s="300" t="s">
        <v>941</v>
      </c>
      <c r="B5" s="301">
        <f>B7-B6</f>
        <v>28940.024399999995</v>
      </c>
      <c r="C5" s="301">
        <f t="shared" ref="C5:F5" si="0">C7-C6</f>
        <v>28071.823667999997</v>
      </c>
      <c r="D5" s="301">
        <f t="shared" si="0"/>
        <v>27229.668957960006</v>
      </c>
      <c r="E5" s="301">
        <f t="shared" si="0"/>
        <v>28046.559026698786</v>
      </c>
      <c r="F5" s="301">
        <f t="shared" si="0"/>
        <v>28887.955797499773</v>
      </c>
      <c r="G5" s="290"/>
      <c r="H5" s="290"/>
      <c r="N5" s="302"/>
      <c r="O5" s="290"/>
    </row>
    <row r="6" spans="1:19" s="299" customFormat="1" ht="18.75" customHeight="1">
      <c r="A6" s="300" t="s">
        <v>942</v>
      </c>
      <c r="B6" s="301">
        <f>B7*第二轮数据!$C$10</f>
        <v>177774.4356</v>
      </c>
      <c r="C6" s="301">
        <f>C7*第二轮数据!$C$10</f>
        <v>172441.202532</v>
      </c>
      <c r="D6" s="301">
        <f>D7*第二轮数据!$C$10</f>
        <v>167267.96645603995</v>
      </c>
      <c r="E6" s="301">
        <f>E7*第二轮数据!$C$10</f>
        <v>172286.00544972118</v>
      </c>
      <c r="F6" s="301">
        <f>F7*第二轮数据!$C$10</f>
        <v>177454.58561321281</v>
      </c>
      <c r="G6" s="290"/>
      <c r="H6" s="290"/>
      <c r="N6" s="302"/>
      <c r="O6" s="290"/>
    </row>
    <row r="7" spans="1:19" s="299" customFormat="1" ht="18.75" customHeight="1">
      <c r="A7" s="303" t="s">
        <v>944</v>
      </c>
      <c r="B7" s="334">
        <f>B9-B8</f>
        <v>206714.46</v>
      </c>
      <c r="C7" s="334">
        <f t="shared" ref="C7:F7" si="1">C9-C8</f>
        <v>200513.02619999999</v>
      </c>
      <c r="D7" s="334">
        <f t="shared" si="1"/>
        <v>194497.63541399996</v>
      </c>
      <c r="E7" s="334">
        <f t="shared" si="1"/>
        <v>200332.56447641997</v>
      </c>
      <c r="F7" s="334">
        <f t="shared" si="1"/>
        <v>206342.54141071258</v>
      </c>
      <c r="G7" s="290"/>
      <c r="H7" s="290"/>
      <c r="N7" s="290"/>
      <c r="O7" s="290"/>
    </row>
    <row r="8" spans="1:19" s="299" customFormat="1" ht="18.75" customHeight="1">
      <c r="A8" s="649" t="s">
        <v>937</v>
      </c>
      <c r="B8" s="335">
        <f>B9*第二轮数据!$C$8</f>
        <v>13194.539999999999</v>
      </c>
      <c r="C8" s="335">
        <f>C9*第二轮数据!$C$8</f>
        <v>12798.703799999997</v>
      </c>
      <c r="D8" s="335">
        <f>D9*第二轮数据!$C$8</f>
        <v>12414.742685999998</v>
      </c>
      <c r="E8" s="335">
        <f>E9*第二轮数据!$C$8</f>
        <v>12787.184966579998</v>
      </c>
      <c r="F8" s="335">
        <f>F9*第二轮数据!$C$8</f>
        <v>13170.800515577399</v>
      </c>
      <c r="G8" s="290"/>
      <c r="H8" s="290"/>
      <c r="N8" s="290"/>
      <c r="O8" s="290"/>
    </row>
    <row r="9" spans="1:19" s="299" customFormat="1" ht="18.75" customHeight="1">
      <c r="A9" s="649" t="s">
        <v>943</v>
      </c>
      <c r="B9" s="335">
        <v>219909</v>
      </c>
      <c r="C9" s="335">
        <v>213311.72999999998</v>
      </c>
      <c r="D9" s="335">
        <v>206912.37809999997</v>
      </c>
      <c r="E9" s="335">
        <v>213119.74944299998</v>
      </c>
      <c r="F9" s="335">
        <v>219513.34192628998</v>
      </c>
      <c r="G9" s="290"/>
      <c r="H9" s="290"/>
      <c r="N9" s="290"/>
      <c r="O9" s="290"/>
    </row>
    <row r="10" spans="1:19" s="299" customFormat="1" ht="18.75" customHeight="1">
      <c r="A10" s="297" t="s">
        <v>386</v>
      </c>
      <c r="B10" s="334">
        <v>12943</v>
      </c>
      <c r="C10" s="334">
        <v>12554.71</v>
      </c>
      <c r="D10" s="334">
        <v>12178.068699999998</v>
      </c>
      <c r="E10" s="334">
        <v>12543.410760999997</v>
      </c>
      <c r="F10" s="334">
        <v>12919.713083829998</v>
      </c>
      <c r="G10" s="290"/>
      <c r="H10" s="290"/>
      <c r="N10" s="302"/>
      <c r="O10" s="290"/>
    </row>
    <row r="11" spans="1:19" s="299" customFormat="1" ht="18.75" customHeight="1">
      <c r="A11" s="650" t="s">
        <v>385</v>
      </c>
      <c r="B11" s="304">
        <f>B7*$H$11</f>
        <v>10335.723</v>
      </c>
      <c r="C11" s="304">
        <f>C7*$H$11</f>
        <v>10025.651310000001</v>
      </c>
      <c r="D11" s="304">
        <f>D7*$H$11</f>
        <v>9724.881770699998</v>
      </c>
      <c r="E11" s="304">
        <f>E7*$H$11</f>
        <v>10016.628223820999</v>
      </c>
      <c r="F11" s="304">
        <f>F7*$H$11</f>
        <v>10317.127070535629</v>
      </c>
      <c r="G11" s="290"/>
      <c r="H11" s="456">
        <v>0.05</v>
      </c>
      <c r="I11" s="299" t="s">
        <v>398</v>
      </c>
      <c r="N11" s="302"/>
      <c r="O11" s="302"/>
      <c r="P11" s="302"/>
      <c r="Q11" s="302"/>
      <c r="R11" s="302"/>
      <c r="S11" s="302"/>
    </row>
    <row r="13" spans="1:19">
      <c r="A13" s="297" t="s">
        <v>576</v>
      </c>
      <c r="B13" s="298">
        <v>2026</v>
      </c>
      <c r="H13" s="290" t="s">
        <v>598</v>
      </c>
    </row>
    <row r="14" spans="1:19">
      <c r="A14" s="300" t="s">
        <v>574</v>
      </c>
      <c r="B14" s="422">
        <v>6447.8</v>
      </c>
      <c r="E14" s="455"/>
      <c r="H14" s="429">
        <f>B14+B15</f>
        <v>57857.8</v>
      </c>
    </row>
    <row r="15" spans="1:19">
      <c r="A15" s="300" t="s">
        <v>578</v>
      </c>
      <c r="B15" s="422">
        <v>51410</v>
      </c>
      <c r="E15" s="455"/>
    </row>
    <row r="17" spans="1:15">
      <c r="A17" s="297" t="s">
        <v>579</v>
      </c>
      <c r="B17" s="298">
        <v>2026</v>
      </c>
    </row>
    <row r="18" spans="1:15">
      <c r="A18" s="300" t="s">
        <v>574</v>
      </c>
      <c r="B18" s="422">
        <v>414579</v>
      </c>
    </row>
    <row r="19" spans="1:15">
      <c r="A19" s="300" t="s">
        <v>578</v>
      </c>
      <c r="B19" s="422">
        <v>2474631</v>
      </c>
    </row>
    <row r="20" spans="1:15">
      <c r="C20" s="306"/>
      <c r="D20" s="306"/>
      <c r="E20" s="305"/>
      <c r="F20" s="305"/>
      <c r="G20" s="306"/>
      <c r="H20" s="306"/>
    </row>
    <row r="21" spans="1:15">
      <c r="A21" s="424" t="s">
        <v>580</v>
      </c>
      <c r="B21" s="424"/>
      <c r="C21" s="424"/>
      <c r="D21" s="424"/>
      <c r="E21" s="424"/>
      <c r="F21" s="424"/>
      <c r="G21" s="423"/>
    </row>
    <row r="22" spans="1:15">
      <c r="A22" s="425" t="s">
        <v>581</v>
      </c>
      <c r="B22" s="425" t="s">
        <v>582</v>
      </c>
      <c r="C22" s="425" t="s">
        <v>583</v>
      </c>
      <c r="D22" s="425" t="s">
        <v>584</v>
      </c>
      <c r="E22" s="425" t="s">
        <v>585</v>
      </c>
      <c r="F22" s="435" t="s">
        <v>396</v>
      </c>
      <c r="H22" s="290" t="s">
        <v>597</v>
      </c>
    </row>
    <row r="23" spans="1:15" s="309" customFormat="1">
      <c r="A23" s="426" t="s">
        <v>586</v>
      </c>
      <c r="B23" s="426" t="s">
        <v>587</v>
      </c>
      <c r="C23" s="426" t="s">
        <v>588</v>
      </c>
      <c r="D23" s="427"/>
      <c r="E23" s="428">
        <v>678</v>
      </c>
      <c r="F23" s="435">
        <v>57.6</v>
      </c>
      <c r="H23" s="429">
        <f>SUM(E23:E31)</f>
        <v>1408</v>
      </c>
    </row>
    <row r="24" spans="1:15">
      <c r="A24" s="426" t="s">
        <v>589</v>
      </c>
      <c r="B24" s="426" t="s">
        <v>587</v>
      </c>
      <c r="C24" s="426" t="s">
        <v>588</v>
      </c>
      <c r="D24" s="427"/>
      <c r="E24" s="428">
        <v>108</v>
      </c>
      <c r="F24" s="435">
        <f>F23</f>
        <v>57.6</v>
      </c>
    </row>
    <row r="25" spans="1:15">
      <c r="A25" s="426" t="s">
        <v>586</v>
      </c>
      <c r="B25" s="426" t="s">
        <v>587</v>
      </c>
      <c r="C25" s="426" t="s">
        <v>588</v>
      </c>
      <c r="D25" s="427"/>
      <c r="E25" s="428">
        <v>7</v>
      </c>
      <c r="F25" s="435">
        <f>F24</f>
        <v>57.6</v>
      </c>
      <c r="H25" s="290" t="s">
        <v>613</v>
      </c>
      <c r="I25" s="290" t="s">
        <v>660</v>
      </c>
      <c r="J25" s="290" t="s">
        <v>661</v>
      </c>
    </row>
    <row r="26" spans="1:15">
      <c r="A26" s="426" t="s">
        <v>589</v>
      </c>
      <c r="B26" s="426" t="s">
        <v>587</v>
      </c>
      <c r="C26" s="426" t="s">
        <v>588</v>
      </c>
      <c r="D26" s="427"/>
      <c r="E26" s="428">
        <v>2</v>
      </c>
      <c r="F26" s="435">
        <f>F25</f>
        <v>57.6</v>
      </c>
      <c r="H26" s="439">
        <f>(E26+E24)*F24+SUMPRODUCT(E29:E31,F29:F31)</f>
        <v>9286</v>
      </c>
      <c r="I26" s="457">
        <f>H26/(B14+B15)</f>
        <v>0.1604969425038629</v>
      </c>
      <c r="J26" s="458">
        <f>第二轮数据!C50</f>
        <v>0.06</v>
      </c>
    </row>
    <row r="27" spans="1:15">
      <c r="A27" s="426" t="s">
        <v>590</v>
      </c>
      <c r="B27" s="426" t="s">
        <v>591</v>
      </c>
      <c r="C27" s="426" t="s">
        <v>592</v>
      </c>
      <c r="D27" s="427" t="s">
        <v>593</v>
      </c>
      <c r="E27" s="428">
        <v>110</v>
      </c>
      <c r="F27" s="435">
        <v>10</v>
      </c>
    </row>
    <row r="28" spans="1:15">
      <c r="A28" s="426" t="s">
        <v>590</v>
      </c>
      <c r="B28" s="426" t="s">
        <v>591</v>
      </c>
      <c r="C28" s="426" t="s">
        <v>594</v>
      </c>
      <c r="D28" s="427" t="s">
        <v>595</v>
      </c>
      <c r="E28" s="428">
        <v>266</v>
      </c>
      <c r="F28" s="435">
        <v>30</v>
      </c>
    </row>
    <row r="29" spans="1:15">
      <c r="A29" s="426" t="s">
        <v>596</v>
      </c>
      <c r="B29" s="426" t="s">
        <v>591</v>
      </c>
      <c r="C29" s="426" t="s">
        <v>592</v>
      </c>
      <c r="D29" s="427" t="s">
        <v>593</v>
      </c>
      <c r="E29" s="428">
        <v>203</v>
      </c>
      <c r="F29" s="435">
        <v>10</v>
      </c>
    </row>
    <row r="30" spans="1:15" s="299" customFormat="1">
      <c r="A30" s="426" t="s">
        <v>596</v>
      </c>
      <c r="B30" s="426" t="s">
        <v>591</v>
      </c>
      <c r="C30" s="426" t="s">
        <v>594</v>
      </c>
      <c r="D30" s="427" t="s">
        <v>595</v>
      </c>
      <c r="E30" s="428">
        <v>29</v>
      </c>
      <c r="F30" s="435">
        <v>30</v>
      </c>
      <c r="L30" s="314"/>
      <c r="M30" s="314"/>
      <c r="N30" s="314"/>
      <c r="O30" s="314"/>
    </row>
    <row r="31" spans="1:15" s="299" customFormat="1">
      <c r="A31" s="426" t="s">
        <v>596</v>
      </c>
      <c r="B31" s="426" t="s">
        <v>591</v>
      </c>
      <c r="C31" s="426" t="s">
        <v>592</v>
      </c>
      <c r="D31" s="427" t="s">
        <v>593</v>
      </c>
      <c r="E31" s="428">
        <v>5</v>
      </c>
      <c r="F31" s="437">
        <v>10</v>
      </c>
      <c r="L31" s="314"/>
      <c r="M31" s="314"/>
      <c r="N31" s="314"/>
      <c r="O31" s="314"/>
    </row>
    <row r="32" spans="1:15" s="299" customFormat="1" ht="18.75" customHeight="1">
      <c r="F32" s="436">
        <f>SUMPRODUCT(E23:E31,F23:F31)</f>
        <v>57822</v>
      </c>
      <c r="G32" s="438">
        <f>F32-H14</f>
        <v>-35.80000000000291</v>
      </c>
      <c r="L32" s="314"/>
      <c r="M32" s="314"/>
      <c r="N32" s="314"/>
      <c r="O32" s="314"/>
    </row>
    <row r="33" spans="1:14" ht="18">
      <c r="A33" s="415" t="s">
        <v>567</v>
      </c>
      <c r="B33" s="295"/>
      <c r="C33" s="295"/>
      <c r="D33" s="295"/>
      <c r="E33" s="295"/>
      <c r="F33" s="295"/>
      <c r="G33" s="295"/>
      <c r="L33" s="299"/>
      <c r="M33" s="299"/>
      <c r="N33" s="299"/>
    </row>
    <row r="34" spans="1:14">
      <c r="B34" s="295"/>
      <c r="C34" s="295"/>
      <c r="D34" s="295"/>
      <c r="E34" s="295"/>
      <c r="F34" s="295"/>
      <c r="G34" s="295"/>
    </row>
    <row r="35" spans="1:14" ht="31.5">
      <c r="A35" s="307" t="s">
        <v>9</v>
      </c>
      <c r="B35" s="308" t="s">
        <v>12</v>
      </c>
      <c r="C35" s="308" t="s">
        <v>11</v>
      </c>
      <c r="D35" s="308" t="s">
        <v>16</v>
      </c>
      <c r="E35" s="308" t="s">
        <v>10</v>
      </c>
      <c r="F35" s="308" t="s">
        <v>13</v>
      </c>
      <c r="G35" s="308" t="s">
        <v>14</v>
      </c>
      <c r="H35" s="308" t="s">
        <v>15</v>
      </c>
      <c r="I35" s="308" t="s">
        <v>19</v>
      </c>
      <c r="J35" s="330" t="s">
        <v>396</v>
      </c>
      <c r="K35" s="309"/>
    </row>
    <row r="36" spans="1:14">
      <c r="A36" s="440" t="s">
        <v>614</v>
      </c>
      <c r="B36" s="310">
        <f>第二轮数据!C8</f>
        <v>0.06</v>
      </c>
      <c r="C36" s="310">
        <v>0.3</v>
      </c>
      <c r="D36" s="310">
        <v>0</v>
      </c>
      <c r="E36" s="310">
        <f>第二轮数据!C16</f>
        <v>0.14000000000000001</v>
      </c>
      <c r="F36" s="310">
        <v>0</v>
      </c>
      <c r="G36" s="310">
        <v>0.48</v>
      </c>
      <c r="H36" s="310">
        <v>0.02</v>
      </c>
      <c r="I36" s="310">
        <v>0</v>
      </c>
      <c r="J36" s="331">
        <f>SUM(B36:I36)</f>
        <v>1</v>
      </c>
    </row>
    <row r="37" spans="1:14">
      <c r="A37" s="440"/>
      <c r="B37" s="310"/>
      <c r="C37" s="310"/>
      <c r="D37" s="310"/>
      <c r="E37" s="310"/>
      <c r="F37" s="310"/>
      <c r="G37" s="310"/>
      <c r="H37" s="310"/>
      <c r="I37" s="310"/>
      <c r="J37" s="331">
        <f t="shared" ref="J37:J38" si="2">SUM(B37:I37)</f>
        <v>0</v>
      </c>
    </row>
    <row r="38" spans="1:14" s="299" customFormat="1" ht="18.75" customHeight="1">
      <c r="A38" s="440"/>
      <c r="B38" s="310"/>
      <c r="C38" s="310"/>
      <c r="D38" s="310"/>
      <c r="E38" s="310"/>
      <c r="F38" s="310"/>
      <c r="G38" s="310"/>
      <c r="H38" s="310"/>
      <c r="I38" s="310"/>
      <c r="J38" s="331">
        <f t="shared" si="2"/>
        <v>0</v>
      </c>
      <c r="K38" s="290"/>
    </row>
    <row r="39" spans="1:14" s="299" customFormat="1" ht="18.75" customHeight="1">
      <c r="A39" s="290"/>
      <c r="B39" s="311"/>
      <c r="C39" s="311"/>
      <c r="D39" s="311"/>
      <c r="E39" s="311"/>
      <c r="F39" s="311"/>
      <c r="G39" s="311"/>
      <c r="H39" s="311"/>
      <c r="I39" s="311"/>
      <c r="J39" s="290"/>
      <c r="K39" s="290"/>
    </row>
    <row r="40" spans="1:14" s="299" customFormat="1" ht="18.75" customHeight="1" outlineLevel="1">
      <c r="A40" s="415" t="s">
        <v>393</v>
      </c>
      <c r="B40" s="290"/>
      <c r="C40" s="290"/>
      <c r="D40" s="290"/>
      <c r="E40" s="290"/>
      <c r="F40" s="290"/>
      <c r="G40" s="290"/>
      <c r="H40" s="290"/>
      <c r="I40" s="290"/>
      <c r="J40" s="290"/>
      <c r="K40" s="290"/>
    </row>
    <row r="41" spans="1:14" s="299" customFormat="1" ht="18.75" customHeight="1" outlineLevel="1">
      <c r="A41" s="290"/>
      <c r="B41" s="290"/>
      <c r="C41" s="290"/>
      <c r="D41" s="290"/>
      <c r="E41" s="290"/>
      <c r="F41" s="290"/>
      <c r="G41" s="290"/>
      <c r="H41" s="290"/>
      <c r="I41" s="290"/>
      <c r="J41" s="290"/>
      <c r="K41" s="290"/>
    </row>
    <row r="42" spans="1:14" s="299" customFormat="1" ht="18.5" customHeight="1" outlineLevel="1">
      <c r="A42" s="307" t="s">
        <v>9</v>
      </c>
      <c r="B42" s="312" t="s">
        <v>12</v>
      </c>
      <c r="C42" s="312" t="s">
        <v>11</v>
      </c>
      <c r="D42" s="312" t="s">
        <v>16</v>
      </c>
      <c r="E42" s="312" t="s">
        <v>10</v>
      </c>
      <c r="F42" s="312" t="s">
        <v>13</v>
      </c>
      <c r="G42" s="312" t="s">
        <v>14</v>
      </c>
      <c r="H42" s="312" t="s">
        <v>15</v>
      </c>
      <c r="I42" s="312" t="s">
        <v>19</v>
      </c>
      <c r="J42" s="313"/>
      <c r="K42" s="314"/>
    </row>
    <row r="43" spans="1:14" outlineLevel="1">
      <c r="A43" s="300" t="str">
        <f>A36</f>
        <v>Inbound (VOR + VOL)</v>
      </c>
      <c r="B43" s="350">
        <f t="shared" ref="B43:I43" si="3">$B$7*B36</f>
        <v>12402.8676</v>
      </c>
      <c r="C43" s="350">
        <f t="shared" si="3"/>
        <v>62014.337999999996</v>
      </c>
      <c r="D43" s="350">
        <f t="shared" si="3"/>
        <v>0</v>
      </c>
      <c r="E43" s="350">
        <f t="shared" si="3"/>
        <v>28940.024400000002</v>
      </c>
      <c r="F43" s="350">
        <f t="shared" si="3"/>
        <v>0</v>
      </c>
      <c r="G43" s="350">
        <f t="shared" si="3"/>
        <v>99222.940799999997</v>
      </c>
      <c r="H43" s="350">
        <f t="shared" si="3"/>
        <v>4134.2892000000002</v>
      </c>
      <c r="I43" s="350">
        <f t="shared" si="3"/>
        <v>0</v>
      </c>
      <c r="J43" s="315"/>
      <c r="K43" s="314"/>
    </row>
    <row r="44" spans="1:14" outlineLevel="1">
      <c r="A44" s="300">
        <f>A37</f>
        <v>0</v>
      </c>
      <c r="B44" s="350">
        <f t="shared" ref="B44:I44" si="4">$B$6*B37</f>
        <v>0</v>
      </c>
      <c r="C44" s="350">
        <f t="shared" si="4"/>
        <v>0</v>
      </c>
      <c r="D44" s="350">
        <f t="shared" si="4"/>
        <v>0</v>
      </c>
      <c r="E44" s="350">
        <f t="shared" si="4"/>
        <v>0</v>
      </c>
      <c r="F44" s="350">
        <f t="shared" si="4"/>
        <v>0</v>
      </c>
      <c r="G44" s="350">
        <f t="shared" si="4"/>
        <v>0</v>
      </c>
      <c r="H44" s="350">
        <f t="shared" si="4"/>
        <v>0</v>
      </c>
      <c r="I44" s="350">
        <f t="shared" si="4"/>
        <v>0</v>
      </c>
      <c r="J44" s="315"/>
      <c r="K44" s="314"/>
    </row>
    <row r="45" spans="1:14" outlineLevel="1">
      <c r="A45" s="300">
        <f>A38</f>
        <v>0</v>
      </c>
      <c r="B45" s="350">
        <f t="shared" ref="B45:I45" si="5">$B$10*B38</f>
        <v>0</v>
      </c>
      <c r="C45" s="350">
        <f t="shared" si="5"/>
        <v>0</v>
      </c>
      <c r="D45" s="350">
        <f t="shared" si="5"/>
        <v>0</v>
      </c>
      <c r="E45" s="350">
        <f t="shared" si="5"/>
        <v>0</v>
      </c>
      <c r="F45" s="350">
        <f t="shared" si="5"/>
        <v>0</v>
      </c>
      <c r="G45" s="350">
        <f t="shared" si="5"/>
        <v>0</v>
      </c>
      <c r="H45" s="350">
        <f t="shared" si="5"/>
        <v>0</v>
      </c>
      <c r="I45" s="350">
        <f t="shared" si="5"/>
        <v>0</v>
      </c>
      <c r="J45" s="315"/>
    </row>
    <row r="46" spans="1:14" outlineLevel="1">
      <c r="A46" s="329" t="s">
        <v>399</v>
      </c>
      <c r="B46" s="316">
        <f>SUM(B43:B45)</f>
        <v>12402.8676</v>
      </c>
      <c r="C46" s="316">
        <f t="shared" ref="C46:I46" si="6">SUM(C43:C45)</f>
        <v>62014.337999999996</v>
      </c>
      <c r="D46" s="316">
        <f t="shared" si="6"/>
        <v>0</v>
      </c>
      <c r="E46" s="316">
        <f t="shared" si="6"/>
        <v>28940.024400000002</v>
      </c>
      <c r="F46" s="316">
        <f t="shared" si="6"/>
        <v>0</v>
      </c>
      <c r="G46" s="316">
        <f t="shared" si="6"/>
        <v>99222.940799999997</v>
      </c>
      <c r="H46" s="316">
        <f t="shared" si="6"/>
        <v>4134.2892000000002</v>
      </c>
      <c r="I46" s="316">
        <f t="shared" si="6"/>
        <v>0</v>
      </c>
      <c r="J46" s="317">
        <f>SUM(B46:I46)</f>
        <v>206714.46000000002</v>
      </c>
      <c r="K46" s="299"/>
      <c r="N46" s="340"/>
    </row>
    <row r="47" spans="1:14" outlineLevel="1">
      <c r="A47" s="328" t="s">
        <v>402</v>
      </c>
      <c r="B47" s="319">
        <f t="shared" ref="B47:I47" si="7">B46/$J$46</f>
        <v>5.9999999999999991E-2</v>
      </c>
      <c r="C47" s="319">
        <f t="shared" si="7"/>
        <v>0.29999999999999993</v>
      </c>
      <c r="D47" s="319">
        <f t="shared" si="7"/>
        <v>0</v>
      </c>
      <c r="E47" s="319">
        <f t="shared" si="7"/>
        <v>0.13999999999999999</v>
      </c>
      <c r="F47" s="319">
        <f t="shared" si="7"/>
        <v>0</v>
      </c>
      <c r="G47" s="319">
        <f t="shared" si="7"/>
        <v>0.47999999999999993</v>
      </c>
      <c r="H47" s="319">
        <f t="shared" si="7"/>
        <v>0.02</v>
      </c>
      <c r="I47" s="319">
        <f t="shared" si="7"/>
        <v>0</v>
      </c>
      <c r="J47" s="315"/>
      <c r="K47" s="299"/>
      <c r="L47" s="343"/>
      <c r="M47" s="343"/>
      <c r="N47" s="340"/>
    </row>
    <row r="48" spans="1:14" outlineLevel="1">
      <c r="A48" s="328" t="s">
        <v>394</v>
      </c>
      <c r="B48" s="320">
        <f>B47/(1-$F$47)</f>
        <v>5.9999999999999991E-2</v>
      </c>
      <c r="C48" s="320">
        <f>C47/(1-$F$47)</f>
        <v>0.29999999999999993</v>
      </c>
      <c r="D48" s="320">
        <f>D47/(1-$F$47)</f>
        <v>0</v>
      </c>
      <c r="E48" s="320">
        <f>E47/(1-$F$47)</f>
        <v>0.13999999999999999</v>
      </c>
      <c r="F48" s="320"/>
      <c r="G48" s="320">
        <f>G47/(1-$F$47)</f>
        <v>0.47999999999999993</v>
      </c>
      <c r="H48" s="320">
        <f>H47/(1-$F$47)</f>
        <v>0.02</v>
      </c>
      <c r="I48" s="320">
        <f>I47/(1-$F$47)</f>
        <v>0</v>
      </c>
      <c r="J48" s="315"/>
      <c r="L48" s="343"/>
      <c r="M48" s="343"/>
      <c r="N48" s="340"/>
    </row>
    <row r="49" spans="1:15" outlineLevel="1">
      <c r="A49" s="318"/>
      <c r="B49" s="318"/>
      <c r="C49" s="318"/>
      <c r="D49" s="318"/>
      <c r="E49" s="318"/>
      <c r="F49" s="318"/>
      <c r="G49" s="318"/>
      <c r="H49" s="318"/>
      <c r="I49" s="318"/>
      <c r="J49" s="318"/>
      <c r="K49" s="318"/>
      <c r="L49" s="340"/>
      <c r="M49" s="340"/>
      <c r="N49" s="340"/>
    </row>
    <row r="50" spans="1:15" ht="18">
      <c r="A50" s="416" t="s">
        <v>395</v>
      </c>
      <c r="B50" s="318"/>
      <c r="C50" s="318"/>
      <c r="D50" s="318"/>
      <c r="E50" s="318"/>
      <c r="F50" s="318"/>
      <c r="G50" s="318"/>
      <c r="H50" s="318"/>
      <c r="I50" s="318"/>
      <c r="J50" s="318"/>
      <c r="K50" s="318"/>
    </row>
    <row r="51" spans="1:15">
      <c r="B51" s="296"/>
    </row>
    <row r="52" spans="1:15">
      <c r="A52" s="297" t="s">
        <v>577</v>
      </c>
      <c r="B52" s="321">
        <v>2026</v>
      </c>
      <c r="C52" s="322">
        <v>2027</v>
      </c>
      <c r="D52" s="298">
        <v>2028</v>
      </c>
      <c r="E52" s="298">
        <v>2029</v>
      </c>
      <c r="F52" s="298">
        <v>2030</v>
      </c>
      <c r="G52" s="290" t="s">
        <v>397</v>
      </c>
      <c r="I52" s="299"/>
      <c r="J52" s="299"/>
      <c r="K52" s="299"/>
    </row>
    <row r="53" spans="1:15">
      <c r="A53" s="300" t="s">
        <v>1</v>
      </c>
      <c r="B53" s="657">
        <f>B56*$G$53</f>
        <v>83990.625599999999</v>
      </c>
      <c r="C53" s="658">
        <f>C56*$G$53</f>
        <v>81470.906831999993</v>
      </c>
      <c r="D53" s="657">
        <f>D56*$G$53</f>
        <v>79026.779627039999</v>
      </c>
      <c r="E53" s="657">
        <f>E56*$G$53</f>
        <v>81397.583015851196</v>
      </c>
      <c r="F53" s="657">
        <f>F56*$G$53</f>
        <v>83839.510506326726</v>
      </c>
      <c r="G53" s="332">
        <f>第二轮数据!C24</f>
        <v>0.12</v>
      </c>
      <c r="I53" s="299"/>
      <c r="J53" s="299"/>
      <c r="K53" s="299"/>
    </row>
    <row r="54" spans="1:15">
      <c r="A54" s="300" t="s">
        <v>0</v>
      </c>
      <c r="B54" s="657">
        <f>B56*$G$54</f>
        <v>0</v>
      </c>
      <c r="C54" s="658">
        <f>C56*$G$54</f>
        <v>0</v>
      </c>
      <c r="D54" s="657">
        <f>D56*$G$54</f>
        <v>0</v>
      </c>
      <c r="E54" s="657">
        <f>E56*$G$54</f>
        <v>0</v>
      </c>
      <c r="F54" s="657">
        <f>F56*$G$54</f>
        <v>0</v>
      </c>
      <c r="G54" s="332">
        <v>0</v>
      </c>
      <c r="I54" s="299"/>
      <c r="J54" s="299"/>
      <c r="K54" s="299"/>
    </row>
    <row r="55" spans="1:15">
      <c r="A55" s="300" t="s">
        <v>2</v>
      </c>
      <c r="B55" s="657">
        <f>B56*$G$55</f>
        <v>615931.25439999998</v>
      </c>
      <c r="C55" s="658">
        <f>C56*$G$55</f>
        <v>597453.3167679999</v>
      </c>
      <c r="D55" s="657">
        <f>D56*$G$55</f>
        <v>579529.71726495994</v>
      </c>
      <c r="E55" s="657">
        <f>E56*$G$55</f>
        <v>596915.60878290876</v>
      </c>
      <c r="F55" s="657">
        <f>F56*$G$55</f>
        <v>614823.07704639609</v>
      </c>
      <c r="G55" s="333">
        <f>1-G53-G54</f>
        <v>0.88</v>
      </c>
      <c r="I55" s="299"/>
      <c r="J55" s="299"/>
      <c r="K55" s="299"/>
    </row>
    <row r="56" spans="1:15">
      <c r="A56" s="297" t="s">
        <v>945</v>
      </c>
      <c r="B56" s="334">
        <f>B58-B57</f>
        <v>699921.88</v>
      </c>
      <c r="C56" s="334">
        <f t="shared" ref="C56:F56" si="8">C58-C57</f>
        <v>678924.22359999991</v>
      </c>
      <c r="D56" s="334">
        <f t="shared" si="8"/>
        <v>658556.49689199997</v>
      </c>
      <c r="E56" s="334">
        <f t="shared" si="8"/>
        <v>678313.19179875997</v>
      </c>
      <c r="F56" s="334">
        <f t="shared" si="8"/>
        <v>698662.58755272278</v>
      </c>
      <c r="I56" s="299"/>
      <c r="J56" s="299"/>
      <c r="K56" s="299"/>
      <c r="L56" s="314"/>
      <c r="M56" s="314"/>
      <c r="N56" s="314"/>
      <c r="O56" s="314"/>
    </row>
    <row r="57" spans="1:15">
      <c r="A57" s="650" t="s">
        <v>938</v>
      </c>
      <c r="B57" s="334">
        <f>B58*第二轮数据!$C$21</f>
        <v>14284.12</v>
      </c>
      <c r="C57" s="334">
        <f>C58*第二轮数据!$C$21</f>
        <v>13855.596399999999</v>
      </c>
      <c r="D57" s="334">
        <f>D58*第二轮数据!$C$21</f>
        <v>13439.928507999999</v>
      </c>
      <c r="E57" s="334">
        <f>E58*第二轮数据!$C$21</f>
        <v>13843.126363239999</v>
      </c>
      <c r="F57" s="334">
        <f>F58*第二轮数据!$C$21</f>
        <v>14258.4201541372</v>
      </c>
      <c r="I57" s="299"/>
      <c r="J57" s="299"/>
      <c r="K57" s="299"/>
      <c r="L57" s="314"/>
      <c r="M57" s="314"/>
      <c r="N57" s="314"/>
      <c r="O57" s="314"/>
    </row>
    <row r="58" spans="1:15">
      <c r="A58" s="297" t="s">
        <v>4</v>
      </c>
      <c r="B58" s="659">
        <v>714206</v>
      </c>
      <c r="C58" s="660">
        <v>692779.82</v>
      </c>
      <c r="D58" s="659">
        <v>671996.42539999995</v>
      </c>
      <c r="E58" s="659">
        <v>692156.31816199992</v>
      </c>
      <c r="F58" s="659">
        <v>712921.00770685996</v>
      </c>
      <c r="I58" s="299"/>
      <c r="J58" s="299"/>
      <c r="K58" s="299"/>
    </row>
    <row r="59" spans="1:15" s="299" customFormat="1" ht="18.75" customHeight="1">
      <c r="A59" s="344"/>
      <c r="B59" s="344"/>
      <c r="C59" s="344"/>
      <c r="D59" s="344"/>
      <c r="E59" s="344"/>
      <c r="F59" s="344"/>
      <c r="G59" s="336"/>
      <c r="H59" s="290"/>
      <c r="I59" s="290"/>
      <c r="J59" s="290"/>
      <c r="K59" s="290"/>
      <c r="L59" s="314"/>
      <c r="M59" s="314"/>
      <c r="N59" s="314"/>
      <c r="O59" s="314"/>
    </row>
    <row r="60" spans="1:15" s="299" customFormat="1">
      <c r="A60" s="337"/>
      <c r="B60" s="337"/>
      <c r="C60" s="337"/>
      <c r="D60" s="337"/>
      <c r="E60" s="337"/>
      <c r="F60" s="337"/>
      <c r="G60" s="336"/>
      <c r="H60" s="290"/>
      <c r="I60" s="290"/>
      <c r="J60" s="290"/>
      <c r="K60" s="290"/>
      <c r="L60" s="314"/>
      <c r="M60" s="314"/>
      <c r="N60" s="314"/>
      <c r="O60" s="314"/>
    </row>
    <row r="61" spans="1:15" s="299" customFormat="1" ht="18.75" customHeight="1">
      <c r="A61" s="338"/>
      <c r="B61" s="338"/>
      <c r="C61" s="338"/>
      <c r="D61" s="338"/>
      <c r="E61" s="338"/>
      <c r="F61" s="338"/>
      <c r="G61" s="336"/>
      <c r="H61" s="290"/>
      <c r="I61" s="290"/>
      <c r="J61" s="290"/>
      <c r="K61" s="290"/>
      <c r="L61" s="314"/>
      <c r="M61" s="314"/>
      <c r="N61" s="314"/>
      <c r="O61" s="314"/>
    </row>
    <row r="62" spans="1:15">
      <c r="A62" s="337"/>
      <c r="B62" s="337"/>
      <c r="C62" s="337"/>
      <c r="D62" s="337"/>
      <c r="E62" s="337"/>
      <c r="F62" s="337"/>
      <c r="G62" s="339"/>
    </row>
    <row r="63" spans="1:15">
      <c r="B63" s="295"/>
      <c r="C63" s="295"/>
      <c r="D63" s="339"/>
      <c r="E63" s="340"/>
      <c r="F63" s="339"/>
      <c r="G63" s="339"/>
      <c r="H63" s="337"/>
      <c r="I63" s="342"/>
      <c r="J63" s="343"/>
      <c r="K63" s="343"/>
      <c r="L63" s="299"/>
      <c r="M63" s="299"/>
      <c r="N63" s="299"/>
    </row>
    <row r="64" spans="1:15" ht="18">
      <c r="A64" s="415" t="s">
        <v>568</v>
      </c>
      <c r="B64" s="295"/>
      <c r="C64" s="295"/>
      <c r="D64" s="339"/>
      <c r="E64" s="340"/>
      <c r="F64" s="339"/>
      <c r="G64" s="339"/>
      <c r="H64" s="337"/>
      <c r="I64" s="342"/>
      <c r="J64" s="343"/>
      <c r="K64" s="343"/>
      <c r="L64" s="299"/>
      <c r="M64" s="299"/>
      <c r="N64" s="299"/>
    </row>
    <row r="65" spans="1:14">
      <c r="B65" s="295"/>
      <c r="C65" s="295"/>
      <c r="E65" s="341"/>
      <c r="F65" s="341"/>
      <c r="G65" s="341"/>
      <c r="H65" s="341"/>
      <c r="I65" s="341"/>
      <c r="J65" s="340"/>
      <c r="K65" s="340"/>
    </row>
    <row r="66" spans="1:14" ht="31.5">
      <c r="A66" s="297" t="s">
        <v>9</v>
      </c>
      <c r="B66" s="308" t="s">
        <v>12</v>
      </c>
      <c r="C66" s="308" t="s">
        <v>11</v>
      </c>
      <c r="D66" s="308" t="s">
        <v>16</v>
      </c>
      <c r="E66" s="308" t="s">
        <v>10</v>
      </c>
      <c r="F66" s="345" t="s">
        <v>13</v>
      </c>
      <c r="G66" s="308" t="s">
        <v>14</v>
      </c>
      <c r="H66" s="308" t="s">
        <v>15</v>
      </c>
      <c r="I66" s="308" t="s">
        <v>19</v>
      </c>
      <c r="J66" s="330" t="s">
        <v>396</v>
      </c>
    </row>
    <row r="67" spans="1:14">
      <c r="A67" s="440" t="s">
        <v>1</v>
      </c>
      <c r="B67" s="286">
        <f>B69</f>
        <v>0.02</v>
      </c>
      <c r="C67" s="286">
        <v>0.15</v>
      </c>
      <c r="D67" s="286">
        <v>0</v>
      </c>
      <c r="E67" s="286">
        <v>0.45</v>
      </c>
      <c r="F67" s="286">
        <v>0</v>
      </c>
      <c r="G67" s="286">
        <f>G69-15%</f>
        <v>0.38</v>
      </c>
      <c r="H67" s="286">
        <v>0</v>
      </c>
      <c r="I67" s="286">
        <v>0</v>
      </c>
      <c r="J67" s="331">
        <f>SUM(B67:I67)</f>
        <v>1</v>
      </c>
      <c r="L67" s="305"/>
      <c r="M67" s="305"/>
      <c r="N67" s="305"/>
    </row>
    <row r="68" spans="1:14">
      <c r="A68" s="440" t="s">
        <v>0</v>
      </c>
      <c r="B68" s="286">
        <v>0</v>
      </c>
      <c r="C68" s="286">
        <v>0</v>
      </c>
      <c r="D68" s="286">
        <v>0</v>
      </c>
      <c r="E68" s="286">
        <v>0</v>
      </c>
      <c r="F68" s="286">
        <v>0</v>
      </c>
      <c r="G68" s="286">
        <v>0</v>
      </c>
      <c r="H68" s="286">
        <v>0</v>
      </c>
      <c r="I68" s="286">
        <v>0</v>
      </c>
      <c r="J68" s="331">
        <f t="shared" ref="J68:J69" si="9">SUM(B68:I68)</f>
        <v>0</v>
      </c>
    </row>
    <row r="69" spans="1:14">
      <c r="A69" s="440" t="s">
        <v>2</v>
      </c>
      <c r="B69" s="286">
        <f>第二轮数据!C21</f>
        <v>0.02</v>
      </c>
      <c r="C69" s="286">
        <v>0.15</v>
      </c>
      <c r="D69" s="286">
        <v>0.01</v>
      </c>
      <c r="E69" s="286">
        <f>第二轮数据!C30</f>
        <v>0.28999999999999998</v>
      </c>
      <c r="F69" s="286">
        <f t="shared" ref="F69" si="10">F68</f>
        <v>0</v>
      </c>
      <c r="G69" s="286">
        <f>第二轮数据!C28+第二轮数据!C29-1%+15%</f>
        <v>0.53</v>
      </c>
      <c r="H69" s="286">
        <v>0</v>
      </c>
      <c r="I69" s="286">
        <v>0</v>
      </c>
      <c r="J69" s="331">
        <f t="shared" si="9"/>
        <v>1</v>
      </c>
    </row>
    <row r="70" spans="1:14">
      <c r="B70" s="295"/>
      <c r="C70" s="295"/>
    </row>
    <row r="72" spans="1:14" ht="31.5">
      <c r="A72" s="346" t="s">
        <v>9</v>
      </c>
      <c r="B72" s="312" t="s">
        <v>12</v>
      </c>
      <c r="C72" s="312" t="s">
        <v>11</v>
      </c>
      <c r="D72" s="312" t="s">
        <v>16</v>
      </c>
      <c r="E72" s="312" t="s">
        <v>10</v>
      </c>
      <c r="F72" s="312" t="s">
        <v>401</v>
      </c>
      <c r="G72" s="312" t="s">
        <v>14</v>
      </c>
      <c r="H72" s="312" t="s">
        <v>15</v>
      </c>
      <c r="I72" s="312" t="s">
        <v>19</v>
      </c>
      <c r="J72" s="315"/>
      <c r="K72" s="314"/>
    </row>
    <row r="73" spans="1:14">
      <c r="A73" s="347" t="s">
        <v>1</v>
      </c>
      <c r="B73" s="350">
        <f t="shared" ref="B73:I73" si="11">$B$53*B67</f>
        <v>1679.812512</v>
      </c>
      <c r="C73" s="350">
        <f t="shared" si="11"/>
        <v>12598.59384</v>
      </c>
      <c r="D73" s="350">
        <f t="shared" si="11"/>
        <v>0</v>
      </c>
      <c r="E73" s="350">
        <f t="shared" si="11"/>
        <v>37795.781520000004</v>
      </c>
      <c r="F73" s="350">
        <f t="shared" si="11"/>
        <v>0</v>
      </c>
      <c r="G73" s="350">
        <f t="shared" si="11"/>
        <v>31916.437728000001</v>
      </c>
      <c r="H73" s="350">
        <f t="shared" si="11"/>
        <v>0</v>
      </c>
      <c r="I73" s="350">
        <f t="shared" si="11"/>
        <v>0</v>
      </c>
      <c r="J73" s="315"/>
      <c r="K73" s="314"/>
    </row>
    <row r="74" spans="1:14">
      <c r="A74" s="347" t="s">
        <v>0</v>
      </c>
      <c r="B74" s="350">
        <f t="shared" ref="B74:I74" si="12">$B$54*B68</f>
        <v>0</v>
      </c>
      <c r="C74" s="350">
        <f t="shared" si="12"/>
        <v>0</v>
      </c>
      <c r="D74" s="350">
        <f t="shared" si="12"/>
        <v>0</v>
      </c>
      <c r="E74" s="350">
        <f t="shared" si="12"/>
        <v>0</v>
      </c>
      <c r="F74" s="350">
        <f t="shared" si="12"/>
        <v>0</v>
      </c>
      <c r="G74" s="350">
        <f t="shared" si="12"/>
        <v>0</v>
      </c>
      <c r="H74" s="350">
        <f t="shared" si="12"/>
        <v>0</v>
      </c>
      <c r="I74" s="350">
        <f t="shared" si="12"/>
        <v>0</v>
      </c>
      <c r="J74" s="315"/>
      <c r="K74" s="314"/>
    </row>
    <row r="75" spans="1:14">
      <c r="A75" s="347" t="s">
        <v>2</v>
      </c>
      <c r="B75" s="350">
        <f t="shared" ref="B75:I75" si="13">$B$55*B69</f>
        <v>12318.625088000001</v>
      </c>
      <c r="C75" s="350">
        <f t="shared" si="13"/>
        <v>92389.688159999991</v>
      </c>
      <c r="D75" s="350">
        <f t="shared" si="13"/>
        <v>6159.3125440000003</v>
      </c>
      <c r="E75" s="350">
        <f t="shared" si="13"/>
        <v>178620.06377599997</v>
      </c>
      <c r="F75" s="350">
        <f t="shared" si="13"/>
        <v>0</v>
      </c>
      <c r="G75" s="350">
        <f t="shared" si="13"/>
        <v>326443.564832</v>
      </c>
      <c r="H75" s="350">
        <f t="shared" si="13"/>
        <v>0</v>
      </c>
      <c r="I75" s="350">
        <f t="shared" si="13"/>
        <v>0</v>
      </c>
      <c r="J75" s="315"/>
      <c r="K75" s="314"/>
    </row>
    <row r="76" spans="1:14">
      <c r="A76" s="348" t="s">
        <v>400</v>
      </c>
      <c r="B76" s="316">
        <f t="shared" ref="B76:F76" si="14">SUM(B73:B75)</f>
        <v>13998.437600000001</v>
      </c>
      <c r="C76" s="316">
        <f t="shared" si="14"/>
        <v>104988.28199999999</v>
      </c>
      <c r="D76" s="316">
        <f t="shared" si="14"/>
        <v>6159.3125440000003</v>
      </c>
      <c r="E76" s="316">
        <f t="shared" si="14"/>
        <v>216415.84529599996</v>
      </c>
      <c r="F76" s="316">
        <f t="shared" si="14"/>
        <v>0</v>
      </c>
      <c r="G76" s="316">
        <f>SUM(G73:G75)</f>
        <v>358360.00255999999</v>
      </c>
      <c r="H76" s="316">
        <f>SUM(H73:H75)</f>
        <v>0</v>
      </c>
      <c r="I76" s="316">
        <f>SUM(I73:I75)</f>
        <v>0</v>
      </c>
      <c r="J76" s="317">
        <f>SUM(B76:I76)</f>
        <v>699921.87999999989</v>
      </c>
    </row>
    <row r="77" spans="1:14">
      <c r="A77" s="351" t="s">
        <v>403</v>
      </c>
      <c r="B77" s="349">
        <f t="shared" ref="B77:I77" si="15">B76/$J$76</f>
        <v>2.0000000000000004E-2</v>
      </c>
      <c r="C77" s="349">
        <f t="shared" si="15"/>
        <v>0.15000000000000002</v>
      </c>
      <c r="D77" s="349">
        <f t="shared" si="15"/>
        <v>8.8000000000000023E-3</v>
      </c>
      <c r="E77" s="349">
        <f t="shared" si="15"/>
        <v>0.30919999999999997</v>
      </c>
      <c r="F77" s="349">
        <f t="shared" si="15"/>
        <v>0</v>
      </c>
      <c r="G77" s="349">
        <f t="shared" si="15"/>
        <v>0.51200000000000012</v>
      </c>
      <c r="H77" s="349">
        <f t="shared" si="15"/>
        <v>0</v>
      </c>
      <c r="I77" s="349">
        <f t="shared" si="15"/>
        <v>0</v>
      </c>
      <c r="J77" s="315"/>
      <c r="K77" s="299"/>
    </row>
    <row r="78" spans="1:14">
      <c r="A78" s="324"/>
      <c r="B78" s="324"/>
      <c r="C78" s="324"/>
      <c r="D78" s="324"/>
      <c r="F78" s="324"/>
      <c r="G78" s="324"/>
      <c r="H78" s="324"/>
      <c r="I78" s="324"/>
      <c r="K78" s="299"/>
    </row>
    <row r="79" spans="1:14">
      <c r="B79" s="305"/>
      <c r="C79" s="305"/>
      <c r="D79" s="305"/>
      <c r="E79" s="305"/>
      <c r="F79" s="305"/>
      <c r="G79" s="305"/>
      <c r="H79" s="305"/>
      <c r="I79" s="305"/>
      <c r="J79" s="305"/>
      <c r="K79" s="323"/>
    </row>
    <row r="80" spans="1:14" ht="18">
      <c r="A80" s="415" t="s">
        <v>573</v>
      </c>
      <c r="B80" s="325"/>
      <c r="C80" s="305"/>
      <c r="D80" s="305"/>
      <c r="E80" s="305"/>
      <c r="F80" s="305"/>
      <c r="G80" s="305"/>
      <c r="H80" s="305"/>
      <c r="I80" s="305"/>
      <c r="J80" s="305"/>
    </row>
    <row r="81" spans="1:11">
      <c r="A81" s="294"/>
      <c r="B81" s="296"/>
      <c r="C81" s="326"/>
      <c r="D81" s="314"/>
      <c r="E81" s="314"/>
      <c r="F81" s="314"/>
      <c r="G81" s="314"/>
      <c r="H81" s="314"/>
      <c r="I81" s="314"/>
      <c r="J81" s="314"/>
      <c r="K81" s="305"/>
    </row>
    <row r="82" spans="1:11">
      <c r="A82" s="297" t="s">
        <v>538</v>
      </c>
      <c r="B82" s="298">
        <v>2026</v>
      </c>
      <c r="C82" s="298">
        <v>2027</v>
      </c>
      <c r="D82" s="298">
        <v>2028</v>
      </c>
      <c r="E82" s="298">
        <v>2029</v>
      </c>
      <c r="F82" s="298">
        <v>2030</v>
      </c>
      <c r="G82" s="314"/>
      <c r="H82" s="314"/>
    </row>
    <row r="83" spans="1:11">
      <c r="A83" s="300" t="s">
        <v>569</v>
      </c>
      <c r="B83" s="417">
        <v>117666</v>
      </c>
      <c r="C83" s="417">
        <v>114136.02</v>
      </c>
      <c r="D83" s="417">
        <v>110711.9394</v>
      </c>
      <c r="E83" s="417">
        <v>114033.297582</v>
      </c>
      <c r="F83" s="417">
        <v>117454.29650946001</v>
      </c>
      <c r="G83" s="314"/>
      <c r="H83" s="314"/>
    </row>
    <row r="84" spans="1:11">
      <c r="A84" s="419" t="s">
        <v>386</v>
      </c>
      <c r="B84" s="418">
        <v>12943</v>
      </c>
      <c r="C84" s="418">
        <v>12554.71</v>
      </c>
      <c r="D84" s="418">
        <v>12178.068699999998</v>
      </c>
      <c r="E84" s="418">
        <v>12543.410760999997</v>
      </c>
      <c r="F84" s="418">
        <v>12919.713083829998</v>
      </c>
      <c r="G84" s="314"/>
      <c r="H84" s="314"/>
    </row>
    <row r="85" spans="1:11">
      <c r="A85" s="292" t="s">
        <v>570</v>
      </c>
      <c r="B85" s="420">
        <v>1976652</v>
      </c>
      <c r="C85" s="420">
        <v>1917352.44</v>
      </c>
      <c r="D85" s="420">
        <v>1859831.8668</v>
      </c>
      <c r="E85" s="420">
        <v>1915626.822804</v>
      </c>
      <c r="F85" s="420">
        <v>1973095.62748812</v>
      </c>
      <c r="G85" s="314"/>
      <c r="H85" s="314"/>
      <c r="I85" s="327"/>
    </row>
    <row r="86" spans="1:11">
      <c r="A86" s="292" t="s">
        <v>571</v>
      </c>
      <c r="B86" s="421">
        <v>1800</v>
      </c>
      <c r="C86" s="421">
        <v>1746</v>
      </c>
      <c r="D86" s="421">
        <v>1693</v>
      </c>
      <c r="E86" s="421">
        <v>1778</v>
      </c>
      <c r="F86" s="421">
        <v>1867</v>
      </c>
      <c r="G86" s="314"/>
      <c r="H86" s="314"/>
    </row>
    <row r="87" spans="1:11">
      <c r="A87" s="292" t="s">
        <v>572</v>
      </c>
      <c r="B87" s="421">
        <v>2880</v>
      </c>
      <c r="C87" s="421">
        <v>2793</v>
      </c>
      <c r="D87" s="421">
        <v>2598</v>
      </c>
      <c r="E87" s="421">
        <v>2468</v>
      </c>
      <c r="F87" s="421">
        <v>2344</v>
      </c>
    </row>
  </sheetData>
  <phoneticPr fontId="26" type="noConversion"/>
  <pageMargins left="0.78740157480314965" right="0.78740157480314965" top="0.98425196850393704" bottom="0.6692913385826772" header="0.51181102362204722" footer="0.47244094488188981"/>
  <pageSetup paperSize="9" scale="19" orientation="portrait" r:id="rId1"/>
  <headerFooter alignWithMargins="0">
    <oddHeader>&amp;L&amp;"BMWTypeLight,Fett"&amp;14BMW Brilliance Automotive Ltd.&amp;R&amp;"BMWTypeLight,Standard"&amp;12Volume Information Beijing</oddHeader>
    <oddFooter>&amp;L&amp;"BMWTypeRegular,Standard"&amp;8VH-63, VH-65 / September 2010&amp;C&amp;"BMWTypeRegular,Standard"&amp;8Page &amp;P of &amp;N&amp;R&amp;"BMWTypeRegular,Standard"&amp;8&amp;F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64"/>
  <sheetViews>
    <sheetView topLeftCell="A43" zoomScale="130" zoomScaleNormal="130" workbookViewId="0">
      <selection activeCell="C10" sqref="C10"/>
    </sheetView>
  </sheetViews>
  <sheetFormatPr defaultColWidth="9.06640625" defaultRowHeight="13.5"/>
  <cols>
    <col min="1" max="1" width="9.06640625" style="634"/>
    <col min="2" max="2" width="45.265625" style="634" customWidth="1"/>
    <col min="3" max="3" width="22.265625" style="634" customWidth="1"/>
    <col min="4" max="16384" width="9.06640625" style="634"/>
  </cols>
  <sheetData>
    <row r="1" spans="2:6" s="645" customFormat="1">
      <c r="B1" s="644" t="s">
        <v>897</v>
      </c>
    </row>
    <row r="2" spans="2:6">
      <c r="B2" s="634" t="s">
        <v>898</v>
      </c>
      <c r="C2" s="648">
        <v>0.5</v>
      </c>
    </row>
    <row r="3" spans="2:6">
      <c r="B3" s="634" t="s">
        <v>899</v>
      </c>
      <c r="C3" s="648">
        <v>0.5</v>
      </c>
    </row>
    <row r="4" spans="2:6">
      <c r="B4" s="634" t="s">
        <v>900</v>
      </c>
      <c r="C4" s="647">
        <v>2.4</v>
      </c>
    </row>
    <row r="5" spans="2:6">
      <c r="B5" s="634" t="s">
        <v>901</v>
      </c>
      <c r="C5" s="664">
        <v>15.19</v>
      </c>
      <c r="E5" s="666" t="s">
        <v>948</v>
      </c>
    </row>
    <row r="6" spans="2:6">
      <c r="B6" s="634" t="s">
        <v>902</v>
      </c>
      <c r="C6" s="634" t="s">
        <v>903</v>
      </c>
    </row>
    <row r="8" spans="2:6">
      <c r="B8" s="634" t="s">
        <v>904</v>
      </c>
      <c r="C8" s="648">
        <v>0.06</v>
      </c>
    </row>
    <row r="9" spans="2:6">
      <c r="C9" s="631" t="s">
        <v>905</v>
      </c>
    </row>
    <row r="10" spans="2:6">
      <c r="B10" s="634" t="s">
        <v>586</v>
      </c>
      <c r="C10" s="646">
        <v>0.86</v>
      </c>
    </row>
    <row r="11" spans="2:6">
      <c r="B11" s="634" t="s">
        <v>590</v>
      </c>
      <c r="C11" s="646">
        <v>0.12</v>
      </c>
    </row>
    <row r="12" spans="2:6">
      <c r="B12" s="634" t="s">
        <v>906</v>
      </c>
      <c r="C12" s="646">
        <v>0.02</v>
      </c>
      <c r="D12" s="634" t="s">
        <v>907</v>
      </c>
    </row>
    <row r="14" spans="2:6">
      <c r="C14" s="631" t="s">
        <v>905</v>
      </c>
      <c r="D14" s="631" t="s">
        <v>908</v>
      </c>
    </row>
    <row r="15" spans="2:6">
      <c r="B15" s="634" t="s">
        <v>909</v>
      </c>
      <c r="C15" s="648">
        <v>0.57999999999999996</v>
      </c>
      <c r="D15" s="634">
        <v>4</v>
      </c>
      <c r="F15" s="646">
        <v>0.3</v>
      </c>
    </row>
    <row r="16" spans="2:6">
      <c r="B16" s="634" t="s">
        <v>910</v>
      </c>
      <c r="C16" s="648">
        <v>0.14000000000000001</v>
      </c>
      <c r="D16" s="634">
        <v>40</v>
      </c>
    </row>
    <row r="17" spans="2:6">
      <c r="B17" s="634" t="s">
        <v>911</v>
      </c>
      <c r="C17" s="648">
        <v>0.06</v>
      </c>
      <c r="D17" s="634">
        <v>36</v>
      </c>
      <c r="F17" s="687">
        <v>0.5</v>
      </c>
    </row>
    <row r="18" spans="2:6">
      <c r="B18" s="634" t="s">
        <v>912</v>
      </c>
      <c r="C18" s="648">
        <v>0.14000000000000001</v>
      </c>
      <c r="D18" s="634">
        <v>9</v>
      </c>
    </row>
    <row r="19" spans="2:6">
      <c r="D19" s="651">
        <f>SUMPRODUCT(C15:C18,D15:D18)</f>
        <v>11.34</v>
      </c>
    </row>
    <row r="20" spans="2:6" s="645" customFormat="1">
      <c r="B20" s="644" t="s">
        <v>913</v>
      </c>
    </row>
    <row r="21" spans="2:6">
      <c r="B21" s="634" t="s">
        <v>914</v>
      </c>
      <c r="C21" s="648">
        <v>0.02</v>
      </c>
    </row>
    <row r="22" spans="2:6">
      <c r="C22" s="631" t="s">
        <v>905</v>
      </c>
      <c r="E22" s="634" t="s">
        <v>947</v>
      </c>
    </row>
    <row r="23" spans="2:6">
      <c r="B23" s="634" t="s">
        <v>586</v>
      </c>
      <c r="C23" s="648">
        <v>0.88</v>
      </c>
      <c r="E23" s="634">
        <f>Parameter!R99</f>
        <v>6</v>
      </c>
    </row>
    <row r="24" spans="2:6">
      <c r="B24" s="634" t="s">
        <v>590</v>
      </c>
      <c r="C24" s="648">
        <v>0.12</v>
      </c>
      <c r="E24" s="634">
        <f>Parameter!R94</f>
        <v>2</v>
      </c>
    </row>
    <row r="26" spans="2:6">
      <c r="C26" s="631" t="s">
        <v>905</v>
      </c>
      <c r="E26" s="634" t="s">
        <v>946</v>
      </c>
    </row>
    <row r="27" spans="2:6">
      <c r="B27" s="634" t="s">
        <v>909</v>
      </c>
      <c r="C27" s="648">
        <v>0.3</v>
      </c>
      <c r="E27" s="661">
        <v>1</v>
      </c>
    </row>
    <row r="28" spans="2:6">
      <c r="B28" s="634" t="s">
        <v>910</v>
      </c>
      <c r="C28" s="648">
        <v>0.27</v>
      </c>
      <c r="E28" s="662">
        <f>Parameter!R79</f>
        <v>6.5</v>
      </c>
    </row>
    <row r="29" spans="2:6">
      <c r="B29" s="634" t="s">
        <v>911</v>
      </c>
      <c r="C29" s="648">
        <v>0.12</v>
      </c>
      <c r="E29" s="662">
        <f>E28</f>
        <v>6.5</v>
      </c>
    </row>
    <row r="30" spans="2:6">
      <c r="B30" s="634" t="s">
        <v>912</v>
      </c>
      <c r="C30" s="648">
        <v>0.28999999999999998</v>
      </c>
      <c r="E30" s="662">
        <f>Parameter!R69</f>
        <v>6.5</v>
      </c>
    </row>
    <row r="32" spans="2:6">
      <c r="B32" s="634" t="s">
        <v>915</v>
      </c>
      <c r="C32" s="664">
        <v>4.67</v>
      </c>
      <c r="E32" s="634">
        <f>SUMPRODUCT(C27:C30,E27:E30)</f>
        <v>4.72</v>
      </c>
    </row>
    <row r="33" spans="2:5">
      <c r="B33" s="634" t="s">
        <v>916</v>
      </c>
      <c r="C33" s="651">
        <v>5</v>
      </c>
      <c r="E33" s="634">
        <f>SUMPRODUCT(C23:C24,E23:E24)</f>
        <v>5.5200000000000005</v>
      </c>
    </row>
    <row r="35" spans="2:5" s="645" customFormat="1">
      <c r="B35" s="644" t="s">
        <v>173</v>
      </c>
    </row>
    <row r="36" spans="2:5">
      <c r="B36" s="631"/>
      <c r="C36" s="631" t="s">
        <v>917</v>
      </c>
    </row>
    <row r="37" spans="2:5">
      <c r="B37" s="634" t="s">
        <v>918</v>
      </c>
      <c r="C37" s="651">
        <v>22863</v>
      </c>
      <c r="D37" s="652">
        <f>C37/SUM($C$37:$C$40)</f>
        <v>0.59025662208912066</v>
      </c>
    </row>
    <row r="38" spans="2:5">
      <c r="B38" s="634" t="s">
        <v>919</v>
      </c>
      <c r="C38" s="651">
        <v>8505</v>
      </c>
      <c r="D38" s="652">
        <f t="shared" ref="D38:D40" si="0">C38/SUM($C$37:$C$40)</f>
        <v>0.21957453400113594</v>
      </c>
    </row>
    <row r="39" spans="2:5">
      <c r="B39" s="634" t="s">
        <v>920</v>
      </c>
      <c r="C39" s="651">
        <v>6979</v>
      </c>
      <c r="D39" s="652">
        <f t="shared" si="0"/>
        <v>0.18017762172768112</v>
      </c>
    </row>
    <row r="40" spans="2:5">
      <c r="B40" s="634" t="s">
        <v>921</v>
      </c>
      <c r="C40" s="651">
        <v>387</v>
      </c>
      <c r="D40" s="652">
        <f t="shared" si="0"/>
        <v>9.9912221820622708E-3</v>
      </c>
    </row>
    <row r="42" spans="2:5">
      <c r="B42" s="634" t="s">
        <v>922</v>
      </c>
      <c r="C42" s="634">
        <v>25000</v>
      </c>
    </row>
    <row r="43" spans="2:5">
      <c r="B43" s="634" t="s">
        <v>909</v>
      </c>
      <c r="C43" s="646">
        <v>0.23</v>
      </c>
      <c r="D43" s="634">
        <v>5750</v>
      </c>
    </row>
    <row r="44" spans="2:5">
      <c r="B44" s="634" t="s">
        <v>910</v>
      </c>
      <c r="C44" s="646">
        <v>0.2</v>
      </c>
      <c r="D44" s="634">
        <v>5000</v>
      </c>
    </row>
    <row r="45" spans="2:5">
      <c r="B45" s="634" t="s">
        <v>911</v>
      </c>
      <c r="C45" s="646">
        <v>0.27</v>
      </c>
      <c r="D45" s="634">
        <v>6750</v>
      </c>
    </row>
    <row r="46" spans="2:5">
      <c r="B46" s="634" t="s">
        <v>912</v>
      </c>
      <c r="C46" s="646">
        <v>0.3</v>
      </c>
      <c r="D46" s="634">
        <v>7500</v>
      </c>
    </row>
    <row r="49" spans="2:4" s="645" customFormat="1">
      <c r="B49" s="644" t="s">
        <v>923</v>
      </c>
    </row>
    <row r="50" spans="2:4">
      <c r="B50" s="634" t="s">
        <v>924</v>
      </c>
      <c r="C50" s="646">
        <v>0.06</v>
      </c>
    </row>
    <row r="51" spans="2:4">
      <c r="B51" s="634" t="s">
        <v>925</v>
      </c>
      <c r="C51" s="634">
        <v>1.7</v>
      </c>
    </row>
    <row r="52" spans="2:4">
      <c r="B52" s="634" t="s">
        <v>926</v>
      </c>
      <c r="C52" s="646">
        <v>0.02</v>
      </c>
    </row>
    <row r="53" spans="2:4">
      <c r="B53" s="634" t="s">
        <v>927</v>
      </c>
      <c r="C53" s="634">
        <v>1.69</v>
      </c>
    </row>
    <row r="54" spans="2:4">
      <c r="B54" s="634" t="s">
        <v>928</v>
      </c>
      <c r="C54" s="634">
        <v>14360</v>
      </c>
    </row>
    <row r="55" spans="2:4">
      <c r="B55" s="634" t="s">
        <v>929</v>
      </c>
      <c r="C55" s="634">
        <v>27000</v>
      </c>
    </row>
    <row r="58" spans="2:4" s="645" customFormat="1">
      <c r="B58" s="644" t="s">
        <v>930</v>
      </c>
      <c r="C58" s="648">
        <v>0.09</v>
      </c>
    </row>
    <row r="60" spans="2:4" s="645" customFormat="1">
      <c r="B60" s="644" t="s">
        <v>931</v>
      </c>
      <c r="C60" s="651">
        <v>12</v>
      </c>
      <c r="D60" s="645" t="s">
        <v>940</v>
      </c>
    </row>
    <row r="62" spans="2:4" s="645" customFormat="1">
      <c r="B62" s="644" t="s">
        <v>932</v>
      </c>
    </row>
    <row r="63" spans="2:4">
      <c r="B63" s="634" t="s">
        <v>933</v>
      </c>
      <c r="C63" s="634" t="s">
        <v>934</v>
      </c>
    </row>
    <row r="64" spans="2:4">
      <c r="B64" s="634" t="s">
        <v>935</v>
      </c>
      <c r="C64" s="634" t="s">
        <v>936</v>
      </c>
    </row>
  </sheetData>
  <phoneticPr fontId="2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N8:P30"/>
  <sheetViews>
    <sheetView showGridLines="0" topLeftCell="A7" zoomScale="130" zoomScaleNormal="130" workbookViewId="0">
      <selection activeCell="O48" sqref="A44:O48"/>
    </sheetView>
  </sheetViews>
  <sheetFormatPr defaultColWidth="9.06640625" defaultRowHeight="12.75"/>
  <cols>
    <col min="1" max="14" width="9.06640625" style="281"/>
    <col min="15" max="15" width="10.59765625" style="281" bestFit="1" customWidth="1"/>
    <col min="16" max="16384" width="9.06640625" style="281"/>
  </cols>
  <sheetData>
    <row r="8" spans="14:16">
      <c r="N8" s="287"/>
      <c r="O8" s="287"/>
    </row>
    <row r="9" spans="14:16">
      <c r="N9" s="287"/>
      <c r="O9" s="287">
        <v>187</v>
      </c>
      <c r="P9" s="281" t="s">
        <v>1040</v>
      </c>
    </row>
    <row r="10" spans="14:16">
      <c r="N10" s="287"/>
      <c r="O10" s="287">
        <v>100</v>
      </c>
    </row>
    <row r="11" spans="14:16">
      <c r="N11" s="287"/>
      <c r="O11" s="287">
        <v>200</v>
      </c>
    </row>
    <row r="12" spans="14:16">
      <c r="N12" s="287"/>
      <c r="O12" s="287">
        <v>94</v>
      </c>
      <c r="P12" s="281" t="s">
        <v>1040</v>
      </c>
    </row>
    <row r="13" spans="14:16">
      <c r="N13" s="287"/>
      <c r="O13" s="287">
        <v>163</v>
      </c>
      <c r="P13" s="281" t="s">
        <v>1040</v>
      </c>
    </row>
    <row r="14" spans="14:16">
      <c r="N14" s="287"/>
      <c r="O14" s="287">
        <v>243</v>
      </c>
      <c r="P14" s="281" t="s">
        <v>1040</v>
      </c>
    </row>
    <row r="15" spans="14:16">
      <c r="N15" s="287"/>
      <c r="O15" s="287">
        <v>55</v>
      </c>
    </row>
    <row r="16" spans="14:16">
      <c r="N16" s="287"/>
      <c r="O16" s="287">
        <v>65</v>
      </c>
    </row>
    <row r="17" spans="14:16">
      <c r="N17" s="287"/>
      <c r="O17" s="287">
        <v>646</v>
      </c>
    </row>
    <row r="18" spans="14:16">
      <c r="N18" s="287"/>
      <c r="O18" s="287">
        <v>2230</v>
      </c>
    </row>
    <row r="19" spans="14:16">
      <c r="N19" s="287"/>
      <c r="O19" s="287">
        <v>6561</v>
      </c>
    </row>
    <row r="20" spans="14:16">
      <c r="N20" s="287"/>
      <c r="O20" s="287">
        <v>115</v>
      </c>
    </row>
    <row r="21" spans="14:16">
      <c r="N21" s="287"/>
      <c r="O21" s="287">
        <v>55</v>
      </c>
    </row>
    <row r="22" spans="14:16">
      <c r="N22" s="287"/>
      <c r="O22" s="287">
        <v>1174</v>
      </c>
    </row>
    <row r="23" spans="14:16">
      <c r="N23" s="287"/>
      <c r="O23" s="287">
        <v>300</v>
      </c>
    </row>
    <row r="24" spans="14:16">
      <c r="N24" s="287"/>
      <c r="O24" s="287">
        <v>738</v>
      </c>
    </row>
    <row r="25" spans="14:16">
      <c r="N25" s="287"/>
      <c r="O25" s="287">
        <v>800</v>
      </c>
    </row>
    <row r="26" spans="14:16">
      <c r="N26" s="287"/>
      <c r="O26" s="287">
        <v>159</v>
      </c>
    </row>
    <row r="27" spans="14:16">
      <c r="N27" s="287"/>
      <c r="O27" s="287">
        <v>5872</v>
      </c>
    </row>
    <row r="28" spans="14:16">
      <c r="N28" s="287"/>
      <c r="O28" s="287">
        <v>2470</v>
      </c>
    </row>
    <row r="29" spans="14:16">
      <c r="N29" s="287"/>
      <c r="O29" s="287"/>
    </row>
    <row r="30" spans="14:16" ht="13.15">
      <c r="N30" s="288" t="s">
        <v>390</v>
      </c>
      <c r="O30" s="288">
        <f>SUM(O9:O28)</f>
        <v>22227</v>
      </c>
      <c r="P30" s="289" t="s">
        <v>391</v>
      </c>
    </row>
  </sheetData>
  <phoneticPr fontId="26"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B1:AA130"/>
  <sheetViews>
    <sheetView showGridLines="0" topLeftCell="N1" zoomScale="90" zoomScaleNormal="90" workbookViewId="0">
      <selection activeCell="S27" sqref="S27"/>
    </sheetView>
  </sheetViews>
  <sheetFormatPr defaultColWidth="12.265625" defaultRowHeight="12.75"/>
  <cols>
    <col min="1" max="1" width="12.265625" style="11"/>
    <col min="2" max="2" width="5.265625" style="11" customWidth="1"/>
    <col min="3" max="3" width="12.265625" style="11"/>
    <col min="4" max="4" width="18.53125" style="11" customWidth="1"/>
    <col min="5" max="5" width="19.06640625" style="11" customWidth="1"/>
    <col min="6" max="6" width="21.265625" style="11" customWidth="1"/>
    <col min="7" max="7" width="16.73046875" style="11" customWidth="1"/>
    <col min="8" max="8" width="12.265625" style="11"/>
    <col min="9" max="9" width="15" style="11" customWidth="1"/>
    <col min="10" max="10" width="12.265625" style="11"/>
    <col min="11" max="11" width="16.796875" style="11" customWidth="1"/>
    <col min="12" max="12" width="12.265625" style="11"/>
    <col min="13" max="13" width="22.59765625" style="11" customWidth="1"/>
    <col min="14" max="14" width="12.265625" style="11"/>
    <col min="15" max="15" width="25.59765625" style="11" customWidth="1"/>
    <col min="16" max="16" width="18.46484375" style="11" customWidth="1"/>
    <col min="17" max="17" width="17.73046875" style="11" customWidth="1"/>
    <col min="18" max="18" width="19.06640625" style="11" customWidth="1"/>
    <col min="19" max="19" width="17.59765625" style="11" customWidth="1"/>
    <col min="20" max="20" width="17.33203125" style="11" customWidth="1"/>
    <col min="21" max="16384" width="12.265625" style="11"/>
  </cols>
  <sheetData>
    <row r="1" spans="2:27" ht="13.15" thickBot="1"/>
    <row r="2" spans="2:27" ht="15">
      <c r="B2" s="405" t="s">
        <v>533</v>
      </c>
      <c r="C2" s="408"/>
      <c r="D2" s="408"/>
      <c r="E2" s="446">
        <f>E5+J5+J19</f>
        <v>28927</v>
      </c>
      <c r="F2" s="388"/>
      <c r="G2" s="388"/>
      <c r="H2" s="388"/>
      <c r="I2" s="388"/>
      <c r="J2" s="388"/>
      <c r="K2" s="388"/>
      <c r="L2" s="389"/>
      <c r="N2" s="405" t="s">
        <v>535</v>
      </c>
      <c r="O2" s="408"/>
      <c r="P2" s="408"/>
      <c r="Q2" s="388"/>
      <c r="R2" s="388"/>
      <c r="S2" s="388"/>
      <c r="T2" s="388"/>
      <c r="U2" s="388"/>
      <c r="V2" s="388"/>
      <c r="W2" s="388"/>
      <c r="X2" s="388"/>
      <c r="Y2" s="388"/>
      <c r="Z2" s="388"/>
      <c r="AA2" s="389"/>
    </row>
    <row r="3" spans="2:27" s="365" customFormat="1" ht="18" customHeight="1">
      <c r="B3" s="390"/>
      <c r="C3" s="391"/>
      <c r="D3" s="364"/>
      <c r="E3" s="364"/>
      <c r="F3" s="364"/>
      <c r="G3" s="364"/>
      <c r="H3" s="364"/>
      <c r="I3" s="364"/>
      <c r="J3" s="364"/>
      <c r="L3" s="392"/>
      <c r="N3" s="390"/>
      <c r="O3" s="402"/>
      <c r="AA3" s="392"/>
    </row>
    <row r="4" spans="2:27" s="365" customFormat="1" ht="13.25" customHeight="1">
      <c r="B4" s="390"/>
      <c r="C4" s="391"/>
      <c r="D4" s="364"/>
      <c r="E4" s="364"/>
      <c r="F4" s="364"/>
      <c r="G4" s="364"/>
      <c r="H4" s="364"/>
      <c r="I4" s="364"/>
      <c r="J4" s="364"/>
      <c r="L4" s="392"/>
      <c r="N4" s="390"/>
      <c r="O4" s="356" t="s">
        <v>214</v>
      </c>
      <c r="P4" s="358">
        <v>293</v>
      </c>
      <c r="U4" s="7"/>
      <c r="V4" s="402" t="s">
        <v>708</v>
      </c>
      <c r="AA4" s="392"/>
    </row>
    <row r="5" spans="2:27" ht="13.15">
      <c r="B5" s="393"/>
      <c r="C5" s="354" t="s">
        <v>429</v>
      </c>
      <c r="D5" s="394" t="s">
        <v>428</v>
      </c>
      <c r="E5" s="395">
        <f>SUM(E9:E29)</f>
        <v>22727</v>
      </c>
      <c r="H5" s="354" t="s">
        <v>429</v>
      </c>
      <c r="I5" s="394" t="s">
        <v>430</v>
      </c>
      <c r="J5" s="395">
        <f>SUM(J9:J17)</f>
        <v>5200</v>
      </c>
      <c r="L5" s="396"/>
      <c r="N5" s="393"/>
      <c r="O5" s="356" t="s">
        <v>434</v>
      </c>
      <c r="P5" s="358">
        <v>8</v>
      </c>
      <c r="U5" s="7"/>
      <c r="V5" s="8" t="s">
        <v>22</v>
      </c>
      <c r="W5" s="8" t="s">
        <v>23</v>
      </c>
      <c r="X5" s="8" t="s">
        <v>24</v>
      </c>
      <c r="Y5" s="8" t="s">
        <v>25</v>
      </c>
      <c r="Z5" s="8" t="s">
        <v>26</v>
      </c>
      <c r="AA5" s="396"/>
    </row>
    <row r="6" spans="2:27" ht="13.15">
      <c r="B6" s="393"/>
      <c r="C6" s="354" t="s">
        <v>457</v>
      </c>
      <c r="D6" s="394">
        <v>4</v>
      </c>
      <c r="E6" s="395">
        <f>E5/D6</f>
        <v>5681.75</v>
      </c>
      <c r="F6" s="397" t="s">
        <v>458</v>
      </c>
      <c r="H6" s="354" t="s">
        <v>457</v>
      </c>
      <c r="I6" s="394">
        <v>1</v>
      </c>
      <c r="J6" s="395">
        <f>J5/I6</f>
        <v>5200</v>
      </c>
      <c r="K6" s="397" t="s">
        <v>458</v>
      </c>
      <c r="L6" s="396"/>
      <c r="N6" s="393"/>
      <c r="O6" s="356" t="s">
        <v>216</v>
      </c>
      <c r="P6" s="358">
        <v>8</v>
      </c>
      <c r="U6" s="476" t="s">
        <v>709</v>
      </c>
      <c r="V6" s="473">
        <v>1</v>
      </c>
      <c r="W6" s="473">
        <f>(Volume!C7+Volume!C56)/(Volume!B7+Volume!B56)</f>
        <v>0.96999999999999986</v>
      </c>
      <c r="X6" s="473">
        <f>(Volume!D7+Volume!D56)/(Volume!C7+Volume!C56)</f>
        <v>0.97000000000000008</v>
      </c>
      <c r="Y6" s="473">
        <f>(Volume!E7+Volume!E56)/(Volume!D7+Volume!D56)</f>
        <v>1.0299999999999998</v>
      </c>
      <c r="Z6" s="473">
        <f>(Volume!F7+Volume!F56)/(Volume!E7+Volume!E56)</f>
        <v>1.03</v>
      </c>
      <c r="AA6" s="396"/>
    </row>
    <row r="7" spans="2:27" ht="13.15">
      <c r="B7" s="393"/>
      <c r="C7" s="354"/>
      <c r="D7" s="354"/>
      <c r="E7" s="354"/>
      <c r="F7" s="354"/>
      <c r="G7" s="354"/>
      <c r="H7" s="354"/>
      <c r="I7" s="354"/>
      <c r="J7" s="354"/>
      <c r="K7" s="354"/>
      <c r="L7" s="396"/>
      <c r="N7" s="393"/>
      <c r="O7" s="356" t="s">
        <v>215</v>
      </c>
      <c r="P7" s="366">
        <v>0.85</v>
      </c>
      <c r="U7" s="476" t="s">
        <v>21</v>
      </c>
      <c r="V7" s="472">
        <v>1</v>
      </c>
      <c r="W7" s="474">
        <v>1</v>
      </c>
      <c r="X7" s="474">
        <v>0.98</v>
      </c>
      <c r="Y7" s="474">
        <v>1</v>
      </c>
      <c r="Z7" s="474">
        <v>1</v>
      </c>
      <c r="AA7" s="396"/>
    </row>
    <row r="8" spans="2:27" ht="13.15">
      <c r="B8" s="393"/>
      <c r="C8" s="12" t="s">
        <v>404</v>
      </c>
      <c r="D8" s="356" t="s">
        <v>405</v>
      </c>
      <c r="E8" s="356" t="s">
        <v>406</v>
      </c>
      <c r="F8" s="361" t="s">
        <v>433</v>
      </c>
      <c r="H8" s="12" t="s">
        <v>404</v>
      </c>
      <c r="I8" s="356" t="s">
        <v>405</v>
      </c>
      <c r="J8" s="356" t="s">
        <v>406</v>
      </c>
      <c r="K8" s="361" t="s">
        <v>433</v>
      </c>
      <c r="L8" s="396"/>
      <c r="N8" s="393"/>
      <c r="U8" s="476" t="s">
        <v>710</v>
      </c>
      <c r="V8" s="475">
        <v>1</v>
      </c>
      <c r="W8" s="475">
        <f>V8*W6*W7</f>
        <v>0.96999999999999986</v>
      </c>
      <c r="X8" s="475">
        <f t="shared" ref="X8:Z8" si="0">W8*X6*X7</f>
        <v>0.92208199999999996</v>
      </c>
      <c r="Y8" s="475">
        <f t="shared" si="0"/>
        <v>0.94974445999999979</v>
      </c>
      <c r="Z8" s="475">
        <f t="shared" si="0"/>
        <v>0.97823679379999984</v>
      </c>
      <c r="AA8" s="396"/>
    </row>
    <row r="9" spans="2:27" ht="13.15">
      <c r="B9" s="393"/>
      <c r="C9" s="357">
        <v>1</v>
      </c>
      <c r="D9" s="358" t="s">
        <v>407</v>
      </c>
      <c r="E9" s="358">
        <v>187</v>
      </c>
      <c r="H9" s="362">
        <v>1</v>
      </c>
      <c r="I9" s="363" t="s">
        <v>431</v>
      </c>
      <c r="J9" s="363">
        <v>5200</v>
      </c>
      <c r="K9" s="386">
        <f>SQRT(J9)</f>
        <v>72.111025509279784</v>
      </c>
      <c r="L9" s="396"/>
      <c r="N9" s="393"/>
      <c r="Q9" s="354"/>
      <c r="R9" s="354"/>
      <c r="S9" s="354"/>
      <c r="T9" s="354"/>
      <c r="U9" s="354"/>
      <c r="V9" s="354"/>
      <c r="W9" s="354"/>
      <c r="X9" s="354"/>
      <c r="Y9" s="354"/>
      <c r="AA9" s="396"/>
    </row>
    <row r="10" spans="2:27" ht="15">
      <c r="B10" s="393"/>
      <c r="C10" s="357">
        <v>2</v>
      </c>
      <c r="D10" s="358" t="s">
        <v>408</v>
      </c>
      <c r="E10" s="358">
        <v>100</v>
      </c>
      <c r="H10" s="358"/>
      <c r="I10" s="358"/>
      <c r="J10" s="358"/>
      <c r="K10" s="14"/>
      <c r="L10" s="396"/>
      <c r="N10" s="393"/>
      <c r="O10" s="402" t="s">
        <v>536</v>
      </c>
      <c r="P10" s="481" t="s">
        <v>680</v>
      </c>
      <c r="Q10" s="13" t="s">
        <v>682</v>
      </c>
      <c r="R10" s="13" t="s">
        <v>681</v>
      </c>
      <c r="S10" s="13" t="s">
        <v>683</v>
      </c>
      <c r="T10" s="13" t="s">
        <v>686</v>
      </c>
      <c r="U10" s="354" t="s">
        <v>716</v>
      </c>
      <c r="V10" s="354"/>
      <c r="W10" s="354"/>
      <c r="X10" s="354"/>
      <c r="Y10" s="354"/>
      <c r="AA10" s="396"/>
    </row>
    <row r="11" spans="2:27" ht="13.15">
      <c r="B11" s="393"/>
      <c r="C11" s="357">
        <v>3</v>
      </c>
      <c r="D11" s="358" t="s">
        <v>409</v>
      </c>
      <c r="E11" s="358">
        <v>200</v>
      </c>
      <c r="H11" s="358"/>
      <c r="I11" s="358"/>
      <c r="J11" s="358"/>
      <c r="K11" s="14"/>
      <c r="L11" s="396"/>
      <c r="N11" s="393"/>
      <c r="O11" s="411" t="s">
        <v>449</v>
      </c>
      <c r="P11" s="381">
        <f>Q11*(1+R11)*12+S11</f>
        <v>126411.58536585367</v>
      </c>
      <c r="Q11" s="681">
        <v>7500</v>
      </c>
      <c r="R11" s="477">
        <v>0.4</v>
      </c>
      <c r="S11" s="479">
        <f>Q11/(8*20.5)*1.5*6</f>
        <v>411.58536585365852</v>
      </c>
      <c r="T11" s="358">
        <v>1.07</v>
      </c>
      <c r="U11" s="516">
        <f>SUMIF(Process!O:O,Parameter!O11,Process!P:P)</f>
        <v>0.29411764705882354</v>
      </c>
      <c r="V11" s="750">
        <f>SUM(U11:U18)</f>
        <v>35.176771275076078</v>
      </c>
      <c r="W11" s="394"/>
      <c r="X11" s="11" t="s">
        <v>987</v>
      </c>
      <c r="Y11" s="354"/>
      <c r="AA11" s="396"/>
    </row>
    <row r="12" spans="2:27">
      <c r="B12" s="393"/>
      <c r="C12" s="357">
        <v>4</v>
      </c>
      <c r="D12" s="358" t="s">
        <v>410</v>
      </c>
      <c r="E12" s="358">
        <v>94</v>
      </c>
      <c r="H12" s="358"/>
      <c r="I12" s="358"/>
      <c r="J12" s="358"/>
      <c r="K12" s="14"/>
      <c r="L12" s="396"/>
      <c r="N12" s="393"/>
      <c r="O12" s="411" t="s">
        <v>450</v>
      </c>
      <c r="P12" s="381">
        <f t="shared" ref="P12:P19" si="1">Q12*(1+R12)*12+S12</f>
        <v>126068.59756097561</v>
      </c>
      <c r="Q12" s="681">
        <v>7500</v>
      </c>
      <c r="R12" s="477">
        <v>0.4</v>
      </c>
      <c r="S12" s="479">
        <f t="shared" ref="S12:S18" si="2">Q12/(8*20.5)*1.5</f>
        <v>68.597560975609753</v>
      </c>
      <c r="T12" s="358">
        <v>1.07</v>
      </c>
      <c r="U12" s="516">
        <f>SUMIF(Process!O:O,Parameter!O12,Process!P:P)</f>
        <v>2.0395536256757159</v>
      </c>
      <c r="V12" s="11">
        <f>SUM(U19:U21)</f>
        <v>5</v>
      </c>
      <c r="AA12" s="396"/>
    </row>
    <row r="13" spans="2:27">
      <c r="B13" s="393"/>
      <c r="C13" s="357">
        <v>5</v>
      </c>
      <c r="D13" s="358" t="s">
        <v>411</v>
      </c>
      <c r="E13" s="358">
        <v>163</v>
      </c>
      <c r="F13" s="386">
        <f>SQRT(E13)</f>
        <v>12.767145334803704</v>
      </c>
      <c r="H13" s="358"/>
      <c r="I13" s="358"/>
      <c r="J13" s="358"/>
      <c r="K13" s="14"/>
      <c r="L13" s="396"/>
      <c r="N13" s="393"/>
      <c r="O13" s="411" t="s">
        <v>451</v>
      </c>
      <c r="P13" s="381">
        <f t="shared" si="1"/>
        <v>100854.87804878049</v>
      </c>
      <c r="Q13" s="681">
        <v>6000</v>
      </c>
      <c r="R13" s="477">
        <v>0.4</v>
      </c>
      <c r="S13" s="479">
        <f t="shared" si="2"/>
        <v>54.878048780487802</v>
      </c>
      <c r="T13" s="358">
        <v>1.07</v>
      </c>
      <c r="U13" s="516">
        <f>SUMIF(Process!O:O,Parameter!O13,Process!P:P)</f>
        <v>1.3273567546202427</v>
      </c>
      <c r="V13" s="751">
        <f>V12/V11</f>
        <v>0.14213925322767379</v>
      </c>
      <c r="AA13" s="396"/>
    </row>
    <row r="14" spans="2:27">
      <c r="B14" s="393"/>
      <c r="C14" s="357">
        <v>6</v>
      </c>
      <c r="D14" s="358" t="s">
        <v>412</v>
      </c>
      <c r="E14" s="358">
        <v>243</v>
      </c>
      <c r="F14" s="386">
        <f>SQRT(E14)</f>
        <v>15.588457268119896</v>
      </c>
      <c r="H14" s="358"/>
      <c r="I14" s="358"/>
      <c r="J14" s="358"/>
      <c r="K14" s="14"/>
      <c r="L14" s="396"/>
      <c r="N14" s="393"/>
      <c r="O14" s="411" t="s">
        <v>452</v>
      </c>
      <c r="P14" s="381">
        <f t="shared" si="1"/>
        <v>100854.87804878049</v>
      </c>
      <c r="Q14" s="681">
        <v>6000</v>
      </c>
      <c r="R14" s="477">
        <v>0.4</v>
      </c>
      <c r="S14" s="479">
        <f t="shared" si="2"/>
        <v>54.878048780487802</v>
      </c>
      <c r="T14" s="358">
        <v>1.07</v>
      </c>
      <c r="U14" s="516">
        <f>SUMIF(Process!O:O,Parameter!O14,Process!P:P)</f>
        <v>11.791416788515058</v>
      </c>
      <c r="AA14" s="396"/>
    </row>
    <row r="15" spans="2:27">
      <c r="B15" s="393"/>
      <c r="C15" s="357">
        <v>7</v>
      </c>
      <c r="D15" s="358" t="s">
        <v>413</v>
      </c>
      <c r="E15" s="358">
        <v>55</v>
      </c>
      <c r="H15" s="358"/>
      <c r="I15" s="358"/>
      <c r="J15" s="358"/>
      <c r="K15" s="14"/>
      <c r="L15" s="396"/>
      <c r="N15" s="393"/>
      <c r="O15" s="411" t="s">
        <v>453</v>
      </c>
      <c r="P15" s="381">
        <f t="shared" si="1"/>
        <v>84045.731707317071</v>
      </c>
      <c r="Q15" s="681">
        <v>5000</v>
      </c>
      <c r="R15" s="477">
        <v>0.4</v>
      </c>
      <c r="S15" s="479">
        <f t="shared" si="2"/>
        <v>45.731707317073173</v>
      </c>
      <c r="T15" s="358">
        <v>1.07</v>
      </c>
      <c r="U15" s="516">
        <f>SUMIF(Process!O:O,Parameter!O15,Process!P:P)</f>
        <v>8.5715751966104854</v>
      </c>
      <c r="AA15" s="396"/>
    </row>
    <row r="16" spans="2:27">
      <c r="B16" s="393"/>
      <c r="C16" s="357">
        <v>8</v>
      </c>
      <c r="D16" s="358" t="s">
        <v>414</v>
      </c>
      <c r="E16" s="358">
        <v>65</v>
      </c>
      <c r="H16" s="358"/>
      <c r="I16" s="358"/>
      <c r="J16" s="358"/>
      <c r="K16" s="14"/>
      <c r="L16" s="396"/>
      <c r="N16" s="393"/>
      <c r="O16" s="411" t="s">
        <v>454</v>
      </c>
      <c r="P16" s="381">
        <f t="shared" si="1"/>
        <v>84045.731707317071</v>
      </c>
      <c r="Q16" s="681">
        <v>5000</v>
      </c>
      <c r="R16" s="477">
        <v>0.4</v>
      </c>
      <c r="S16" s="479">
        <f t="shared" si="2"/>
        <v>45.731707317073173</v>
      </c>
      <c r="T16" s="358">
        <v>1.07</v>
      </c>
      <c r="U16" s="516">
        <f>SUMIF(Process!O:O,Parameter!O16,Process!P:P)</f>
        <v>8.4967735530069834</v>
      </c>
      <c r="AA16" s="396"/>
    </row>
    <row r="17" spans="2:27">
      <c r="B17" s="393"/>
      <c r="C17" s="357">
        <v>9</v>
      </c>
      <c r="D17" s="358" t="s">
        <v>415</v>
      </c>
      <c r="E17" s="358">
        <v>646</v>
      </c>
      <c r="F17" s="386">
        <f>SQRT(E17)</f>
        <v>25.416530054277668</v>
      </c>
      <c r="H17" s="358"/>
      <c r="I17" s="358"/>
      <c r="J17" s="358"/>
      <c r="K17" s="14"/>
      <c r="L17" s="396"/>
      <c r="N17" s="393"/>
      <c r="O17" s="358" t="s">
        <v>642</v>
      </c>
      <c r="P17" s="381">
        <f t="shared" si="1"/>
        <v>100854.87804878049</v>
      </c>
      <c r="Q17" s="681">
        <v>6000</v>
      </c>
      <c r="R17" s="477">
        <v>0.4</v>
      </c>
      <c r="S17" s="479">
        <f t="shared" si="2"/>
        <v>54.878048780487802</v>
      </c>
      <c r="T17" s="358">
        <v>1.07</v>
      </c>
      <c r="U17" s="516">
        <f>SUMIF(Process!O:O,Parameter!O17,Process!P:P)</f>
        <v>2.0465714897629512</v>
      </c>
      <c r="AA17" s="396"/>
    </row>
    <row r="18" spans="2:27" ht="13.15">
      <c r="B18" s="393"/>
      <c r="C18" s="357">
        <v>10</v>
      </c>
      <c r="D18" s="359" t="s">
        <v>416</v>
      </c>
      <c r="E18" s="359">
        <v>2230</v>
      </c>
      <c r="F18" s="386">
        <f>SQRT(E18)</f>
        <v>47.222875812470377</v>
      </c>
      <c r="L18" s="396"/>
      <c r="N18" s="393"/>
      <c r="O18" s="358" t="s">
        <v>649</v>
      </c>
      <c r="P18" s="381">
        <f t="shared" si="1"/>
        <v>100854.87804878049</v>
      </c>
      <c r="Q18" s="681">
        <v>6000</v>
      </c>
      <c r="R18" s="477">
        <v>0.4</v>
      </c>
      <c r="S18" s="479">
        <f t="shared" si="2"/>
        <v>54.878048780487802</v>
      </c>
      <c r="T18" s="358">
        <v>1.07</v>
      </c>
      <c r="U18" s="516">
        <f>SUMIF(Process!O:O,Parameter!O18,Process!P:P)</f>
        <v>0.60940621982581433</v>
      </c>
      <c r="V18" s="354" t="s">
        <v>717</v>
      </c>
      <c r="AA18" s="396"/>
    </row>
    <row r="19" spans="2:27" ht="13.15">
      <c r="B19" s="393"/>
      <c r="C19" s="357">
        <v>11</v>
      </c>
      <c r="D19" s="359" t="s">
        <v>417</v>
      </c>
      <c r="E19" s="359">
        <v>6561</v>
      </c>
      <c r="F19" s="386">
        <f>SQRT(E19)</f>
        <v>81</v>
      </c>
      <c r="H19" s="354" t="s">
        <v>429</v>
      </c>
      <c r="I19" s="394" t="s">
        <v>432</v>
      </c>
      <c r="J19" s="395">
        <f>SUM(J23:J29)</f>
        <v>1000</v>
      </c>
      <c r="L19" s="396"/>
      <c r="N19" s="393"/>
      <c r="O19" s="358" t="s">
        <v>684</v>
      </c>
      <c r="P19" s="381">
        <f t="shared" si="1"/>
        <v>435000</v>
      </c>
      <c r="Q19" s="681">
        <v>25000</v>
      </c>
      <c r="R19" s="477">
        <v>0.45</v>
      </c>
      <c r="S19" s="480">
        <v>0</v>
      </c>
      <c r="T19" s="358">
        <v>1.03</v>
      </c>
      <c r="U19" s="358">
        <v>1</v>
      </c>
      <c r="V19" s="515">
        <f>U19*$P19</f>
        <v>435000</v>
      </c>
      <c r="W19" s="515">
        <f>V19*$T19</f>
        <v>448050</v>
      </c>
      <c r="X19" s="515">
        <f t="shared" ref="X19:Z19" si="3">W19*$T19</f>
        <v>461491.5</v>
      </c>
      <c r="Y19" s="515">
        <f t="shared" si="3"/>
        <v>475336.245</v>
      </c>
      <c r="Z19" s="515">
        <f t="shared" si="3"/>
        <v>489596.33234999998</v>
      </c>
      <c r="AA19" s="396"/>
    </row>
    <row r="20" spans="2:27" ht="13.15">
      <c r="B20" s="393"/>
      <c r="C20" s="357">
        <v>12</v>
      </c>
      <c r="D20" s="358" t="s">
        <v>418</v>
      </c>
      <c r="E20" s="358">
        <v>115</v>
      </c>
      <c r="H20" s="354" t="s">
        <v>457</v>
      </c>
      <c r="I20" s="394">
        <v>1</v>
      </c>
      <c r="J20" s="395">
        <f>J19/I20</f>
        <v>1000</v>
      </c>
      <c r="K20" s="397" t="s">
        <v>459</v>
      </c>
      <c r="L20" s="396"/>
      <c r="N20" s="393"/>
      <c r="O20" s="358" t="s">
        <v>685</v>
      </c>
      <c r="P20" s="381">
        <f t="shared" ref="P20:P22" si="4">Q20*(1+R20)*12+S20</f>
        <v>313200</v>
      </c>
      <c r="Q20" s="681">
        <v>18000</v>
      </c>
      <c r="R20" s="477">
        <v>0.45</v>
      </c>
      <c r="S20" s="480">
        <v>0</v>
      </c>
      <c r="T20" s="358">
        <v>1.03</v>
      </c>
      <c r="U20" s="753">
        <v>2</v>
      </c>
      <c r="V20" s="515">
        <f>U20*$P20</f>
        <v>626400</v>
      </c>
      <c r="W20" s="515">
        <f t="shared" ref="W20:Z20" si="5">V20*$T20</f>
        <v>645192</v>
      </c>
      <c r="X20" s="515">
        <f t="shared" si="5"/>
        <v>664547.76</v>
      </c>
      <c r="Y20" s="515">
        <f t="shared" si="5"/>
        <v>684484.19280000008</v>
      </c>
      <c r="Z20" s="515">
        <f t="shared" si="5"/>
        <v>705018.71858400013</v>
      </c>
      <c r="AA20" s="752" t="s">
        <v>1082</v>
      </c>
    </row>
    <row r="21" spans="2:27" ht="13.15">
      <c r="B21" s="393"/>
      <c r="C21" s="357">
        <v>13</v>
      </c>
      <c r="D21" s="359" t="s">
        <v>419</v>
      </c>
      <c r="E21" s="359">
        <v>555</v>
      </c>
      <c r="F21" s="386">
        <f>SQRT(E21)</f>
        <v>23.558437978779494</v>
      </c>
      <c r="G21" s="353"/>
      <c r="L21" s="396"/>
      <c r="N21" s="393"/>
      <c r="O21" s="358" t="s">
        <v>31</v>
      </c>
      <c r="P21" s="381">
        <f t="shared" si="4"/>
        <v>174000</v>
      </c>
      <c r="Q21" s="681">
        <v>10000</v>
      </c>
      <c r="R21" s="477">
        <v>0.45</v>
      </c>
      <c r="S21" s="480">
        <v>0</v>
      </c>
      <c r="T21" s="358">
        <v>1.03</v>
      </c>
      <c r="U21" s="478">
        <f>ROUND(SUM(U11:U18)/15,0)</f>
        <v>2</v>
      </c>
      <c r="V21" s="515">
        <f t="shared" ref="V21:V22" si="6">U21*$P21</f>
        <v>348000</v>
      </c>
      <c r="W21" s="515">
        <f t="shared" ref="W21:Y21" si="7">V21*$T21</f>
        <v>358440</v>
      </c>
      <c r="X21" s="515">
        <f t="shared" si="7"/>
        <v>369193.2</v>
      </c>
      <c r="Y21" s="515">
        <f t="shared" si="7"/>
        <v>380268.99600000004</v>
      </c>
      <c r="Z21" s="515">
        <f>Y21*$T21</f>
        <v>391677.06588000007</v>
      </c>
      <c r="AA21" s="396"/>
    </row>
    <row r="22" spans="2:27" ht="13.15">
      <c r="B22" s="393"/>
      <c r="C22" s="357">
        <v>14</v>
      </c>
      <c r="D22" s="359" t="s">
        <v>420</v>
      </c>
      <c r="E22" s="359">
        <v>1174</v>
      </c>
      <c r="F22" s="386">
        <f>SQRT(E22)</f>
        <v>34.26368339802363</v>
      </c>
      <c r="H22" s="12" t="s">
        <v>404</v>
      </c>
      <c r="I22" s="356" t="s">
        <v>405</v>
      </c>
      <c r="J22" s="356" t="s">
        <v>406</v>
      </c>
      <c r="K22" s="361" t="s">
        <v>433</v>
      </c>
      <c r="L22" s="396"/>
      <c r="N22" s="393"/>
      <c r="O22" s="358"/>
      <c r="P22" s="381">
        <f t="shared" si="4"/>
        <v>0</v>
      </c>
      <c r="Q22" s="358"/>
      <c r="R22" s="477"/>
      <c r="S22" s="480"/>
      <c r="T22" s="358"/>
      <c r="U22" s="358"/>
      <c r="V22" s="515">
        <f t="shared" si="6"/>
        <v>0</v>
      </c>
      <c r="W22" s="515">
        <f t="shared" ref="W22:Y22" si="8">V22*$T22</f>
        <v>0</v>
      </c>
      <c r="X22" s="515">
        <f t="shared" si="8"/>
        <v>0</v>
      </c>
      <c r="Y22" s="515">
        <f t="shared" si="8"/>
        <v>0</v>
      </c>
      <c r="Z22" s="515">
        <f>Y22*$T22</f>
        <v>0</v>
      </c>
      <c r="AA22" s="396"/>
    </row>
    <row r="23" spans="2:27" ht="13.5" thickBot="1">
      <c r="B23" s="393"/>
      <c r="C23" s="357">
        <v>15</v>
      </c>
      <c r="D23" s="358" t="s">
        <v>421</v>
      </c>
      <c r="E23" s="358">
        <v>300</v>
      </c>
      <c r="H23" s="357">
        <v>1</v>
      </c>
      <c r="I23" s="359" t="s">
        <v>617</v>
      </c>
      <c r="J23" s="359">
        <v>1000</v>
      </c>
      <c r="K23" s="386">
        <f>SQRT(J23)</f>
        <v>31.622776601683793</v>
      </c>
      <c r="L23" s="396"/>
      <c r="N23" s="398"/>
      <c r="O23" s="399"/>
      <c r="P23" s="399"/>
      <c r="Q23" s="399"/>
      <c r="R23" s="399"/>
      <c r="S23" s="399"/>
      <c r="T23" s="399"/>
      <c r="U23" s="399"/>
      <c r="V23" s="399"/>
      <c r="W23" s="399"/>
      <c r="X23" s="399"/>
      <c r="Y23" s="399"/>
      <c r="Z23" s="399"/>
      <c r="AA23" s="400"/>
    </row>
    <row r="24" spans="2:27">
      <c r="B24" s="393"/>
      <c r="C24" s="357">
        <v>16</v>
      </c>
      <c r="D24" s="358" t="s">
        <v>422</v>
      </c>
      <c r="E24" s="358">
        <v>738</v>
      </c>
      <c r="H24" s="358"/>
      <c r="I24" s="358"/>
      <c r="J24" s="358"/>
      <c r="K24" s="14"/>
      <c r="L24" s="396"/>
    </row>
    <row r="25" spans="2:27" ht="13.15" thickBot="1">
      <c r="B25" s="393"/>
      <c r="C25" s="357">
        <v>17</v>
      </c>
      <c r="D25" s="358" t="s">
        <v>423</v>
      </c>
      <c r="E25" s="358">
        <v>800</v>
      </c>
      <c r="H25" s="358"/>
      <c r="I25" s="358"/>
      <c r="J25" s="358"/>
      <c r="K25" s="14"/>
      <c r="L25" s="396"/>
    </row>
    <row r="26" spans="2:27">
      <c r="B26" s="393"/>
      <c r="C26" s="357">
        <v>18</v>
      </c>
      <c r="D26" s="358" t="s">
        <v>424</v>
      </c>
      <c r="E26" s="358">
        <v>159</v>
      </c>
      <c r="G26" s="353"/>
      <c r="H26" s="358"/>
      <c r="I26" s="358"/>
      <c r="J26" s="358"/>
      <c r="K26" s="14"/>
      <c r="L26" s="396"/>
      <c r="N26" s="387"/>
      <c r="O26" s="388"/>
      <c r="P26" s="388"/>
      <c r="Q26" s="388"/>
      <c r="R26" s="388"/>
      <c r="S26" s="388"/>
      <c r="T26" s="388"/>
      <c r="U26" s="388"/>
      <c r="V26" s="389"/>
    </row>
    <row r="27" spans="2:27" ht="13.15">
      <c r="B27" s="393"/>
      <c r="C27" s="357">
        <v>19</v>
      </c>
      <c r="D27" s="359" t="s">
        <v>425</v>
      </c>
      <c r="E27" s="359">
        <v>5872</v>
      </c>
      <c r="F27" s="386">
        <f>SQRT(E27)</f>
        <v>76.628976242672067</v>
      </c>
      <c r="H27" s="358"/>
      <c r="I27" s="358"/>
      <c r="J27" s="358"/>
      <c r="K27" s="14"/>
      <c r="L27" s="396"/>
      <c r="N27" s="393"/>
      <c r="P27" s="242" t="s">
        <v>239</v>
      </c>
      <c r="R27" s="386">
        <f>Volume!B7+Volume!B11</f>
        <v>217050.18299999999</v>
      </c>
      <c r="S27" s="11" t="s">
        <v>632</v>
      </c>
      <c r="V27" s="396"/>
    </row>
    <row r="28" spans="2:27" ht="13.15">
      <c r="B28" s="393"/>
      <c r="C28" s="357">
        <v>20</v>
      </c>
      <c r="D28" s="359" t="s">
        <v>426</v>
      </c>
      <c r="E28" s="359">
        <v>2470</v>
      </c>
      <c r="H28" s="358"/>
      <c r="I28" s="358"/>
      <c r="J28" s="358"/>
      <c r="K28" s="14"/>
      <c r="L28" s="396"/>
      <c r="N28" s="393"/>
      <c r="P28" s="352" t="s">
        <v>242</v>
      </c>
      <c r="R28" s="395">
        <f>R27/Parameter!P4</f>
        <v>740.78560750853239</v>
      </c>
      <c r="V28" s="396"/>
    </row>
    <row r="29" spans="2:27">
      <c r="B29" s="393"/>
      <c r="C29" s="357">
        <v>21</v>
      </c>
      <c r="D29" s="358" t="s">
        <v>427</v>
      </c>
      <c r="E29" s="358"/>
      <c r="G29" s="353"/>
      <c r="H29" s="358"/>
      <c r="I29" s="358"/>
      <c r="J29" s="358"/>
      <c r="K29" s="14"/>
      <c r="L29" s="396"/>
      <c r="N29" s="393"/>
      <c r="P29" s="242" t="s">
        <v>244</v>
      </c>
      <c r="R29" s="386">
        <f>Volume!B56</f>
        <v>699921.88</v>
      </c>
      <c r="V29" s="396"/>
      <c r="X29" s="691"/>
    </row>
    <row r="30" spans="2:27" ht="13.15">
      <c r="B30" s="393"/>
      <c r="C30" s="441"/>
      <c r="D30" s="397"/>
      <c r="E30" s="397"/>
      <c r="G30" s="353"/>
      <c r="H30" s="353"/>
      <c r="I30" s="353"/>
      <c r="J30" s="353"/>
      <c r="L30" s="396"/>
      <c r="N30" s="393"/>
      <c r="P30" s="352" t="s">
        <v>243</v>
      </c>
      <c r="R30" s="395">
        <f>R29/Parameter!P4</f>
        <v>2388.811877133106</v>
      </c>
      <c r="V30" s="396"/>
    </row>
    <row r="31" spans="2:27">
      <c r="B31" s="393"/>
      <c r="C31" s="242"/>
      <c r="G31" s="442"/>
      <c r="H31" s="445" t="s">
        <v>621</v>
      </c>
      <c r="L31" s="396"/>
      <c r="N31" s="393"/>
      <c r="V31" s="396"/>
    </row>
    <row r="32" spans="2:27" ht="13.15">
      <c r="B32" s="393"/>
      <c r="C32" s="354" t="s">
        <v>615</v>
      </c>
      <c r="E32" s="444">
        <f>E18+E19+E21+E22+E27+J5</f>
        <v>21592</v>
      </c>
      <c r="F32" s="447">
        <f>E32/$E$2</f>
        <v>0.74643067030801669</v>
      </c>
      <c r="G32" s="442"/>
      <c r="H32" s="444">
        <f>E32-J5</f>
        <v>16392</v>
      </c>
      <c r="I32" s="449" t="s">
        <v>622</v>
      </c>
      <c r="L32" s="396"/>
      <c r="N32" s="393"/>
      <c r="O32" s="354" t="s">
        <v>541</v>
      </c>
      <c r="P32" s="354"/>
      <c r="Q32" s="354"/>
      <c r="R32" s="354" t="s">
        <v>605</v>
      </c>
      <c r="S32" s="354" t="s">
        <v>240</v>
      </c>
      <c r="V32" s="396"/>
    </row>
    <row r="33" spans="2:22" ht="13.15">
      <c r="B33" s="393"/>
      <c r="D33" s="11" t="s">
        <v>30</v>
      </c>
      <c r="E33" s="360">
        <f>E18+E19</f>
        <v>8791</v>
      </c>
      <c r="F33" s="448">
        <f>E33/$E$32</f>
        <v>0.40714153390144497</v>
      </c>
      <c r="G33" s="442"/>
      <c r="H33" s="434">
        <f>E33</f>
        <v>8791</v>
      </c>
      <c r="I33" s="448">
        <f>H33/$H$32</f>
        <v>0.53629819424109326</v>
      </c>
      <c r="L33" s="396"/>
      <c r="N33" s="393"/>
      <c r="O33" s="354" t="s">
        <v>436</v>
      </c>
      <c r="P33" s="354" t="s">
        <v>539</v>
      </c>
      <c r="R33" s="430">
        <f>(Volume!B7+Volume!B11)/Volume!H23</f>
        <v>154.15495951704546</v>
      </c>
      <c r="S33" s="431" t="s">
        <v>550</v>
      </c>
      <c r="V33" s="396"/>
    </row>
    <row r="34" spans="2:22" ht="13.15">
      <c r="B34" s="393"/>
      <c r="D34" s="11" t="s">
        <v>543</v>
      </c>
      <c r="E34" s="360">
        <f>E21+E27+J5</f>
        <v>11627</v>
      </c>
      <c r="F34" s="448">
        <f t="shared" ref="F34:F35" si="9">E34/$E$32</f>
        <v>0.53848647647276771</v>
      </c>
      <c r="G34" s="442"/>
      <c r="H34" s="434">
        <f>E34-J5</f>
        <v>6427</v>
      </c>
      <c r="I34" s="448">
        <f>H34/$H$32</f>
        <v>0.39208150317227913</v>
      </c>
      <c r="L34" s="396"/>
      <c r="N34" s="393"/>
      <c r="O34" s="354"/>
      <c r="P34" s="354"/>
      <c r="R34" s="432">
        <f>1.2*0.8*1.5</f>
        <v>1.44</v>
      </c>
      <c r="S34" s="11" t="s">
        <v>599</v>
      </c>
      <c r="V34" s="396"/>
    </row>
    <row r="35" spans="2:22">
      <c r="B35" s="393"/>
      <c r="D35" s="11" t="s">
        <v>542</v>
      </c>
      <c r="E35" s="360">
        <f>E22</f>
        <v>1174</v>
      </c>
      <c r="F35" s="448">
        <f t="shared" si="9"/>
        <v>5.4371989625787327E-2</v>
      </c>
      <c r="G35" s="442"/>
      <c r="H35" s="434">
        <f>E35</f>
        <v>1174</v>
      </c>
      <c r="I35" s="448">
        <f>H35/$H$32</f>
        <v>7.1620302586627618E-2</v>
      </c>
      <c r="L35" s="396"/>
      <c r="N35" s="393"/>
      <c r="R35" s="430">
        <f>Volume!H14/Volume!H23/Parameter!R34</f>
        <v>28.536241319444446</v>
      </c>
      <c r="S35" s="433" t="s">
        <v>551</v>
      </c>
      <c r="T35" s="386">
        <f>R35*Volume!H23/P4</f>
        <v>137.12978763746682</v>
      </c>
      <c r="U35" s="11" t="s">
        <v>629</v>
      </c>
      <c r="V35" s="396"/>
    </row>
    <row r="36" spans="2:22" ht="13.15">
      <c r="B36" s="393"/>
      <c r="C36" s="352" t="s">
        <v>616</v>
      </c>
      <c r="E36" s="444">
        <f>J23</f>
        <v>1000</v>
      </c>
      <c r="F36" s="447">
        <f t="shared" ref="F36:F39" si="10">E36/$E$2</f>
        <v>3.4569779099111554E-2</v>
      </c>
      <c r="G36" s="442"/>
      <c r="L36" s="396"/>
      <c r="N36" s="393"/>
      <c r="O36" s="354"/>
      <c r="P36" s="354"/>
      <c r="R36" s="432">
        <v>1</v>
      </c>
      <c r="S36" s="11" t="s">
        <v>557</v>
      </c>
      <c r="V36" s="396"/>
    </row>
    <row r="37" spans="2:22" ht="13.15">
      <c r="B37" s="393"/>
      <c r="C37" s="352" t="s">
        <v>618</v>
      </c>
      <c r="D37" s="354"/>
      <c r="E37" s="444">
        <f>E23+E24+E25+E26</f>
        <v>1997</v>
      </c>
      <c r="F37" s="447">
        <f t="shared" si="10"/>
        <v>6.9035848860925772E-2</v>
      </c>
      <c r="G37" s="442"/>
      <c r="L37" s="396"/>
      <c r="N37" s="393"/>
      <c r="O37" s="354"/>
      <c r="P37" s="354" t="s">
        <v>662</v>
      </c>
      <c r="R37" s="432">
        <v>1</v>
      </c>
      <c r="S37" s="11" t="s">
        <v>559</v>
      </c>
      <c r="V37" s="396"/>
    </row>
    <row r="38" spans="2:22" ht="13.15">
      <c r="B38" s="393"/>
      <c r="C38" s="352" t="s">
        <v>620</v>
      </c>
      <c r="E38" s="444">
        <f>E13+E14+E17+E28+E12+E20</f>
        <v>3731</v>
      </c>
      <c r="F38" s="447">
        <f t="shared" si="10"/>
        <v>0.12897984581878522</v>
      </c>
      <c r="G38" s="442"/>
      <c r="L38" s="396"/>
      <c r="N38" s="393"/>
      <c r="P38" s="460" t="s">
        <v>611</v>
      </c>
      <c r="R38" s="688">
        <f>第二轮数据!C3</f>
        <v>0.5</v>
      </c>
      <c r="S38" s="242" t="s">
        <v>540</v>
      </c>
      <c r="T38" s="386">
        <f>T35*R38</f>
        <v>68.56489381873341</v>
      </c>
      <c r="U38" s="11" t="s">
        <v>630</v>
      </c>
      <c r="V38" s="396"/>
    </row>
    <row r="39" spans="2:22" ht="13.15">
      <c r="B39" s="393"/>
      <c r="C39" s="352" t="s">
        <v>619</v>
      </c>
      <c r="E39" s="444">
        <f>E11</f>
        <v>200</v>
      </c>
      <c r="F39" s="447">
        <f t="shared" si="10"/>
        <v>6.913955819822311E-3</v>
      </c>
      <c r="L39" s="396"/>
      <c r="N39" s="393"/>
      <c r="R39" s="665">
        <f>第二轮数据!C5</f>
        <v>15.19</v>
      </c>
      <c r="S39" s="242" t="s">
        <v>547</v>
      </c>
      <c r="T39" s="434">
        <f>T35-T38</f>
        <v>68.56489381873341</v>
      </c>
      <c r="U39" s="11" t="s">
        <v>631</v>
      </c>
      <c r="V39" s="396"/>
    </row>
    <row r="40" spans="2:22" ht="18" customHeight="1">
      <c r="B40" s="393"/>
      <c r="C40" s="352"/>
      <c r="D40" s="442"/>
      <c r="E40" s="442"/>
      <c r="F40" s="442"/>
      <c r="G40" s="442"/>
      <c r="H40" s="442"/>
      <c r="I40" s="442"/>
      <c r="J40" s="442"/>
      <c r="L40" s="396"/>
      <c r="N40" s="393"/>
      <c r="R40" s="430">
        <f>(R28-T39)/T38</f>
        <v>9.8041530621627508</v>
      </c>
      <c r="S40" s="242" t="s">
        <v>548</v>
      </c>
      <c r="V40" s="396"/>
    </row>
    <row r="41" spans="2:22" s="365" customFormat="1" ht="15">
      <c r="B41" s="390"/>
      <c r="C41" s="402" t="s">
        <v>537</v>
      </c>
      <c r="L41" s="392"/>
      <c r="N41" s="393"/>
      <c r="O41" s="11"/>
      <c r="P41" s="354" t="s">
        <v>606</v>
      </c>
      <c r="Q41" s="11"/>
      <c r="R41" s="454">
        <f>Volume!F47</f>
        <v>0</v>
      </c>
      <c r="S41" s="462" t="s">
        <v>549</v>
      </c>
      <c r="T41" s="11" t="s">
        <v>953</v>
      </c>
      <c r="U41" s="468">
        <v>0.06</v>
      </c>
      <c r="V41" s="396" t="s">
        <v>954</v>
      </c>
    </row>
    <row r="42" spans="2:22" ht="16.149999999999999" customHeight="1">
      <c r="B42" s="393"/>
      <c r="L42" s="396"/>
      <c r="N42" s="393"/>
      <c r="P42" s="354" t="s">
        <v>659</v>
      </c>
      <c r="R42" s="397">
        <v>2</v>
      </c>
      <c r="S42" s="11" t="s">
        <v>547</v>
      </c>
      <c r="V42" s="396"/>
    </row>
    <row r="43" spans="2:22" ht="26.25">
      <c r="B43" s="393"/>
      <c r="C43" s="285" t="s">
        <v>41</v>
      </c>
      <c r="D43" s="285" t="s">
        <v>384</v>
      </c>
      <c r="E43" s="285" t="s">
        <v>383</v>
      </c>
      <c r="F43" s="285" t="s">
        <v>382</v>
      </c>
      <c r="G43" s="285" t="s">
        <v>381</v>
      </c>
      <c r="H43" s="705" t="s">
        <v>1025</v>
      </c>
      <c r="L43" s="396"/>
      <c r="N43" s="393"/>
      <c r="P43" s="354" t="s">
        <v>612</v>
      </c>
      <c r="R43" s="463">
        <f>Volume!H11</f>
        <v>0.05</v>
      </c>
      <c r="S43" s="462" t="s">
        <v>633</v>
      </c>
      <c r="V43" s="396"/>
    </row>
    <row r="44" spans="2:22" ht="13.15">
      <c r="B44" s="393"/>
      <c r="C44" s="377"/>
      <c r="D44" s="377"/>
      <c r="E44" s="377"/>
      <c r="F44" s="377" t="s">
        <v>514</v>
      </c>
      <c r="G44" s="377"/>
      <c r="H44" s="377">
        <v>0</v>
      </c>
      <c r="J44" s="409"/>
      <c r="K44" s="409"/>
      <c r="L44" s="410"/>
      <c r="N44" s="393"/>
      <c r="R44" s="386">
        <f>Parameter!R28*R43</f>
        <v>37.039280375426621</v>
      </c>
      <c r="S44" s="242" t="s">
        <v>555</v>
      </c>
      <c r="V44" s="396"/>
    </row>
    <row r="45" spans="2:22" ht="13.15">
      <c r="B45" s="393"/>
      <c r="C45" s="378"/>
      <c r="D45" s="284" t="s">
        <v>378</v>
      </c>
      <c r="E45" s="379" t="s">
        <v>460</v>
      </c>
      <c r="F45" s="379" t="s">
        <v>462</v>
      </c>
      <c r="G45" s="380">
        <v>1</v>
      </c>
      <c r="H45" s="243">
        <v>110</v>
      </c>
      <c r="I45" s="11" t="s">
        <v>970</v>
      </c>
      <c r="J45" s="409"/>
      <c r="K45" s="409"/>
      <c r="L45" s="410"/>
      <c r="N45" s="393"/>
      <c r="R45" s="464">
        <v>1</v>
      </c>
      <c r="S45" s="242" t="s">
        <v>559</v>
      </c>
      <c r="V45" s="396"/>
    </row>
    <row r="46" spans="2:22" ht="13.15">
      <c r="B46" s="393"/>
      <c r="C46" s="284">
        <v>1</v>
      </c>
      <c r="D46" s="284" t="s">
        <v>378</v>
      </c>
      <c r="E46" s="284" t="s">
        <v>362</v>
      </c>
      <c r="F46" s="284" t="s">
        <v>380</v>
      </c>
      <c r="G46" s="283">
        <v>1</v>
      </c>
      <c r="H46" s="478">
        <v>40</v>
      </c>
      <c r="I46" s="11" t="s">
        <v>970</v>
      </c>
      <c r="L46" s="396"/>
      <c r="N46" s="393"/>
      <c r="R46" s="412"/>
      <c r="S46" s="242"/>
      <c r="V46" s="396"/>
    </row>
    <row r="47" spans="2:22" ht="13.15">
      <c r="B47" s="393"/>
      <c r="C47" s="284">
        <v>2</v>
      </c>
      <c r="D47" s="284" t="s">
        <v>378</v>
      </c>
      <c r="E47" s="284" t="s">
        <v>468</v>
      </c>
      <c r="F47" s="284" t="s">
        <v>379</v>
      </c>
      <c r="G47" s="283">
        <v>1</v>
      </c>
      <c r="H47" s="478">
        <v>30</v>
      </c>
      <c r="I47" s="11" t="s">
        <v>970</v>
      </c>
      <c r="L47" s="396"/>
      <c r="N47" s="393"/>
      <c r="P47" s="354" t="s">
        <v>552</v>
      </c>
      <c r="R47" s="386">
        <f>Volume!B8/Parameter!P4</f>
        <v>45.032559726962454</v>
      </c>
      <c r="S47" s="242" t="s">
        <v>556</v>
      </c>
      <c r="V47" s="396"/>
    </row>
    <row r="48" spans="2:22" ht="13.15">
      <c r="B48" s="393"/>
      <c r="C48" s="284">
        <v>3</v>
      </c>
      <c r="D48" s="284" t="s">
        <v>378</v>
      </c>
      <c r="E48" s="284" t="s">
        <v>377</v>
      </c>
      <c r="F48" s="284" t="s">
        <v>376</v>
      </c>
      <c r="G48" s="283"/>
      <c r="H48" s="686"/>
      <c r="L48" s="396"/>
      <c r="N48" s="393"/>
      <c r="P48" s="465" t="s">
        <v>553</v>
      </c>
      <c r="T48" s="240" t="s">
        <v>554</v>
      </c>
      <c r="V48" s="396"/>
    </row>
    <row r="49" spans="2:22" ht="13.15">
      <c r="B49" s="393"/>
      <c r="C49" s="284"/>
      <c r="D49" s="282" t="s">
        <v>362</v>
      </c>
      <c r="E49" s="282" t="s">
        <v>360</v>
      </c>
      <c r="F49" s="282" t="s">
        <v>375</v>
      </c>
      <c r="G49" s="283">
        <v>1</v>
      </c>
      <c r="H49" s="706">
        <f>220/2</f>
        <v>110</v>
      </c>
      <c r="I49" s="11" t="s">
        <v>970</v>
      </c>
      <c r="L49" s="396"/>
      <c r="N49" s="393"/>
      <c r="V49" s="396"/>
    </row>
    <row r="50" spans="2:22" ht="13.15">
      <c r="B50" s="393"/>
      <c r="C50" s="284"/>
      <c r="D50" s="282" t="s">
        <v>362</v>
      </c>
      <c r="E50" s="282" t="s">
        <v>358</v>
      </c>
      <c r="F50" s="282" t="s">
        <v>374</v>
      </c>
      <c r="G50" s="283">
        <v>0</v>
      </c>
      <c r="H50" s="686"/>
      <c r="I50" s="11" t="s">
        <v>970</v>
      </c>
      <c r="L50" s="396"/>
      <c r="N50" s="393"/>
      <c r="P50" s="354" t="s">
        <v>608</v>
      </c>
      <c r="Q50" s="354" t="s">
        <v>542</v>
      </c>
      <c r="R50" s="386">
        <f>Parameter!R28*Volume!E48</f>
        <v>103.70998505119452</v>
      </c>
      <c r="S50" s="242" t="s">
        <v>556</v>
      </c>
      <c r="V50" s="396"/>
    </row>
    <row r="51" spans="2:22" ht="13.15">
      <c r="B51" s="393"/>
      <c r="C51" s="284">
        <v>4</v>
      </c>
      <c r="D51" s="284" t="s">
        <v>362</v>
      </c>
      <c r="E51" s="284" t="s">
        <v>356</v>
      </c>
      <c r="F51" s="284" t="s">
        <v>373</v>
      </c>
      <c r="G51" s="283"/>
      <c r="H51" s="478">
        <f>H49*G49+H50*G50</f>
        <v>110</v>
      </c>
      <c r="I51" s="11" t="s">
        <v>970</v>
      </c>
      <c r="L51" s="396"/>
      <c r="N51" s="393"/>
      <c r="Q51" s="354"/>
      <c r="R51" s="466">
        <v>8</v>
      </c>
      <c r="S51" s="242" t="s">
        <v>559</v>
      </c>
      <c r="V51" s="396"/>
    </row>
    <row r="52" spans="2:22" ht="13.15">
      <c r="B52" s="393"/>
      <c r="C52" s="284"/>
      <c r="D52" s="282" t="s">
        <v>362</v>
      </c>
      <c r="E52" s="282" t="s">
        <v>354</v>
      </c>
      <c r="F52" s="282" t="s">
        <v>372</v>
      </c>
      <c r="G52" s="283">
        <v>0.6</v>
      </c>
      <c r="H52" s="478">
        <f>130/2</f>
        <v>65</v>
      </c>
      <c r="I52" s="11" t="s">
        <v>970</v>
      </c>
      <c r="L52" s="396"/>
      <c r="N52" s="393"/>
      <c r="Q52" s="354"/>
      <c r="R52" s="461">
        <v>0</v>
      </c>
      <c r="S52" s="242" t="s">
        <v>546</v>
      </c>
      <c r="V52" s="396"/>
    </row>
    <row r="53" spans="2:22" ht="13.15">
      <c r="B53" s="393"/>
      <c r="C53" s="284"/>
      <c r="D53" s="282" t="s">
        <v>362</v>
      </c>
      <c r="E53" s="282" t="s">
        <v>352</v>
      </c>
      <c r="F53" s="282" t="s">
        <v>371</v>
      </c>
      <c r="G53" s="283">
        <v>0.4</v>
      </c>
      <c r="H53" s="478">
        <f>190/2</f>
        <v>95</v>
      </c>
      <c r="I53" s="11" t="s">
        <v>970</v>
      </c>
      <c r="L53" s="396"/>
      <c r="N53" s="393"/>
      <c r="Q53" s="354"/>
      <c r="R53" s="412"/>
      <c r="S53" s="242"/>
      <c r="V53" s="396"/>
    </row>
    <row r="54" spans="2:22" ht="13.15">
      <c r="B54" s="393"/>
      <c r="C54" s="284"/>
      <c r="D54" s="282" t="s">
        <v>362</v>
      </c>
      <c r="E54" s="282" t="s">
        <v>350</v>
      </c>
      <c r="F54" s="282" t="s">
        <v>370</v>
      </c>
      <c r="G54" s="283">
        <v>0</v>
      </c>
      <c r="H54" s="478">
        <v>0</v>
      </c>
      <c r="I54" s="11" t="s">
        <v>970</v>
      </c>
      <c r="L54" s="396"/>
      <c r="N54" s="393"/>
      <c r="P54" s="354" t="s">
        <v>607</v>
      </c>
      <c r="Q54" s="354" t="s">
        <v>543</v>
      </c>
      <c r="R54" s="386">
        <f>Parameter!R28*Volume!C48</f>
        <v>222.23568225255966</v>
      </c>
      <c r="S54" s="242" t="s">
        <v>556</v>
      </c>
      <c r="V54" s="396"/>
    </row>
    <row r="55" spans="2:22" ht="13.15">
      <c r="B55" s="393"/>
      <c r="C55" s="284">
        <v>5</v>
      </c>
      <c r="D55" s="284" t="s">
        <v>362</v>
      </c>
      <c r="E55" s="284" t="s">
        <v>348</v>
      </c>
      <c r="F55" s="284" t="s">
        <v>369</v>
      </c>
      <c r="G55" s="283"/>
      <c r="H55" s="478">
        <f>H52*G52+H53*G53+H54*G54</f>
        <v>77</v>
      </c>
      <c r="I55" s="11" t="s">
        <v>970</v>
      </c>
      <c r="L55" s="396"/>
      <c r="N55" s="393"/>
      <c r="R55" s="466">
        <v>1</v>
      </c>
      <c r="S55" s="242" t="s">
        <v>559</v>
      </c>
      <c r="V55" s="396"/>
    </row>
    <row r="56" spans="2:22" ht="13.15">
      <c r="B56" s="393"/>
      <c r="C56" s="284"/>
      <c r="D56" s="282" t="s">
        <v>362</v>
      </c>
      <c r="E56" s="282" t="s">
        <v>346</v>
      </c>
      <c r="F56" s="282" t="s">
        <v>368</v>
      </c>
      <c r="G56" s="283"/>
      <c r="H56" s="686"/>
      <c r="L56" s="396"/>
      <c r="N56" s="393"/>
      <c r="R56" s="412"/>
      <c r="S56" s="242"/>
      <c r="V56" s="396"/>
    </row>
    <row r="57" spans="2:22" ht="13.15">
      <c r="B57" s="393"/>
      <c r="C57" s="284"/>
      <c r="D57" s="282" t="s">
        <v>362</v>
      </c>
      <c r="E57" s="282" t="s">
        <v>344</v>
      </c>
      <c r="F57" s="282" t="s">
        <v>367</v>
      </c>
      <c r="G57" s="283"/>
      <c r="H57" s="686"/>
      <c r="L57" s="396"/>
      <c r="N57" s="393"/>
      <c r="P57" s="354" t="s">
        <v>609</v>
      </c>
      <c r="Q57" s="354"/>
      <c r="R57" s="434">
        <f>Parameter!R28*Volume!G48</f>
        <v>355.57709160409547</v>
      </c>
      <c r="S57" s="242" t="s">
        <v>556</v>
      </c>
      <c r="V57" s="396"/>
    </row>
    <row r="58" spans="2:22" ht="13.15">
      <c r="B58" s="393"/>
      <c r="C58" s="284"/>
      <c r="D58" s="282" t="s">
        <v>362</v>
      </c>
      <c r="E58" s="282" t="s">
        <v>342</v>
      </c>
      <c r="F58" s="282" t="s">
        <v>366</v>
      </c>
      <c r="G58" s="283"/>
      <c r="H58" s="686"/>
      <c r="L58" s="396"/>
      <c r="N58" s="393"/>
      <c r="P58" s="11" t="s">
        <v>544</v>
      </c>
      <c r="R58" s="466">
        <v>1</v>
      </c>
      <c r="S58" s="242" t="s">
        <v>559</v>
      </c>
      <c r="V58" s="396"/>
    </row>
    <row r="59" spans="2:22" ht="13.15">
      <c r="B59" s="393"/>
      <c r="C59" s="284">
        <v>6</v>
      </c>
      <c r="D59" s="284" t="s">
        <v>362</v>
      </c>
      <c r="E59" s="284" t="s">
        <v>340</v>
      </c>
      <c r="F59" s="284" t="s">
        <v>365</v>
      </c>
      <c r="G59" s="283"/>
      <c r="H59" s="478">
        <f>H56*G56+H57*G57+H58*G58</f>
        <v>0</v>
      </c>
      <c r="L59" s="396"/>
      <c r="N59" s="393"/>
      <c r="P59" s="11" t="s">
        <v>545</v>
      </c>
      <c r="R59" s="461">
        <v>0.2</v>
      </c>
      <c r="S59" s="242" t="s">
        <v>637</v>
      </c>
      <c r="V59" s="396"/>
    </row>
    <row r="60" spans="2:22" ht="13.15">
      <c r="B60" s="393"/>
      <c r="C60" s="284">
        <v>7</v>
      </c>
      <c r="D60" s="284" t="s">
        <v>362</v>
      </c>
      <c r="E60" s="284" t="s">
        <v>338</v>
      </c>
      <c r="F60" s="284" t="s">
        <v>364</v>
      </c>
      <c r="G60" s="283">
        <v>1</v>
      </c>
      <c r="H60" s="478">
        <v>150</v>
      </c>
      <c r="I60" s="11" t="s">
        <v>970</v>
      </c>
      <c r="J60" s="404"/>
      <c r="L60" s="403"/>
      <c r="N60" s="393"/>
      <c r="R60" s="464">
        <v>4</v>
      </c>
      <c r="S60" s="462" t="s">
        <v>235</v>
      </c>
      <c r="V60" s="396"/>
    </row>
    <row r="61" spans="2:22" ht="13.15">
      <c r="B61" s="393"/>
      <c r="C61" s="284">
        <v>8</v>
      </c>
      <c r="D61" s="284" t="s">
        <v>362</v>
      </c>
      <c r="E61" s="284" t="s">
        <v>980</v>
      </c>
      <c r="F61" s="284" t="s">
        <v>363</v>
      </c>
      <c r="G61" s="283"/>
      <c r="H61" s="478">
        <v>320</v>
      </c>
      <c r="I61" s="11" t="s">
        <v>970</v>
      </c>
      <c r="L61" s="396"/>
      <c r="N61" s="393"/>
      <c r="V61" s="396"/>
    </row>
    <row r="62" spans="2:22" ht="13.15">
      <c r="B62" s="393"/>
      <c r="C62" s="284">
        <v>9</v>
      </c>
      <c r="D62" s="284" t="s">
        <v>362</v>
      </c>
      <c r="E62" s="284" t="s">
        <v>335</v>
      </c>
      <c r="F62" s="284" t="s">
        <v>361</v>
      </c>
      <c r="G62" s="283"/>
      <c r="H62" s="686">
        <v>0</v>
      </c>
      <c r="L62" s="396"/>
      <c r="N62" s="393"/>
      <c r="P62" s="354" t="s">
        <v>988</v>
      </c>
      <c r="Q62" s="354"/>
      <c r="R62" s="692">
        <f>第二轮数据!C4</f>
        <v>2.4</v>
      </c>
      <c r="S62" s="242" t="s">
        <v>559</v>
      </c>
      <c r="V62" s="396"/>
    </row>
    <row r="63" spans="2:22" ht="13.15">
      <c r="B63" s="393"/>
      <c r="C63" s="284"/>
      <c r="D63" s="282" t="s">
        <v>360</v>
      </c>
      <c r="E63" s="282" t="s">
        <v>331</v>
      </c>
      <c r="F63" s="282" t="s">
        <v>359</v>
      </c>
      <c r="G63" s="283">
        <v>0.7</v>
      </c>
      <c r="H63" s="478">
        <f>H49-90</f>
        <v>20</v>
      </c>
      <c r="L63" s="396"/>
      <c r="N63" s="393"/>
      <c r="V63" s="396"/>
    </row>
    <row r="64" spans="2:22" ht="13.15">
      <c r="B64" s="393"/>
      <c r="C64" s="284"/>
      <c r="D64" s="282" t="s">
        <v>358</v>
      </c>
      <c r="E64" s="282" t="s">
        <v>331</v>
      </c>
      <c r="F64" s="282" t="s">
        <v>357</v>
      </c>
      <c r="G64" s="283">
        <v>0.3</v>
      </c>
      <c r="H64" s="478">
        <f>H63-30</f>
        <v>-10</v>
      </c>
      <c r="L64" s="396"/>
      <c r="N64" s="393"/>
      <c r="P64" s="354" t="s">
        <v>610</v>
      </c>
      <c r="Q64" s="354"/>
      <c r="R64" s="386">
        <f>(Volume!D48+Volume!I48)*Parameter!R28</f>
        <v>0</v>
      </c>
      <c r="S64" s="242" t="s">
        <v>238</v>
      </c>
      <c r="V64" s="396"/>
    </row>
    <row r="65" spans="2:22" ht="13.15">
      <c r="B65" s="393"/>
      <c r="C65" s="284">
        <v>10</v>
      </c>
      <c r="D65" s="284" t="s">
        <v>356</v>
      </c>
      <c r="E65" s="284" t="s">
        <v>331</v>
      </c>
      <c r="F65" s="284" t="s">
        <v>355</v>
      </c>
      <c r="G65" s="283"/>
      <c r="H65" s="478">
        <f>H63*G63+H64*G64</f>
        <v>11</v>
      </c>
      <c r="I65" s="11" t="s">
        <v>970</v>
      </c>
      <c r="L65" s="396"/>
      <c r="N65" s="393"/>
      <c r="R65" s="466">
        <v>4</v>
      </c>
      <c r="S65" s="242" t="s">
        <v>559</v>
      </c>
      <c r="V65" s="396"/>
    </row>
    <row r="66" spans="2:22" ht="13.15">
      <c r="B66" s="393"/>
      <c r="C66" s="284"/>
      <c r="D66" s="282" t="s">
        <v>354</v>
      </c>
      <c r="E66" s="282" t="s">
        <v>331</v>
      </c>
      <c r="F66" s="282" t="s">
        <v>353</v>
      </c>
      <c r="G66" s="283">
        <v>0.6</v>
      </c>
      <c r="H66" s="478">
        <f>H52</f>
        <v>65</v>
      </c>
      <c r="I66" s="11" t="s">
        <v>970</v>
      </c>
      <c r="L66" s="396"/>
      <c r="N66" s="393"/>
      <c r="V66" s="396"/>
    </row>
    <row r="67" spans="2:22" ht="13.15">
      <c r="B67" s="393"/>
      <c r="C67" s="284"/>
      <c r="D67" s="282" t="s">
        <v>352</v>
      </c>
      <c r="E67" s="282" t="s">
        <v>331</v>
      </c>
      <c r="F67" s="282" t="s">
        <v>351</v>
      </c>
      <c r="G67" s="283">
        <v>0.4</v>
      </c>
      <c r="H67" s="478">
        <f>H53</f>
        <v>95</v>
      </c>
      <c r="I67" s="11" t="s">
        <v>970</v>
      </c>
      <c r="L67" s="396"/>
      <c r="N67" s="393"/>
      <c r="O67" s="354" t="s">
        <v>558</v>
      </c>
      <c r="P67" s="354" t="s">
        <v>600</v>
      </c>
      <c r="Q67" s="354"/>
      <c r="R67" s="386">
        <f>Volume!E77*Parameter!R30</f>
        <v>738.62063240955626</v>
      </c>
      <c r="S67" s="242" t="s">
        <v>241</v>
      </c>
      <c r="V67" s="396"/>
    </row>
    <row r="68" spans="2:22" ht="13.15">
      <c r="B68" s="393"/>
      <c r="C68" s="284"/>
      <c r="D68" s="282" t="s">
        <v>350</v>
      </c>
      <c r="E68" s="282" t="s">
        <v>331</v>
      </c>
      <c r="F68" s="282" t="s">
        <v>349</v>
      </c>
      <c r="G68" s="283">
        <v>0</v>
      </c>
      <c r="H68" s="686"/>
      <c r="L68" s="396"/>
      <c r="N68" s="393"/>
      <c r="R68" s="397">
        <v>24</v>
      </c>
      <c r="S68" s="242" t="s">
        <v>559</v>
      </c>
      <c r="V68" s="396"/>
    </row>
    <row r="69" spans="2:22" ht="13.15">
      <c r="B69" s="393"/>
      <c r="C69" s="284">
        <v>11</v>
      </c>
      <c r="D69" s="284" t="s">
        <v>348</v>
      </c>
      <c r="E69" s="284" t="s">
        <v>331</v>
      </c>
      <c r="F69" s="284" t="s">
        <v>347</v>
      </c>
      <c r="G69" s="283"/>
      <c r="H69" s="478">
        <f>H66*G66+H67*G67+H68*G68</f>
        <v>77</v>
      </c>
      <c r="I69" s="11" t="s">
        <v>970</v>
      </c>
      <c r="L69" s="396"/>
      <c r="N69" s="393"/>
      <c r="R69" s="663">
        <v>6.5</v>
      </c>
      <c r="S69" s="242" t="s">
        <v>563</v>
      </c>
      <c r="U69" s="240"/>
      <c r="V69" s="396"/>
    </row>
    <row r="70" spans="2:22" ht="13.15">
      <c r="B70" s="393"/>
      <c r="C70" s="284"/>
      <c r="D70" s="282" t="s">
        <v>346</v>
      </c>
      <c r="E70" s="282" t="s">
        <v>331</v>
      </c>
      <c r="F70" s="282" t="s">
        <v>345</v>
      </c>
      <c r="G70" s="283"/>
      <c r="H70" s="686"/>
      <c r="L70" s="396"/>
      <c r="N70" s="393"/>
      <c r="R70" s="467">
        <f>R52</f>
        <v>0</v>
      </c>
      <c r="S70" s="242" t="s">
        <v>546</v>
      </c>
      <c r="V70" s="396"/>
    </row>
    <row r="71" spans="2:22" ht="13.15">
      <c r="B71" s="393"/>
      <c r="C71" s="284"/>
      <c r="D71" s="282" t="s">
        <v>344</v>
      </c>
      <c r="E71" s="282" t="s">
        <v>331</v>
      </c>
      <c r="F71" s="282" t="s">
        <v>343</v>
      </c>
      <c r="G71" s="283"/>
      <c r="H71" s="686"/>
      <c r="L71" s="396"/>
      <c r="N71" s="393"/>
      <c r="V71" s="396"/>
    </row>
    <row r="72" spans="2:22" ht="13.15">
      <c r="B72" s="393"/>
      <c r="C72" s="284"/>
      <c r="D72" s="282" t="s">
        <v>342</v>
      </c>
      <c r="E72" s="282" t="s">
        <v>331</v>
      </c>
      <c r="F72" s="282" t="s">
        <v>341</v>
      </c>
      <c r="G72" s="283"/>
      <c r="H72" s="686"/>
      <c r="L72" s="396"/>
      <c r="N72" s="393"/>
      <c r="P72" s="354" t="s">
        <v>601</v>
      </c>
      <c r="Q72" s="354"/>
      <c r="R72" s="386">
        <f>Volume!C77*Parameter!R30</f>
        <v>358.32178156996594</v>
      </c>
      <c r="S72" s="242" t="s">
        <v>241</v>
      </c>
      <c r="V72" s="396"/>
    </row>
    <row r="73" spans="2:22" ht="13.15">
      <c r="B73" s="393"/>
      <c r="C73" s="284">
        <v>12</v>
      </c>
      <c r="D73" s="284" t="s">
        <v>340</v>
      </c>
      <c r="E73" s="284" t="s">
        <v>331</v>
      </c>
      <c r="F73" s="284" t="s">
        <v>339</v>
      </c>
      <c r="G73" s="283"/>
      <c r="H73" s="686"/>
      <c r="L73" s="396"/>
      <c r="N73" s="393"/>
      <c r="P73" s="354"/>
      <c r="R73" s="397">
        <v>1</v>
      </c>
      <c r="S73" s="242" t="s">
        <v>562</v>
      </c>
      <c r="V73" s="396"/>
    </row>
    <row r="74" spans="2:22" ht="13.15">
      <c r="B74" s="393"/>
      <c r="C74" s="284">
        <v>13</v>
      </c>
      <c r="D74" s="284" t="s">
        <v>338</v>
      </c>
      <c r="E74" s="284" t="s">
        <v>331</v>
      </c>
      <c r="F74" s="284" t="s">
        <v>337</v>
      </c>
      <c r="G74" s="283"/>
      <c r="H74" s="478">
        <v>55</v>
      </c>
      <c r="I74" s="11" t="s">
        <v>970</v>
      </c>
      <c r="L74" s="396"/>
      <c r="N74" s="393"/>
      <c r="P74" s="354"/>
      <c r="V74" s="396"/>
    </row>
    <row r="75" spans="2:22" ht="13.15">
      <c r="B75" s="393"/>
      <c r="C75" s="284">
        <v>14</v>
      </c>
      <c r="D75" s="284" t="s">
        <v>979</v>
      </c>
      <c r="E75" s="284" t="s">
        <v>331</v>
      </c>
      <c r="F75" s="284" t="s">
        <v>336</v>
      </c>
      <c r="G75" s="283"/>
      <c r="H75" s="478">
        <v>160</v>
      </c>
      <c r="I75" s="11" t="s">
        <v>970</v>
      </c>
      <c r="L75" s="396"/>
      <c r="N75" s="393"/>
      <c r="P75" s="354" t="s">
        <v>602</v>
      </c>
      <c r="Q75" s="354"/>
      <c r="R75" s="386">
        <f>Volume!G77*Parameter!R30</f>
        <v>1223.0716810921506</v>
      </c>
      <c r="S75" s="242" t="s">
        <v>241</v>
      </c>
      <c r="V75" s="396"/>
    </row>
    <row r="76" spans="2:22" ht="13.15">
      <c r="B76" s="393"/>
      <c r="C76" s="284">
        <v>15</v>
      </c>
      <c r="D76" s="284" t="s">
        <v>981</v>
      </c>
      <c r="E76" s="284" t="s">
        <v>982</v>
      </c>
      <c r="F76" s="284" t="s">
        <v>334</v>
      </c>
      <c r="G76" s="283"/>
      <c r="H76" s="478">
        <v>30</v>
      </c>
      <c r="I76" s="11" t="s">
        <v>970</v>
      </c>
      <c r="L76" s="396"/>
      <c r="N76" s="393"/>
      <c r="R76" s="397">
        <v>6</v>
      </c>
      <c r="S76" s="242" t="s">
        <v>562</v>
      </c>
      <c r="V76" s="396"/>
    </row>
    <row r="77" spans="2:22" ht="13.15">
      <c r="B77" s="393"/>
      <c r="C77" s="284">
        <v>16</v>
      </c>
      <c r="D77" s="284" t="s">
        <v>468</v>
      </c>
      <c r="E77" s="284" t="s">
        <v>330</v>
      </c>
      <c r="F77" s="284" t="s">
        <v>333</v>
      </c>
      <c r="G77" s="283"/>
      <c r="H77" s="478">
        <v>120</v>
      </c>
      <c r="I77" s="11" t="s">
        <v>970</v>
      </c>
      <c r="L77" s="396"/>
      <c r="N77" s="393"/>
      <c r="R77" s="468">
        <v>0.3</v>
      </c>
      <c r="S77" s="242" t="s">
        <v>247</v>
      </c>
      <c r="V77" s="396"/>
    </row>
    <row r="78" spans="2:22" ht="13.15">
      <c r="B78" s="393"/>
      <c r="C78" s="284">
        <v>17</v>
      </c>
      <c r="D78" s="284" t="s">
        <v>332</v>
      </c>
      <c r="E78" s="284" t="s">
        <v>330</v>
      </c>
      <c r="F78" s="284" t="s">
        <v>329</v>
      </c>
      <c r="G78" s="283"/>
      <c r="H78" s="478">
        <v>60</v>
      </c>
      <c r="I78" s="11" t="s">
        <v>970</v>
      </c>
      <c r="L78" s="396"/>
      <c r="N78" s="393"/>
      <c r="R78" s="467">
        <f>1-R77</f>
        <v>0.7</v>
      </c>
      <c r="S78" s="242" t="s">
        <v>248</v>
      </c>
      <c r="V78" s="396"/>
    </row>
    <row r="79" spans="2:22" ht="13.15">
      <c r="B79" s="393"/>
      <c r="C79" s="284">
        <v>18</v>
      </c>
      <c r="D79" s="284" t="s">
        <v>331</v>
      </c>
      <c r="E79" s="284" t="s">
        <v>330</v>
      </c>
      <c r="F79" s="284" t="s">
        <v>329</v>
      </c>
      <c r="G79" s="283"/>
      <c r="H79" s="478">
        <v>60</v>
      </c>
      <c r="I79" s="11" t="s">
        <v>970</v>
      </c>
      <c r="L79" s="396"/>
      <c r="N79" s="393"/>
      <c r="R79" s="663">
        <v>6.5</v>
      </c>
      <c r="S79" s="242" t="s">
        <v>563</v>
      </c>
      <c r="V79" s="396"/>
    </row>
    <row r="80" spans="2:22" ht="13.15">
      <c r="B80" s="393"/>
      <c r="C80" s="284">
        <v>19</v>
      </c>
      <c r="D80" s="284" t="s">
        <v>327</v>
      </c>
      <c r="E80" s="284" t="s">
        <v>228</v>
      </c>
      <c r="F80" s="284" t="s">
        <v>328</v>
      </c>
      <c r="G80" s="283"/>
      <c r="H80" s="478">
        <f>60/R55</f>
        <v>60</v>
      </c>
      <c r="I80" s="11" t="s">
        <v>970</v>
      </c>
      <c r="L80" s="396"/>
      <c r="N80" s="393"/>
      <c r="V80" s="396"/>
    </row>
    <row r="81" spans="2:22" ht="13.15">
      <c r="B81" s="393"/>
      <c r="C81" s="284">
        <v>20</v>
      </c>
      <c r="D81" s="284" t="s">
        <v>327</v>
      </c>
      <c r="E81" s="284" t="s">
        <v>313</v>
      </c>
      <c r="F81" s="284" t="s">
        <v>326</v>
      </c>
      <c r="G81" s="283"/>
      <c r="H81" s="478">
        <v>90</v>
      </c>
      <c r="I81" s="11" t="s">
        <v>970</v>
      </c>
      <c r="L81" s="396"/>
      <c r="N81" s="393"/>
      <c r="P81" s="354" t="s">
        <v>561</v>
      </c>
      <c r="Q81" s="354" t="s">
        <v>30</v>
      </c>
      <c r="R81" s="386">
        <f>Parameter!R75</f>
        <v>1223.0716810921506</v>
      </c>
      <c r="S81" s="242" t="s">
        <v>241</v>
      </c>
      <c r="V81" s="396"/>
    </row>
    <row r="82" spans="2:22" ht="13.15">
      <c r="B82" s="393"/>
      <c r="C82" s="284">
        <v>21</v>
      </c>
      <c r="D82" s="284" t="s">
        <v>324</v>
      </c>
      <c r="E82" s="284" t="s">
        <v>228</v>
      </c>
      <c r="F82" s="284" t="s">
        <v>325</v>
      </c>
      <c r="G82" s="283"/>
      <c r="H82" s="478">
        <f>30/R58</f>
        <v>30</v>
      </c>
      <c r="I82" s="11" t="s">
        <v>970</v>
      </c>
      <c r="L82" s="396"/>
      <c r="N82" s="393"/>
      <c r="R82" s="397">
        <v>0</v>
      </c>
      <c r="S82" s="242" t="s">
        <v>562</v>
      </c>
      <c r="T82" s="240"/>
      <c r="V82" s="396"/>
    </row>
    <row r="83" spans="2:22" ht="13.15">
      <c r="B83" s="393"/>
      <c r="C83" s="284">
        <v>22</v>
      </c>
      <c r="D83" s="284" t="s">
        <v>324</v>
      </c>
      <c r="E83" s="284" t="s">
        <v>322</v>
      </c>
      <c r="F83" s="284" t="s">
        <v>29</v>
      </c>
      <c r="G83" s="283"/>
      <c r="H83" s="478">
        <v>9</v>
      </c>
      <c r="I83" s="11" t="s">
        <v>970</v>
      </c>
      <c r="L83" s="396"/>
      <c r="N83" s="393"/>
      <c r="V83" s="396"/>
    </row>
    <row r="84" spans="2:22" ht="13.15">
      <c r="B84" s="393"/>
      <c r="C84" s="284">
        <v>23</v>
      </c>
      <c r="D84" s="284" t="s">
        <v>324</v>
      </c>
      <c r="E84" s="284" t="s">
        <v>313</v>
      </c>
      <c r="F84" s="284" t="s">
        <v>323</v>
      </c>
      <c r="G84" s="283"/>
      <c r="H84" s="478">
        <v>80</v>
      </c>
      <c r="I84" s="11" t="s">
        <v>970</v>
      </c>
      <c r="L84" s="396"/>
      <c r="N84" s="393"/>
      <c r="P84" s="354" t="s">
        <v>939</v>
      </c>
      <c r="Q84" s="354"/>
      <c r="R84" s="468">
        <f>第二轮数据!C58</f>
        <v>0.09</v>
      </c>
      <c r="S84" s="242" t="s">
        <v>560</v>
      </c>
      <c r="V84" s="396"/>
    </row>
    <row r="85" spans="2:22" ht="13.15">
      <c r="B85" s="393"/>
      <c r="C85" s="284">
        <v>28</v>
      </c>
      <c r="D85" s="284" t="s">
        <v>28</v>
      </c>
      <c r="E85" s="284" t="s">
        <v>228</v>
      </c>
      <c r="F85" s="284" t="s">
        <v>321</v>
      </c>
      <c r="G85" s="283"/>
      <c r="H85" s="478">
        <f>80/Parameter!R51</f>
        <v>10</v>
      </c>
      <c r="I85" s="11" t="s">
        <v>970</v>
      </c>
      <c r="L85" s="396"/>
      <c r="N85" s="393"/>
      <c r="V85" s="396"/>
    </row>
    <row r="86" spans="2:22" ht="13.15">
      <c r="B86" s="393"/>
      <c r="C86" s="284">
        <v>29</v>
      </c>
      <c r="D86" s="284" t="s">
        <v>28</v>
      </c>
      <c r="E86" s="284" t="s">
        <v>313</v>
      </c>
      <c r="F86" s="284" t="s">
        <v>320</v>
      </c>
      <c r="G86" s="283"/>
      <c r="H86" s="478">
        <v>20</v>
      </c>
      <c r="I86" s="11" t="s">
        <v>970</v>
      </c>
      <c r="L86" s="396"/>
      <c r="N86" s="393"/>
      <c r="V86" s="396"/>
    </row>
    <row r="87" spans="2:22" ht="13.15">
      <c r="B87" s="393"/>
      <c r="C87" s="284">
        <v>30</v>
      </c>
      <c r="D87" s="284" t="s">
        <v>28</v>
      </c>
      <c r="E87" s="284" t="s">
        <v>319</v>
      </c>
      <c r="F87" s="284" t="s">
        <v>318</v>
      </c>
      <c r="G87" s="283"/>
      <c r="H87" s="478">
        <v>0</v>
      </c>
      <c r="I87" s="11" t="s">
        <v>970</v>
      </c>
      <c r="L87" s="396"/>
      <c r="N87" s="393"/>
      <c r="P87" s="354" t="s">
        <v>603</v>
      </c>
      <c r="Q87" s="354" t="s">
        <v>566</v>
      </c>
      <c r="R87" s="386">
        <f>Volume!B77*Parameter!R30</f>
        <v>47.77623754266213</v>
      </c>
      <c r="S87" s="242" t="s">
        <v>241</v>
      </c>
      <c r="V87" s="396"/>
    </row>
    <row r="88" spans="2:22" ht="13.15">
      <c r="B88" s="393"/>
      <c r="C88" s="284">
        <v>31</v>
      </c>
      <c r="D88" s="284" t="s">
        <v>986</v>
      </c>
      <c r="E88" s="284" t="s">
        <v>228</v>
      </c>
      <c r="F88" s="284" t="s">
        <v>317</v>
      </c>
      <c r="G88" s="283"/>
      <c r="H88" s="478">
        <v>30</v>
      </c>
      <c r="I88" s="11" t="s">
        <v>970</v>
      </c>
      <c r="L88" s="396"/>
      <c r="N88" s="393"/>
      <c r="R88" s="443">
        <f>R62</f>
        <v>2.4</v>
      </c>
      <c r="S88" s="242" t="s">
        <v>562</v>
      </c>
      <c r="V88" s="396"/>
    </row>
    <row r="89" spans="2:22" ht="13.15">
      <c r="B89" s="393"/>
      <c r="C89" s="284">
        <v>32</v>
      </c>
      <c r="D89" s="284" t="s">
        <v>986</v>
      </c>
      <c r="E89" s="284" t="s">
        <v>313</v>
      </c>
      <c r="F89" s="284" t="s">
        <v>316</v>
      </c>
      <c r="G89" s="283"/>
      <c r="H89" s="478">
        <v>30</v>
      </c>
      <c r="I89" s="11" t="s">
        <v>970</v>
      </c>
      <c r="L89" s="396"/>
      <c r="N89" s="393"/>
      <c r="V89" s="396"/>
    </row>
    <row r="90" spans="2:22" ht="13.15">
      <c r="B90" s="393"/>
      <c r="C90" s="284">
        <v>33</v>
      </c>
      <c r="D90" s="284" t="s">
        <v>314</v>
      </c>
      <c r="E90" s="284" t="s">
        <v>228</v>
      </c>
      <c r="F90" s="284" t="s">
        <v>315</v>
      </c>
      <c r="G90" s="283"/>
      <c r="H90" s="686"/>
      <c r="L90" s="396"/>
      <c r="N90" s="393"/>
      <c r="O90" s="354"/>
      <c r="P90" s="354" t="s">
        <v>604</v>
      </c>
      <c r="Q90" s="354"/>
      <c r="R90" s="667">
        <f>Volume!D77+Volume!I77</f>
        <v>8.8000000000000023E-3</v>
      </c>
      <c r="S90" s="11" t="s">
        <v>560</v>
      </c>
      <c r="V90" s="396"/>
    </row>
    <row r="91" spans="2:22" ht="13.15">
      <c r="B91" s="393"/>
      <c r="C91" s="284">
        <v>34</v>
      </c>
      <c r="D91" s="284" t="s">
        <v>314</v>
      </c>
      <c r="E91" s="284" t="s">
        <v>313</v>
      </c>
      <c r="F91" s="284" t="s">
        <v>312</v>
      </c>
      <c r="G91" s="283"/>
      <c r="H91" s="686"/>
      <c r="L91" s="396"/>
      <c r="N91" s="393"/>
      <c r="V91" s="396"/>
    </row>
    <row r="92" spans="2:22" ht="13.15">
      <c r="B92" s="393"/>
      <c r="C92" s="284">
        <v>35</v>
      </c>
      <c r="D92" s="284" t="s">
        <v>665</v>
      </c>
      <c r="E92" s="284" t="s">
        <v>666</v>
      </c>
      <c r="F92" s="284" t="s">
        <v>668</v>
      </c>
      <c r="G92" s="283"/>
      <c r="H92" s="478">
        <v>90</v>
      </c>
      <c r="I92" s="11" t="s">
        <v>970</v>
      </c>
      <c r="L92" s="396"/>
      <c r="N92" s="393"/>
      <c r="P92" s="354" t="s">
        <v>623</v>
      </c>
      <c r="R92" s="386">
        <f>(Volume!G53*(1-Parameter!R101))*Parameter!R30</f>
        <v>243.65881146757681</v>
      </c>
      <c r="S92" s="242" t="s">
        <v>241</v>
      </c>
      <c r="V92" s="396"/>
    </row>
    <row r="93" spans="2:22">
      <c r="B93" s="393"/>
      <c r="L93" s="396"/>
      <c r="N93" s="393"/>
      <c r="R93" s="397">
        <v>13</v>
      </c>
      <c r="S93" s="242" t="s">
        <v>563</v>
      </c>
      <c r="T93" s="689"/>
      <c r="V93" s="396"/>
    </row>
    <row r="94" spans="2:22">
      <c r="B94" s="393"/>
      <c r="L94" s="396"/>
      <c r="N94" s="393"/>
      <c r="R94" s="397">
        <v>2</v>
      </c>
      <c r="S94" s="242" t="s">
        <v>254</v>
      </c>
      <c r="V94" s="396"/>
    </row>
    <row r="95" spans="2:22">
      <c r="B95" s="393"/>
      <c r="L95" s="396"/>
      <c r="N95" s="393"/>
      <c r="R95" s="397">
        <v>4</v>
      </c>
      <c r="S95" s="242" t="s">
        <v>625</v>
      </c>
      <c r="T95" s="469"/>
      <c r="U95" s="240"/>
      <c r="V95" s="396"/>
    </row>
    <row r="96" spans="2:22" ht="13.15">
      <c r="B96" s="393"/>
      <c r="L96" s="396"/>
      <c r="N96" s="393"/>
      <c r="P96" s="354"/>
      <c r="S96" s="470"/>
      <c r="V96" s="396"/>
    </row>
    <row r="97" spans="2:22" ht="13.15">
      <c r="B97" s="393"/>
      <c r="L97" s="396"/>
      <c r="N97" s="393"/>
      <c r="P97" s="354" t="s">
        <v>624</v>
      </c>
      <c r="R97" s="386">
        <f>Volume!G55*(1-Parameter!R101)*Parameter!R30</f>
        <v>1786.8312840955632</v>
      </c>
      <c r="S97" s="242" t="s">
        <v>258</v>
      </c>
      <c r="V97" s="396"/>
    </row>
    <row r="98" spans="2:22">
      <c r="B98" s="393"/>
      <c r="L98" s="396"/>
      <c r="N98" s="393"/>
      <c r="R98" s="443">
        <f>Parameter!R93</f>
        <v>13</v>
      </c>
      <c r="S98" s="242" t="s">
        <v>223</v>
      </c>
      <c r="V98" s="396"/>
    </row>
    <row r="99" spans="2:22">
      <c r="B99" s="393"/>
      <c r="L99" s="396"/>
      <c r="N99" s="393"/>
      <c r="R99" s="397">
        <v>6</v>
      </c>
      <c r="S99" s="242" t="s">
        <v>254</v>
      </c>
      <c r="V99" s="396"/>
    </row>
    <row r="100" spans="2:22">
      <c r="B100" s="393"/>
      <c r="L100" s="396"/>
      <c r="N100" s="393"/>
      <c r="V100" s="396"/>
    </row>
    <row r="101" spans="2:22" ht="13.15">
      <c r="B101" s="393"/>
      <c r="L101" s="396"/>
      <c r="N101" s="393"/>
      <c r="P101" s="354" t="s">
        <v>626</v>
      </c>
      <c r="R101" s="450">
        <f>Volume!C77</f>
        <v>0.15000000000000002</v>
      </c>
      <c r="S101" s="242" t="s">
        <v>627</v>
      </c>
      <c r="V101" s="396"/>
    </row>
    <row r="102" spans="2:22">
      <c r="B102" s="393"/>
      <c r="L102" s="396"/>
      <c r="N102" s="393"/>
      <c r="R102" s="386">
        <f>R101*Parameter!R30</f>
        <v>358.32178156996594</v>
      </c>
      <c r="S102" s="242" t="s">
        <v>241</v>
      </c>
      <c r="V102" s="396"/>
    </row>
    <row r="103" spans="2:22">
      <c r="B103" s="393"/>
      <c r="L103" s="396"/>
      <c r="N103" s="393"/>
      <c r="R103" s="397">
        <v>1</v>
      </c>
      <c r="S103" s="242" t="s">
        <v>563</v>
      </c>
      <c r="V103" s="396"/>
    </row>
    <row r="104" spans="2:22">
      <c r="B104" s="393"/>
      <c r="L104" s="396"/>
      <c r="N104" s="393"/>
      <c r="V104" s="396"/>
    </row>
    <row r="105" spans="2:22" ht="13.15">
      <c r="B105" s="393"/>
      <c r="L105" s="396"/>
      <c r="N105" s="393"/>
      <c r="P105" s="354" t="s">
        <v>628</v>
      </c>
      <c r="R105" s="397">
        <v>6</v>
      </c>
      <c r="S105" s="242" t="s">
        <v>259</v>
      </c>
      <c r="V105" s="396"/>
    </row>
    <row r="106" spans="2:22">
      <c r="B106" s="393"/>
      <c r="L106" s="396"/>
      <c r="N106" s="393"/>
      <c r="R106" s="397">
        <v>1</v>
      </c>
      <c r="S106" s="242" t="s">
        <v>260</v>
      </c>
      <c r="V106" s="396"/>
    </row>
    <row r="107" spans="2:22">
      <c r="B107" s="393"/>
      <c r="L107" s="396"/>
      <c r="N107" s="393"/>
      <c r="R107" s="397">
        <v>1</v>
      </c>
      <c r="S107" s="242" t="s">
        <v>260</v>
      </c>
      <c r="V107" s="396"/>
    </row>
    <row r="108" spans="2:22">
      <c r="B108" s="393"/>
      <c r="L108" s="396"/>
      <c r="N108" s="393"/>
      <c r="V108" s="396"/>
    </row>
    <row r="109" spans="2:22" ht="13.15">
      <c r="B109" s="393"/>
      <c r="L109" s="396"/>
      <c r="N109" s="393"/>
      <c r="P109" s="354" t="s">
        <v>669</v>
      </c>
      <c r="R109" s="386">
        <f>Volume!B83/Parameter!P4</f>
        <v>401.59044368600684</v>
      </c>
      <c r="S109" s="11" t="s">
        <v>674</v>
      </c>
      <c r="V109" s="396"/>
    </row>
    <row r="110" spans="2:22">
      <c r="B110" s="393"/>
      <c r="C110" s="404"/>
      <c r="D110" s="404"/>
      <c r="E110" s="404"/>
      <c r="F110" s="404"/>
      <c r="G110" s="404"/>
      <c r="H110" s="404"/>
      <c r="I110" s="404"/>
      <c r="J110" s="404"/>
      <c r="L110" s="396"/>
      <c r="N110" s="393"/>
      <c r="R110" s="471">
        <f>第二轮数据!D37</f>
        <v>0.59025662208912066</v>
      </c>
      <c r="S110" s="11" t="s">
        <v>670</v>
      </c>
      <c r="V110" s="396"/>
    </row>
    <row r="111" spans="2:22" ht="13.15" thickBot="1">
      <c r="B111" s="398"/>
      <c r="C111" s="399"/>
      <c r="D111" s="399"/>
      <c r="E111" s="399"/>
      <c r="F111" s="399"/>
      <c r="G111" s="399"/>
      <c r="H111" s="399"/>
      <c r="I111" s="399"/>
      <c r="J111" s="399"/>
      <c r="K111" s="399"/>
      <c r="L111" s="400"/>
      <c r="N111" s="393"/>
      <c r="R111" s="471">
        <v>0.34</v>
      </c>
      <c r="S111" s="11" t="s">
        <v>671</v>
      </c>
      <c r="T111" s="468">
        <v>1</v>
      </c>
      <c r="U111" s="11" t="s">
        <v>676</v>
      </c>
      <c r="V111" s="396"/>
    </row>
    <row r="112" spans="2:22">
      <c r="N112" s="393"/>
      <c r="T112" s="467">
        <f>R77</f>
        <v>0.3</v>
      </c>
      <c r="U112" s="11" t="s">
        <v>675</v>
      </c>
      <c r="V112" s="396"/>
    </row>
    <row r="113" spans="2:22">
      <c r="N113" s="393"/>
      <c r="R113" s="471">
        <f>第二轮数据!D40</f>
        <v>9.9912221820622708E-3</v>
      </c>
      <c r="S113" s="11" t="s">
        <v>672</v>
      </c>
      <c r="V113" s="396"/>
    </row>
    <row r="114" spans="2:22" ht="18" customHeight="1">
      <c r="N114" s="393"/>
      <c r="R114" s="471">
        <v>0.05</v>
      </c>
      <c r="S114" s="11" t="s">
        <v>673</v>
      </c>
      <c r="V114" s="396"/>
    </row>
    <row r="115" spans="2:22" s="365" customFormat="1" ht="15">
      <c r="N115" s="393"/>
      <c r="O115" s="11"/>
      <c r="P115" s="11"/>
      <c r="Q115" s="11"/>
      <c r="R115" s="471">
        <v>0.01</v>
      </c>
      <c r="S115" s="11" t="s">
        <v>33</v>
      </c>
      <c r="V115" s="392"/>
    </row>
    <row r="116" spans="2:22" s="365" customFormat="1" ht="5.75" customHeight="1" thickBot="1">
      <c r="N116" s="453"/>
      <c r="O116" s="451"/>
      <c r="P116" s="451"/>
      <c r="Q116" s="451"/>
      <c r="R116" s="451"/>
      <c r="S116" s="451"/>
      <c r="T116" s="451"/>
      <c r="U116" s="451"/>
      <c r="V116" s="452"/>
    </row>
    <row r="117" spans="2:22" ht="18" customHeight="1" thickBot="1"/>
    <row r="118" spans="2:22" ht="18" customHeight="1">
      <c r="B118" s="405" t="s">
        <v>534</v>
      </c>
      <c r="C118" s="406"/>
      <c r="D118" s="407"/>
      <c r="E118" s="401"/>
      <c r="F118" s="401"/>
      <c r="G118" s="401"/>
      <c r="H118" s="401"/>
      <c r="I118" s="401"/>
      <c r="J118" s="401"/>
      <c r="K118" s="388"/>
      <c r="L118" s="388"/>
      <c r="M118" s="388"/>
      <c r="N118" s="389"/>
    </row>
    <row r="119" spans="2:22" ht="18" customHeight="1">
      <c r="B119" s="390"/>
      <c r="C119" s="402"/>
      <c r="D119" s="365"/>
      <c r="E119" s="365"/>
      <c r="F119" s="365"/>
      <c r="G119" s="365"/>
      <c r="H119" s="365"/>
      <c r="I119" s="365"/>
      <c r="J119" s="365"/>
      <c r="K119" s="365"/>
      <c r="L119" s="365"/>
      <c r="M119" s="365"/>
      <c r="N119" s="396"/>
    </row>
    <row r="120" spans="2:22" ht="15">
      <c r="B120" s="390"/>
      <c r="C120" s="402"/>
      <c r="D120" s="365"/>
      <c r="E120" s="365"/>
      <c r="F120" s="365"/>
      <c r="G120" s="365"/>
      <c r="H120" s="365"/>
      <c r="I120" s="365"/>
      <c r="J120" s="365"/>
      <c r="K120" s="365"/>
      <c r="L120" s="365"/>
      <c r="M120" s="365"/>
      <c r="N120" s="392"/>
    </row>
    <row r="121" spans="2:22" ht="13.15">
      <c r="B121" s="393"/>
      <c r="C121" s="10" t="s">
        <v>34</v>
      </c>
      <c r="D121" s="10" t="s">
        <v>35</v>
      </c>
      <c r="E121" s="10" t="s">
        <v>36</v>
      </c>
      <c r="F121" s="10" t="s">
        <v>37</v>
      </c>
      <c r="G121" s="10" t="s">
        <v>645</v>
      </c>
      <c r="H121" s="10" t="s">
        <v>640</v>
      </c>
      <c r="I121" s="10" t="s">
        <v>38</v>
      </c>
      <c r="J121" s="10" t="s">
        <v>39</v>
      </c>
      <c r="K121" s="10" t="s">
        <v>456</v>
      </c>
      <c r="L121" s="10" t="s">
        <v>565</v>
      </c>
      <c r="M121" s="10" t="s">
        <v>646</v>
      </c>
      <c r="N121" s="396"/>
    </row>
    <row r="122" spans="2:22" ht="13.15">
      <c r="B122" s="393"/>
      <c r="C122" s="12" t="s">
        <v>40</v>
      </c>
      <c r="D122" s="355">
        <f>10000/3600</f>
        <v>2.7777777777777777</v>
      </c>
      <c r="E122" s="355">
        <f>10000/3600</f>
        <v>2.7777777777777777</v>
      </c>
      <c r="F122" s="355">
        <f>9000/3600</f>
        <v>2.5</v>
      </c>
      <c r="G122" s="355">
        <v>0.5</v>
      </c>
      <c r="H122" s="355">
        <v>0.5</v>
      </c>
      <c r="I122" s="355">
        <v>0.42</v>
      </c>
      <c r="J122" s="355">
        <f>8000/3600</f>
        <v>2.2222222222222223</v>
      </c>
      <c r="K122" s="237">
        <v>1.2</v>
      </c>
      <c r="L122" s="358">
        <v>2.4</v>
      </c>
      <c r="M122" s="358">
        <v>2.8</v>
      </c>
      <c r="N122" s="396"/>
    </row>
    <row r="123" spans="2:22" ht="13.15">
      <c r="B123" s="393"/>
      <c r="C123" s="352"/>
      <c r="D123" s="353"/>
      <c r="E123" s="353"/>
      <c r="F123" s="353"/>
      <c r="G123" s="353"/>
      <c r="H123" s="353"/>
      <c r="I123" s="353"/>
      <c r="J123" s="353"/>
      <c r="N123" s="396"/>
    </row>
    <row r="124" spans="2:22" ht="13.15">
      <c r="B124" s="393"/>
      <c r="C124" s="354" t="s">
        <v>702</v>
      </c>
      <c r="E124" s="468">
        <v>0.04</v>
      </c>
      <c r="N124" s="396"/>
    </row>
    <row r="125" spans="2:22" ht="13.15">
      <c r="B125" s="393"/>
      <c r="C125" s="354"/>
      <c r="N125" s="396"/>
    </row>
    <row r="126" spans="2:22">
      <c r="B126" s="393"/>
      <c r="N126" s="396"/>
    </row>
    <row r="127" spans="2:22">
      <c r="B127" s="393"/>
      <c r="N127" s="396"/>
    </row>
    <row r="128" spans="2:22">
      <c r="B128" s="393"/>
      <c r="N128" s="396"/>
    </row>
    <row r="129" spans="2:14">
      <c r="B129" s="393"/>
      <c r="N129" s="396"/>
    </row>
    <row r="130" spans="2:14" ht="13.15" thickBot="1">
      <c r="B130" s="398"/>
      <c r="C130" s="399"/>
      <c r="D130" s="399"/>
      <c r="E130" s="399"/>
      <c r="F130" s="399"/>
      <c r="G130" s="399"/>
      <c r="H130" s="399"/>
      <c r="I130" s="399"/>
      <c r="J130" s="399"/>
      <c r="K130" s="399"/>
      <c r="L130" s="399"/>
      <c r="M130" s="399"/>
      <c r="N130" s="400"/>
    </row>
  </sheetData>
  <phoneticPr fontId="26"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171"/>
  <sheetViews>
    <sheetView showGridLines="0" topLeftCell="D1" zoomScale="80" zoomScaleNormal="80" workbookViewId="0">
      <pane ySplit="1" topLeftCell="A74" activePane="bottomLeft" state="frozen"/>
      <selection activeCell="D22" sqref="D22"/>
      <selection pane="bottomLeft" activeCell="Q81" sqref="Q81"/>
    </sheetView>
  </sheetViews>
  <sheetFormatPr defaultColWidth="12.265625" defaultRowHeight="12.75"/>
  <cols>
    <col min="1" max="1" width="5.59765625" style="11" bestFit="1" customWidth="1"/>
    <col min="2" max="2" width="22.9296875" style="11" customWidth="1"/>
    <col min="3" max="3" width="28.59765625" style="11" customWidth="1"/>
    <col min="4" max="4" width="40.33203125" style="11" customWidth="1"/>
    <col min="5" max="5" width="39.06640625" style="11" customWidth="1"/>
    <col min="6" max="6" width="12.46484375" style="11" customWidth="1"/>
    <col min="7" max="7" width="13" style="11" customWidth="1"/>
    <col min="8" max="9" width="9.796875" style="11" customWidth="1"/>
    <col min="10" max="10" width="14.53125" style="11" customWidth="1"/>
    <col min="11" max="12" width="9.796875" style="11" customWidth="1"/>
    <col min="13" max="14" width="9.796875" style="236" customWidth="1"/>
    <col min="15" max="15" width="17.59765625" style="11" customWidth="1"/>
    <col min="16" max="16" width="11.19921875" style="11" customWidth="1"/>
    <col min="17" max="18" width="15.19921875" style="11" customWidth="1"/>
    <col min="19" max="19" width="15.19921875" style="242" customWidth="1"/>
    <col min="20" max="23" width="15.19921875" style="11" customWidth="1"/>
    <col min="24" max="27" width="12.265625" style="443"/>
    <col min="28" max="32" width="12.265625" style="513"/>
    <col min="33" max="16384" width="12.265625" style="11"/>
  </cols>
  <sheetData>
    <row r="1" spans="1:35" s="13" customFormat="1" ht="52.5">
      <c r="A1" s="368" t="s">
        <v>41</v>
      </c>
      <c r="B1" s="368" t="s">
        <v>435</v>
      </c>
      <c r="C1" s="368" t="s">
        <v>42</v>
      </c>
      <c r="D1" s="368" t="s">
        <v>43</v>
      </c>
      <c r="E1" s="368" t="s">
        <v>44</v>
      </c>
      <c r="F1" s="369" t="s">
        <v>470</v>
      </c>
      <c r="G1" s="368" t="s">
        <v>469</v>
      </c>
      <c r="H1" s="368" t="s">
        <v>446</v>
      </c>
      <c r="I1" s="369" t="s">
        <v>447</v>
      </c>
      <c r="J1" s="368" t="s">
        <v>45</v>
      </c>
      <c r="K1" s="369" t="s">
        <v>445</v>
      </c>
      <c r="L1" s="369" t="s">
        <v>465</v>
      </c>
      <c r="M1" s="369" t="s">
        <v>448</v>
      </c>
      <c r="N1" s="369" t="s">
        <v>466</v>
      </c>
      <c r="O1" s="368" t="s">
        <v>444</v>
      </c>
      <c r="P1" s="370" t="s">
        <v>32</v>
      </c>
      <c r="Q1" s="484" t="s">
        <v>691</v>
      </c>
      <c r="R1" s="484" t="s">
        <v>695</v>
      </c>
      <c r="S1" s="485" t="s">
        <v>728</v>
      </c>
      <c r="T1" s="485" t="s">
        <v>729</v>
      </c>
      <c r="U1" s="485" t="s">
        <v>730</v>
      </c>
      <c r="V1" s="485" t="s">
        <v>731</v>
      </c>
      <c r="W1" s="485" t="s">
        <v>732</v>
      </c>
      <c r="X1" s="449" t="s">
        <v>704</v>
      </c>
      <c r="Y1" s="449" t="s">
        <v>705</v>
      </c>
      <c r="Z1" s="449" t="s">
        <v>706</v>
      </c>
      <c r="AA1" s="449" t="s">
        <v>707</v>
      </c>
      <c r="AB1" s="512" t="s">
        <v>711</v>
      </c>
      <c r="AC1" s="512" t="s">
        <v>712</v>
      </c>
      <c r="AD1" s="512" t="s">
        <v>713</v>
      </c>
      <c r="AE1" s="512" t="s">
        <v>714</v>
      </c>
      <c r="AF1" s="512" t="s">
        <v>715</v>
      </c>
    </row>
    <row r="2" spans="1:35">
      <c r="A2" s="14">
        <f>ROW()-1</f>
        <v>1</v>
      </c>
      <c r="B2" s="14" t="s">
        <v>436</v>
      </c>
      <c r="C2" s="14" t="s">
        <v>46</v>
      </c>
      <c r="D2" s="14" t="s">
        <v>47</v>
      </c>
      <c r="E2" s="14" t="s">
        <v>48</v>
      </c>
      <c r="F2" s="372">
        <v>1</v>
      </c>
      <c r="G2" s="14" t="s">
        <v>528</v>
      </c>
      <c r="H2" s="373" t="s">
        <v>513</v>
      </c>
      <c r="I2" s="381">
        <f>IFERROR(VLOOKUP(H2,Parameter!$F$44:$H$92,3,0),"")</f>
        <v>0</v>
      </c>
      <c r="J2" s="376" t="s">
        <v>455</v>
      </c>
      <c r="K2" s="367">
        <f>IFERROR(INDEX(Parameter!$D$122:$M$122,1,MATCH(Process!$J2,Parameter!$D$121:$M$121,0)),"")</f>
        <v>1.2</v>
      </c>
      <c r="L2" s="372">
        <f>IFERROR(I2/K2,0)</f>
        <v>0</v>
      </c>
      <c r="M2" s="383">
        <f>2*3600</f>
        <v>7200</v>
      </c>
      <c r="N2" s="382">
        <f>L2+M2</f>
        <v>7200</v>
      </c>
      <c r="O2" s="373" t="s">
        <v>217</v>
      </c>
      <c r="P2" s="371">
        <f>N2*F2/3600/Parameter!$P$6/Parameter!$P$7</f>
        <v>0.29411764705882354</v>
      </c>
      <c r="Q2" s="14"/>
      <c r="R2" s="14"/>
      <c r="S2" s="486"/>
      <c r="T2" s="14"/>
      <c r="U2" s="14"/>
      <c r="V2" s="14"/>
      <c r="W2" s="14"/>
      <c r="X2" s="459">
        <f>P2*Parameter!W$8</f>
        <v>0.28529411764705881</v>
      </c>
      <c r="Y2" s="459">
        <f>X2*Parameter!X$8</f>
        <v>0.26306457058823529</v>
      </c>
      <c r="Z2" s="459">
        <f>Y2*Parameter!Y$8</f>
        <v>0.24984411853845537</v>
      </c>
      <c r="AA2" s="459">
        <f>Z2*Parameter!Z$8</f>
        <v>0.24440670946884568</v>
      </c>
      <c r="AB2" s="514">
        <f>VLOOKUP(O2,Parameter!$O$11:$P$22,2,0)*Process!P2</f>
        <v>37078.999282639888</v>
      </c>
      <c r="AC2" s="514">
        <f>VLOOKUP($O2,Parameter!$O$11:$P$22,2,0)*VLOOKUP($O2,Parameter!$O$11:$T$22,6,0)*X2</f>
        <v>38484.29335545194</v>
      </c>
      <c r="AD2" s="514">
        <f>VLOOKUP($O2,Parameter!$O$11:$P$22,2,0)*VLOOKUP($O2,Parameter!$O$11:$T$22,6,0)^2*Y2</f>
        <v>37969.671378786559</v>
      </c>
      <c r="AE2" s="514">
        <f>VLOOKUP($O2,Parameter!$O$11:$P$22,2,0)*VLOOKUP($O2,Parameter!$O$11:$T$22,6,0)^3*Z2</f>
        <v>38585.78899282471</v>
      </c>
      <c r="AF2" s="514">
        <f>VLOOKUP($O2,Parameter!$O$11:$P$22,2,0)*VLOOKUP($O2,Parameter!$O$11:$T$22,6,0)^4*AA2</f>
        <v>40388.261206325064</v>
      </c>
      <c r="AH2" s="629"/>
      <c r="AI2" s="629"/>
    </row>
    <row r="3" spans="1:35">
      <c r="A3" s="14">
        <f t="shared" ref="A3:A69" si="0">ROW()-1</f>
        <v>2</v>
      </c>
      <c r="B3" s="14" t="s">
        <v>436</v>
      </c>
      <c r="C3" s="14" t="s">
        <v>50</v>
      </c>
      <c r="D3" s="14" t="s">
        <v>51</v>
      </c>
      <c r="E3" s="14" t="s">
        <v>52</v>
      </c>
      <c r="F3" s="372">
        <f>Volume!H23/Parameter!P4</f>
        <v>4.8054607508532428</v>
      </c>
      <c r="G3" s="14" t="s">
        <v>532</v>
      </c>
      <c r="H3" s="373" t="s">
        <v>513</v>
      </c>
      <c r="I3" s="381">
        <f>IFERROR(VLOOKUP(H3,Parameter!$F$44:$H$92,3,0),"")</f>
        <v>0</v>
      </c>
      <c r="J3" s="376" t="s">
        <v>455</v>
      </c>
      <c r="K3" s="367">
        <f>IFERROR(INDEX(Parameter!$D$122:$M$122,1,MATCH(Process!$J3,Parameter!$D$121:$M$121,0)),"")</f>
        <v>1.2</v>
      </c>
      <c r="L3" s="372">
        <f t="shared" ref="L3:L72" si="1">IFERROR(I3/K3,0)</f>
        <v>0</v>
      </c>
      <c r="M3" s="243">
        <v>120</v>
      </c>
      <c r="N3" s="382">
        <f t="shared" ref="N3:N69" si="2">L3+M3</f>
        <v>120</v>
      </c>
      <c r="O3" s="373" t="s">
        <v>53</v>
      </c>
      <c r="P3" s="371">
        <f>N3*F3/3600/Parameter!$P$6/Parameter!$P$7</f>
        <v>2.3556180151241387E-2</v>
      </c>
      <c r="Q3" s="14"/>
      <c r="R3" s="14"/>
      <c r="S3" s="486"/>
      <c r="T3" s="14"/>
      <c r="U3" s="14"/>
      <c r="V3" s="14"/>
      <c r="W3" s="14"/>
      <c r="X3" s="459">
        <f>P3*Parameter!W$8</f>
        <v>2.2849494746704141E-2</v>
      </c>
      <c r="Y3" s="459">
        <f>X3*Parameter!X$8</f>
        <v>2.1069107815030446E-2</v>
      </c>
      <c r="Z3" s="459">
        <f>Y3*Parameter!Y$8</f>
        <v>2.0010268424467865E-2</v>
      </c>
      <c r="AA3" s="459">
        <f>Z3*Parameter!Z$8</f>
        <v>1.9574780826628817E-2</v>
      </c>
      <c r="AB3" s="514">
        <f>VLOOKUP(O3,Parameter!$O$11:$P$22,2,0)*Process!P3</f>
        <v>1979.7963970404612</v>
      </c>
      <c r="AC3" s="514">
        <f>VLOOKUP($O3,Parameter!$O$11:$P$22,2,0)*VLOOKUP($O3,Parameter!$O$11:$T$22,6,0)*X3</f>
        <v>2054.8306804882941</v>
      </c>
      <c r="AD3" s="514">
        <f>VLOOKUP($O3,Parameter!$O$11:$P$22,2,0)*VLOOKUP($O3,Parameter!$O$11:$T$22,6,0)^2*Y3</f>
        <v>2027.352950372828</v>
      </c>
      <c r="AE3" s="514">
        <f>VLOOKUP($O3,Parameter!$O$11:$P$22,2,0)*VLOOKUP($O3,Parameter!$O$11:$T$22,6,0)^3*Z3</f>
        <v>2060.2499393969351</v>
      </c>
      <c r="AF3" s="514">
        <f>VLOOKUP($O3,Parameter!$O$11:$P$22,2,0)*VLOOKUP($O3,Parameter!$O$11:$T$22,6,0)^4*AA3</f>
        <v>2156.4911558022627</v>
      </c>
    </row>
    <row r="4" spans="1:35">
      <c r="A4" s="14">
        <f t="shared" si="0"/>
        <v>3</v>
      </c>
      <c r="B4" s="14" t="s">
        <v>436</v>
      </c>
      <c r="C4" s="14" t="s">
        <v>50</v>
      </c>
      <c r="D4" s="14" t="s">
        <v>51</v>
      </c>
      <c r="E4" s="14" t="s">
        <v>54</v>
      </c>
      <c r="F4" s="372">
        <f>F3</f>
        <v>4.8054607508532428</v>
      </c>
      <c r="G4" s="14" t="s">
        <v>532</v>
      </c>
      <c r="H4" s="373" t="s">
        <v>513</v>
      </c>
      <c r="I4" s="381">
        <f>IFERROR(VLOOKUP(H4,Parameter!$F$44:$H$92,3,0),"")</f>
        <v>0</v>
      </c>
      <c r="J4" s="376" t="s">
        <v>455</v>
      </c>
      <c r="K4" s="367">
        <f>IFERROR(INDEX(Parameter!$D$122:$M$122,1,MATCH(Process!$J4,Parameter!$D$121:$M$121,0)),"")</f>
        <v>1.2</v>
      </c>
      <c r="L4" s="372">
        <f t="shared" si="1"/>
        <v>0</v>
      </c>
      <c r="M4" s="243">
        <v>90</v>
      </c>
      <c r="N4" s="382">
        <f t="shared" si="2"/>
        <v>90</v>
      </c>
      <c r="O4" s="373" t="s">
        <v>53</v>
      </c>
      <c r="P4" s="371">
        <f>N4*F4/3600/Parameter!$P$6/Parameter!$P$7</f>
        <v>1.7667135113431039E-2</v>
      </c>
      <c r="Q4" s="14"/>
      <c r="R4" s="14"/>
      <c r="S4" s="486"/>
      <c r="T4" s="14"/>
      <c r="U4" s="14"/>
      <c r="V4" s="14"/>
      <c r="W4" s="14"/>
      <c r="X4" s="459">
        <f>P4*Parameter!W$8</f>
        <v>1.7137121060028106E-2</v>
      </c>
      <c r="Y4" s="459">
        <f>X4*Parameter!X$8</f>
        <v>1.5801830861272834E-2</v>
      </c>
      <c r="Z4" s="459">
        <f>Y4*Parameter!Y$8</f>
        <v>1.5007701318350899E-2</v>
      </c>
      <c r="AA4" s="459">
        <f>Z4*Parameter!Z$8</f>
        <v>1.4681085619971614E-2</v>
      </c>
      <c r="AB4" s="514">
        <f>VLOOKUP(O4,Parameter!$O$11:$P$22,2,0)*Process!P4</f>
        <v>1484.8472977803458</v>
      </c>
      <c r="AC4" s="514">
        <f>VLOOKUP($O4,Parameter!$O$11:$P$22,2,0)*VLOOKUP($O4,Parameter!$O$11:$T$22,6,0)*X4</f>
        <v>1541.1230103662208</v>
      </c>
      <c r="AD4" s="514">
        <f>VLOOKUP($O4,Parameter!$O$11:$P$22,2,0)*VLOOKUP($O4,Parameter!$O$11:$T$22,6,0)^2*Y4</f>
        <v>1520.5147127796208</v>
      </c>
      <c r="AE4" s="514">
        <f>VLOOKUP($O4,Parameter!$O$11:$P$22,2,0)*VLOOKUP($O4,Parameter!$O$11:$T$22,6,0)^3*Z4</f>
        <v>1545.1874545477012</v>
      </c>
      <c r="AF4" s="514">
        <f>VLOOKUP($O4,Parameter!$O$11:$P$22,2,0)*VLOOKUP($O4,Parameter!$O$11:$T$22,6,0)^4*AA4</f>
        <v>1617.3683668516969</v>
      </c>
    </row>
    <row r="5" spans="1:35">
      <c r="A5" s="14">
        <f t="shared" si="0"/>
        <v>4</v>
      </c>
      <c r="B5" s="14" t="s">
        <v>436</v>
      </c>
      <c r="C5" s="14" t="s">
        <v>50</v>
      </c>
      <c r="D5" s="14" t="s">
        <v>51</v>
      </c>
      <c r="E5" s="14" t="s">
        <v>55</v>
      </c>
      <c r="F5" s="372">
        <f t="shared" ref="F5:F8" si="3">F4</f>
        <v>4.8054607508532428</v>
      </c>
      <c r="G5" s="14" t="s">
        <v>532</v>
      </c>
      <c r="H5" s="373" t="s">
        <v>513</v>
      </c>
      <c r="I5" s="381">
        <f>IFERROR(VLOOKUP(H5,Parameter!$F$44:$H$92,3,0),"")</f>
        <v>0</v>
      </c>
      <c r="J5" s="376" t="s">
        <v>455</v>
      </c>
      <c r="K5" s="367">
        <f>IFERROR(INDEX(Parameter!$D$122:$M$122,1,MATCH(Process!$J5,Parameter!$D$121:$M$121,0)),"")</f>
        <v>1.2</v>
      </c>
      <c r="L5" s="372">
        <f t="shared" si="1"/>
        <v>0</v>
      </c>
      <c r="M5" s="243">
        <v>15</v>
      </c>
      <c r="N5" s="382">
        <f t="shared" si="2"/>
        <v>15</v>
      </c>
      <c r="O5" s="373" t="s">
        <v>53</v>
      </c>
      <c r="P5" s="371">
        <f>N5*F5/3600/Parameter!$P$6/Parameter!$P$7</f>
        <v>2.9445225189051734E-3</v>
      </c>
      <c r="Q5" s="14"/>
      <c r="R5" s="14"/>
      <c r="S5" s="486"/>
      <c r="T5" s="14"/>
      <c r="U5" s="14"/>
      <c r="V5" s="14"/>
      <c r="W5" s="14"/>
      <c r="X5" s="459">
        <f>P5*Parameter!W$8</f>
        <v>2.8561868433380176E-3</v>
      </c>
      <c r="Y5" s="459">
        <f>X5*Parameter!X$8</f>
        <v>2.6336384768788058E-3</v>
      </c>
      <c r="Z5" s="459">
        <f>Y5*Parameter!Y$8</f>
        <v>2.5012835530584831E-3</v>
      </c>
      <c r="AA5" s="459">
        <f>Z5*Parameter!Z$8</f>
        <v>2.4468476033286022E-3</v>
      </c>
      <c r="AB5" s="514">
        <f>VLOOKUP(O5,Parameter!$O$11:$P$22,2,0)*Process!P5</f>
        <v>247.47454963005765</v>
      </c>
      <c r="AC5" s="514">
        <f>VLOOKUP($O5,Parameter!$O$11:$P$22,2,0)*VLOOKUP($O5,Parameter!$O$11:$T$22,6,0)*X5</f>
        <v>256.85383506103676</v>
      </c>
      <c r="AD5" s="514">
        <f>VLOOKUP($O5,Parameter!$O$11:$P$22,2,0)*VLOOKUP($O5,Parameter!$O$11:$T$22,6,0)^2*Y5</f>
        <v>253.4191187966035</v>
      </c>
      <c r="AE5" s="514">
        <f>VLOOKUP($O5,Parameter!$O$11:$P$22,2,0)*VLOOKUP($O5,Parameter!$O$11:$T$22,6,0)^3*Z5</f>
        <v>257.53124242461689</v>
      </c>
      <c r="AF5" s="514">
        <f>VLOOKUP($O5,Parameter!$O$11:$P$22,2,0)*VLOOKUP($O5,Parameter!$O$11:$T$22,6,0)^4*AA5</f>
        <v>269.56139447528284</v>
      </c>
    </row>
    <row r="6" spans="1:35">
      <c r="A6" s="14">
        <f t="shared" si="0"/>
        <v>5</v>
      </c>
      <c r="B6" s="14" t="s">
        <v>436</v>
      </c>
      <c r="C6" s="14" t="s">
        <v>50</v>
      </c>
      <c r="D6" s="14" t="s">
        <v>51</v>
      </c>
      <c r="E6" s="14" t="s">
        <v>56</v>
      </c>
      <c r="F6" s="372">
        <f t="shared" si="3"/>
        <v>4.8054607508532428</v>
      </c>
      <c r="G6" s="14" t="s">
        <v>532</v>
      </c>
      <c r="H6" s="373" t="s">
        <v>513</v>
      </c>
      <c r="I6" s="381">
        <f>IFERROR(VLOOKUP(H6,Parameter!$F$44:$H$92,3,0),"")</f>
        <v>0</v>
      </c>
      <c r="J6" s="376" t="s">
        <v>455</v>
      </c>
      <c r="K6" s="367">
        <f>IFERROR(INDEX(Parameter!$D$122:$M$122,1,MATCH(Process!$J6,Parameter!$D$121:$M$121,0)),"")</f>
        <v>1.2</v>
      </c>
      <c r="L6" s="372">
        <f t="shared" si="1"/>
        <v>0</v>
      </c>
      <c r="M6" s="243">
        <v>75</v>
      </c>
      <c r="N6" s="382">
        <f t="shared" si="2"/>
        <v>75</v>
      </c>
      <c r="O6" s="373" t="s">
        <v>53</v>
      </c>
      <c r="P6" s="371">
        <f>N6*F6/3600/Parameter!$P$6/Parameter!$P$7</f>
        <v>1.4722612594525867E-2</v>
      </c>
      <c r="Q6" s="14"/>
      <c r="R6" s="14"/>
      <c r="S6" s="486"/>
      <c r="T6" s="14"/>
      <c r="U6" s="14"/>
      <c r="V6" s="14"/>
      <c r="W6" s="14"/>
      <c r="X6" s="459">
        <f>P6*Parameter!W$8</f>
        <v>1.428093421669009E-2</v>
      </c>
      <c r="Y6" s="459">
        <f>X6*Parameter!X$8</f>
        <v>1.3168192384394031E-2</v>
      </c>
      <c r="Z6" s="459">
        <f>Y6*Parameter!Y$8</f>
        <v>1.2506417765292419E-2</v>
      </c>
      <c r="AA6" s="459">
        <f>Z6*Parameter!Z$8</f>
        <v>1.2234238016643015E-2</v>
      </c>
      <c r="AB6" s="514">
        <f>VLOOKUP(O6,Parameter!$O$11:$P$22,2,0)*Process!P6</f>
        <v>1237.3727481502883</v>
      </c>
      <c r="AC6" s="514">
        <f>VLOOKUP($O6,Parameter!$O$11:$P$22,2,0)*VLOOKUP($O6,Parameter!$O$11:$T$22,6,0)*X6</f>
        <v>1284.269175305184</v>
      </c>
      <c r="AD6" s="514">
        <f>VLOOKUP($O6,Parameter!$O$11:$P$22,2,0)*VLOOKUP($O6,Parameter!$O$11:$T$22,6,0)^2*Y6</f>
        <v>1267.0955939830176</v>
      </c>
      <c r="AE6" s="514">
        <f>VLOOKUP($O6,Parameter!$O$11:$P$22,2,0)*VLOOKUP($O6,Parameter!$O$11:$T$22,6,0)^3*Z6</f>
        <v>1287.6562121230847</v>
      </c>
      <c r="AF6" s="514">
        <f>VLOOKUP($O6,Parameter!$O$11:$P$22,2,0)*VLOOKUP($O6,Parameter!$O$11:$T$22,6,0)^4*AA6</f>
        <v>1347.8069723764145</v>
      </c>
    </row>
    <row r="7" spans="1:35">
      <c r="A7" s="14">
        <f t="shared" si="0"/>
        <v>6</v>
      </c>
      <c r="B7" s="14" t="s">
        <v>436</v>
      </c>
      <c r="C7" s="14" t="s">
        <v>50</v>
      </c>
      <c r="D7" s="14" t="s">
        <v>51</v>
      </c>
      <c r="E7" s="14" t="s">
        <v>57</v>
      </c>
      <c r="F7" s="372">
        <f t="shared" si="3"/>
        <v>4.8054607508532428</v>
      </c>
      <c r="G7" s="14" t="s">
        <v>532</v>
      </c>
      <c r="H7" s="373" t="s">
        <v>513</v>
      </c>
      <c r="I7" s="381">
        <f>IFERROR(VLOOKUP(H7,Parameter!$F$44:$H$92,3,0),"")</f>
        <v>0</v>
      </c>
      <c r="J7" s="376" t="s">
        <v>455</v>
      </c>
      <c r="K7" s="367">
        <f>IFERROR(INDEX(Parameter!$D$122:$M$122,1,MATCH(Process!$J7,Parameter!$D$121:$M$121,0)),"")</f>
        <v>1.2</v>
      </c>
      <c r="L7" s="372">
        <f t="shared" si="1"/>
        <v>0</v>
      </c>
      <c r="M7" s="243">
        <v>75</v>
      </c>
      <c r="N7" s="382">
        <f t="shared" si="2"/>
        <v>75</v>
      </c>
      <c r="O7" s="373" t="s">
        <v>53</v>
      </c>
      <c r="P7" s="371">
        <f>N7*F7/3600/Parameter!$P$6/Parameter!$P$7</f>
        <v>1.4722612594525867E-2</v>
      </c>
      <c r="Q7" s="14"/>
      <c r="R7" s="14"/>
      <c r="S7" s="486"/>
      <c r="T7" s="14"/>
      <c r="U7" s="14"/>
      <c r="V7" s="14"/>
      <c r="W7" s="14"/>
      <c r="X7" s="459">
        <f>P7*Parameter!W$8</f>
        <v>1.428093421669009E-2</v>
      </c>
      <c r="Y7" s="459">
        <f>X7*Parameter!X$8</f>
        <v>1.3168192384394031E-2</v>
      </c>
      <c r="Z7" s="459">
        <f>Y7*Parameter!Y$8</f>
        <v>1.2506417765292419E-2</v>
      </c>
      <c r="AA7" s="459">
        <f>Z7*Parameter!Z$8</f>
        <v>1.2234238016643015E-2</v>
      </c>
      <c r="AB7" s="514">
        <f>VLOOKUP(O7,Parameter!$O$11:$P$22,2,0)*Process!P7</f>
        <v>1237.3727481502883</v>
      </c>
      <c r="AC7" s="514">
        <f>VLOOKUP($O7,Parameter!$O$11:$P$22,2,0)*VLOOKUP($O7,Parameter!$O$11:$T$22,6,0)*X7</f>
        <v>1284.269175305184</v>
      </c>
      <c r="AD7" s="514">
        <f>VLOOKUP($O7,Parameter!$O$11:$P$22,2,0)*VLOOKUP($O7,Parameter!$O$11:$T$22,6,0)^2*Y7</f>
        <v>1267.0955939830176</v>
      </c>
      <c r="AE7" s="514">
        <f>VLOOKUP($O7,Parameter!$O$11:$P$22,2,0)*VLOOKUP($O7,Parameter!$O$11:$T$22,6,0)^3*Z7</f>
        <v>1287.6562121230847</v>
      </c>
      <c r="AF7" s="514">
        <f>VLOOKUP($O7,Parameter!$O$11:$P$22,2,0)*VLOOKUP($O7,Parameter!$O$11:$T$22,6,0)^4*AA7</f>
        <v>1347.8069723764145</v>
      </c>
    </row>
    <row r="8" spans="1:35">
      <c r="A8" s="14">
        <f t="shared" si="0"/>
        <v>7</v>
      </c>
      <c r="B8" s="14" t="s">
        <v>436</v>
      </c>
      <c r="C8" s="14" t="s">
        <v>50</v>
      </c>
      <c r="D8" s="14" t="s">
        <v>51</v>
      </c>
      <c r="E8" s="14" t="s">
        <v>52</v>
      </c>
      <c r="F8" s="372">
        <f t="shared" si="3"/>
        <v>4.8054607508532428</v>
      </c>
      <c r="G8" s="14" t="s">
        <v>532</v>
      </c>
      <c r="H8" s="373" t="s">
        <v>513</v>
      </c>
      <c r="I8" s="381">
        <f>IFERROR(VLOOKUP(H8,Parameter!$F$44:$H$92,3,0),"")</f>
        <v>0</v>
      </c>
      <c r="J8" s="376" t="s">
        <v>455</v>
      </c>
      <c r="K8" s="367">
        <f>IFERROR(INDEX(Parameter!$D$122:$M$122,1,MATCH(Process!$J8,Parameter!$D$121:$M$121,0)),"")</f>
        <v>1.2</v>
      </c>
      <c r="L8" s="372">
        <f t="shared" si="1"/>
        <v>0</v>
      </c>
      <c r="M8" s="243">
        <v>45</v>
      </c>
      <c r="N8" s="382">
        <f t="shared" si="2"/>
        <v>45</v>
      </c>
      <c r="O8" s="373" t="s">
        <v>53</v>
      </c>
      <c r="P8" s="371">
        <f>N8*F8/3600/Parameter!$P$6/Parameter!$P$7</f>
        <v>8.8335675567155197E-3</v>
      </c>
      <c r="Q8" s="14"/>
      <c r="R8" s="14"/>
      <c r="S8" s="486"/>
      <c r="T8" s="14"/>
      <c r="U8" s="14"/>
      <c r="V8" s="14"/>
      <c r="W8" s="14"/>
      <c r="X8" s="459">
        <f>P8*Parameter!W$8</f>
        <v>8.5685605300140529E-3</v>
      </c>
      <c r="Y8" s="459">
        <f>X8*Parameter!X$8</f>
        <v>7.9009154306364168E-3</v>
      </c>
      <c r="Z8" s="459">
        <f>Y8*Parameter!Y$8</f>
        <v>7.5038506591754497E-3</v>
      </c>
      <c r="AA8" s="459">
        <f>Z8*Parameter!Z$8</f>
        <v>7.340542809985807E-3</v>
      </c>
      <c r="AB8" s="514">
        <f>VLOOKUP(O8,Parameter!$O$11:$P$22,2,0)*Process!P8</f>
        <v>742.4236488901729</v>
      </c>
      <c r="AC8" s="514">
        <f>VLOOKUP($O8,Parameter!$O$11:$P$22,2,0)*VLOOKUP($O8,Parameter!$O$11:$T$22,6,0)*X8</f>
        <v>770.5615051831104</v>
      </c>
      <c r="AD8" s="514">
        <f>VLOOKUP($O8,Parameter!$O$11:$P$22,2,0)*VLOOKUP($O8,Parameter!$O$11:$T$22,6,0)^2*Y8</f>
        <v>760.25735638981041</v>
      </c>
      <c r="AE8" s="514">
        <f>VLOOKUP($O8,Parameter!$O$11:$P$22,2,0)*VLOOKUP($O8,Parameter!$O$11:$T$22,6,0)^3*Z8</f>
        <v>772.59372727385062</v>
      </c>
      <c r="AF8" s="514">
        <f>VLOOKUP($O8,Parameter!$O$11:$P$22,2,0)*VLOOKUP($O8,Parameter!$O$11:$T$22,6,0)^4*AA8</f>
        <v>808.68418342584846</v>
      </c>
    </row>
    <row r="9" spans="1:35">
      <c r="A9" s="14">
        <f t="shared" si="0"/>
        <v>8</v>
      </c>
      <c r="B9" s="14" t="s">
        <v>436</v>
      </c>
      <c r="C9" s="14" t="s">
        <v>50</v>
      </c>
      <c r="D9" s="14" t="s">
        <v>58</v>
      </c>
      <c r="E9" s="14" t="s">
        <v>59</v>
      </c>
      <c r="F9" s="372">
        <f>F3*Parameter!R35</f>
        <v>137.12978763746685</v>
      </c>
      <c r="G9" s="239" t="s">
        <v>218</v>
      </c>
      <c r="H9" s="373" t="s">
        <v>513</v>
      </c>
      <c r="I9" s="381">
        <f>IFERROR(VLOOKUP(H9,Parameter!$F$44:$H$92,3,0),"")</f>
        <v>0</v>
      </c>
      <c r="J9" s="376" t="s">
        <v>464</v>
      </c>
      <c r="K9" s="367">
        <f>IFERROR(INDEX(Parameter!$D$122:$M$122,1,MATCH(Process!$J9,Parameter!$D$121:$M$121,0)),"")</f>
        <v>2.7777777777777777</v>
      </c>
      <c r="L9" s="372">
        <f t="shared" si="1"/>
        <v>0</v>
      </c>
      <c r="M9" s="243">
        <v>30</v>
      </c>
      <c r="N9" s="382">
        <f t="shared" si="2"/>
        <v>30</v>
      </c>
      <c r="O9" s="373" t="s">
        <v>60</v>
      </c>
      <c r="P9" s="371">
        <f>N9*F9/3600/Parameter!$P$6/Parameter!$P$7</f>
        <v>0.1680512103400329</v>
      </c>
      <c r="Q9" s="14"/>
      <c r="R9" s="14"/>
      <c r="S9" s="486"/>
      <c r="T9" s="14"/>
      <c r="U9" s="14"/>
      <c r="V9" s="14"/>
      <c r="W9" s="14"/>
      <c r="X9" s="459">
        <f>P9*Parameter!W$8</f>
        <v>0.16300967402983188</v>
      </c>
      <c r="Y9" s="459">
        <f>X9*Parameter!X$8</f>
        <v>0.15030828624877543</v>
      </c>
      <c r="Z9" s="459">
        <f>Y9*Parameter!Y$8</f>
        <v>0.14275446215686863</v>
      </c>
      <c r="AA9" s="459">
        <f>Z9*Parameter!Z$8</f>
        <v>0.13964766736097858</v>
      </c>
      <c r="AB9" s="514">
        <f>VLOOKUP(O9,Parameter!$O$11:$P$22,2,0)*Process!P9</f>
        <v>16948.784324793978</v>
      </c>
      <c r="AC9" s="514">
        <f>VLOOKUP($O9,Parameter!$O$11:$P$22,2,0)*VLOOKUP($O9,Parameter!$O$11:$T$22,6,0)*X9</f>
        <v>17591.143250703666</v>
      </c>
      <c r="AD9" s="514">
        <f>VLOOKUP($O9,Parameter!$O$11:$P$22,2,0)*VLOOKUP($O9,Parameter!$O$11:$T$22,6,0)^2*Y9</f>
        <v>17355.909909458009</v>
      </c>
      <c r="AE9" s="514">
        <f>VLOOKUP($O9,Parameter!$O$11:$P$22,2,0)*VLOOKUP($O9,Parameter!$O$11:$T$22,6,0)^3*Z9</f>
        <v>17637.536834700524</v>
      </c>
      <c r="AF9" s="514">
        <f>VLOOKUP($O9,Parameter!$O$11:$P$22,2,0)*VLOOKUP($O9,Parameter!$O$11:$T$22,6,0)^4*AA9</f>
        <v>18461.445607566315</v>
      </c>
    </row>
    <row r="10" spans="1:35">
      <c r="A10" s="14">
        <f t="shared" si="0"/>
        <v>9</v>
      </c>
      <c r="B10" s="14" t="s">
        <v>436</v>
      </c>
      <c r="C10" s="14" t="s">
        <v>50</v>
      </c>
      <c r="D10" s="14" t="s">
        <v>58</v>
      </c>
      <c r="E10" s="14" t="s">
        <v>467</v>
      </c>
      <c r="F10" s="382">
        <f>F9/Parameter!R36</f>
        <v>137.12978763746685</v>
      </c>
      <c r="G10" s="239" t="s">
        <v>526</v>
      </c>
      <c r="H10" s="373" t="s">
        <v>461</v>
      </c>
      <c r="I10" s="381">
        <f>IFERROR(VLOOKUP(H10,Parameter!$F$44:$H$92,3,0),"")</f>
        <v>110</v>
      </c>
      <c r="J10" s="376" t="s">
        <v>464</v>
      </c>
      <c r="K10" s="367">
        <f>IFERROR(INDEX(Parameter!$D$122:$M$122,1,MATCH(Process!$J10,Parameter!$D$121:$M$121,0)),"")</f>
        <v>2.7777777777777777</v>
      </c>
      <c r="L10" s="372">
        <f t="shared" ref="L10" si="4">IFERROR(I10/K10,0)</f>
        <v>39.6</v>
      </c>
      <c r="M10" s="243">
        <v>0</v>
      </c>
      <c r="N10" s="382">
        <f t="shared" ref="N10" si="5">L10+M10</f>
        <v>39.6</v>
      </c>
      <c r="O10" s="373" t="s">
        <v>60</v>
      </c>
      <c r="P10" s="371">
        <f>N10*F10/3600/Parameter!$P$6/Parameter!$P$7</f>
        <v>0.22182759764884347</v>
      </c>
      <c r="Q10" s="14"/>
      <c r="R10" s="14"/>
      <c r="S10" s="486"/>
      <c r="T10" s="14"/>
      <c r="U10" s="14"/>
      <c r="V10" s="14"/>
      <c r="W10" s="14"/>
      <c r="X10" s="459">
        <f>P10*Parameter!W$8</f>
        <v>0.21517276971937813</v>
      </c>
      <c r="Y10" s="459">
        <f>X10*Parameter!X$8</f>
        <v>0.19840693784838362</v>
      </c>
      <c r="Z10" s="459">
        <f>Y10*Parameter!Y$8</f>
        <v>0.18843589004706662</v>
      </c>
      <c r="AA10" s="459">
        <f>Z10*Parameter!Z$8</f>
        <v>0.18433492091649176</v>
      </c>
      <c r="AB10" s="514">
        <f>VLOOKUP(O10,Parameter!$O$11:$P$22,2,0)*Process!P10</f>
        <v>22372.395308728053</v>
      </c>
      <c r="AC10" s="514">
        <f>VLOOKUP($O10,Parameter!$O$11:$P$22,2,0)*VLOOKUP($O10,Parameter!$O$11:$T$22,6,0)*X10</f>
        <v>23220.309090928844</v>
      </c>
      <c r="AD10" s="514">
        <f>VLOOKUP($O10,Parameter!$O$11:$P$22,2,0)*VLOOKUP($O10,Parameter!$O$11:$T$22,6,0)^2*Y10</f>
        <v>22909.801080484576</v>
      </c>
      <c r="AE10" s="514">
        <f>VLOOKUP($O10,Parameter!$O$11:$P$22,2,0)*VLOOKUP($O10,Parameter!$O$11:$T$22,6,0)^3*Z10</f>
        <v>23281.548621804697</v>
      </c>
      <c r="AF10" s="514">
        <f>VLOOKUP($O10,Parameter!$O$11:$P$22,2,0)*VLOOKUP($O10,Parameter!$O$11:$T$22,6,0)^4*AA10</f>
        <v>24369.108201987539</v>
      </c>
    </row>
    <row r="11" spans="1:35">
      <c r="A11" s="14">
        <f t="shared" si="0"/>
        <v>10</v>
      </c>
      <c r="B11" s="14" t="s">
        <v>436</v>
      </c>
      <c r="C11" s="14" t="s">
        <v>50</v>
      </c>
      <c r="D11" s="14" t="s">
        <v>58</v>
      </c>
      <c r="E11" s="14" t="s">
        <v>61</v>
      </c>
      <c r="F11" s="372">
        <f>F9</f>
        <v>137.12978763746685</v>
      </c>
      <c r="G11" s="239" t="s">
        <v>218</v>
      </c>
      <c r="H11" s="373" t="s">
        <v>513</v>
      </c>
      <c r="I11" s="381">
        <f>IFERROR(VLOOKUP(H11,Parameter!$F$44:$H$92,3,0),"")</f>
        <v>0</v>
      </c>
      <c r="J11" s="376" t="s">
        <v>455</v>
      </c>
      <c r="K11" s="367">
        <f>IFERROR(INDEX(Parameter!$D$122:$M$122,1,MATCH(Process!$J11,Parameter!$D$121:$M$121,0)),"")</f>
        <v>1.2</v>
      </c>
      <c r="L11" s="372">
        <f t="shared" si="1"/>
        <v>0</v>
      </c>
      <c r="M11" s="243">
        <v>25</v>
      </c>
      <c r="N11" s="382">
        <f t="shared" si="2"/>
        <v>25</v>
      </c>
      <c r="O11" s="373" t="s">
        <v>53</v>
      </c>
      <c r="P11" s="371">
        <f>N11*F11/3600/Parameter!$P$6/Parameter!$P$7</f>
        <v>0.14004267528336076</v>
      </c>
      <c r="Q11" s="14"/>
      <c r="R11" s="14"/>
      <c r="S11" s="486"/>
      <c r="T11" s="14"/>
      <c r="U11" s="14"/>
      <c r="V11" s="14"/>
      <c r="W11" s="14"/>
      <c r="X11" s="459">
        <f>P11*Parameter!W$8</f>
        <v>0.13584139502485992</v>
      </c>
      <c r="Y11" s="459">
        <f>X11*Parameter!X$8</f>
        <v>0.12525690520731289</v>
      </c>
      <c r="Z11" s="459">
        <f>Y11*Parameter!Y$8</f>
        <v>0.11896205179739054</v>
      </c>
      <c r="AA11" s="459">
        <f>Z11*Parameter!Z$8</f>
        <v>0.11637305613414883</v>
      </c>
      <c r="AB11" s="514">
        <f>VLOOKUP(O11,Parameter!$O$11:$P$22,2,0)*Process!P11</f>
        <v>11769.989114440261</v>
      </c>
      <c r="AC11" s="514">
        <f>VLOOKUP($O11,Parameter!$O$11:$P$22,2,0)*VLOOKUP($O11,Parameter!$O$11:$T$22,6,0)*X11</f>
        <v>12216.071701877547</v>
      </c>
      <c r="AD11" s="514">
        <f>VLOOKUP($O11,Parameter!$O$11:$P$22,2,0)*VLOOKUP($O11,Parameter!$O$11:$T$22,6,0)^2*Y11</f>
        <v>12052.715214901398</v>
      </c>
      <c r="AE11" s="514">
        <f>VLOOKUP($O11,Parameter!$O$11:$P$22,2,0)*VLOOKUP($O11,Parameter!$O$11:$T$22,6,0)^3*Z11</f>
        <v>12248.289468542032</v>
      </c>
      <c r="AF11" s="514">
        <f>VLOOKUP($O11,Parameter!$O$11:$P$22,2,0)*VLOOKUP($O11,Parameter!$O$11:$T$22,6,0)^4*AA11</f>
        <v>12820.448338587721</v>
      </c>
    </row>
    <row r="12" spans="1:35" s="240" customFormat="1">
      <c r="A12" s="14">
        <f t="shared" si="0"/>
        <v>11</v>
      </c>
      <c r="B12" s="14" t="s">
        <v>436</v>
      </c>
      <c r="C12" s="239" t="s">
        <v>439</v>
      </c>
      <c r="D12" s="239" t="s">
        <v>983</v>
      </c>
      <c r="E12" s="239" t="str">
        <f>D12</f>
        <v>Move cross dock to inbound staging</v>
      </c>
      <c r="F12" s="372">
        <f>Parameter!R44*Parameter!R45</f>
        <v>37.039280375426621</v>
      </c>
      <c r="G12" s="14" t="s">
        <v>529</v>
      </c>
      <c r="H12" s="375" t="s">
        <v>463</v>
      </c>
      <c r="I12" s="381">
        <f>IFERROR(VLOOKUP(H12,Parameter!$F$44:$H$92,3,0),"")</f>
        <v>30</v>
      </c>
      <c r="J12" s="376" t="s">
        <v>222</v>
      </c>
      <c r="K12" s="367">
        <f>IFERROR(INDEX(Parameter!$D$122:$M$122,1,MATCH(Process!$J12,Parameter!$D$121:$M$121,0)),"")</f>
        <v>2.7777777777777777</v>
      </c>
      <c r="L12" s="372">
        <f t="shared" si="1"/>
        <v>10.8</v>
      </c>
      <c r="M12" s="243"/>
      <c r="N12" s="372">
        <f t="shared" si="2"/>
        <v>10.8</v>
      </c>
      <c r="O12" s="373" t="s">
        <v>60</v>
      </c>
      <c r="P12" s="371">
        <f>N12*F12/3600/Parameter!$P$6/Parameter!$P$7</f>
        <v>1.6340858989158803E-2</v>
      </c>
      <c r="Q12" s="238"/>
      <c r="R12" s="238"/>
      <c r="S12" s="238"/>
      <c r="T12" s="238"/>
      <c r="U12" s="238"/>
      <c r="V12" s="238"/>
      <c r="W12" s="238"/>
      <c r="X12" s="459">
        <f>P12*Parameter!W$8</f>
        <v>1.5850633219484038E-2</v>
      </c>
      <c r="Y12" s="459">
        <f>X12*Parameter!X$8</f>
        <v>1.4615583580288281E-2</v>
      </c>
      <c r="Z12" s="459">
        <f>Y12*Parameter!Y$8</f>
        <v>1.3881069535045757E-2</v>
      </c>
      <c r="AA12" s="459">
        <f>Z12*Parameter!Z$8</f>
        <v>1.3578972956478016E-2</v>
      </c>
      <c r="AB12" s="514">
        <f>VLOOKUP(O12,Parameter!$O$11:$P$22,2,0)*Process!P12</f>
        <v>1648.0553405639296</v>
      </c>
      <c r="AC12" s="514">
        <f>VLOOKUP($O12,Parameter!$O$11:$P$22,2,0)*VLOOKUP($O12,Parameter!$O$11:$T$22,6,0)*X12</f>
        <v>1710.5166379713025</v>
      </c>
      <c r="AD12" s="514">
        <f>VLOOKUP($O12,Parameter!$O$11:$P$22,2,0)*VLOOKUP($O12,Parameter!$O$11:$T$22,6,0)^2*Y12</f>
        <v>1687.6431647540242</v>
      </c>
      <c r="AE12" s="514">
        <f>VLOOKUP($O12,Parameter!$O$11:$P$22,2,0)*VLOOKUP($O12,Parameter!$O$11:$T$22,6,0)^3*Z12</f>
        <v>1715.0278284147416</v>
      </c>
      <c r="AF12" s="514">
        <f>VLOOKUP($O12,Parameter!$O$11:$P$22,2,0)*VLOOKUP($O12,Parameter!$O$11:$T$22,6,0)^4*AA12</f>
        <v>1795.142556836448</v>
      </c>
    </row>
    <row r="13" spans="1:35" s="240" customFormat="1">
      <c r="A13" s="14">
        <f t="shared" si="0"/>
        <v>12</v>
      </c>
      <c r="B13" s="14" t="s">
        <v>436</v>
      </c>
      <c r="C13" s="239" t="s">
        <v>439</v>
      </c>
      <c r="D13" s="239" t="s">
        <v>634</v>
      </c>
      <c r="E13" s="239" t="s">
        <v>635</v>
      </c>
      <c r="F13" s="372">
        <f>F12*2</f>
        <v>74.078560750853242</v>
      </c>
      <c r="G13" s="14" t="str">
        <f>G12</f>
        <v>trip</v>
      </c>
      <c r="H13" s="375" t="s">
        <v>513</v>
      </c>
      <c r="I13" s="381">
        <f>IFERROR(VLOOKUP(H13,Parameter!$F$44:$H$92,3,0),"")</f>
        <v>0</v>
      </c>
      <c r="J13" s="376" t="s">
        <v>464</v>
      </c>
      <c r="K13" s="367">
        <f>IFERROR(INDEX(Parameter!$D$122:$M$122,1,MATCH(Process!$J13,Parameter!$D$121:$M$121,0)),"")</f>
        <v>2.7777777777777777</v>
      </c>
      <c r="L13" s="372">
        <f t="shared" si="1"/>
        <v>0</v>
      </c>
      <c r="M13" s="243">
        <v>15</v>
      </c>
      <c r="N13" s="372">
        <f t="shared" si="2"/>
        <v>15</v>
      </c>
      <c r="O13" s="373" t="s">
        <v>60</v>
      </c>
      <c r="P13" s="371">
        <f>N13*F13/3600/Parameter!$P$6/Parameter!$P$7</f>
        <v>4.5391274969885563E-2</v>
      </c>
      <c r="Q13" s="238"/>
      <c r="R13" s="238"/>
      <c r="S13" s="238"/>
      <c r="T13" s="238"/>
      <c r="U13" s="238"/>
      <c r="V13" s="238"/>
      <c r="W13" s="238"/>
      <c r="X13" s="459">
        <f>P13*Parameter!W$8</f>
        <v>4.4029536720788992E-2</v>
      </c>
      <c r="Y13" s="459">
        <f>X13*Parameter!X$8</f>
        <v>4.0598843278578552E-2</v>
      </c>
      <c r="Z13" s="459">
        <f>Y13*Parameter!Y$8</f>
        <v>3.8558526486238205E-2</v>
      </c>
      <c r="AA13" s="459">
        <f>Z13*Parameter!Z$8</f>
        <v>3.7719369323550037E-2</v>
      </c>
      <c r="AB13" s="514">
        <f>VLOOKUP(O13,Parameter!$O$11:$P$22,2,0)*Process!P13</f>
        <v>4577.9315015664706</v>
      </c>
      <c r="AC13" s="514">
        <f>VLOOKUP($O13,Parameter!$O$11:$P$22,2,0)*VLOOKUP($O13,Parameter!$O$11:$T$22,6,0)*X13</f>
        <v>4751.4351054758399</v>
      </c>
      <c r="AD13" s="514">
        <f>VLOOKUP($O13,Parameter!$O$11:$P$22,2,0)*VLOOKUP($O13,Parameter!$O$11:$T$22,6,0)^2*Y13</f>
        <v>4687.8976798722888</v>
      </c>
      <c r="AE13" s="514">
        <f>VLOOKUP($O13,Parameter!$O$11:$P$22,2,0)*VLOOKUP($O13,Parameter!$O$11:$T$22,6,0)^3*Z13</f>
        <v>4763.9661900409483</v>
      </c>
      <c r="AF13" s="514">
        <f>VLOOKUP($O13,Parameter!$O$11:$P$22,2,0)*VLOOKUP($O13,Parameter!$O$11:$T$22,6,0)^4*AA13</f>
        <v>4986.507102323465</v>
      </c>
    </row>
    <row r="14" spans="1:35" s="240" customFormat="1">
      <c r="A14" s="14">
        <f t="shared" si="0"/>
        <v>13</v>
      </c>
      <c r="B14" s="14" t="s">
        <v>436</v>
      </c>
      <c r="C14" s="239" t="s">
        <v>439</v>
      </c>
      <c r="D14" s="239" t="s">
        <v>440</v>
      </c>
      <c r="E14" s="239" t="str">
        <f>D14</f>
        <v>Move cross dock to outbound staging</v>
      </c>
      <c r="F14" s="372">
        <f>F12</f>
        <v>37.039280375426621</v>
      </c>
      <c r="G14" s="14" t="s">
        <v>984</v>
      </c>
      <c r="H14" s="375" t="s">
        <v>985</v>
      </c>
      <c r="I14" s="381">
        <f>IFERROR(VLOOKUP(H14,Parameter!$F$44:$H$92,3,0),"")</f>
        <v>120</v>
      </c>
      <c r="J14" s="376" t="s">
        <v>464</v>
      </c>
      <c r="K14" s="367">
        <f>IFERROR(INDEX(Parameter!$D$122:$M$122,1,MATCH(Process!$J14,Parameter!$D$121:$M$121,0)),"")</f>
        <v>2.7777777777777777</v>
      </c>
      <c r="L14" s="372">
        <f t="shared" si="1"/>
        <v>43.2</v>
      </c>
      <c r="M14" s="243"/>
      <c r="N14" s="372">
        <f t="shared" si="2"/>
        <v>43.2</v>
      </c>
      <c r="O14" s="373" t="s">
        <v>60</v>
      </c>
      <c r="P14" s="371">
        <f>N14*F14/3600/Parameter!$P$6/Parameter!$P$7</f>
        <v>6.5363435956635213E-2</v>
      </c>
      <c r="Q14" s="238"/>
      <c r="R14" s="238"/>
      <c r="S14" s="238"/>
      <c r="T14" s="238"/>
      <c r="U14" s="238"/>
      <c r="V14" s="238"/>
      <c r="W14" s="238"/>
      <c r="X14" s="459">
        <f>P14*Parameter!W$8</f>
        <v>6.3402532877936152E-2</v>
      </c>
      <c r="Y14" s="459">
        <f>X14*Parameter!X$8</f>
        <v>5.8462334321153123E-2</v>
      </c>
      <c r="Z14" s="459">
        <f>Y14*Parameter!Y$8</f>
        <v>5.5524278140183028E-2</v>
      </c>
      <c r="AA14" s="459">
        <f>Z14*Parameter!Z$8</f>
        <v>5.4315891825912066E-2</v>
      </c>
      <c r="AB14" s="514">
        <f>VLOOKUP(O14,Parameter!$O$11:$P$22,2,0)*Process!P14</f>
        <v>6592.2213622557183</v>
      </c>
      <c r="AC14" s="514">
        <f>VLOOKUP($O14,Parameter!$O$11:$P$22,2,0)*VLOOKUP($O14,Parameter!$O$11:$T$22,6,0)*X14</f>
        <v>6842.0665518852102</v>
      </c>
      <c r="AD14" s="514">
        <f>VLOOKUP($O14,Parameter!$O$11:$P$22,2,0)*VLOOKUP($O14,Parameter!$O$11:$T$22,6,0)^2*Y14</f>
        <v>6750.5726590160966</v>
      </c>
      <c r="AE14" s="514">
        <f>VLOOKUP($O14,Parameter!$O$11:$P$22,2,0)*VLOOKUP($O14,Parameter!$O$11:$T$22,6,0)^3*Z14</f>
        <v>6860.1113136589665</v>
      </c>
      <c r="AF14" s="514">
        <f>VLOOKUP($O14,Parameter!$O$11:$P$22,2,0)*VLOOKUP($O14,Parameter!$O$11:$T$22,6,0)^4*AA14</f>
        <v>7180.5702273457919</v>
      </c>
    </row>
    <row r="15" spans="1:35">
      <c r="A15" s="14">
        <f t="shared" si="0"/>
        <v>14</v>
      </c>
      <c r="B15" s="239" t="s">
        <v>438</v>
      </c>
      <c r="C15" s="239" t="s">
        <v>219</v>
      </c>
      <c r="D15" s="239" t="s">
        <v>63</v>
      </c>
      <c r="E15" s="239" t="s">
        <v>64</v>
      </c>
      <c r="F15" s="372">
        <f>F9-F12</f>
        <v>100.09050726204023</v>
      </c>
      <c r="G15" s="239" t="s">
        <v>218</v>
      </c>
      <c r="H15" s="373" t="s">
        <v>513</v>
      </c>
      <c r="I15" s="381">
        <f>IFERROR(VLOOKUP(H15,Parameter!$F$44:$H$92,3,0),"")</f>
        <v>0</v>
      </c>
      <c r="J15" s="376" t="s">
        <v>464</v>
      </c>
      <c r="K15" s="367">
        <f>IFERROR(INDEX(Parameter!$D$122:$M$122,1,MATCH(Process!$J15,Parameter!$D$121:$M$121,0)),"")</f>
        <v>2.7777777777777777</v>
      </c>
      <c r="L15" s="372">
        <f t="shared" si="1"/>
        <v>0</v>
      </c>
      <c r="M15" s="243">
        <v>5</v>
      </c>
      <c r="N15" s="382">
        <f t="shared" si="2"/>
        <v>5</v>
      </c>
      <c r="O15" s="373" t="s">
        <v>60</v>
      </c>
      <c r="P15" s="371">
        <f>N15*F15/3600/Parameter!$P$6/Parameter!$P$7</f>
        <v>2.0443322561691225E-2</v>
      </c>
      <c r="Q15" s="14"/>
      <c r="R15" s="14"/>
      <c r="S15" s="486"/>
      <c r="T15" s="14"/>
      <c r="U15" s="14"/>
      <c r="V15" s="14"/>
      <c r="W15" s="14"/>
      <c r="X15" s="459">
        <f>P15*Parameter!W$8</f>
        <v>1.9830022884840485E-2</v>
      </c>
      <c r="Y15" s="459">
        <f>X15*Parameter!X$8</f>
        <v>1.8284907161699483E-2</v>
      </c>
      <c r="Z15" s="459">
        <f>Y15*Parameter!Y$8</f>
        <v>1.7365989278438406E-2</v>
      </c>
      <c r="AA15" s="459">
        <f>Z15*Parameter!Z$8</f>
        <v>1.6988049672904758E-2</v>
      </c>
      <c r="AB15" s="514">
        <f>VLOOKUP(O15,Parameter!$O$11:$P$22,2,0)*Process!P15</f>
        <v>2061.8088038712513</v>
      </c>
      <c r="AC15" s="514">
        <f>VLOOKUP($O15,Parameter!$O$11:$P$22,2,0)*VLOOKUP($O15,Parameter!$O$11:$T$22,6,0)*X15</f>
        <v>2139.9513575379715</v>
      </c>
      <c r="AD15" s="514">
        <f>VLOOKUP($O15,Parameter!$O$11:$P$22,2,0)*VLOOKUP($O15,Parameter!$O$11:$T$22,6,0)^2*Y15</f>
        <v>2111.3353715976205</v>
      </c>
      <c r="AE15" s="514">
        <f>VLOOKUP($O15,Parameter!$O$11:$P$22,2,0)*VLOOKUP($O15,Parameter!$O$11:$T$22,6,0)^3*Z15</f>
        <v>2145.5951074432628</v>
      </c>
      <c r="AF15" s="514">
        <f>VLOOKUP($O15,Parameter!$O$11:$P$22,2,0)*VLOOKUP($O15,Parameter!$O$11:$T$22,6,0)^4*AA15</f>
        <v>2245.8230842071416</v>
      </c>
    </row>
    <row r="16" spans="1:35">
      <c r="A16" s="14">
        <f t="shared" si="0"/>
        <v>15</v>
      </c>
      <c r="B16" s="239" t="s">
        <v>438</v>
      </c>
      <c r="C16" s="239" t="s">
        <v>219</v>
      </c>
      <c r="D16" s="239" t="s">
        <v>63</v>
      </c>
      <c r="E16" s="239" t="s">
        <v>232</v>
      </c>
      <c r="F16" s="372">
        <f>F15</f>
        <v>100.09050726204023</v>
      </c>
      <c r="G16" s="239" t="s">
        <v>218</v>
      </c>
      <c r="H16" s="375" t="s">
        <v>471</v>
      </c>
      <c r="I16" s="381">
        <f>IFERROR(VLOOKUP(H16,Parameter!$F$44:$H$92,3,0),"")</f>
        <v>40</v>
      </c>
      <c r="J16" s="376" t="s">
        <v>464</v>
      </c>
      <c r="K16" s="367">
        <f>IFERROR(INDEX(Parameter!$D$122:$M$122,1,MATCH(Process!$J16,Parameter!$D$121:$M$121,0)),"")</f>
        <v>2.7777777777777777</v>
      </c>
      <c r="L16" s="372">
        <f t="shared" si="1"/>
        <v>14.4</v>
      </c>
      <c r="M16" s="243"/>
      <c r="N16" s="382">
        <f t="shared" si="2"/>
        <v>14.4</v>
      </c>
      <c r="O16" s="373" t="s">
        <v>60</v>
      </c>
      <c r="P16" s="371">
        <f>N16*F16/3600/Parameter!$P$6/Parameter!$P$7</f>
        <v>5.8876768977670725E-2</v>
      </c>
      <c r="Q16" s="14"/>
      <c r="R16" s="14"/>
      <c r="S16" s="486"/>
      <c r="T16" s="14"/>
      <c r="U16" s="14"/>
      <c r="V16" s="14"/>
      <c r="W16" s="14"/>
      <c r="X16" s="459">
        <f>P16*Parameter!W$8</f>
        <v>5.7110465908340596E-2</v>
      </c>
      <c r="Y16" s="459">
        <f>X16*Parameter!X$8</f>
        <v>5.2660532625694513E-2</v>
      </c>
      <c r="Z16" s="459">
        <f>Y16*Parameter!Y$8</f>
        <v>5.0014049121902604E-2</v>
      </c>
      <c r="AA16" s="459">
        <f>Z16*Parameter!Z$8</f>
        <v>4.8925583057965703E-2</v>
      </c>
      <c r="AB16" s="514">
        <f>VLOOKUP(O16,Parameter!$O$11:$P$22,2,0)*Process!P16</f>
        <v>5938.0093551492037</v>
      </c>
      <c r="AC16" s="514">
        <f>VLOOKUP($O16,Parameter!$O$11:$P$22,2,0)*VLOOKUP($O16,Parameter!$O$11:$T$22,6,0)*X16</f>
        <v>6163.0599097093582</v>
      </c>
      <c r="AD16" s="514">
        <f>VLOOKUP($O16,Parameter!$O$11:$P$22,2,0)*VLOOKUP($O16,Parameter!$O$11:$T$22,6,0)^2*Y16</f>
        <v>6080.6458702011469</v>
      </c>
      <c r="AE16" s="514">
        <f>VLOOKUP($O16,Parameter!$O$11:$P$22,2,0)*VLOOKUP($O16,Parameter!$O$11:$T$22,6,0)^3*Z16</f>
        <v>6179.313909436597</v>
      </c>
      <c r="AF16" s="514">
        <f>VLOOKUP($O16,Parameter!$O$11:$P$22,2,0)*VLOOKUP($O16,Parameter!$O$11:$T$22,6,0)^4*AA16</f>
        <v>6467.9704825165682</v>
      </c>
    </row>
    <row r="17" spans="1:32">
      <c r="A17" s="14">
        <f t="shared" si="0"/>
        <v>16</v>
      </c>
      <c r="B17" s="239" t="s">
        <v>438</v>
      </c>
      <c r="C17" s="239" t="s">
        <v>219</v>
      </c>
      <c r="D17" s="239" t="s">
        <v>220</v>
      </c>
      <c r="E17" s="239" t="s">
        <v>221</v>
      </c>
      <c r="F17" s="372">
        <f>Parameter!T38</f>
        <v>68.56489381873341</v>
      </c>
      <c r="G17" s="239" t="s">
        <v>218</v>
      </c>
      <c r="H17" s="373" t="s">
        <v>513</v>
      </c>
      <c r="I17" s="381">
        <f>IFERROR(VLOOKUP(H17,Parameter!$F$44:$H$92,3,0),"")</f>
        <v>0</v>
      </c>
      <c r="J17" s="376" t="s">
        <v>455</v>
      </c>
      <c r="K17" s="367">
        <f>IFERROR(INDEX(Parameter!$D$122:$M$122,1,MATCH(Process!$J17,Parameter!$D$121:$M$121,0)),"")</f>
        <v>1.2</v>
      </c>
      <c r="L17" s="372">
        <f t="shared" si="1"/>
        <v>0</v>
      </c>
      <c r="M17" s="243">
        <v>60</v>
      </c>
      <c r="N17" s="382">
        <f t="shared" si="2"/>
        <v>60</v>
      </c>
      <c r="O17" s="373" t="s">
        <v>53</v>
      </c>
      <c r="P17" s="371">
        <f>N17*F17/3600/Parameter!$P$6/Parameter!$P$7</f>
        <v>0.16805121034003287</v>
      </c>
      <c r="Q17" s="14"/>
      <c r="R17" s="14"/>
      <c r="S17" s="486"/>
      <c r="T17" s="14"/>
      <c r="U17" s="14"/>
      <c r="V17" s="14"/>
      <c r="W17" s="14"/>
      <c r="X17" s="459">
        <f>P17*Parameter!W$8</f>
        <v>0.16300967402983185</v>
      </c>
      <c r="Y17" s="459">
        <f>X17*Parameter!X$8</f>
        <v>0.1503082862487754</v>
      </c>
      <c r="Z17" s="459">
        <f>Y17*Parameter!Y$8</f>
        <v>0.1427544621568686</v>
      </c>
      <c r="AA17" s="459">
        <f>Z17*Parameter!Z$8</f>
        <v>0.13964766736097856</v>
      </c>
      <c r="AB17" s="514">
        <f>VLOOKUP(O17,Parameter!$O$11:$P$22,2,0)*Process!P17</f>
        <v>14123.986937328311</v>
      </c>
      <c r="AC17" s="514">
        <f>VLOOKUP($O17,Parameter!$O$11:$P$22,2,0)*VLOOKUP($O17,Parameter!$O$11:$T$22,6,0)*X17</f>
        <v>14659.28604225305</v>
      </c>
      <c r="AD17" s="514">
        <f>VLOOKUP($O17,Parameter!$O$11:$P$22,2,0)*VLOOKUP($O17,Parameter!$O$11:$T$22,6,0)^2*Y17</f>
        <v>14463.258257881673</v>
      </c>
      <c r="AE17" s="514">
        <f>VLOOKUP($O17,Parameter!$O$11:$P$22,2,0)*VLOOKUP($O17,Parameter!$O$11:$T$22,6,0)^3*Z17</f>
        <v>14697.947362250432</v>
      </c>
      <c r="AF17" s="514">
        <f>VLOOKUP($O17,Parameter!$O$11:$P$22,2,0)*VLOOKUP($O17,Parameter!$O$11:$T$22,6,0)^4*AA17</f>
        <v>15384.53800630526</v>
      </c>
    </row>
    <row r="18" spans="1:32">
      <c r="A18" s="14">
        <f t="shared" si="0"/>
        <v>17</v>
      </c>
      <c r="B18" s="239" t="s">
        <v>438</v>
      </c>
      <c r="C18" s="239" t="s">
        <v>62</v>
      </c>
      <c r="D18" s="239" t="s">
        <v>63</v>
      </c>
      <c r="E18" s="239" t="s">
        <v>224</v>
      </c>
      <c r="F18" s="372">
        <f>F17*Parameter!R40*Parameter!R39</f>
        <v>10211.032640948048</v>
      </c>
      <c r="G18" s="239" t="s">
        <v>525</v>
      </c>
      <c r="H18" s="373" t="s">
        <v>513</v>
      </c>
      <c r="I18" s="381">
        <f>IFERROR(VLOOKUP(H18,Parameter!$F$44:$H$92,3,0),"")</f>
        <v>0</v>
      </c>
      <c r="J18" s="376" t="s">
        <v>455</v>
      </c>
      <c r="K18" s="367">
        <f>IFERROR(INDEX(Parameter!$D$122:$M$122,1,MATCH(Process!$J18,Parameter!$D$121:$M$121,0)),"")</f>
        <v>1.2</v>
      </c>
      <c r="L18" s="372">
        <f t="shared" si="1"/>
        <v>0</v>
      </c>
      <c r="M18" s="243">
        <v>2</v>
      </c>
      <c r="N18" s="382">
        <f t="shared" si="2"/>
        <v>2</v>
      </c>
      <c r="O18" s="373" t="s">
        <v>53</v>
      </c>
      <c r="P18" s="371">
        <f>N18*F18/3600/Parameter!$P$6/Parameter!$P$7</f>
        <v>0.83423469288791241</v>
      </c>
      <c r="Q18" s="14"/>
      <c r="R18" s="14"/>
      <c r="S18" s="486"/>
      <c r="T18" s="14"/>
      <c r="U18" s="14"/>
      <c r="V18" s="14"/>
      <c r="W18" s="14"/>
      <c r="X18" s="459">
        <f>P18*Parameter!W$8</f>
        <v>0.80920765210127488</v>
      </c>
      <c r="Y18" s="459">
        <f>X18*Parameter!X$8</f>
        <v>0.74615581026484767</v>
      </c>
      <c r="Z18" s="459">
        <f>Y18*Parameter!Y$8</f>
        <v>0.70865734709585004</v>
      </c>
      <c r="AA18" s="459">
        <f>Z18*Parameter!Z$8</f>
        <v>0.693234691125858</v>
      </c>
      <c r="AB18" s="514">
        <f>VLOOKUP(O18,Parameter!$O$11:$P$22,2,0)*Process!P18</f>
        <v>70113.865179393542</v>
      </c>
      <c r="AC18" s="514">
        <f>VLOOKUP($O18,Parameter!$O$11:$P$22,2,0)*VLOOKUP($O18,Parameter!$O$11:$T$22,6,0)*X18</f>
        <v>72771.180669692534</v>
      </c>
      <c r="AD18" s="514">
        <f>VLOOKUP($O18,Parameter!$O$11:$P$22,2,0)*VLOOKUP($O18,Parameter!$O$11:$T$22,6,0)^2*Y18</f>
        <v>71798.06552127043</v>
      </c>
      <c r="AE18" s="514">
        <f>VLOOKUP($O18,Parameter!$O$11:$P$22,2,0)*VLOOKUP($O18,Parameter!$O$11:$T$22,6,0)^3*Z18</f>
        <v>72963.102015271637</v>
      </c>
      <c r="AF18" s="514">
        <f>VLOOKUP($O18,Parameter!$O$11:$P$22,2,0)*VLOOKUP($O18,Parameter!$O$11:$T$22,6,0)^4*AA18</f>
        <v>76371.454349800144</v>
      </c>
    </row>
    <row r="19" spans="1:32">
      <c r="A19" s="14">
        <f t="shared" si="0"/>
        <v>18</v>
      </c>
      <c r="B19" s="239" t="s">
        <v>438</v>
      </c>
      <c r="C19" s="239" t="s">
        <v>219</v>
      </c>
      <c r="D19" s="239" t="s">
        <v>220</v>
      </c>
      <c r="E19" s="239" t="s">
        <v>70</v>
      </c>
      <c r="F19" s="372">
        <f>F17*Parameter!R40+(F15-F17)*1</f>
        <v>703.74632713310586</v>
      </c>
      <c r="G19" s="239" t="s">
        <v>218</v>
      </c>
      <c r="H19" s="373" t="s">
        <v>513</v>
      </c>
      <c r="I19" s="381">
        <f>IFERROR(VLOOKUP(H19,Parameter!$F$44:$H$92,3,0),"")</f>
        <v>0</v>
      </c>
      <c r="J19" s="376" t="s">
        <v>455</v>
      </c>
      <c r="K19" s="367">
        <f>IFERROR(INDEX(Parameter!$D$122:$M$122,1,MATCH(Process!$J19,Parameter!$D$121:$M$121,0)),"")</f>
        <v>1.2</v>
      </c>
      <c r="L19" s="372">
        <f t="shared" si="1"/>
        <v>0</v>
      </c>
      <c r="M19" s="243">
        <v>5</v>
      </c>
      <c r="N19" s="382">
        <f t="shared" si="2"/>
        <v>5</v>
      </c>
      <c r="O19" s="373" t="s">
        <v>53</v>
      </c>
      <c r="P19" s="371">
        <f>N19*F19/3600/Parameter!$P$6/Parameter!$P$7</f>
        <v>0.14373903740463764</v>
      </c>
      <c r="Q19" s="14"/>
      <c r="R19" s="14"/>
      <c r="S19" s="486"/>
      <c r="T19" s="14"/>
      <c r="U19" s="14"/>
      <c r="V19" s="14"/>
      <c r="W19" s="14"/>
      <c r="X19" s="459">
        <f>P19*Parameter!W$8</f>
        <v>0.13942686628249851</v>
      </c>
      <c r="Y19" s="459">
        <f>X19*Parameter!X$8</f>
        <v>0.12856300371549878</v>
      </c>
      <c r="Z19" s="459">
        <f>Y19*Parameter!Y$8</f>
        <v>0.12210200053975435</v>
      </c>
      <c r="AA19" s="459">
        <f>Z19*Parameter!Z$8</f>
        <v>0.11944466952457515</v>
      </c>
      <c r="AB19" s="514">
        <f>VLOOKUP(O19,Parameter!$O$11:$P$22,2,0)*Process!P19</f>
        <v>12080.652573578189</v>
      </c>
      <c r="AC19" s="514">
        <f>VLOOKUP($O19,Parameter!$O$11:$P$22,2,0)*VLOOKUP($O19,Parameter!$O$11:$T$22,6,0)*X19</f>
        <v>12538.509306116801</v>
      </c>
      <c r="AD19" s="514">
        <f>VLOOKUP($O19,Parameter!$O$11:$P$22,2,0)*VLOOKUP($O19,Parameter!$O$11:$T$22,6,0)^2*Y19</f>
        <v>12370.841099662988</v>
      </c>
      <c r="AE19" s="514">
        <f>VLOOKUP($O19,Parameter!$O$11:$P$22,2,0)*VLOOKUP($O19,Parameter!$O$11:$T$22,6,0)^3*Z19</f>
        <v>12571.577445941393</v>
      </c>
      <c r="AF19" s="514">
        <f>VLOOKUP($O19,Parameter!$O$11:$P$22,2,0)*VLOOKUP($O19,Parameter!$O$11:$T$22,6,0)^4*AA19</f>
        <v>13158.838186686926</v>
      </c>
    </row>
    <row r="20" spans="1:32">
      <c r="A20" s="14">
        <f t="shared" si="0"/>
        <v>19</v>
      </c>
      <c r="B20" s="239" t="s">
        <v>438</v>
      </c>
      <c r="C20" s="14" t="s">
        <v>219</v>
      </c>
      <c r="D20" s="14" t="s">
        <v>66</v>
      </c>
      <c r="E20" s="14" t="s">
        <v>66</v>
      </c>
      <c r="F20" s="372">
        <f>Parameter!R28*Parameter!R41</f>
        <v>0</v>
      </c>
      <c r="G20" s="239" t="s">
        <v>228</v>
      </c>
      <c r="H20" s="373" t="s">
        <v>513</v>
      </c>
      <c r="I20" s="381">
        <f>IFERROR(VLOOKUP(H20,Parameter!$F$44:$H$92,3,0),"")</f>
        <v>0</v>
      </c>
      <c r="J20" s="376" t="s">
        <v>455</v>
      </c>
      <c r="K20" s="367">
        <f>IFERROR(INDEX(Parameter!$D$122:$M$122,1,MATCH(Process!$J20,Parameter!$D$121:$M$121,0)),"")</f>
        <v>1.2</v>
      </c>
      <c r="L20" s="372">
        <f>IFERROR(I20/K20,0)</f>
        <v>0</v>
      </c>
      <c r="M20" s="243">
        <v>10</v>
      </c>
      <c r="N20" s="382">
        <f>L20+M20</f>
        <v>10</v>
      </c>
      <c r="O20" s="373" t="s">
        <v>53</v>
      </c>
      <c r="P20" s="371">
        <f>N20*F20/3600/Parameter!$P$6/Parameter!$P$7</f>
        <v>0</v>
      </c>
      <c r="Q20" s="14"/>
      <c r="R20" s="14"/>
      <c r="S20" s="486"/>
      <c r="T20" s="14"/>
      <c r="U20" s="14"/>
      <c r="V20" s="14"/>
      <c r="W20" s="14"/>
      <c r="X20" s="459">
        <f>P20*Parameter!W$8</f>
        <v>0</v>
      </c>
      <c r="Y20" s="459">
        <f>X20*Parameter!X$8</f>
        <v>0</v>
      </c>
      <c r="Z20" s="459">
        <f>Y20*Parameter!Y$8</f>
        <v>0</v>
      </c>
      <c r="AA20" s="459">
        <f>Z20*Parameter!Z$8</f>
        <v>0</v>
      </c>
      <c r="AB20" s="514">
        <f>VLOOKUP(O20,Parameter!$O$11:$P$22,2,0)*Process!P20</f>
        <v>0</v>
      </c>
      <c r="AC20" s="514">
        <f>VLOOKUP($O20,Parameter!$O$11:$P$22,2,0)*VLOOKUP($O20,Parameter!$O$11:$T$22,6,0)*X20</f>
        <v>0</v>
      </c>
      <c r="AD20" s="514">
        <f>VLOOKUP($O20,Parameter!$O$11:$P$22,2,0)*VLOOKUP($O20,Parameter!$O$11:$T$22,6,0)^2*Y20</f>
        <v>0</v>
      </c>
      <c r="AE20" s="514">
        <f>VLOOKUP($O20,Parameter!$O$11:$P$22,2,0)*VLOOKUP($O20,Parameter!$O$11:$T$22,6,0)^3*Z20</f>
        <v>0</v>
      </c>
      <c r="AF20" s="514">
        <f>VLOOKUP($O20,Parameter!$O$11:$P$22,2,0)*VLOOKUP($O20,Parameter!$O$11:$T$22,6,0)^4*AA20</f>
        <v>0</v>
      </c>
    </row>
    <row r="21" spans="1:32">
      <c r="A21" s="14">
        <f t="shared" si="0"/>
        <v>20</v>
      </c>
      <c r="B21" s="239" t="s">
        <v>438</v>
      </c>
      <c r="C21" s="239" t="s">
        <v>219</v>
      </c>
      <c r="D21" s="239" t="s">
        <v>220</v>
      </c>
      <c r="E21" s="239" t="s">
        <v>225</v>
      </c>
      <c r="F21" s="372">
        <f>F15</f>
        <v>100.09050726204023</v>
      </c>
      <c r="G21" s="239" t="s">
        <v>227</v>
      </c>
      <c r="H21" s="373" t="s">
        <v>513</v>
      </c>
      <c r="I21" s="381">
        <f>IFERROR(VLOOKUP(H21,Parameter!$F$44:$H$92,3,0),"")</f>
        <v>0</v>
      </c>
      <c r="J21" s="376" t="s">
        <v>455</v>
      </c>
      <c r="K21" s="367">
        <f>IFERROR(INDEX(Parameter!$D$122:$M$122,1,MATCH(Process!$J21,Parameter!$D$121:$M$121,0)),"")</f>
        <v>1.2</v>
      </c>
      <c r="L21" s="372">
        <f t="shared" si="1"/>
        <v>0</v>
      </c>
      <c r="M21" s="243">
        <v>5</v>
      </c>
      <c r="N21" s="382">
        <f t="shared" si="2"/>
        <v>5</v>
      </c>
      <c r="O21" s="373" t="s">
        <v>53</v>
      </c>
      <c r="P21" s="371">
        <f>N21*F21/3600/Parameter!$P$6/Parameter!$P$7</f>
        <v>2.0443322561691225E-2</v>
      </c>
      <c r="Q21" s="14"/>
      <c r="R21" s="14"/>
      <c r="S21" s="486"/>
      <c r="T21" s="14"/>
      <c r="U21" s="14"/>
      <c r="V21" s="14"/>
      <c r="W21" s="14"/>
      <c r="X21" s="459">
        <f>P21*Parameter!W$8</f>
        <v>1.9830022884840485E-2</v>
      </c>
      <c r="Y21" s="459">
        <f>X21*Parameter!X$8</f>
        <v>1.8284907161699483E-2</v>
      </c>
      <c r="Z21" s="459">
        <f>Y21*Parameter!Y$8</f>
        <v>1.7365989278438406E-2</v>
      </c>
      <c r="AA21" s="459">
        <f>Z21*Parameter!Z$8</f>
        <v>1.6988049672904758E-2</v>
      </c>
      <c r="AB21" s="514">
        <f>VLOOKUP(O21,Parameter!$O$11:$P$22,2,0)*Process!P21</f>
        <v>1718.1740032260427</v>
      </c>
      <c r="AC21" s="514">
        <f>VLOOKUP($O21,Parameter!$O$11:$P$22,2,0)*VLOOKUP($O21,Parameter!$O$11:$T$22,6,0)*X21</f>
        <v>1783.2927979483093</v>
      </c>
      <c r="AD21" s="514">
        <f>VLOOKUP($O21,Parameter!$O$11:$P$22,2,0)*VLOOKUP($O21,Parameter!$O$11:$T$22,6,0)^2*Y21</f>
        <v>1759.4461429980172</v>
      </c>
      <c r="AE21" s="514">
        <f>VLOOKUP($O21,Parameter!$O$11:$P$22,2,0)*VLOOKUP($O21,Parameter!$O$11:$T$22,6,0)^3*Z21</f>
        <v>1787.9959228693856</v>
      </c>
      <c r="AF21" s="514">
        <f>VLOOKUP($O21,Parameter!$O$11:$P$22,2,0)*VLOOKUP($O21,Parameter!$O$11:$T$22,6,0)^4*AA21</f>
        <v>1871.5192368392848</v>
      </c>
    </row>
    <row r="22" spans="1:32">
      <c r="A22" s="14">
        <f t="shared" si="0"/>
        <v>21</v>
      </c>
      <c r="B22" s="239" t="s">
        <v>438</v>
      </c>
      <c r="C22" s="239" t="s">
        <v>219</v>
      </c>
      <c r="D22" s="239" t="s">
        <v>220</v>
      </c>
      <c r="E22" s="239" t="s">
        <v>226</v>
      </c>
      <c r="F22" s="372">
        <f>F15</f>
        <v>100.09050726204023</v>
      </c>
      <c r="G22" s="239" t="s">
        <v>227</v>
      </c>
      <c r="H22" s="373" t="s">
        <v>513</v>
      </c>
      <c r="I22" s="381">
        <f>IFERROR(VLOOKUP(H22,Parameter!$F$44:$H$92,3,0),"")</f>
        <v>0</v>
      </c>
      <c r="J22" s="376" t="s">
        <v>455</v>
      </c>
      <c r="K22" s="367">
        <f>IFERROR(INDEX(Parameter!$D$122:$M$122,1,MATCH(Process!$J22,Parameter!$D$121:$M$121,0)),"")</f>
        <v>1.2</v>
      </c>
      <c r="L22" s="372">
        <f t="shared" si="1"/>
        <v>0</v>
      </c>
      <c r="M22" s="243">
        <v>60</v>
      </c>
      <c r="N22" s="382">
        <f t="shared" si="2"/>
        <v>60</v>
      </c>
      <c r="O22" s="373" t="s">
        <v>217</v>
      </c>
      <c r="P22" s="371">
        <f>N22*F22/3600/Parameter!$P$6/Parameter!$P$7</f>
        <v>0.24531987074029471</v>
      </c>
      <c r="Q22" s="14"/>
      <c r="R22" s="14"/>
      <c r="S22" s="486"/>
      <c r="T22" s="14"/>
      <c r="U22" s="14"/>
      <c r="V22" s="14"/>
      <c r="W22" s="14"/>
      <c r="X22" s="459">
        <f>P22*Parameter!W$8</f>
        <v>0.23796027461808583</v>
      </c>
      <c r="Y22" s="459">
        <f>X22*Parameter!X$8</f>
        <v>0.2194188859403938</v>
      </c>
      <c r="Z22" s="459">
        <f>Y22*Parameter!Y$8</f>
        <v>0.20839187134126086</v>
      </c>
      <c r="AA22" s="459">
        <f>Z22*Parameter!Z$8</f>
        <v>0.20385659607485709</v>
      </c>
      <c r="AB22" s="514">
        <f>VLOOKUP(O22,Parameter!$O$11:$P$22,2,0)*Process!P22</f>
        <v>30927.132058068772</v>
      </c>
      <c r="AC22" s="514">
        <f>VLOOKUP($O22,Parameter!$O$11:$P$22,2,0)*VLOOKUP($O22,Parameter!$O$11:$T$22,6,0)*X22</f>
        <v>32099.270363069576</v>
      </c>
      <c r="AD22" s="514">
        <f>VLOOKUP($O22,Parameter!$O$11:$P$22,2,0)*VLOOKUP($O22,Parameter!$O$11:$T$22,6,0)^2*Y22</f>
        <v>31670.030573964308</v>
      </c>
      <c r="AE22" s="514">
        <f>VLOOKUP($O22,Parameter!$O$11:$P$22,2,0)*VLOOKUP($O22,Parameter!$O$11:$T$22,6,0)^3*Z22</f>
        <v>32183.926611648942</v>
      </c>
      <c r="AF22" s="514">
        <f>VLOOKUP($O22,Parameter!$O$11:$P$22,2,0)*VLOOKUP($O22,Parameter!$O$11:$T$22,6,0)^4*AA22</f>
        <v>33687.346263107131</v>
      </c>
    </row>
    <row r="23" spans="1:32">
      <c r="A23" s="14">
        <f t="shared" si="0"/>
        <v>22</v>
      </c>
      <c r="B23" s="239" t="s">
        <v>438</v>
      </c>
      <c r="C23" s="14" t="s">
        <v>62</v>
      </c>
      <c r="D23" s="14" t="s">
        <v>63</v>
      </c>
      <c r="E23" s="14" t="s">
        <v>65</v>
      </c>
      <c r="F23" s="372">
        <f>Volume!B85/Parameter!P4</f>
        <v>6746.2525597269623</v>
      </c>
      <c r="G23" s="239" t="s">
        <v>525</v>
      </c>
      <c r="H23" s="373" t="s">
        <v>513</v>
      </c>
      <c r="I23" s="381">
        <f>IFERROR(VLOOKUP(H23,Parameter!$F$44:$H$92,3,0),"")</f>
        <v>0</v>
      </c>
      <c r="J23" s="376" t="s">
        <v>455</v>
      </c>
      <c r="K23" s="367">
        <f>IFERROR(INDEX(Parameter!$D$122:$M$122,1,MATCH(Process!$J23,Parameter!$D$121:$M$121,0)),"")</f>
        <v>1.2</v>
      </c>
      <c r="L23" s="372">
        <f t="shared" si="1"/>
        <v>0</v>
      </c>
      <c r="M23" s="243">
        <v>3</v>
      </c>
      <c r="N23" s="382">
        <f t="shared" si="2"/>
        <v>3</v>
      </c>
      <c r="O23" s="373" t="s">
        <v>453</v>
      </c>
      <c r="P23" s="371">
        <f>N23*F23/3600/Parameter!$P$6/Parameter!$P$7</f>
        <v>0.82674663722144137</v>
      </c>
      <c r="Q23" s="14"/>
      <c r="R23" s="14"/>
      <c r="S23" s="486"/>
      <c r="T23" s="14"/>
      <c r="U23" s="14"/>
      <c r="V23" s="14"/>
      <c r="W23" s="14"/>
      <c r="X23" s="459">
        <f>P23*Parameter!W$8</f>
        <v>0.80194423810479798</v>
      </c>
      <c r="Y23" s="459">
        <f>X23*Parameter!X$8</f>
        <v>0.73945834696014834</v>
      </c>
      <c r="Z23" s="459">
        <f>Y23*Parameter!Y$8</f>
        <v>0.70229646842615856</v>
      </c>
      <c r="AA23" s="459">
        <f>Z23*Parameter!Z$8</f>
        <v>0.68701224557026819</v>
      </c>
      <c r="AB23" s="514">
        <f>VLOOKUP(O23,Parameter!$O$11:$P$22,2,0)*Process!P23</f>
        <v>69484.526061839861</v>
      </c>
      <c r="AC23" s="514">
        <f>VLOOKUP($O23,Parameter!$O$11:$P$22,2,0)*VLOOKUP($O23,Parameter!$O$11:$T$22,6,0)*X23</f>
        <v>72117.989599583569</v>
      </c>
      <c r="AD23" s="514">
        <f>VLOOKUP($O23,Parameter!$O$11:$P$22,2,0)*VLOOKUP($O23,Parameter!$O$11:$T$22,6,0)^2*Y23</f>
        <v>71153.609091980659</v>
      </c>
      <c r="AE23" s="514">
        <f>VLOOKUP($O23,Parameter!$O$11:$P$22,2,0)*VLOOKUP($O23,Parameter!$O$11:$T$22,6,0)^3*Z23</f>
        <v>72308.188267202233</v>
      </c>
      <c r="AF23" s="514">
        <f>VLOOKUP($O23,Parameter!$O$11:$P$22,2,0)*VLOOKUP($O23,Parameter!$O$11:$T$22,6,0)^4*AA23</f>
        <v>75685.9473739143</v>
      </c>
    </row>
    <row r="24" spans="1:32">
      <c r="A24" s="14">
        <f t="shared" si="0"/>
        <v>23</v>
      </c>
      <c r="B24" s="239" t="s">
        <v>650</v>
      </c>
      <c r="C24" s="14" t="s">
        <v>651</v>
      </c>
      <c r="D24" s="14" t="s">
        <v>655</v>
      </c>
      <c r="E24" s="14" t="s">
        <v>656</v>
      </c>
      <c r="F24" s="372">
        <f>Volume!B10/Parameter!P4*Parameter!R42*(1-Volume!J26)</f>
        <v>83.047235494880539</v>
      </c>
      <c r="G24" s="239" t="s">
        <v>525</v>
      </c>
      <c r="H24" s="373" t="s">
        <v>513</v>
      </c>
      <c r="I24" s="381">
        <f>IFERROR(VLOOKUP(H24,Parameter!$F$44:$H$92,3,0),"")</f>
        <v>0</v>
      </c>
      <c r="J24" s="376" t="s">
        <v>455</v>
      </c>
      <c r="K24" s="367">
        <f>IFERROR(INDEX(Parameter!$D$122:$M$122,1,MATCH(Process!$J24,Parameter!$D$121:$M$121,0)),"")</f>
        <v>1.2</v>
      </c>
      <c r="L24" s="372">
        <f t="shared" ref="L24:L26" si="6">IFERROR(I24/K24,0)</f>
        <v>0</v>
      </c>
      <c r="M24" s="243">
        <v>180</v>
      </c>
      <c r="N24" s="382">
        <f t="shared" ref="N24:N26" si="7">L24+M24</f>
        <v>180</v>
      </c>
      <c r="O24" s="373" t="s">
        <v>450</v>
      </c>
      <c r="P24" s="371">
        <f>N24*F24/3600/Parameter!$P$6/Parameter!$P$7</f>
        <v>0.610641437462357</v>
      </c>
      <c r="Q24" s="487"/>
      <c r="R24" s="14"/>
      <c r="S24" s="486"/>
      <c r="T24" s="14"/>
      <c r="U24" s="14"/>
      <c r="V24" s="14"/>
      <c r="W24" s="14"/>
      <c r="X24" s="459">
        <f>P24*Parameter!W$8</f>
        <v>0.59232219433848621</v>
      </c>
      <c r="Y24" s="459">
        <f>X24*Parameter!X$8</f>
        <v>0.54616963360002002</v>
      </c>
      <c r="Z24" s="459">
        <f>Y24*Parameter!Y$8</f>
        <v>0.51872158373184873</v>
      </c>
      <c r="AA24" s="459">
        <f>Z24*Parameter!Z$8</f>
        <v>0.50743253894470186</v>
      </c>
      <c r="AB24" s="514">
        <f>VLOOKUP(O24,Parameter!$O$11:$P$22,2,0)*Process!P24</f>
        <v>76982.709633497536</v>
      </c>
      <c r="AC24" s="514">
        <f>VLOOKUP($O24,Parameter!$O$11:$P$22,2,0)*VLOOKUP($O24,Parameter!$O$11:$T$22,6,0)*X24</f>
        <v>79900.354328607093</v>
      </c>
      <c r="AD24" s="514">
        <f>VLOOKUP($O24,Parameter!$O$11:$P$22,2,0)*VLOOKUP($O24,Parameter!$O$11:$T$22,6,0)^2*Y24</f>
        <v>78831.906016432826</v>
      </c>
      <c r="AE24" s="514">
        <f>VLOOKUP($O24,Parameter!$O$11:$P$22,2,0)*VLOOKUP($O24,Parameter!$O$11:$T$22,6,0)^3*Z24</f>
        <v>80111.077631072068</v>
      </c>
      <c r="AF24" s="514">
        <f>VLOOKUP($O24,Parameter!$O$11:$P$22,2,0)*VLOOKUP($O24,Parameter!$O$11:$T$22,6,0)^4*AA24</f>
        <v>83853.335990760621</v>
      </c>
    </row>
    <row r="25" spans="1:32">
      <c r="A25" s="14">
        <f t="shared" si="0"/>
        <v>24</v>
      </c>
      <c r="B25" s="239" t="s">
        <v>650</v>
      </c>
      <c r="C25" s="14" t="s">
        <v>651</v>
      </c>
      <c r="D25" s="14" t="s">
        <v>655</v>
      </c>
      <c r="E25" s="14" t="s">
        <v>657</v>
      </c>
      <c r="F25" s="372">
        <f>F24</f>
        <v>83.047235494880539</v>
      </c>
      <c r="G25" s="239" t="str">
        <f>G24</f>
        <v>Piece</v>
      </c>
      <c r="H25" s="373" t="s">
        <v>513</v>
      </c>
      <c r="I25" s="381">
        <f>IFERROR(VLOOKUP(H25,Parameter!$F$44:$H$92,3,0),"")</f>
        <v>0</v>
      </c>
      <c r="J25" s="376" t="s">
        <v>455</v>
      </c>
      <c r="K25" s="367">
        <f>IFERROR(INDEX(Parameter!$D$122:$M$122,1,MATCH(Process!$J25,Parameter!$D$121:$M$121,0)),"")</f>
        <v>1.2</v>
      </c>
      <c r="L25" s="372">
        <f t="shared" si="6"/>
        <v>0</v>
      </c>
      <c r="M25" s="243">
        <f>3600/40</f>
        <v>90</v>
      </c>
      <c r="N25" s="382">
        <f t="shared" si="7"/>
        <v>90</v>
      </c>
      <c r="O25" s="373" t="s">
        <v>450</v>
      </c>
      <c r="P25" s="371">
        <f>N25*F25/3600/Parameter!$P$6/Parameter!$P$7</f>
        <v>0.3053207187311785</v>
      </c>
      <c r="Q25" s="487"/>
      <c r="R25" s="14"/>
      <c r="S25" s="486"/>
      <c r="T25" s="14"/>
      <c r="U25" s="14"/>
      <c r="V25" s="14"/>
      <c r="W25" s="14"/>
      <c r="X25" s="459">
        <f>P25*Parameter!W$8</f>
        <v>0.2961610971692431</v>
      </c>
      <c r="Y25" s="459">
        <f>X25*Parameter!X$8</f>
        <v>0.27308481680001001</v>
      </c>
      <c r="Z25" s="459">
        <f>Y25*Parameter!Y$8</f>
        <v>0.25936079186592437</v>
      </c>
      <c r="AA25" s="459">
        <f>Z25*Parameter!Z$8</f>
        <v>0.25371626947235093</v>
      </c>
      <c r="AB25" s="514">
        <f>VLOOKUP(O25,Parameter!$O$11:$P$22,2,0)*Process!P25</f>
        <v>38491.354816748768</v>
      </c>
      <c r="AC25" s="514">
        <f>VLOOKUP($O25,Parameter!$O$11:$P$22,2,0)*VLOOKUP($O25,Parameter!$O$11:$T$22,6,0)*X25</f>
        <v>39950.177164303546</v>
      </c>
      <c r="AD25" s="514">
        <f>VLOOKUP($O25,Parameter!$O$11:$P$22,2,0)*VLOOKUP($O25,Parameter!$O$11:$T$22,6,0)^2*Y25</f>
        <v>39415.953008216413</v>
      </c>
      <c r="AE25" s="514">
        <f>VLOOKUP($O25,Parameter!$O$11:$P$22,2,0)*VLOOKUP($O25,Parameter!$O$11:$T$22,6,0)^3*Z25</f>
        <v>40055.538815536034</v>
      </c>
      <c r="AF25" s="514">
        <f>VLOOKUP($O25,Parameter!$O$11:$P$22,2,0)*VLOOKUP($O25,Parameter!$O$11:$T$22,6,0)^4*AA25</f>
        <v>41926.66799538031</v>
      </c>
    </row>
    <row r="26" spans="1:32">
      <c r="A26" s="14">
        <f t="shared" si="0"/>
        <v>25</v>
      </c>
      <c r="B26" s="239" t="s">
        <v>650</v>
      </c>
      <c r="C26" s="14" t="s">
        <v>651</v>
      </c>
      <c r="D26" s="14" t="s">
        <v>655</v>
      </c>
      <c r="E26" s="14" t="s">
        <v>658</v>
      </c>
      <c r="F26" s="372">
        <f>Volume!B10/Parameter!P4*(1-Volume!J26)</f>
        <v>41.523617747440269</v>
      </c>
      <c r="G26" s="239" t="s">
        <v>228</v>
      </c>
      <c r="H26" s="373" t="s">
        <v>513</v>
      </c>
      <c r="I26" s="381">
        <f>IFERROR(VLOOKUP(H26,Parameter!$F$44:$H$92,3,0),"")</f>
        <v>0</v>
      </c>
      <c r="J26" s="376" t="s">
        <v>455</v>
      </c>
      <c r="K26" s="367">
        <f>IFERROR(INDEX(Parameter!$D$122:$M$122,1,MATCH(Process!$J26,Parameter!$D$121:$M$121,0)),"")</f>
        <v>1.2</v>
      </c>
      <c r="L26" s="372">
        <f t="shared" si="6"/>
        <v>0</v>
      </c>
      <c r="M26" s="243">
        <v>300</v>
      </c>
      <c r="N26" s="382">
        <f t="shared" si="7"/>
        <v>300</v>
      </c>
      <c r="O26" s="373" t="s">
        <v>450</v>
      </c>
      <c r="P26" s="371">
        <f>N26*F26/3600/Parameter!$P$6/Parameter!$P$7</f>
        <v>0.50886786455196409</v>
      </c>
      <c r="Q26" s="487"/>
      <c r="R26" s="14"/>
      <c r="S26" s="486"/>
      <c r="T26" s="14"/>
      <c r="U26" s="14"/>
      <c r="V26" s="14"/>
      <c r="W26" s="14"/>
      <c r="X26" s="459">
        <f>P26*Parameter!W$8</f>
        <v>0.49360182861540508</v>
      </c>
      <c r="Y26" s="459">
        <f>X26*Parameter!X$8</f>
        <v>0.45514136133334993</v>
      </c>
      <c r="Z26" s="459">
        <f>Y26*Parameter!Y$8</f>
        <v>0.43226798644320719</v>
      </c>
      <c r="AA26" s="459">
        <f>Z26*Parameter!Z$8</f>
        <v>0.42286044912058479</v>
      </c>
      <c r="AB26" s="514">
        <f>VLOOKUP(O26,Parameter!$O$11:$P$22,2,0)*Process!P26</f>
        <v>64152.258027914606</v>
      </c>
      <c r="AC26" s="514">
        <f>VLOOKUP($O26,Parameter!$O$11:$P$22,2,0)*VLOOKUP($O26,Parameter!$O$11:$T$22,6,0)*X26</f>
        <v>66583.628607172577</v>
      </c>
      <c r="AD26" s="514">
        <f>VLOOKUP($O26,Parameter!$O$11:$P$22,2,0)*VLOOKUP($O26,Parameter!$O$11:$T$22,6,0)^2*Y26</f>
        <v>65693.255013694012</v>
      </c>
      <c r="AE26" s="514">
        <f>VLOOKUP($O26,Parameter!$O$11:$P$22,2,0)*VLOOKUP($O26,Parameter!$O$11:$T$22,6,0)^3*Z26</f>
        <v>66759.231359226716</v>
      </c>
      <c r="AF26" s="514">
        <f>VLOOKUP($O26,Parameter!$O$11:$P$22,2,0)*VLOOKUP($O26,Parameter!$O$11:$T$22,6,0)^4*AA26</f>
        <v>69877.779992300508</v>
      </c>
    </row>
    <row r="27" spans="1:32" ht="12.4" customHeight="1">
      <c r="A27" s="14">
        <f t="shared" si="0"/>
        <v>26</v>
      </c>
      <c r="B27" s="14" t="s">
        <v>436</v>
      </c>
      <c r="C27" s="14" t="s">
        <v>230</v>
      </c>
      <c r="D27" s="14" t="s">
        <v>229</v>
      </c>
      <c r="E27" s="14" t="s">
        <v>231</v>
      </c>
      <c r="F27" s="372">
        <f>F15-F17</f>
        <v>31.525613443306824</v>
      </c>
      <c r="G27" s="239" t="s">
        <v>218</v>
      </c>
      <c r="H27" s="373" t="s">
        <v>513</v>
      </c>
      <c r="I27" s="381">
        <f>IFERROR(VLOOKUP(H27,Parameter!$F$44:$H$92,3,0),"")</f>
        <v>0</v>
      </c>
      <c r="J27" s="376" t="s">
        <v>455</v>
      </c>
      <c r="K27" s="367">
        <f>IFERROR(INDEX(Parameter!$D$122:$M$122,1,MATCH(Process!$J27,Parameter!$D$121:$M$121,0)),"")</f>
        <v>1.2</v>
      </c>
      <c r="L27" s="372">
        <f t="shared" si="1"/>
        <v>0</v>
      </c>
      <c r="M27" s="243">
        <v>3</v>
      </c>
      <c r="N27" s="382">
        <f t="shared" si="2"/>
        <v>3</v>
      </c>
      <c r="O27" s="373" t="s">
        <v>53</v>
      </c>
      <c r="P27" s="371">
        <f>N27*F27/3600/Parameter!$P$6/Parameter!$P$7</f>
        <v>3.8634330200130913E-3</v>
      </c>
      <c r="Q27" s="14"/>
      <c r="R27" s="14"/>
      <c r="S27" s="486"/>
      <c r="T27" s="14"/>
      <c r="U27" s="14"/>
      <c r="V27" s="14"/>
      <c r="W27" s="14"/>
      <c r="X27" s="459">
        <f>P27*Parameter!W$8</f>
        <v>3.7475300294126982E-3</v>
      </c>
      <c r="Y27" s="459">
        <f>X27*Parameter!X$8</f>
        <v>3.4555299845809196E-3</v>
      </c>
      <c r="Z27" s="459">
        <f>Y27*Parameter!Y$8</f>
        <v>3.281870459219613E-3</v>
      </c>
      <c r="AA27" s="459">
        <f>Z27*Parameter!Z$8</f>
        <v>3.2104464356939272E-3</v>
      </c>
      <c r="AB27" s="514">
        <f>VLOOKUP(O27,Parameter!$O$11:$P$22,2,0)*Process!P27</f>
        <v>324.70505506921</v>
      </c>
      <c r="AC27" s="514">
        <f>VLOOKUP($O27,Parameter!$O$11:$P$22,2,0)*VLOOKUP($O27,Parameter!$O$11:$T$22,6,0)*X27</f>
        <v>337.01137665633303</v>
      </c>
      <c r="AD27" s="514">
        <f>VLOOKUP($O27,Parameter!$O$11:$P$22,2,0)*VLOOKUP($O27,Parameter!$O$11:$T$22,6,0)^2*Y27</f>
        <v>332.50477290472662</v>
      </c>
      <c r="AE27" s="514">
        <f>VLOOKUP($O27,Parameter!$O$11:$P$22,2,0)*VLOOKUP($O27,Parameter!$O$11:$T$22,6,0)^3*Z27</f>
        <v>337.90018560910971</v>
      </c>
      <c r="AF27" s="514">
        <f>VLOOKUP($O27,Parameter!$O$11:$P$22,2,0)*VLOOKUP($O27,Parameter!$O$11:$T$22,6,0)^4*AA27</f>
        <v>353.68464178830789</v>
      </c>
    </row>
    <row r="28" spans="1:32">
      <c r="A28" s="14">
        <f t="shared" si="0"/>
        <v>27</v>
      </c>
      <c r="B28" s="14" t="s">
        <v>436</v>
      </c>
      <c r="C28" s="239" t="s">
        <v>230</v>
      </c>
      <c r="D28" s="239" t="s">
        <v>443</v>
      </c>
      <c r="E28" s="239" t="s">
        <v>71</v>
      </c>
      <c r="F28" s="372">
        <f>Parameter!R50*Parameter!R39</f>
        <v>1575.3546729276447</v>
      </c>
      <c r="G28" s="14" t="s">
        <v>525</v>
      </c>
      <c r="H28" s="373" t="s">
        <v>513</v>
      </c>
      <c r="I28" s="381">
        <f>IFERROR(VLOOKUP(H28,Parameter!$F$44:$H$92,3,0),"")</f>
        <v>0</v>
      </c>
      <c r="J28" s="376" t="s">
        <v>38</v>
      </c>
      <c r="K28" s="367">
        <f>IFERROR(INDEX(Parameter!$D$122:$M$122,1,MATCH(Process!$J28,Parameter!$D$121:$M$121,0)),"")</f>
        <v>0.42</v>
      </c>
      <c r="L28" s="372">
        <f t="shared" si="1"/>
        <v>0</v>
      </c>
      <c r="M28" s="243">
        <v>3</v>
      </c>
      <c r="N28" s="382">
        <f t="shared" si="2"/>
        <v>3</v>
      </c>
      <c r="O28" s="373" t="s">
        <v>53</v>
      </c>
      <c r="P28" s="371">
        <f>N28*F28/3600/Parameter!$P$6/Parameter!$P$7</f>
        <v>0.19305817070191725</v>
      </c>
      <c r="Q28" s="14"/>
      <c r="R28" s="14"/>
      <c r="S28" s="486"/>
      <c r="T28" s="14"/>
      <c r="U28" s="14"/>
      <c r="V28" s="14"/>
      <c r="W28" s="14"/>
      <c r="X28" s="459">
        <f>P28*Parameter!W$8</f>
        <v>0.18726642558085971</v>
      </c>
      <c r="Y28" s="459">
        <f>X28*Parameter!X$8</f>
        <v>0.17267500023245028</v>
      </c>
      <c r="Z28" s="459">
        <f>Y28*Parameter!Y$8</f>
        <v>0.16399712485126833</v>
      </c>
      <c r="AA28" s="459">
        <f>Z28*Parameter!Z$8</f>
        <v>0.16042802160692302</v>
      </c>
      <c r="AB28" s="514">
        <f>VLOOKUP(O28,Parameter!$O$11:$P$22,2,0)*Process!P28</f>
        <v>16225.715218718758</v>
      </c>
      <c r="AC28" s="514">
        <f>VLOOKUP($O28,Parameter!$O$11:$P$22,2,0)*VLOOKUP($O28,Parameter!$O$11:$T$22,6,0)*X28</f>
        <v>16840.669825508197</v>
      </c>
      <c r="AD28" s="514">
        <f>VLOOKUP($O28,Parameter!$O$11:$P$22,2,0)*VLOOKUP($O28,Parameter!$O$11:$T$22,6,0)^2*Y28</f>
        <v>16615.472010027348</v>
      </c>
      <c r="AE28" s="514">
        <f>VLOOKUP($O28,Parameter!$O$11:$P$22,2,0)*VLOOKUP($O28,Parameter!$O$11:$T$22,6,0)^3*Z28</f>
        <v>16885.08416623513</v>
      </c>
      <c r="AF28" s="514">
        <f>VLOOKUP($O28,Parameter!$O$11:$P$22,2,0)*VLOOKUP($O28,Parameter!$O$11:$T$22,6,0)^4*AA28</f>
        <v>17673.843339668467</v>
      </c>
    </row>
    <row r="29" spans="1:32">
      <c r="A29" s="14">
        <f t="shared" si="0"/>
        <v>28</v>
      </c>
      <c r="B29" s="14" t="s">
        <v>436</v>
      </c>
      <c r="C29" s="239" t="s">
        <v>952</v>
      </c>
      <c r="D29" s="239" t="s">
        <v>952</v>
      </c>
      <c r="E29" s="239" t="s">
        <v>973</v>
      </c>
      <c r="F29" s="372">
        <f>Parameter!R28*Parameter!U41</f>
        <v>44.447136450511941</v>
      </c>
      <c r="G29" s="14" t="s">
        <v>228</v>
      </c>
      <c r="H29" s="373" t="s">
        <v>513</v>
      </c>
      <c r="I29" s="381"/>
      <c r="J29" s="376" t="s">
        <v>455</v>
      </c>
      <c r="K29" s="367">
        <f>IFERROR(INDEX(Parameter!$D$122:$M$122,1,MATCH(Process!$J29,Parameter!$D$121:$M$121,0)),"")</f>
        <v>1.2</v>
      </c>
      <c r="L29" s="372">
        <f t="shared" si="1"/>
        <v>0</v>
      </c>
      <c r="M29" s="243">
        <v>300</v>
      </c>
      <c r="N29" s="382">
        <f t="shared" si="2"/>
        <v>300</v>
      </c>
      <c r="O29" s="373" t="s">
        <v>53</v>
      </c>
      <c r="P29" s="371">
        <f>N29*F29/3600/Parameter!$P$6/Parameter!$P$7</f>
        <v>0.54469529963862673</v>
      </c>
      <c r="Q29" s="14"/>
      <c r="R29" s="14"/>
      <c r="S29" s="486"/>
      <c r="T29" s="14"/>
      <c r="U29" s="14"/>
      <c r="V29" s="14"/>
      <c r="W29" s="14"/>
      <c r="X29" s="459">
        <f>P29*Parameter!W$8</f>
        <v>0.5283544406494679</v>
      </c>
      <c r="Y29" s="459">
        <f>X29*Parameter!X$8</f>
        <v>0.48718611934294265</v>
      </c>
      <c r="Z29" s="459">
        <f>Y29*Parameter!Y$8</f>
        <v>0.46270231783485849</v>
      </c>
      <c r="AA29" s="459">
        <f>Z29*Parameter!Z$8</f>
        <v>0.45263243188260044</v>
      </c>
      <c r="AB29" s="514">
        <f>VLOOKUP(O29,Parameter!$O$11:$P$22,2,0)*Process!P29</f>
        <v>45779.315015664703</v>
      </c>
      <c r="AC29" s="514">
        <f>VLOOKUP($O29,Parameter!$O$11:$P$22,2,0)*VLOOKUP($O29,Parameter!$O$11:$T$22,6,0)*X29</f>
        <v>47514.351054758394</v>
      </c>
      <c r="AD29" s="514">
        <f>VLOOKUP($O29,Parameter!$O$11:$P$22,2,0)*VLOOKUP($O29,Parameter!$O$11:$T$22,6,0)^2*Y29</f>
        <v>46878.976798722892</v>
      </c>
      <c r="AE29" s="514">
        <f>VLOOKUP($O29,Parameter!$O$11:$P$22,2,0)*VLOOKUP($O29,Parameter!$O$11:$T$22,6,0)^3*Z29</f>
        <v>47639.661900409475</v>
      </c>
      <c r="AF29" s="514">
        <f>VLOOKUP($O29,Parameter!$O$11:$P$22,2,0)*VLOOKUP($O29,Parameter!$O$11:$T$22,6,0)^4*AA29</f>
        <v>49865.071023234654</v>
      </c>
    </row>
    <row r="30" spans="1:32">
      <c r="A30" s="14">
        <f t="shared" si="0"/>
        <v>29</v>
      </c>
      <c r="B30" s="14" t="s">
        <v>436</v>
      </c>
      <c r="C30" s="239" t="s">
        <v>233</v>
      </c>
      <c r="D30" s="239" t="s">
        <v>69</v>
      </c>
      <c r="E30" s="239" t="s">
        <v>476</v>
      </c>
      <c r="F30" s="372">
        <f>Parameter!R50/Parameter!R51</f>
        <v>12.963748131399315</v>
      </c>
      <c r="G30" s="14" t="s">
        <v>526</v>
      </c>
      <c r="H30" s="385" t="s">
        <v>472</v>
      </c>
      <c r="I30" s="381">
        <f>IFERROR(VLOOKUP(H30,Parameter!$F$44:$H$92,3,0),"")</f>
        <v>150</v>
      </c>
      <c r="J30" s="376" t="s">
        <v>38</v>
      </c>
      <c r="K30" s="367">
        <f>IFERROR(INDEX(Parameter!$D$122:$M$122,1,MATCH(Process!$J30,Parameter!$D$121:$M$121,0)),"")</f>
        <v>0.42</v>
      </c>
      <c r="L30" s="372">
        <f t="shared" si="1"/>
        <v>357.14285714285717</v>
      </c>
      <c r="M30" s="243"/>
      <c r="N30" s="382">
        <f t="shared" si="2"/>
        <v>357.14285714285717</v>
      </c>
      <c r="O30" s="373" t="s">
        <v>453</v>
      </c>
      <c r="P30" s="371">
        <f>N30*F30/3600/Parameter!$P$6/Parameter!$P$7</f>
        <v>0.18913031237452319</v>
      </c>
      <c r="Q30" s="488"/>
      <c r="R30" s="14"/>
      <c r="S30" s="486"/>
      <c r="T30" s="488"/>
      <c r="U30" s="489"/>
      <c r="V30" s="14"/>
      <c r="W30" s="14"/>
      <c r="X30" s="459">
        <f>P30*Parameter!W$8</f>
        <v>0.18345640300328747</v>
      </c>
      <c r="Y30" s="459">
        <f>X30*Parameter!X$8</f>
        <v>0.1691618469940773</v>
      </c>
      <c r="Z30" s="459">
        <f>Y30*Parameter!Y$8</f>
        <v>0.16066052702599254</v>
      </c>
      <c r="AA30" s="459">
        <f>Z30*Parameter!Z$8</f>
        <v>0.15716403884812516</v>
      </c>
      <c r="AB30" s="514">
        <f>VLOOKUP(O30,Parameter!$O$11:$P$22,2,0)*Process!P30</f>
        <v>15895.595491550246</v>
      </c>
      <c r="AC30" s="514">
        <f>VLOOKUP($O30,Parameter!$O$11:$P$22,2,0)*VLOOKUP($O30,Parameter!$O$11:$T$22,6,0)*X30</f>
        <v>16498.038560679997</v>
      </c>
      <c r="AD30" s="514">
        <f>VLOOKUP($O30,Parameter!$O$11:$P$22,2,0)*VLOOKUP($O30,Parameter!$O$11:$T$22,6,0)^2*Y30</f>
        <v>16277.422499556558</v>
      </c>
      <c r="AE30" s="514">
        <f>VLOOKUP($O30,Parameter!$O$11:$P$22,2,0)*VLOOKUP($O30,Parameter!$O$11:$T$22,6,0)^3*Z30</f>
        <v>16541.549270975513</v>
      </c>
      <c r="AF30" s="514">
        <f>VLOOKUP($O30,Parameter!$O$11:$P$22,2,0)*VLOOKUP($O30,Parameter!$O$11:$T$22,6,0)^4*AA30</f>
        <v>17314.260771956477</v>
      </c>
    </row>
    <row r="31" spans="1:32">
      <c r="A31" s="14">
        <f t="shared" si="0"/>
        <v>30</v>
      </c>
      <c r="B31" s="14" t="s">
        <v>436</v>
      </c>
      <c r="C31" s="239" t="s">
        <v>233</v>
      </c>
      <c r="D31" s="239" t="s">
        <v>69</v>
      </c>
      <c r="E31" s="239" t="s">
        <v>478</v>
      </c>
      <c r="F31" s="372">
        <f>F30</f>
        <v>12.963748131399315</v>
      </c>
      <c r="G31" s="14" t="s">
        <v>526</v>
      </c>
      <c r="H31" s="385" t="s">
        <v>473</v>
      </c>
      <c r="I31" s="381">
        <f>IFERROR(VLOOKUP(H31,Parameter!$F$44:$H$92,3,0),"")</f>
        <v>20</v>
      </c>
      <c r="J31" s="376" t="s">
        <v>38</v>
      </c>
      <c r="K31" s="367">
        <f>IFERROR(INDEX(Parameter!$D$122:$M$122,1,MATCH(Process!$J31,Parameter!$D$121:$M$121,0)),"")</f>
        <v>0.42</v>
      </c>
      <c r="L31" s="372">
        <f t="shared" si="1"/>
        <v>47.61904761904762</v>
      </c>
      <c r="M31" s="243"/>
      <c r="N31" s="382">
        <f t="shared" si="2"/>
        <v>47.61904761904762</v>
      </c>
      <c r="O31" s="373" t="s">
        <v>53</v>
      </c>
      <c r="P31" s="371">
        <f>N31*F31/3600/Parameter!$P$6/Parameter!$P$7</f>
        <v>2.5217374983269755E-2</v>
      </c>
      <c r="Q31" s="14"/>
      <c r="R31" s="14"/>
      <c r="S31" s="486"/>
      <c r="T31" s="14"/>
      <c r="U31" s="14"/>
      <c r="V31" s="490"/>
      <c r="W31" s="491"/>
      <c r="X31" s="459">
        <f>P31*Parameter!W$8</f>
        <v>2.4460853733771659E-2</v>
      </c>
      <c r="Y31" s="459">
        <f>X31*Parameter!X$8</f>
        <v>2.2554912932543639E-2</v>
      </c>
      <c r="Z31" s="459">
        <f>Y31*Parameter!Y$8</f>
        <v>2.1421403603465672E-2</v>
      </c>
      <c r="AA31" s="459">
        <f>Z31*Parameter!Z$8</f>
        <v>2.0955205179750021E-2</v>
      </c>
      <c r="AB31" s="514">
        <f>VLOOKUP(O31,Parameter!$O$11:$P$22,2,0)*Process!P31</f>
        <v>2119.4127322066993</v>
      </c>
      <c r="AC31" s="514">
        <f>VLOOKUP($O31,Parameter!$O$11:$P$22,2,0)*VLOOKUP($O31,Parameter!$O$11:$T$22,6,0)*X31</f>
        <v>2199.7384747573328</v>
      </c>
      <c r="AD31" s="514">
        <f>VLOOKUP($O31,Parameter!$O$11:$P$22,2,0)*VLOOKUP($O31,Parameter!$O$11:$T$22,6,0)^2*Y31</f>
        <v>2170.3229999408745</v>
      </c>
      <c r="AE31" s="514">
        <f>VLOOKUP($O31,Parameter!$O$11:$P$22,2,0)*VLOOKUP($O31,Parameter!$O$11:$T$22,6,0)^3*Z31</f>
        <v>2205.5399027967351</v>
      </c>
      <c r="AF31" s="514">
        <f>VLOOKUP($O31,Parameter!$O$11:$P$22,2,0)*VLOOKUP($O31,Parameter!$O$11:$T$22,6,0)^4*AA31</f>
        <v>2308.5681029275302</v>
      </c>
    </row>
    <row r="32" spans="1:32">
      <c r="A32" s="14">
        <f t="shared" si="0"/>
        <v>31</v>
      </c>
      <c r="B32" s="14" t="s">
        <v>436</v>
      </c>
      <c r="C32" s="14" t="s">
        <v>67</v>
      </c>
      <c r="D32" s="14" t="s">
        <v>74</v>
      </c>
      <c r="E32" s="14" t="s">
        <v>480</v>
      </c>
      <c r="F32" s="372">
        <f>F30*Parameter!R52</f>
        <v>0</v>
      </c>
      <c r="G32" s="14" t="s">
        <v>526</v>
      </c>
      <c r="H32" s="385" t="s">
        <v>474</v>
      </c>
      <c r="I32" s="381">
        <f>IFERROR(VLOOKUP(H32,Parameter!$F$44:$H$92,3,0),"")</f>
        <v>0</v>
      </c>
      <c r="J32" s="376" t="s">
        <v>38</v>
      </c>
      <c r="K32" s="367">
        <f>IFERROR(INDEX(Parameter!$D$122:$M$122,1,MATCH(Process!$J32,Parameter!$D$121:$M$121,0)),"")</f>
        <v>0.42</v>
      </c>
      <c r="L32" s="372">
        <f t="shared" si="1"/>
        <v>0</v>
      </c>
      <c r="M32" s="243"/>
      <c r="N32" s="382">
        <f t="shared" si="2"/>
        <v>0</v>
      </c>
      <c r="O32" s="373" t="s">
        <v>53</v>
      </c>
      <c r="P32" s="371">
        <f>N32*F32/3600/Parameter!$P$6/Parameter!$P$7</f>
        <v>0</v>
      </c>
      <c r="Q32" s="14"/>
      <c r="R32" s="14"/>
      <c r="S32" s="486"/>
      <c r="T32" s="14"/>
      <c r="U32" s="14"/>
      <c r="V32" s="14"/>
      <c r="W32" s="14"/>
      <c r="X32" s="459">
        <f>P32*Parameter!W$8</f>
        <v>0</v>
      </c>
      <c r="Y32" s="459">
        <f>X32*Parameter!X$8</f>
        <v>0</v>
      </c>
      <c r="Z32" s="459">
        <f>Y32*Parameter!Y$8</f>
        <v>0</v>
      </c>
      <c r="AA32" s="459">
        <f>Z32*Parameter!Z$8</f>
        <v>0</v>
      </c>
      <c r="AB32" s="514">
        <f>VLOOKUP(O32,Parameter!$O$11:$P$22,2,0)*Process!P32</f>
        <v>0</v>
      </c>
      <c r="AC32" s="514">
        <f>VLOOKUP($O32,Parameter!$O$11:$P$22,2,0)*VLOOKUP($O32,Parameter!$O$11:$T$22,6,0)*X32</f>
        <v>0</v>
      </c>
      <c r="AD32" s="514">
        <f>VLOOKUP($O32,Parameter!$O$11:$P$22,2,0)*VLOOKUP($O32,Parameter!$O$11:$T$22,6,0)^2*Y32</f>
        <v>0</v>
      </c>
      <c r="AE32" s="514">
        <f>VLOOKUP($O32,Parameter!$O$11:$P$22,2,0)*VLOOKUP($O32,Parameter!$O$11:$T$22,6,0)^3*Z32</f>
        <v>0</v>
      </c>
      <c r="AF32" s="514">
        <f>VLOOKUP($O32,Parameter!$O$11:$P$22,2,0)*VLOOKUP($O32,Parameter!$O$11:$T$22,6,0)^4*AA32</f>
        <v>0</v>
      </c>
    </row>
    <row r="33" spans="1:32">
      <c r="A33" s="14">
        <f t="shared" si="0"/>
        <v>32</v>
      </c>
      <c r="B33" s="14" t="s">
        <v>436</v>
      </c>
      <c r="C33" s="14" t="s">
        <v>67</v>
      </c>
      <c r="D33" s="14" t="s">
        <v>74</v>
      </c>
      <c r="E33" s="14" t="s">
        <v>482</v>
      </c>
      <c r="F33" s="372">
        <f>F32</f>
        <v>0</v>
      </c>
      <c r="G33" s="14" t="s">
        <v>526</v>
      </c>
      <c r="H33" s="373" t="s">
        <v>513</v>
      </c>
      <c r="I33" s="381">
        <f>IFERROR(VLOOKUP(H33,Parameter!$F$44:$H$92,3,0),"")</f>
        <v>0</v>
      </c>
      <c r="J33" s="376" t="s">
        <v>38</v>
      </c>
      <c r="K33" s="367">
        <f>IFERROR(INDEX(Parameter!$D$122:$M$122,1,MATCH(Process!$J33,Parameter!$D$121:$M$121,0)),"")</f>
        <v>0.42</v>
      </c>
      <c r="L33" s="372">
        <f t="shared" si="1"/>
        <v>0</v>
      </c>
      <c r="M33" s="243">
        <v>180</v>
      </c>
      <c r="N33" s="382">
        <f t="shared" si="2"/>
        <v>180</v>
      </c>
      <c r="O33" s="373" t="s">
        <v>53</v>
      </c>
      <c r="P33" s="371">
        <f>N33*F33/3600/Parameter!$P$6/Parameter!$P$7</f>
        <v>0</v>
      </c>
      <c r="Q33" s="14"/>
      <c r="R33" s="14"/>
      <c r="S33" s="486"/>
      <c r="T33" s="14"/>
      <c r="U33" s="14"/>
      <c r="V33" s="491"/>
      <c r="W33" s="14"/>
      <c r="X33" s="459">
        <f>P33*Parameter!W$8</f>
        <v>0</v>
      </c>
      <c r="Y33" s="459">
        <f>X33*Parameter!X$8</f>
        <v>0</v>
      </c>
      <c r="Z33" s="459">
        <f>Y33*Parameter!Y$8</f>
        <v>0</v>
      </c>
      <c r="AA33" s="459">
        <f>Z33*Parameter!Z$8</f>
        <v>0</v>
      </c>
      <c r="AB33" s="514">
        <f>VLOOKUP(O33,Parameter!$O$11:$P$22,2,0)*Process!P33</f>
        <v>0</v>
      </c>
      <c r="AC33" s="514">
        <f>VLOOKUP($O33,Parameter!$O$11:$P$22,2,0)*VLOOKUP($O33,Parameter!$O$11:$T$22,6,0)*X33</f>
        <v>0</v>
      </c>
      <c r="AD33" s="514">
        <f>VLOOKUP($O33,Parameter!$O$11:$P$22,2,0)*VLOOKUP($O33,Parameter!$O$11:$T$22,6,0)^2*Y33</f>
        <v>0</v>
      </c>
      <c r="AE33" s="514">
        <f>VLOOKUP($O33,Parameter!$O$11:$P$22,2,0)*VLOOKUP($O33,Parameter!$O$11:$T$22,6,0)^3*Z33</f>
        <v>0</v>
      </c>
      <c r="AF33" s="514">
        <f>VLOOKUP($O33,Parameter!$O$11:$P$22,2,0)*VLOOKUP($O33,Parameter!$O$11:$T$22,6,0)^4*AA33</f>
        <v>0</v>
      </c>
    </row>
    <row r="34" spans="1:32">
      <c r="A34" s="14">
        <f t="shared" si="0"/>
        <v>33</v>
      </c>
      <c r="B34" s="14" t="s">
        <v>436</v>
      </c>
      <c r="C34" s="14" t="s">
        <v>67</v>
      </c>
      <c r="D34" s="14" t="s">
        <v>69</v>
      </c>
      <c r="E34" s="14" t="s">
        <v>512</v>
      </c>
      <c r="F34" s="372">
        <f>Parameter!R50</f>
        <v>103.70998505119452</v>
      </c>
      <c r="G34" s="14" t="s">
        <v>228</v>
      </c>
      <c r="H34" s="385" t="s">
        <v>475</v>
      </c>
      <c r="I34" s="381">
        <f>IFERROR(VLOOKUP(H34,Parameter!$F$44:$H$92,3,0),"")</f>
        <v>10</v>
      </c>
      <c r="J34" s="376" t="s">
        <v>636</v>
      </c>
      <c r="K34" s="367">
        <f>IFERROR(INDEX(Parameter!$D$122:$M$122,1,MATCH(Process!$J34,Parameter!$D$121:$M$121,0)),"")</f>
        <v>0.42</v>
      </c>
      <c r="L34" s="372">
        <f t="shared" si="1"/>
        <v>23.80952380952381</v>
      </c>
      <c r="M34" s="243"/>
      <c r="N34" s="382">
        <f t="shared" si="2"/>
        <v>23.80952380952381</v>
      </c>
      <c r="O34" s="373" t="s">
        <v>453</v>
      </c>
      <c r="P34" s="371">
        <f>N34*F34/3600/Parameter!$P$6/Parameter!$P$7</f>
        <v>0.10086949993307902</v>
      </c>
      <c r="Q34" s="14"/>
      <c r="R34" s="14"/>
      <c r="S34" s="486"/>
      <c r="T34" s="14"/>
      <c r="U34" s="14"/>
      <c r="V34" s="491"/>
      <c r="W34" s="14"/>
      <c r="X34" s="459">
        <f>P34*Parameter!W$8</f>
        <v>9.7843414935086637E-2</v>
      </c>
      <c r="Y34" s="459">
        <f>X34*Parameter!X$8</f>
        <v>9.0219651730174558E-2</v>
      </c>
      <c r="Z34" s="459">
        <f>Y34*Parameter!Y$8</f>
        <v>8.5685614413862687E-2</v>
      </c>
      <c r="AA34" s="459">
        <f>Z34*Parameter!Z$8</f>
        <v>8.3820820719000086E-2</v>
      </c>
      <c r="AB34" s="514">
        <f>VLOOKUP(O34,Parameter!$O$11:$P$22,2,0)*Process!P34</f>
        <v>8477.6509288267971</v>
      </c>
      <c r="AC34" s="514">
        <f>VLOOKUP($O34,Parameter!$O$11:$P$22,2,0)*VLOOKUP($O34,Parameter!$O$11:$T$22,6,0)*X34</f>
        <v>8798.9538990293313</v>
      </c>
      <c r="AD34" s="514">
        <f>VLOOKUP($O34,Parameter!$O$11:$P$22,2,0)*VLOOKUP($O34,Parameter!$O$11:$T$22,6,0)^2*Y34</f>
        <v>8681.2919997634981</v>
      </c>
      <c r="AE34" s="514">
        <f>VLOOKUP($O34,Parameter!$O$11:$P$22,2,0)*VLOOKUP($O34,Parameter!$O$11:$T$22,6,0)^3*Z34</f>
        <v>8822.1596111869403</v>
      </c>
      <c r="AF34" s="514">
        <f>VLOOKUP($O34,Parameter!$O$11:$P$22,2,0)*VLOOKUP($O34,Parameter!$O$11:$T$22,6,0)^4*AA34</f>
        <v>9234.2724117101207</v>
      </c>
    </row>
    <row r="35" spans="1:32">
      <c r="A35" s="14">
        <f t="shared" si="0"/>
        <v>34</v>
      </c>
      <c r="B35" s="14" t="s">
        <v>436</v>
      </c>
      <c r="C35" s="14" t="s">
        <v>67</v>
      </c>
      <c r="D35" s="14" t="s">
        <v>69</v>
      </c>
      <c r="E35" s="14" t="s">
        <v>72</v>
      </c>
      <c r="F35" s="372">
        <f>F34</f>
        <v>103.70998505119452</v>
      </c>
      <c r="G35" s="239" t="s">
        <v>228</v>
      </c>
      <c r="H35" s="373" t="s">
        <v>513</v>
      </c>
      <c r="I35" s="381">
        <f>IFERROR(VLOOKUP(H35,Parameter!$F$44:$H$92,3,0),"")</f>
        <v>0</v>
      </c>
      <c r="J35" s="376" t="s">
        <v>38</v>
      </c>
      <c r="K35" s="367">
        <f>IFERROR(INDEX(Parameter!$D$122:$M$122,1,MATCH(Process!$J35,Parameter!$D$121:$M$121,0)),"")</f>
        <v>0.42</v>
      </c>
      <c r="L35" s="372">
        <f t="shared" si="1"/>
        <v>0</v>
      </c>
      <c r="M35" s="243">
        <v>20</v>
      </c>
      <c r="N35" s="382">
        <f t="shared" si="2"/>
        <v>20</v>
      </c>
      <c r="O35" s="373" t="s">
        <v>53</v>
      </c>
      <c r="P35" s="371">
        <f>N35*F35/3600/Parameter!$P$6/Parameter!$P$7</f>
        <v>8.4730379943786391E-2</v>
      </c>
      <c r="Q35" s="14"/>
      <c r="R35" s="14"/>
      <c r="S35" s="486"/>
      <c r="T35" s="14"/>
      <c r="U35" s="14"/>
      <c r="V35" s="14"/>
      <c r="W35" s="491"/>
      <c r="X35" s="459">
        <f>P35*Parameter!W$8</f>
        <v>8.2188468545472793E-2</v>
      </c>
      <c r="Y35" s="459">
        <f>X35*Parameter!X$8</f>
        <v>7.5784507453346639E-2</v>
      </c>
      <c r="Z35" s="459">
        <f>Y35*Parameter!Y$8</f>
        <v>7.1975916107644658E-2</v>
      </c>
      <c r="AA35" s="459">
        <f>Z35*Parameter!Z$8</f>
        <v>7.0409489403960079E-2</v>
      </c>
      <c r="AB35" s="514">
        <f>VLOOKUP(O35,Parameter!$O$11:$P$22,2,0)*Process!P35</f>
        <v>7121.2267802145107</v>
      </c>
      <c r="AC35" s="514">
        <f>VLOOKUP($O35,Parameter!$O$11:$P$22,2,0)*VLOOKUP($O35,Parameter!$O$11:$T$22,6,0)*X35</f>
        <v>7391.1212751846397</v>
      </c>
      <c r="AD35" s="514">
        <f>VLOOKUP($O35,Parameter!$O$11:$P$22,2,0)*VLOOKUP($O35,Parameter!$O$11:$T$22,6,0)^2*Y35</f>
        <v>7292.2852798013391</v>
      </c>
      <c r="AE35" s="514">
        <f>VLOOKUP($O35,Parameter!$O$11:$P$22,2,0)*VLOOKUP($O35,Parameter!$O$11:$T$22,6,0)^3*Z35</f>
        <v>7410.6140733970306</v>
      </c>
      <c r="AF35" s="514">
        <f>VLOOKUP($O35,Parameter!$O$11:$P$22,2,0)*VLOOKUP($O35,Parameter!$O$11:$T$22,6,0)^4*AA35</f>
        <v>7756.7888258365028</v>
      </c>
    </row>
    <row r="36" spans="1:32">
      <c r="A36" s="14">
        <f t="shared" si="0"/>
        <v>35</v>
      </c>
      <c r="B36" s="14" t="s">
        <v>436</v>
      </c>
      <c r="C36" s="14" t="s">
        <v>67</v>
      </c>
      <c r="D36" s="14" t="s">
        <v>69</v>
      </c>
      <c r="E36" s="14" t="s">
        <v>73</v>
      </c>
      <c r="F36" s="372">
        <f>F34</f>
        <v>103.70998505119452</v>
      </c>
      <c r="G36" s="239" t="s">
        <v>228</v>
      </c>
      <c r="H36" s="373" t="s">
        <v>513</v>
      </c>
      <c r="I36" s="381">
        <f>IFERROR(VLOOKUP(H36,Parameter!$F$44:$H$92,3,0),"")</f>
        <v>0</v>
      </c>
      <c r="J36" s="376" t="s">
        <v>38</v>
      </c>
      <c r="K36" s="367">
        <f>IFERROR(INDEX(Parameter!$D$122:$M$122,1,MATCH(Process!$J36,Parameter!$D$121:$M$121,0)),"")</f>
        <v>0.42</v>
      </c>
      <c r="L36" s="372">
        <f t="shared" si="1"/>
        <v>0</v>
      </c>
      <c r="M36" s="243">
        <v>3</v>
      </c>
      <c r="N36" s="382">
        <f t="shared" si="2"/>
        <v>3</v>
      </c>
      <c r="O36" s="373" t="s">
        <v>53</v>
      </c>
      <c r="P36" s="371">
        <f>N36*F36/3600/Parameter!$P$6/Parameter!$P$7</f>
        <v>1.2709556991567957E-2</v>
      </c>
      <c r="Q36" s="14"/>
      <c r="R36" s="14"/>
      <c r="S36" s="486"/>
      <c r="T36" s="14"/>
      <c r="U36" s="14"/>
      <c r="V36" s="14"/>
      <c r="W36" s="14"/>
      <c r="X36" s="459">
        <f>P36*Parameter!W$8</f>
        <v>1.2328270281820916E-2</v>
      </c>
      <c r="Y36" s="459">
        <f>X36*Parameter!X$8</f>
        <v>1.1367676118001994E-2</v>
      </c>
      <c r="Z36" s="459">
        <f>Y36*Parameter!Y$8</f>
        <v>1.0796387416146698E-2</v>
      </c>
      <c r="AA36" s="459">
        <f>Z36*Parameter!Z$8</f>
        <v>1.0561423410594011E-2</v>
      </c>
      <c r="AB36" s="514">
        <f>VLOOKUP(O36,Parameter!$O$11:$P$22,2,0)*Process!P36</f>
        <v>1068.1840170321764</v>
      </c>
      <c r="AC36" s="514">
        <f>VLOOKUP($O36,Parameter!$O$11:$P$22,2,0)*VLOOKUP($O36,Parameter!$O$11:$T$22,6,0)*X36</f>
        <v>1108.6681912776958</v>
      </c>
      <c r="AD36" s="514">
        <f>VLOOKUP($O36,Parameter!$O$11:$P$22,2,0)*VLOOKUP($O36,Parameter!$O$11:$T$22,6,0)^2*Y36</f>
        <v>1093.8427919702008</v>
      </c>
      <c r="AE36" s="514">
        <f>VLOOKUP($O36,Parameter!$O$11:$P$22,2,0)*VLOOKUP($O36,Parameter!$O$11:$T$22,6,0)^3*Z36</f>
        <v>1111.5921110095544</v>
      </c>
      <c r="AF36" s="514">
        <f>VLOOKUP($O36,Parameter!$O$11:$P$22,2,0)*VLOOKUP($O36,Parameter!$O$11:$T$22,6,0)^4*AA36</f>
        <v>1163.5183238754753</v>
      </c>
    </row>
    <row r="37" spans="1:32">
      <c r="A37" s="14">
        <f t="shared" si="0"/>
        <v>36</v>
      </c>
      <c r="B37" s="14" t="s">
        <v>436</v>
      </c>
      <c r="C37" s="14" t="s">
        <v>67</v>
      </c>
      <c r="D37" s="14" t="s">
        <v>69</v>
      </c>
      <c r="E37" s="14" t="s">
        <v>485</v>
      </c>
      <c r="F37" s="372">
        <f>F30</f>
        <v>12.963748131399315</v>
      </c>
      <c r="G37" s="14" t="s">
        <v>526</v>
      </c>
      <c r="H37" s="385" t="s">
        <v>477</v>
      </c>
      <c r="I37" s="381">
        <f>IFERROR(VLOOKUP(H37,Parameter!$F$44:$H$92,3,0),"")</f>
        <v>150</v>
      </c>
      <c r="J37" s="376" t="s">
        <v>38</v>
      </c>
      <c r="K37" s="367">
        <f>IFERROR(INDEX(Parameter!$D$122:$M$122,1,MATCH(Process!$J37,Parameter!$D$121:$M$121,0)),"")</f>
        <v>0.42</v>
      </c>
      <c r="L37" s="372">
        <f t="shared" si="1"/>
        <v>357.14285714285717</v>
      </c>
      <c r="M37" s="243"/>
      <c r="N37" s="382">
        <f t="shared" si="2"/>
        <v>357.14285714285717</v>
      </c>
      <c r="O37" s="373" t="s">
        <v>53</v>
      </c>
      <c r="P37" s="371">
        <f>N37*F37/3600/Parameter!$P$6/Parameter!$P$7</f>
        <v>0.18913031237452319</v>
      </c>
      <c r="Q37" s="14"/>
      <c r="R37" s="14"/>
      <c r="S37" s="486"/>
      <c r="T37" s="14"/>
      <c r="U37" s="14"/>
      <c r="V37" s="14"/>
      <c r="W37" s="14"/>
      <c r="X37" s="459">
        <f>P37*Parameter!W$8</f>
        <v>0.18345640300328747</v>
      </c>
      <c r="Y37" s="459">
        <f>X37*Parameter!X$8</f>
        <v>0.1691618469940773</v>
      </c>
      <c r="Z37" s="459">
        <f>Y37*Parameter!Y$8</f>
        <v>0.16066052702599254</v>
      </c>
      <c r="AA37" s="459">
        <f>Z37*Parameter!Z$8</f>
        <v>0.15716403884812516</v>
      </c>
      <c r="AB37" s="514">
        <f>VLOOKUP(O37,Parameter!$O$11:$P$22,2,0)*Process!P37</f>
        <v>15895.595491550246</v>
      </c>
      <c r="AC37" s="514">
        <f>VLOOKUP($O37,Parameter!$O$11:$P$22,2,0)*VLOOKUP($O37,Parameter!$O$11:$T$22,6,0)*X37</f>
        <v>16498.038560679997</v>
      </c>
      <c r="AD37" s="514">
        <f>VLOOKUP($O37,Parameter!$O$11:$P$22,2,0)*VLOOKUP($O37,Parameter!$O$11:$T$22,6,0)^2*Y37</f>
        <v>16277.422499556558</v>
      </c>
      <c r="AE37" s="514">
        <f>VLOOKUP($O37,Parameter!$O$11:$P$22,2,0)*VLOOKUP($O37,Parameter!$O$11:$T$22,6,0)^3*Z37</f>
        <v>16541.549270975513</v>
      </c>
      <c r="AF37" s="514">
        <f>VLOOKUP($O37,Parameter!$O$11:$P$22,2,0)*VLOOKUP($O37,Parameter!$O$11:$T$22,6,0)^4*AA37</f>
        <v>17314.260771956477</v>
      </c>
    </row>
    <row r="38" spans="1:32" ht="12.4" customHeight="1">
      <c r="A38" s="14">
        <f t="shared" si="0"/>
        <v>37</v>
      </c>
      <c r="B38" s="14" t="s">
        <v>436</v>
      </c>
      <c r="C38" s="14" t="s">
        <v>75</v>
      </c>
      <c r="D38" s="14" t="s">
        <v>76</v>
      </c>
      <c r="E38" s="14" t="s">
        <v>77</v>
      </c>
      <c r="F38" s="372">
        <f>Parameter!R54/Parameter!R55</f>
        <v>222.23568225255966</v>
      </c>
      <c r="G38" s="14" t="s">
        <v>526</v>
      </c>
      <c r="H38" s="373" t="s">
        <v>513</v>
      </c>
      <c r="I38" s="381">
        <f>IFERROR(VLOOKUP(H38,Parameter!$F$44:$H$92,3,0),"")</f>
        <v>0</v>
      </c>
      <c r="J38" s="376" t="s">
        <v>222</v>
      </c>
      <c r="K38" s="367">
        <f>IFERROR(INDEX(Parameter!$D$122:$M$122,1,MATCH(Process!$J38,Parameter!$D$121:$M$121,0)),"")</f>
        <v>2.7777777777777777</v>
      </c>
      <c r="L38" s="372">
        <f t="shared" si="1"/>
        <v>0</v>
      </c>
      <c r="M38" s="243">
        <v>5</v>
      </c>
      <c r="N38" s="382">
        <f t="shared" si="2"/>
        <v>5</v>
      </c>
      <c r="O38" s="373" t="s">
        <v>60</v>
      </c>
      <c r="P38" s="371">
        <f>N38*F38/3600/Parameter!$P$6/Parameter!$P$7</f>
        <v>4.5391274969885556E-2</v>
      </c>
      <c r="Q38" s="14"/>
      <c r="R38" s="14"/>
      <c r="S38" s="486"/>
      <c r="T38" s="14"/>
      <c r="U38" s="14"/>
      <c r="V38" s="14"/>
      <c r="W38" s="14"/>
      <c r="X38" s="459">
        <f>P38*Parameter!W$8</f>
        <v>4.4029536720788985E-2</v>
      </c>
      <c r="Y38" s="459">
        <f>X38*Parameter!X$8</f>
        <v>4.0598843278578545E-2</v>
      </c>
      <c r="Z38" s="459">
        <f>Y38*Parameter!Y$8</f>
        <v>3.8558526486238198E-2</v>
      </c>
      <c r="AA38" s="459">
        <f>Z38*Parameter!Z$8</f>
        <v>3.771936932355003E-2</v>
      </c>
      <c r="AB38" s="514">
        <f>VLOOKUP(O38,Parameter!$O$11:$P$22,2,0)*Process!P38</f>
        <v>4577.9315015664697</v>
      </c>
      <c r="AC38" s="514">
        <f>VLOOKUP($O38,Parameter!$O$11:$P$22,2,0)*VLOOKUP($O38,Parameter!$O$11:$T$22,6,0)*X38</f>
        <v>4751.435105475839</v>
      </c>
      <c r="AD38" s="514">
        <f>VLOOKUP($O38,Parameter!$O$11:$P$22,2,0)*VLOOKUP($O38,Parameter!$O$11:$T$22,6,0)^2*Y38</f>
        <v>4687.8976798722879</v>
      </c>
      <c r="AE38" s="514">
        <f>VLOOKUP($O38,Parameter!$O$11:$P$22,2,0)*VLOOKUP($O38,Parameter!$O$11:$T$22,6,0)^3*Z38</f>
        <v>4763.9661900409474</v>
      </c>
      <c r="AF38" s="514">
        <f>VLOOKUP($O38,Parameter!$O$11:$P$22,2,0)*VLOOKUP($O38,Parameter!$O$11:$T$22,6,0)^4*AA38</f>
        <v>4986.5071023234641</v>
      </c>
    </row>
    <row r="39" spans="1:32">
      <c r="A39" s="14">
        <f t="shared" si="0"/>
        <v>38</v>
      </c>
      <c r="B39" s="14" t="s">
        <v>436</v>
      </c>
      <c r="C39" s="14" t="s">
        <v>75</v>
      </c>
      <c r="D39" s="14" t="s">
        <v>76</v>
      </c>
      <c r="E39" s="14" t="s">
        <v>486</v>
      </c>
      <c r="F39" s="372">
        <f>Parameter!R54*Parameter!R55</f>
        <v>222.23568225255966</v>
      </c>
      <c r="G39" s="14" t="s">
        <v>526</v>
      </c>
      <c r="H39" s="385" t="s">
        <v>487</v>
      </c>
      <c r="I39" s="381">
        <f>IFERROR(VLOOKUP(H39,Parameter!$F$44:$H$92,3,0),"")</f>
        <v>110</v>
      </c>
      <c r="J39" s="376" t="s">
        <v>35</v>
      </c>
      <c r="K39" s="367">
        <f>IFERROR(INDEX(Parameter!$D$122:$M$122,1,MATCH(Process!$J39,Parameter!$D$121:$M$121,0)),"")</f>
        <v>2.7777777777777777</v>
      </c>
      <c r="L39" s="372">
        <f t="shared" si="1"/>
        <v>39.6</v>
      </c>
      <c r="M39" s="243"/>
      <c r="N39" s="382">
        <f t="shared" si="2"/>
        <v>39.6</v>
      </c>
      <c r="O39" s="373" t="s">
        <v>60</v>
      </c>
      <c r="P39" s="371">
        <f>N39*F39/3600/Parameter!$P$6/Parameter!$P$7</f>
        <v>0.35949889776149357</v>
      </c>
      <c r="Q39" s="14"/>
      <c r="R39" s="14"/>
      <c r="S39" s="486"/>
      <c r="T39" s="14"/>
      <c r="U39" s="14"/>
      <c r="V39" s="14"/>
      <c r="W39" s="14"/>
      <c r="X39" s="459">
        <f>P39*Parameter!W$8</f>
        <v>0.34871393082864871</v>
      </c>
      <c r="Y39" s="459">
        <f>X39*Parameter!X$8</f>
        <v>0.32154283876634204</v>
      </c>
      <c r="Z39" s="459">
        <f>Y39*Parameter!Y$8</f>
        <v>0.30538352977100652</v>
      </c>
      <c r="AA39" s="459">
        <f>Z39*Parameter!Z$8</f>
        <v>0.29873740504251622</v>
      </c>
      <c r="AB39" s="514">
        <f>VLOOKUP(O39,Parameter!$O$11:$P$22,2,0)*Process!P39</f>
        <v>36257.217492406438</v>
      </c>
      <c r="AC39" s="514">
        <f>VLOOKUP($O39,Parameter!$O$11:$P$22,2,0)*VLOOKUP($O39,Parameter!$O$11:$T$22,6,0)*X39</f>
        <v>37631.366035368643</v>
      </c>
      <c r="AD39" s="514">
        <f>VLOOKUP($O39,Parameter!$O$11:$P$22,2,0)*VLOOKUP($O39,Parameter!$O$11:$T$22,6,0)^2*Y39</f>
        <v>37128.149624588514</v>
      </c>
      <c r="AE39" s="514">
        <f>VLOOKUP($O39,Parameter!$O$11:$P$22,2,0)*VLOOKUP($O39,Parameter!$O$11:$T$22,6,0)^3*Z39</f>
        <v>37730.6122251243</v>
      </c>
      <c r="AF39" s="514">
        <f>VLOOKUP($O39,Parameter!$O$11:$P$22,2,0)*VLOOKUP($O39,Parameter!$O$11:$T$22,6,0)^4*AA39</f>
        <v>39493.136250401833</v>
      </c>
    </row>
    <row r="40" spans="1:32">
      <c r="A40" s="14">
        <f t="shared" si="0"/>
        <v>39</v>
      </c>
      <c r="B40" s="14" t="s">
        <v>436</v>
      </c>
      <c r="C40" s="14" t="s">
        <v>75</v>
      </c>
      <c r="D40" s="14" t="s">
        <v>76</v>
      </c>
      <c r="E40" s="14" t="s">
        <v>478</v>
      </c>
      <c r="F40" s="372">
        <f>F39</f>
        <v>222.23568225255966</v>
      </c>
      <c r="G40" s="14" t="s">
        <v>526</v>
      </c>
      <c r="H40" s="385" t="s">
        <v>488</v>
      </c>
      <c r="I40" s="381">
        <f>IFERROR(VLOOKUP(H40,Parameter!$F$44:$H$92,3,0),"")</f>
        <v>90</v>
      </c>
      <c r="J40" s="376" t="s">
        <v>35</v>
      </c>
      <c r="K40" s="367">
        <f>IFERROR(INDEX(Parameter!$D$122:$M$122,1,MATCH(Process!$J40,Parameter!$D$121:$M$121,0)),"")</f>
        <v>2.7777777777777777</v>
      </c>
      <c r="L40" s="372">
        <f t="shared" si="1"/>
        <v>32.4</v>
      </c>
      <c r="M40" s="243"/>
      <c r="N40" s="382">
        <f t="shared" si="2"/>
        <v>32.4</v>
      </c>
      <c r="O40" s="373" t="s">
        <v>60</v>
      </c>
      <c r="P40" s="371">
        <f>N40*F40/3600/Parameter!$P$6/Parameter!$P$7</f>
        <v>0.29413546180485833</v>
      </c>
      <c r="Q40" s="14"/>
      <c r="R40" s="14"/>
      <c r="S40" s="486"/>
      <c r="T40" s="14"/>
      <c r="U40" s="14"/>
      <c r="V40" s="14"/>
      <c r="W40" s="14"/>
      <c r="X40" s="459">
        <f>P40*Parameter!W$8</f>
        <v>0.28531139795071253</v>
      </c>
      <c r="Y40" s="459">
        <f>X40*Parameter!X$8</f>
        <v>0.26308050444518888</v>
      </c>
      <c r="Z40" s="459">
        <f>Y40*Parameter!Y$8</f>
        <v>0.24985925163082345</v>
      </c>
      <c r="AA40" s="459">
        <f>Z40*Parameter!Z$8</f>
        <v>0.2444215132166041</v>
      </c>
      <c r="AB40" s="514">
        <f>VLOOKUP(O40,Parameter!$O$11:$P$22,2,0)*Process!P40</f>
        <v>29664.996130150721</v>
      </c>
      <c r="AC40" s="514">
        <f>VLOOKUP($O40,Parameter!$O$11:$P$22,2,0)*VLOOKUP($O40,Parameter!$O$11:$T$22,6,0)*X40</f>
        <v>30789.299483483428</v>
      </c>
      <c r="AD40" s="514">
        <f>VLOOKUP($O40,Parameter!$O$11:$P$22,2,0)*VLOOKUP($O40,Parameter!$O$11:$T$22,6,0)^2*Y40</f>
        <v>30377.576965572414</v>
      </c>
      <c r="AE40" s="514">
        <f>VLOOKUP($O40,Parameter!$O$11:$P$22,2,0)*VLOOKUP($O40,Parameter!$O$11:$T$22,6,0)^3*Z40</f>
        <v>30870.500911465329</v>
      </c>
      <c r="AF40" s="514">
        <f>VLOOKUP($O40,Parameter!$O$11:$P$22,2,0)*VLOOKUP($O40,Parameter!$O$11:$T$22,6,0)^4*AA40</f>
        <v>32312.566023056035</v>
      </c>
    </row>
    <row r="41" spans="1:32">
      <c r="A41" s="14">
        <f t="shared" si="0"/>
        <v>40</v>
      </c>
      <c r="B41" s="14" t="s">
        <v>436</v>
      </c>
      <c r="C41" s="14" t="s">
        <v>75</v>
      </c>
      <c r="D41" s="14" t="s">
        <v>76</v>
      </c>
      <c r="E41" s="14" t="s">
        <v>483</v>
      </c>
      <c r="F41" s="372">
        <f>Parameter!R54</f>
        <v>222.23568225255966</v>
      </c>
      <c r="G41" s="14" t="s">
        <v>228</v>
      </c>
      <c r="H41" s="385" t="s">
        <v>489</v>
      </c>
      <c r="I41" s="381">
        <f>IFERROR(VLOOKUP(H41,Parameter!$F$44:$H$92,3,0),"")</f>
        <v>60</v>
      </c>
      <c r="J41" s="376" t="s">
        <v>35</v>
      </c>
      <c r="K41" s="367">
        <f>IFERROR(INDEX(Parameter!$D$122:$M$122,1,MATCH(Process!$J41,Parameter!$D$121:$M$121,0)),"")</f>
        <v>2.7777777777777777</v>
      </c>
      <c r="L41" s="372">
        <f t="shared" si="1"/>
        <v>21.6</v>
      </c>
      <c r="M41" s="243"/>
      <c r="N41" s="382">
        <f t="shared" si="2"/>
        <v>21.6</v>
      </c>
      <c r="O41" s="373" t="s">
        <v>60</v>
      </c>
      <c r="P41" s="371">
        <f>N41*F41/3600/Parameter!$P$6/Parameter!$P$7</f>
        <v>0.19609030786990558</v>
      </c>
      <c r="Q41" s="14"/>
      <c r="R41" s="14"/>
      <c r="S41" s="486"/>
      <c r="T41" s="14"/>
      <c r="U41" s="14"/>
      <c r="V41" s="14"/>
      <c r="W41" s="14"/>
      <c r="X41" s="459">
        <f>P41*Parameter!W$8</f>
        <v>0.1902075986338084</v>
      </c>
      <c r="Y41" s="459">
        <f>X41*Parameter!X$8</f>
        <v>0.1753870029634593</v>
      </c>
      <c r="Z41" s="459">
        <f>Y41*Parameter!Y$8</f>
        <v>0.16657283442054902</v>
      </c>
      <c r="AA41" s="459">
        <f>Z41*Parameter!Z$8</f>
        <v>0.16294767547773611</v>
      </c>
      <c r="AB41" s="514">
        <f>VLOOKUP(O41,Parameter!$O$11:$P$22,2,0)*Process!P41</f>
        <v>19776.664086767149</v>
      </c>
      <c r="AC41" s="514">
        <f>VLOOKUP($O41,Parameter!$O$11:$P$22,2,0)*VLOOKUP($O41,Parameter!$O$11:$T$22,6,0)*X41</f>
        <v>20526.199655655626</v>
      </c>
      <c r="AD41" s="514">
        <f>VLOOKUP($O41,Parameter!$O$11:$P$22,2,0)*VLOOKUP($O41,Parameter!$O$11:$T$22,6,0)^2*Y41</f>
        <v>20251.717977048284</v>
      </c>
      <c r="AE41" s="514">
        <f>VLOOKUP($O41,Parameter!$O$11:$P$22,2,0)*VLOOKUP($O41,Parameter!$O$11:$T$22,6,0)^3*Z41</f>
        <v>20580.333940976892</v>
      </c>
      <c r="AF41" s="514">
        <f>VLOOKUP($O41,Parameter!$O$11:$P$22,2,0)*VLOOKUP($O41,Parameter!$O$11:$T$22,6,0)^4*AA41</f>
        <v>21541.710682037363</v>
      </c>
    </row>
    <row r="42" spans="1:32">
      <c r="A42" s="14">
        <f t="shared" si="0"/>
        <v>41</v>
      </c>
      <c r="B42" s="14" t="s">
        <v>436</v>
      </c>
      <c r="C42" s="14" t="s">
        <v>75</v>
      </c>
      <c r="D42" s="14" t="s">
        <v>76</v>
      </c>
      <c r="E42" s="14" t="s">
        <v>78</v>
      </c>
      <c r="F42" s="372">
        <f>F41</f>
        <v>222.23568225255966</v>
      </c>
      <c r="G42" s="14" t="s">
        <v>228</v>
      </c>
      <c r="H42" s="373" t="s">
        <v>513</v>
      </c>
      <c r="I42" s="381">
        <f>IFERROR(VLOOKUP(H42,Parameter!$F$44:$H$92,3,0),"")</f>
        <v>0</v>
      </c>
      <c r="J42" s="376" t="s">
        <v>222</v>
      </c>
      <c r="K42" s="367">
        <f>IFERROR(INDEX(Parameter!$D$122:$M$122,1,MATCH(Process!$J42,Parameter!$D$121:$M$121,0)),"")</f>
        <v>2.7777777777777777</v>
      </c>
      <c r="L42" s="372">
        <f t="shared" si="1"/>
        <v>0</v>
      </c>
      <c r="M42" s="243">
        <v>15</v>
      </c>
      <c r="N42" s="382">
        <f t="shared" si="2"/>
        <v>15</v>
      </c>
      <c r="O42" s="373" t="s">
        <v>60</v>
      </c>
      <c r="P42" s="371">
        <f>N42*F42/3600/Parameter!$P$6/Parameter!$P$7</f>
        <v>0.13617382490965665</v>
      </c>
      <c r="Q42" s="14"/>
      <c r="R42" s="14"/>
      <c r="S42" s="486"/>
      <c r="T42" s="14"/>
      <c r="U42" s="14"/>
      <c r="V42" s="14"/>
      <c r="W42" s="14"/>
      <c r="X42" s="459">
        <f>P42*Parameter!W$8</f>
        <v>0.13208861016236695</v>
      </c>
      <c r="Y42" s="459">
        <f>X42*Parameter!X$8</f>
        <v>0.12179652983573563</v>
      </c>
      <c r="Z42" s="459">
        <f>Y42*Parameter!Y$8</f>
        <v>0.11567557945871461</v>
      </c>
      <c r="AA42" s="459">
        <f>Z42*Parameter!Z$8</f>
        <v>0.1131581079706501</v>
      </c>
      <c r="AB42" s="514">
        <f>VLOOKUP(O42,Parameter!$O$11:$P$22,2,0)*Process!P42</f>
        <v>13733.794504699408</v>
      </c>
      <c r="AC42" s="514">
        <f>VLOOKUP($O42,Parameter!$O$11:$P$22,2,0)*VLOOKUP($O42,Parameter!$O$11:$T$22,6,0)*X42</f>
        <v>14254.305316427517</v>
      </c>
      <c r="AD42" s="514">
        <f>VLOOKUP($O42,Parameter!$O$11:$P$22,2,0)*VLOOKUP($O42,Parameter!$O$11:$T$22,6,0)^2*Y42</f>
        <v>14063.693039616863</v>
      </c>
      <c r="AE42" s="514">
        <f>VLOOKUP($O42,Parameter!$O$11:$P$22,2,0)*VLOOKUP($O42,Parameter!$O$11:$T$22,6,0)^3*Z42</f>
        <v>14291.898570122843</v>
      </c>
      <c r="AF42" s="514">
        <f>VLOOKUP($O42,Parameter!$O$11:$P$22,2,0)*VLOOKUP($O42,Parameter!$O$11:$T$22,6,0)^4*AA42</f>
        <v>14959.521306970393</v>
      </c>
    </row>
    <row r="43" spans="1:32">
      <c r="A43" s="14">
        <f t="shared" si="0"/>
        <v>42</v>
      </c>
      <c r="B43" s="14" t="s">
        <v>436</v>
      </c>
      <c r="C43" s="14" t="s">
        <v>75</v>
      </c>
      <c r="D43" s="14" t="s">
        <v>76</v>
      </c>
      <c r="E43" s="14" t="s">
        <v>73</v>
      </c>
      <c r="F43" s="372">
        <f>F41</f>
        <v>222.23568225255966</v>
      </c>
      <c r="G43" s="14" t="s">
        <v>228</v>
      </c>
      <c r="H43" s="373" t="s">
        <v>513</v>
      </c>
      <c r="I43" s="381">
        <f>IFERROR(VLOOKUP(H43,Parameter!$F$44:$H$92,3,0),"")</f>
        <v>0</v>
      </c>
      <c r="J43" s="376" t="s">
        <v>222</v>
      </c>
      <c r="K43" s="367">
        <f>IFERROR(INDEX(Parameter!$D$122:$M$122,1,MATCH(Process!$J43,Parameter!$D$121:$M$121,0)),"")</f>
        <v>2.7777777777777777</v>
      </c>
      <c r="L43" s="372">
        <f t="shared" si="1"/>
        <v>0</v>
      </c>
      <c r="M43" s="243">
        <v>5</v>
      </c>
      <c r="N43" s="382">
        <f t="shared" si="2"/>
        <v>5</v>
      </c>
      <c r="O43" s="373" t="s">
        <v>60</v>
      </c>
      <c r="P43" s="371">
        <f>N43*F43/3600/Parameter!$P$6/Parameter!$P$7</f>
        <v>4.5391274969885556E-2</v>
      </c>
      <c r="Q43" s="14"/>
      <c r="R43" s="14"/>
      <c r="S43" s="486"/>
      <c r="T43" s="14"/>
      <c r="U43" s="14"/>
      <c r="V43" s="14"/>
      <c r="W43" s="14"/>
      <c r="X43" s="459">
        <f>P43*Parameter!W$8</f>
        <v>4.4029536720788985E-2</v>
      </c>
      <c r="Y43" s="459">
        <f>X43*Parameter!X$8</f>
        <v>4.0598843278578545E-2</v>
      </c>
      <c r="Z43" s="459">
        <f>Y43*Parameter!Y$8</f>
        <v>3.8558526486238198E-2</v>
      </c>
      <c r="AA43" s="459">
        <f>Z43*Parameter!Z$8</f>
        <v>3.771936932355003E-2</v>
      </c>
      <c r="AB43" s="514">
        <f>VLOOKUP(O43,Parameter!$O$11:$P$22,2,0)*Process!P43</f>
        <v>4577.9315015664697</v>
      </c>
      <c r="AC43" s="514">
        <f>VLOOKUP($O43,Parameter!$O$11:$P$22,2,0)*VLOOKUP($O43,Parameter!$O$11:$T$22,6,0)*X43</f>
        <v>4751.435105475839</v>
      </c>
      <c r="AD43" s="514">
        <f>VLOOKUP($O43,Parameter!$O$11:$P$22,2,0)*VLOOKUP($O43,Parameter!$O$11:$T$22,6,0)^2*Y43</f>
        <v>4687.8976798722879</v>
      </c>
      <c r="AE43" s="514">
        <f>VLOOKUP($O43,Parameter!$O$11:$P$22,2,0)*VLOOKUP($O43,Parameter!$O$11:$T$22,6,0)^3*Z43</f>
        <v>4763.9661900409474</v>
      </c>
      <c r="AF43" s="514">
        <f>VLOOKUP($O43,Parameter!$O$11:$P$22,2,0)*VLOOKUP($O43,Parameter!$O$11:$T$22,6,0)^4*AA43</f>
        <v>4986.5071023234641</v>
      </c>
    </row>
    <row r="44" spans="1:32">
      <c r="A44" s="14">
        <f t="shared" si="0"/>
        <v>43</v>
      </c>
      <c r="B44" s="14" t="s">
        <v>436</v>
      </c>
      <c r="C44" s="14" t="s">
        <v>75</v>
      </c>
      <c r="D44" s="14" t="s">
        <v>76</v>
      </c>
      <c r="E44" s="14" t="s">
        <v>490</v>
      </c>
      <c r="F44" s="372">
        <f>F38</f>
        <v>222.23568225255966</v>
      </c>
      <c r="G44" s="14" t="s">
        <v>526</v>
      </c>
      <c r="H44" s="385" t="s">
        <v>487</v>
      </c>
      <c r="I44" s="381">
        <f>IFERROR(VLOOKUP(H44,Parameter!$F$44:$H$92,3,0),"")</f>
        <v>110</v>
      </c>
      <c r="J44" s="376" t="s">
        <v>35</v>
      </c>
      <c r="K44" s="367">
        <f>IFERROR(INDEX(Parameter!$D$122:$M$122,1,MATCH(Process!$J44,Parameter!$D$121:$M$121,0)),"")</f>
        <v>2.7777777777777777</v>
      </c>
      <c r="L44" s="372">
        <f t="shared" si="1"/>
        <v>39.6</v>
      </c>
      <c r="M44" s="243"/>
      <c r="N44" s="382">
        <f t="shared" si="2"/>
        <v>39.6</v>
      </c>
      <c r="O44" s="373" t="s">
        <v>60</v>
      </c>
      <c r="P44" s="371">
        <f>N44*F44/3600/Parameter!$P$6/Parameter!$P$7</f>
        <v>0.35949889776149357</v>
      </c>
      <c r="Q44" s="14"/>
      <c r="R44" s="14"/>
      <c r="S44" s="486"/>
      <c r="T44" s="14"/>
      <c r="U44" s="14"/>
      <c r="V44" s="14"/>
      <c r="W44" s="14"/>
      <c r="X44" s="459">
        <f>P44*Parameter!W$8</f>
        <v>0.34871393082864871</v>
      </c>
      <c r="Y44" s="459">
        <f>X44*Parameter!X$8</f>
        <v>0.32154283876634204</v>
      </c>
      <c r="Z44" s="459">
        <f>Y44*Parameter!Y$8</f>
        <v>0.30538352977100652</v>
      </c>
      <c r="AA44" s="459">
        <f>Z44*Parameter!Z$8</f>
        <v>0.29873740504251622</v>
      </c>
      <c r="AB44" s="514">
        <f>VLOOKUP(O44,Parameter!$O$11:$P$22,2,0)*Process!P44</f>
        <v>36257.217492406438</v>
      </c>
      <c r="AC44" s="514">
        <f>VLOOKUP($O44,Parameter!$O$11:$P$22,2,0)*VLOOKUP($O44,Parameter!$O$11:$T$22,6,0)*X44</f>
        <v>37631.366035368643</v>
      </c>
      <c r="AD44" s="514">
        <f>VLOOKUP($O44,Parameter!$O$11:$P$22,2,0)*VLOOKUP($O44,Parameter!$O$11:$T$22,6,0)^2*Y44</f>
        <v>37128.149624588514</v>
      </c>
      <c r="AE44" s="514">
        <f>VLOOKUP($O44,Parameter!$O$11:$P$22,2,0)*VLOOKUP($O44,Parameter!$O$11:$T$22,6,0)^3*Z44</f>
        <v>37730.6122251243</v>
      </c>
      <c r="AF44" s="514">
        <f>VLOOKUP($O44,Parameter!$O$11:$P$22,2,0)*VLOOKUP($O44,Parameter!$O$11:$T$22,6,0)^4*AA44</f>
        <v>39493.136250401833</v>
      </c>
    </row>
    <row r="45" spans="1:32">
      <c r="A45" s="14">
        <f t="shared" si="0"/>
        <v>44</v>
      </c>
      <c r="B45" s="14" t="s">
        <v>436</v>
      </c>
      <c r="C45" s="14" t="s">
        <v>79</v>
      </c>
      <c r="D45" s="14" t="s">
        <v>234</v>
      </c>
      <c r="E45" s="14" t="s">
        <v>77</v>
      </c>
      <c r="F45" s="372">
        <f>Parameter!R57/Parameter!R58</f>
        <v>355.57709160409547</v>
      </c>
      <c r="G45" s="14" t="s">
        <v>526</v>
      </c>
      <c r="H45" s="373" t="s">
        <v>513</v>
      </c>
      <c r="I45" s="381">
        <f>IFERROR(VLOOKUP(H45,Parameter!$F$44:$H$92,3,0),"")</f>
        <v>0</v>
      </c>
      <c r="J45" s="376" t="s">
        <v>36</v>
      </c>
      <c r="K45" s="367">
        <f>IFERROR(INDEX(Parameter!$D$122:$M$122,1,MATCH(Process!$J45,Parameter!$D$121:$M$121,0)),"")</f>
        <v>2.7777777777777777</v>
      </c>
      <c r="L45" s="372">
        <f t="shared" si="1"/>
        <v>0</v>
      </c>
      <c r="M45" s="243">
        <v>5</v>
      </c>
      <c r="N45" s="382">
        <f t="shared" si="2"/>
        <v>5</v>
      </c>
      <c r="O45" s="373" t="s">
        <v>60</v>
      </c>
      <c r="P45" s="371">
        <f>N45*F45/3600/Parameter!$P$6/Parameter!$P$7</f>
        <v>7.2626039951816893E-2</v>
      </c>
      <c r="Q45" s="14"/>
      <c r="R45" s="14"/>
      <c r="S45" s="486"/>
      <c r="T45" s="14"/>
      <c r="U45" s="14"/>
      <c r="V45" s="14"/>
      <c r="W45" s="14"/>
      <c r="X45" s="459">
        <f>P45*Parameter!W$8</f>
        <v>7.0447258753262382E-2</v>
      </c>
      <c r="Y45" s="459">
        <f>X45*Parameter!X$8</f>
        <v>6.4958149245725683E-2</v>
      </c>
      <c r="Z45" s="459">
        <f>Y45*Parameter!Y$8</f>
        <v>6.1693642377981132E-2</v>
      </c>
      <c r="AA45" s="459">
        <f>Z45*Parameter!Z$8</f>
        <v>6.0350990917680064E-2</v>
      </c>
      <c r="AB45" s="514">
        <f>VLOOKUP(O45,Parameter!$O$11:$P$22,2,0)*Process!P45</f>
        <v>7324.6904025063523</v>
      </c>
      <c r="AC45" s="514">
        <f>VLOOKUP($O45,Parameter!$O$11:$P$22,2,0)*VLOOKUP($O45,Parameter!$O$11:$T$22,6,0)*X45</f>
        <v>7602.2961687613433</v>
      </c>
      <c r="AD45" s="514">
        <f>VLOOKUP($O45,Parameter!$O$11:$P$22,2,0)*VLOOKUP($O45,Parameter!$O$11:$T$22,6,0)^2*Y45</f>
        <v>7500.6362877956617</v>
      </c>
      <c r="AE45" s="514">
        <f>VLOOKUP($O45,Parameter!$O$11:$P$22,2,0)*VLOOKUP($O45,Parameter!$O$11:$T$22,6,0)^3*Z45</f>
        <v>7622.3459040655171</v>
      </c>
      <c r="AF45" s="514">
        <f>VLOOKUP($O45,Parameter!$O$11:$P$22,2,0)*VLOOKUP($O45,Parameter!$O$11:$T$22,6,0)^4*AA45</f>
        <v>7978.4113637175451</v>
      </c>
    </row>
    <row r="46" spans="1:32">
      <c r="A46" s="14">
        <f t="shared" si="0"/>
        <v>45</v>
      </c>
      <c r="B46" s="14" t="s">
        <v>436</v>
      </c>
      <c r="C46" s="14" t="s">
        <v>79</v>
      </c>
      <c r="D46" s="14" t="s">
        <v>234</v>
      </c>
      <c r="E46" s="14" t="s">
        <v>491</v>
      </c>
      <c r="F46" s="372">
        <f>F45</f>
        <v>355.57709160409547</v>
      </c>
      <c r="G46" s="14" t="s">
        <v>526</v>
      </c>
      <c r="H46" s="385" t="s">
        <v>492</v>
      </c>
      <c r="I46" s="381">
        <f>IFERROR(VLOOKUP(H46,Parameter!$F$44:$H$92,3,0),"")</f>
        <v>77</v>
      </c>
      <c r="J46" s="376" t="s">
        <v>36</v>
      </c>
      <c r="K46" s="367">
        <f>IFERROR(INDEX(Parameter!$D$122:$M$122,1,MATCH(Process!$J46,Parameter!$D$121:$M$121,0)),"")</f>
        <v>2.7777777777777777</v>
      </c>
      <c r="L46" s="372">
        <f t="shared" si="1"/>
        <v>27.720000000000002</v>
      </c>
      <c r="M46" s="243"/>
      <c r="N46" s="382">
        <f t="shared" si="2"/>
        <v>27.720000000000002</v>
      </c>
      <c r="O46" s="373" t="s">
        <v>60</v>
      </c>
      <c r="P46" s="371">
        <f>N46*F46/3600/Parameter!$P$6/Parameter!$P$7</f>
        <v>0.40263876549287281</v>
      </c>
      <c r="Q46" s="14"/>
      <c r="R46" s="14"/>
      <c r="S46" s="486"/>
      <c r="T46" s="14"/>
      <c r="U46" s="14"/>
      <c r="V46" s="14"/>
      <c r="W46" s="14"/>
      <c r="X46" s="459">
        <f>P46*Parameter!W$8</f>
        <v>0.39055960252808658</v>
      </c>
      <c r="Y46" s="459">
        <f>X46*Parameter!X$8</f>
        <v>0.3601279794183031</v>
      </c>
      <c r="Z46" s="459">
        <f>Y46*Parameter!Y$8</f>
        <v>0.3420295533435273</v>
      </c>
      <c r="AA46" s="459">
        <f>Z46*Parameter!Z$8</f>
        <v>0.33458589364761815</v>
      </c>
      <c r="AB46" s="514">
        <f>VLOOKUP(O46,Parameter!$O$11:$P$22,2,0)*Process!P46</f>
        <v>40608.083591495211</v>
      </c>
      <c r="AC46" s="514">
        <f>VLOOKUP($O46,Parameter!$O$11:$P$22,2,0)*VLOOKUP($O46,Parameter!$O$11:$T$22,6,0)*X46</f>
        <v>42147.129959612881</v>
      </c>
      <c r="AD46" s="514">
        <f>VLOOKUP($O46,Parameter!$O$11:$P$22,2,0)*VLOOKUP($O46,Parameter!$O$11:$T$22,6,0)^2*Y46</f>
        <v>41583.527579539143</v>
      </c>
      <c r="AE46" s="514">
        <f>VLOOKUP($O46,Parameter!$O$11:$P$22,2,0)*VLOOKUP($O46,Parameter!$O$11:$T$22,6,0)^3*Z46</f>
        <v>42258.285692139216</v>
      </c>
      <c r="AF46" s="514">
        <f>VLOOKUP($O46,Parameter!$O$11:$P$22,2,0)*VLOOKUP($O46,Parameter!$O$11:$T$22,6,0)^4*AA46</f>
        <v>44232.312600450052</v>
      </c>
    </row>
    <row r="47" spans="1:32">
      <c r="A47" s="14">
        <f t="shared" si="0"/>
        <v>46</v>
      </c>
      <c r="B47" s="14" t="s">
        <v>436</v>
      </c>
      <c r="C47" s="14" t="s">
        <v>79</v>
      </c>
      <c r="D47" s="14" t="s">
        <v>234</v>
      </c>
      <c r="E47" s="14" t="s">
        <v>478</v>
      </c>
      <c r="F47" s="372">
        <f>F46</f>
        <v>355.57709160409547</v>
      </c>
      <c r="G47" s="14" t="s">
        <v>526</v>
      </c>
      <c r="H47" s="385" t="s">
        <v>493</v>
      </c>
      <c r="I47" s="381">
        <f>IFERROR(VLOOKUP(H47,Parameter!$F$44:$H$92,3,0),"")</f>
        <v>80</v>
      </c>
      <c r="J47" s="376" t="s">
        <v>36</v>
      </c>
      <c r="K47" s="367">
        <f>IFERROR(INDEX(Parameter!$D$122:$M$122,1,MATCH(Process!$J47,Parameter!$D$121:$M$121,0)),"")</f>
        <v>2.7777777777777777</v>
      </c>
      <c r="L47" s="372">
        <f t="shared" si="1"/>
        <v>28.8</v>
      </c>
      <c r="M47" s="243"/>
      <c r="N47" s="382">
        <f t="shared" ref="N47:N48" si="8">L47+M47</f>
        <v>28.8</v>
      </c>
      <c r="O47" s="373" t="s">
        <v>60</v>
      </c>
      <c r="P47" s="371">
        <f>N47*F47/3600/Parameter!$P$6/Parameter!$P$7</f>
        <v>0.41832599012246524</v>
      </c>
      <c r="Q47" s="14"/>
      <c r="R47" s="492"/>
      <c r="S47" s="486"/>
      <c r="T47" s="14"/>
      <c r="U47" s="14"/>
      <c r="V47" s="14"/>
      <c r="W47" s="14"/>
      <c r="X47" s="459">
        <f>P47*Parameter!W$8</f>
        <v>0.40577621041879125</v>
      </c>
      <c r="Y47" s="459">
        <f>X47*Parameter!X$8</f>
        <v>0.37415893965537983</v>
      </c>
      <c r="Z47" s="459">
        <f>Y47*Parameter!Y$8</f>
        <v>0.35535538009717121</v>
      </c>
      <c r="AA47" s="459">
        <f>Z47*Parameter!Z$8</f>
        <v>0.34762170768583706</v>
      </c>
      <c r="AB47" s="514">
        <f>VLOOKUP(O47,Parameter!$O$11:$P$22,2,0)*Process!P47</f>
        <v>42190.216718436583</v>
      </c>
      <c r="AC47" s="514">
        <f>VLOOKUP($O47,Parameter!$O$11:$P$22,2,0)*VLOOKUP($O47,Parameter!$O$11:$T$22,6,0)*X47</f>
        <v>43789.225932065332</v>
      </c>
      <c r="AD47" s="514">
        <f>VLOOKUP($O47,Parameter!$O$11:$P$22,2,0)*VLOOKUP($O47,Parameter!$O$11:$T$22,6,0)^2*Y47</f>
        <v>43203.665017703002</v>
      </c>
      <c r="AE47" s="514">
        <f>VLOOKUP($O47,Parameter!$O$11:$P$22,2,0)*VLOOKUP($O47,Parameter!$O$11:$T$22,6,0)^3*Z47</f>
        <v>43904.712407417363</v>
      </c>
      <c r="AF47" s="514">
        <f>VLOOKUP($O47,Parameter!$O$11:$P$22,2,0)*VLOOKUP($O47,Parameter!$O$11:$T$22,6,0)^4*AA47</f>
        <v>45955.649455013045</v>
      </c>
    </row>
    <row r="48" spans="1:32">
      <c r="A48" s="14">
        <f t="shared" si="0"/>
        <v>47</v>
      </c>
      <c r="B48" s="14" t="s">
        <v>436</v>
      </c>
      <c r="C48" s="14" t="s">
        <v>79</v>
      </c>
      <c r="D48" s="14" t="s">
        <v>234</v>
      </c>
      <c r="E48" s="14" t="s">
        <v>483</v>
      </c>
      <c r="F48" s="372">
        <f>Parameter!R57</f>
        <v>355.57709160409547</v>
      </c>
      <c r="G48" s="14" t="s">
        <v>228</v>
      </c>
      <c r="H48" s="385" t="s">
        <v>494</v>
      </c>
      <c r="I48" s="381">
        <f>IFERROR(VLOOKUP(H48,Parameter!$F$44:$H$92,3,0),"")</f>
        <v>30</v>
      </c>
      <c r="J48" s="376" t="s">
        <v>36</v>
      </c>
      <c r="K48" s="367">
        <f>IFERROR(INDEX(Parameter!$D$122:$M$122,1,MATCH(Process!$J48,Parameter!$D$121:$M$121,0)),"")</f>
        <v>2.7777777777777777</v>
      </c>
      <c r="L48" s="372">
        <f t="shared" si="1"/>
        <v>10.8</v>
      </c>
      <c r="M48" s="243"/>
      <c r="N48" s="382">
        <f t="shared" si="8"/>
        <v>10.8</v>
      </c>
      <c r="O48" s="373" t="s">
        <v>60</v>
      </c>
      <c r="P48" s="371">
        <f>N48*F48/3600/Parameter!$P$6/Parameter!$P$7</f>
        <v>0.1568722462959245</v>
      </c>
      <c r="Q48" s="14"/>
      <c r="R48" s="492"/>
      <c r="S48" s="486"/>
      <c r="T48" s="14"/>
      <c r="U48" s="14"/>
      <c r="V48" s="14"/>
      <c r="W48" s="14"/>
      <c r="X48" s="459">
        <f>P48*Parameter!W$8</f>
        <v>0.15216607890704675</v>
      </c>
      <c r="Y48" s="459">
        <f>X48*Parameter!X$8</f>
        <v>0.14030960237076748</v>
      </c>
      <c r="Z48" s="459">
        <f>Y48*Parameter!Y$8</f>
        <v>0.13325826753643924</v>
      </c>
      <c r="AA48" s="459">
        <f>Z48*Parameter!Z$8</f>
        <v>0.13035814038218893</v>
      </c>
      <c r="AB48" s="514">
        <f>VLOOKUP(O48,Parameter!$O$11:$P$22,2,0)*Process!P48</f>
        <v>15821.331269413722</v>
      </c>
      <c r="AC48" s="514">
        <f>VLOOKUP($O48,Parameter!$O$11:$P$22,2,0)*VLOOKUP($O48,Parameter!$O$11:$T$22,6,0)*X48</f>
        <v>16420.959724524502</v>
      </c>
      <c r="AD48" s="514">
        <f>VLOOKUP($O48,Parameter!$O$11:$P$22,2,0)*VLOOKUP($O48,Parameter!$O$11:$T$22,6,0)^2*Y48</f>
        <v>16201.37438163863</v>
      </c>
      <c r="AE48" s="514">
        <f>VLOOKUP($O48,Parameter!$O$11:$P$22,2,0)*VLOOKUP($O48,Parameter!$O$11:$T$22,6,0)^3*Z48</f>
        <v>16464.267152781515</v>
      </c>
      <c r="AF48" s="514">
        <f>VLOOKUP($O48,Parameter!$O$11:$P$22,2,0)*VLOOKUP($O48,Parameter!$O$11:$T$22,6,0)^4*AA48</f>
        <v>17233.368545629895</v>
      </c>
    </row>
    <row r="49" spans="1:32">
      <c r="A49" s="14">
        <f t="shared" si="0"/>
        <v>48</v>
      </c>
      <c r="B49" s="14" t="s">
        <v>436</v>
      </c>
      <c r="C49" s="14" t="s">
        <v>79</v>
      </c>
      <c r="D49" s="14" t="s">
        <v>234</v>
      </c>
      <c r="E49" s="14" t="s">
        <v>78</v>
      </c>
      <c r="F49" s="372">
        <f>F46*(1-Parameter!R59)</f>
        <v>284.46167328327641</v>
      </c>
      <c r="G49" s="14" t="s">
        <v>228</v>
      </c>
      <c r="H49" s="373" t="s">
        <v>513</v>
      </c>
      <c r="I49" s="381">
        <f>IFERROR(VLOOKUP(H49,Parameter!$F$44:$H$92,3,0),"")</f>
        <v>0</v>
      </c>
      <c r="J49" s="376" t="s">
        <v>36</v>
      </c>
      <c r="K49" s="367">
        <f>IFERROR(INDEX(Parameter!$D$122:$M$122,1,MATCH(Process!$J49,Parameter!$D$121:$M$121,0)),"")</f>
        <v>2.7777777777777777</v>
      </c>
      <c r="L49" s="372">
        <f t="shared" si="1"/>
        <v>0</v>
      </c>
      <c r="M49" s="384">
        <v>60</v>
      </c>
      <c r="N49" s="382">
        <f t="shared" si="2"/>
        <v>60</v>
      </c>
      <c r="O49" s="373" t="s">
        <v>60</v>
      </c>
      <c r="P49" s="371">
        <f>N49*F49/3600/Parameter!$P$6/Parameter!$P$7</f>
        <v>0.69720998353744212</v>
      </c>
      <c r="Q49" s="14"/>
      <c r="R49" s="14"/>
      <c r="S49" s="486"/>
      <c r="T49" s="14"/>
      <c r="U49" s="14"/>
      <c r="V49" s="14"/>
      <c r="W49" s="14"/>
      <c r="X49" s="459">
        <f>P49*Parameter!W$8</f>
        <v>0.67629368403131873</v>
      </c>
      <c r="Y49" s="459">
        <f>X49*Parameter!X$8</f>
        <v>0.62359823275896642</v>
      </c>
      <c r="Z49" s="459">
        <f>Y49*Parameter!Y$8</f>
        <v>0.59225896682861878</v>
      </c>
      <c r="AA49" s="459">
        <f>Z49*Parameter!Z$8</f>
        <v>0.57936951280972848</v>
      </c>
      <c r="AB49" s="514">
        <f>VLOOKUP(O49,Parameter!$O$11:$P$22,2,0)*Process!P49</f>
        <v>70317.027864060976</v>
      </c>
      <c r="AC49" s="514">
        <f>VLOOKUP($O49,Parameter!$O$11:$P$22,2,0)*VLOOKUP($O49,Parameter!$O$11:$T$22,6,0)*X49</f>
        <v>72982.043220108884</v>
      </c>
      <c r="AD49" s="514">
        <f>VLOOKUP($O49,Parameter!$O$11:$P$22,2,0)*VLOOKUP($O49,Parameter!$O$11:$T$22,6,0)^2*Y49</f>
        <v>72006.108362838335</v>
      </c>
      <c r="AE49" s="514">
        <f>VLOOKUP($O49,Parameter!$O$11:$P$22,2,0)*VLOOKUP($O49,Parameter!$O$11:$T$22,6,0)^3*Z49</f>
        <v>73174.520679028952</v>
      </c>
      <c r="AF49" s="514">
        <f>VLOOKUP($O49,Parameter!$O$11:$P$22,2,0)*VLOOKUP($O49,Parameter!$O$11:$T$22,6,0)^4*AA49</f>
        <v>76592.749091688413</v>
      </c>
    </row>
    <row r="50" spans="1:32">
      <c r="A50" s="14">
        <f t="shared" si="0"/>
        <v>49</v>
      </c>
      <c r="B50" s="14" t="s">
        <v>436</v>
      </c>
      <c r="C50" s="14" t="s">
        <v>79</v>
      </c>
      <c r="D50" s="14" t="s">
        <v>234</v>
      </c>
      <c r="E50" s="14" t="s">
        <v>73</v>
      </c>
      <c r="F50" s="372">
        <f t="shared" ref="F50" si="9">F49</f>
        <v>284.46167328327641</v>
      </c>
      <c r="G50" s="14" t="s">
        <v>228</v>
      </c>
      <c r="H50" s="373" t="s">
        <v>513</v>
      </c>
      <c r="I50" s="381">
        <f>IFERROR(VLOOKUP(H50,Parameter!$F$44:$H$92,3,0),"")</f>
        <v>0</v>
      </c>
      <c r="J50" s="376" t="s">
        <v>36</v>
      </c>
      <c r="K50" s="367">
        <f>IFERROR(INDEX(Parameter!$D$122:$M$122,1,MATCH(Process!$J50,Parameter!$D$121:$M$121,0)),"")</f>
        <v>2.7777777777777777</v>
      </c>
      <c r="L50" s="372">
        <f t="shared" si="1"/>
        <v>0</v>
      </c>
      <c r="M50" s="243">
        <v>5</v>
      </c>
      <c r="N50" s="382">
        <f t="shared" si="2"/>
        <v>5</v>
      </c>
      <c r="O50" s="373" t="s">
        <v>60</v>
      </c>
      <c r="P50" s="371">
        <f>N50*F50/3600/Parameter!$P$6/Parameter!$P$7</f>
        <v>5.810083196145352E-2</v>
      </c>
      <c r="Q50" s="14"/>
      <c r="R50" s="14"/>
      <c r="S50" s="486"/>
      <c r="T50" s="14"/>
      <c r="U50" s="14"/>
      <c r="V50" s="14"/>
      <c r="W50" s="14"/>
      <c r="X50" s="459">
        <f>P50*Parameter!W$8</f>
        <v>5.6357807002609908E-2</v>
      </c>
      <c r="Y50" s="459">
        <f>X50*Parameter!X$8</f>
        <v>5.1966519396580549E-2</v>
      </c>
      <c r="Z50" s="459">
        <f>Y50*Parameter!Y$8</f>
        <v>4.935491390238491E-2</v>
      </c>
      <c r="AA50" s="459">
        <f>Z50*Parameter!Z$8</f>
        <v>4.8280792734144054E-2</v>
      </c>
      <c r="AB50" s="514">
        <f>VLOOKUP(O50,Parameter!$O$11:$P$22,2,0)*Process!P50</f>
        <v>5859.7523220050825</v>
      </c>
      <c r="AC50" s="514">
        <f>VLOOKUP($O50,Parameter!$O$11:$P$22,2,0)*VLOOKUP($O50,Parameter!$O$11:$T$22,6,0)*X50</f>
        <v>6081.8369350090752</v>
      </c>
      <c r="AD50" s="514">
        <f>VLOOKUP($O50,Parameter!$O$11:$P$22,2,0)*VLOOKUP($O50,Parameter!$O$11:$T$22,6,0)^2*Y50</f>
        <v>6000.5090302365297</v>
      </c>
      <c r="AE50" s="514">
        <f>VLOOKUP($O50,Parameter!$O$11:$P$22,2,0)*VLOOKUP($O50,Parameter!$O$11:$T$22,6,0)^3*Z50</f>
        <v>6097.8767232524142</v>
      </c>
      <c r="AF50" s="514">
        <f>VLOOKUP($O50,Parameter!$O$11:$P$22,2,0)*VLOOKUP($O50,Parameter!$O$11:$T$22,6,0)^4*AA50</f>
        <v>6382.7290909740359</v>
      </c>
    </row>
    <row r="51" spans="1:32">
      <c r="A51" s="14">
        <f t="shared" si="0"/>
        <v>50</v>
      </c>
      <c r="B51" s="14" t="s">
        <v>436</v>
      </c>
      <c r="C51" s="239" t="s">
        <v>79</v>
      </c>
      <c r="D51" s="14" t="s">
        <v>234</v>
      </c>
      <c r="E51" s="239" t="s">
        <v>515</v>
      </c>
      <c r="F51" s="372">
        <f>F46</f>
        <v>355.57709160409547</v>
      </c>
      <c r="G51" s="14" t="s">
        <v>526</v>
      </c>
      <c r="H51" s="373" t="s">
        <v>492</v>
      </c>
      <c r="I51" s="381">
        <f>IFERROR(VLOOKUP(H51,Parameter!$F$44:$H$92,3,0),"")</f>
        <v>77</v>
      </c>
      <c r="J51" s="376" t="s">
        <v>36</v>
      </c>
      <c r="K51" s="367">
        <f>IFERROR(INDEX(Parameter!$D$122:$M$122,1,MATCH(Process!$J51,Parameter!$D$121:$M$121,0)),"")</f>
        <v>2.7777777777777777</v>
      </c>
      <c r="L51" s="372">
        <f t="shared" si="1"/>
        <v>27.720000000000002</v>
      </c>
      <c r="M51" s="243"/>
      <c r="N51" s="382">
        <f t="shared" si="2"/>
        <v>27.720000000000002</v>
      </c>
      <c r="O51" s="373" t="s">
        <v>60</v>
      </c>
      <c r="P51" s="371">
        <f>N51*F51/3600/Parameter!$P$6/Parameter!$P$7</f>
        <v>0.40263876549287281</v>
      </c>
      <c r="Q51" s="14"/>
      <c r="R51" s="14"/>
      <c r="S51" s="486"/>
      <c r="T51" s="14"/>
      <c r="U51" s="14"/>
      <c r="V51" s="14"/>
      <c r="W51" s="14"/>
      <c r="X51" s="459">
        <f>P51*Parameter!W$8</f>
        <v>0.39055960252808658</v>
      </c>
      <c r="Y51" s="459">
        <f>X51*Parameter!X$8</f>
        <v>0.3601279794183031</v>
      </c>
      <c r="Z51" s="459">
        <f>Y51*Parameter!Y$8</f>
        <v>0.3420295533435273</v>
      </c>
      <c r="AA51" s="459">
        <f>Z51*Parameter!Z$8</f>
        <v>0.33458589364761815</v>
      </c>
      <c r="AB51" s="514">
        <f>VLOOKUP(O51,Parameter!$O$11:$P$22,2,0)*Process!P51</f>
        <v>40608.083591495211</v>
      </c>
      <c r="AC51" s="514">
        <f>VLOOKUP($O51,Parameter!$O$11:$P$22,2,0)*VLOOKUP($O51,Parameter!$O$11:$T$22,6,0)*X51</f>
        <v>42147.129959612881</v>
      </c>
      <c r="AD51" s="514">
        <f>VLOOKUP($O51,Parameter!$O$11:$P$22,2,0)*VLOOKUP($O51,Parameter!$O$11:$T$22,6,0)^2*Y51</f>
        <v>41583.527579539143</v>
      </c>
      <c r="AE51" s="514">
        <f>VLOOKUP($O51,Parameter!$O$11:$P$22,2,0)*VLOOKUP($O51,Parameter!$O$11:$T$22,6,0)^3*Z51</f>
        <v>42258.285692139216</v>
      </c>
      <c r="AF51" s="514">
        <f>VLOOKUP($O51,Parameter!$O$11:$P$22,2,0)*VLOOKUP($O51,Parameter!$O$11:$T$22,6,0)^4*AA51</f>
        <v>44232.312600450052</v>
      </c>
    </row>
    <row r="52" spans="1:32" s="240" customFormat="1">
      <c r="A52" s="14">
        <f t="shared" si="0"/>
        <v>51</v>
      </c>
      <c r="B52" s="14" t="s">
        <v>436</v>
      </c>
      <c r="C52" s="239" t="s">
        <v>79</v>
      </c>
      <c r="D52" s="14" t="s">
        <v>234</v>
      </c>
      <c r="E52" s="239" t="s">
        <v>638</v>
      </c>
      <c r="F52" s="382">
        <f>F48-F49</f>
        <v>71.11541832081906</v>
      </c>
      <c r="G52" s="239" t="s">
        <v>228</v>
      </c>
      <c r="H52" s="375" t="s">
        <v>513</v>
      </c>
      <c r="I52" s="381">
        <f>IFERROR(VLOOKUP(H52,Parameter!$F$44:$H$92,3,0),"")</f>
        <v>0</v>
      </c>
      <c r="J52" s="414" t="s">
        <v>644</v>
      </c>
      <c r="K52" s="367">
        <f>IFERROR(INDEX(Parameter!$D$122:$M$122,1,MATCH(Process!$J52,Parameter!$D$121:$M$121,0)),"")</f>
        <v>0.5</v>
      </c>
      <c r="L52" s="372">
        <f t="shared" ref="L52" si="10">IFERROR(I52/K52,0)</f>
        <v>0</v>
      </c>
      <c r="M52" s="384">
        <v>240</v>
      </c>
      <c r="N52" s="382">
        <f t="shared" ref="N52" si="11">L52+M52</f>
        <v>240</v>
      </c>
      <c r="O52" s="375" t="s">
        <v>60</v>
      </c>
      <c r="P52" s="371">
        <f>N52*F52/3600/Parameter!$P$6/Parameter!$P$7</f>
        <v>0.69720998353744179</v>
      </c>
      <c r="Q52" s="238"/>
      <c r="R52" s="238"/>
      <c r="S52" s="238"/>
      <c r="T52" s="238"/>
      <c r="U52" s="238"/>
      <c r="V52" s="238"/>
      <c r="W52" s="238"/>
      <c r="X52" s="459">
        <f>P52*Parameter!W$8</f>
        <v>0.6762936840313184</v>
      </c>
      <c r="Y52" s="459">
        <f>X52*Parameter!X$8</f>
        <v>0.62359823275896609</v>
      </c>
      <c r="Z52" s="459">
        <f>Y52*Parameter!Y$8</f>
        <v>0.59225896682861845</v>
      </c>
      <c r="AA52" s="459">
        <f>Z52*Parameter!Z$8</f>
        <v>0.57936951280972815</v>
      </c>
      <c r="AB52" s="514">
        <f>VLOOKUP(O52,Parameter!$O$11:$P$22,2,0)*Process!P52</f>
        <v>70317.027864060947</v>
      </c>
      <c r="AC52" s="514">
        <f>VLOOKUP($O52,Parameter!$O$11:$P$22,2,0)*VLOOKUP($O52,Parameter!$O$11:$T$22,6,0)*X52</f>
        <v>72982.043220108855</v>
      </c>
      <c r="AD52" s="514">
        <f>VLOOKUP($O52,Parameter!$O$11:$P$22,2,0)*VLOOKUP($O52,Parameter!$O$11:$T$22,6,0)^2*Y52</f>
        <v>72006.108362838306</v>
      </c>
      <c r="AE52" s="514">
        <f>VLOOKUP($O52,Parameter!$O$11:$P$22,2,0)*VLOOKUP($O52,Parameter!$O$11:$T$22,6,0)^3*Z52</f>
        <v>73174.520679028908</v>
      </c>
      <c r="AF52" s="514">
        <f>VLOOKUP($O52,Parameter!$O$11:$P$22,2,0)*VLOOKUP($O52,Parameter!$O$11:$T$22,6,0)^4*AA52</f>
        <v>76592.749091688369</v>
      </c>
    </row>
    <row r="53" spans="1:32">
      <c r="A53" s="14">
        <f t="shared" si="0"/>
        <v>52</v>
      </c>
      <c r="B53" s="14" t="s">
        <v>436</v>
      </c>
      <c r="C53" s="239" t="s">
        <v>441</v>
      </c>
      <c r="D53" s="239" t="s">
        <v>442</v>
      </c>
      <c r="E53" s="14" t="s">
        <v>77</v>
      </c>
      <c r="F53" s="372">
        <f>Parameter!R47/Parameter!R62</f>
        <v>18.763566552901022</v>
      </c>
      <c r="G53" s="14" t="s">
        <v>526</v>
      </c>
      <c r="H53" s="373" t="s">
        <v>513</v>
      </c>
      <c r="I53" s="381">
        <f>IFERROR(VLOOKUP(H53,Parameter!$F$44:$H$92,3,0),"")</f>
        <v>0</v>
      </c>
      <c r="J53" s="376" t="s">
        <v>639</v>
      </c>
      <c r="K53" s="367">
        <f>IFERROR(INDEX(Parameter!$D$122:$M$122,1,MATCH(Process!$J53,Parameter!$D$121:$M$121,0)),"")</f>
        <v>0.5</v>
      </c>
      <c r="L53" s="372">
        <f t="shared" si="1"/>
        <v>0</v>
      </c>
      <c r="M53" s="243">
        <v>5</v>
      </c>
      <c r="N53" s="382">
        <f t="shared" si="2"/>
        <v>5</v>
      </c>
      <c r="O53" s="373" t="s">
        <v>641</v>
      </c>
      <c r="P53" s="371">
        <f>N53*F53/3600/Parameter!$P$6/Parameter!$P$7</f>
        <v>3.8324278090075617E-3</v>
      </c>
      <c r="Q53" s="14"/>
      <c r="R53" s="14"/>
      <c r="S53" s="486"/>
      <c r="T53" s="14"/>
      <c r="U53" s="14"/>
      <c r="V53" s="14"/>
      <c r="W53" s="14"/>
      <c r="X53" s="459">
        <f>P53*Parameter!W$8</f>
        <v>3.7174549747373345E-3</v>
      </c>
      <c r="Y53" s="459">
        <f>X53*Parameter!X$8</f>
        <v>3.4277983180157506E-3</v>
      </c>
      <c r="Z53" s="459">
        <f>Y53*Parameter!Y$8</f>
        <v>3.2555324625327766E-3</v>
      </c>
      <c r="AA53" s="459">
        <f>Z53*Parameter!Z$8</f>
        <v>3.1846816382598815E-3</v>
      </c>
      <c r="AB53" s="514">
        <f>VLOOKUP(O53,Parameter!$O$11:$P$22,2,0)*Process!P53</f>
        <v>386.51903930821265</v>
      </c>
      <c r="AC53" s="514">
        <f>VLOOKUP($O53,Parameter!$O$11:$P$22,2,0)*VLOOKUP($O53,Parameter!$O$11:$T$22,6,0)*X53</f>
        <v>401.16811089799393</v>
      </c>
      <c r="AD53" s="514">
        <f>VLOOKUP($O53,Parameter!$O$11:$P$22,2,0)*VLOOKUP($O53,Parameter!$O$11:$T$22,6,0)^2*Y53</f>
        <v>395.80358661535701</v>
      </c>
      <c r="AE53" s="514">
        <f>VLOOKUP($O53,Parameter!$O$11:$P$22,2,0)*VLOOKUP($O53,Parameter!$O$11:$T$22,6,0)^3*Z53</f>
        <v>402.22612209059002</v>
      </c>
      <c r="AF53" s="514">
        <f>VLOOKUP($O53,Parameter!$O$11:$P$22,2,0)*VLOOKUP($O53,Parameter!$O$11:$T$22,6,0)^4*AA53</f>
        <v>421.01545950046142</v>
      </c>
    </row>
    <row r="54" spans="1:32">
      <c r="A54" s="14">
        <f t="shared" si="0"/>
        <v>53</v>
      </c>
      <c r="B54" s="14" t="s">
        <v>436</v>
      </c>
      <c r="C54" s="239" t="s">
        <v>441</v>
      </c>
      <c r="D54" s="239" t="s">
        <v>442</v>
      </c>
      <c r="E54" s="14" t="s">
        <v>516</v>
      </c>
      <c r="F54" s="372">
        <f>F53</f>
        <v>18.763566552901022</v>
      </c>
      <c r="G54" s="14" t="s">
        <v>526</v>
      </c>
      <c r="H54" s="373" t="s">
        <v>495</v>
      </c>
      <c r="I54" s="381">
        <f>IFERROR(VLOOKUP(H54,Parameter!$F$44:$H$92,3,0),"")</f>
        <v>320</v>
      </c>
      <c r="J54" s="376" t="s">
        <v>639</v>
      </c>
      <c r="K54" s="367">
        <f>IFERROR(INDEX(Parameter!$D$122:$M$122,1,MATCH(Process!$J54,Parameter!$D$121:$M$121,0)),"")</f>
        <v>0.5</v>
      </c>
      <c r="L54" s="372">
        <f t="shared" si="1"/>
        <v>640</v>
      </c>
      <c r="M54" s="243"/>
      <c r="N54" s="382">
        <f t="shared" si="2"/>
        <v>640</v>
      </c>
      <c r="O54" s="373" t="s">
        <v>641</v>
      </c>
      <c r="P54" s="371">
        <f>N54*F54/3600/Parameter!$P$6/Parameter!$P$7</f>
        <v>0.4905507595529679</v>
      </c>
      <c r="Q54" s="14"/>
      <c r="R54" s="14"/>
      <c r="S54" s="486"/>
      <c r="T54" s="14"/>
      <c r="U54" s="14"/>
      <c r="V54" s="14"/>
      <c r="W54" s="14"/>
      <c r="X54" s="459">
        <f>P54*Parameter!W$8</f>
        <v>0.47583423676637882</v>
      </c>
      <c r="Y54" s="459">
        <f>X54*Parameter!X$8</f>
        <v>0.43875818470601607</v>
      </c>
      <c r="Z54" s="459">
        <f>Y54*Parameter!Y$8</f>
        <v>0.41670815520419541</v>
      </c>
      <c r="AA54" s="459">
        <f>Z54*Parameter!Z$8</f>
        <v>0.40763924969726484</v>
      </c>
      <c r="AB54" s="514">
        <f>VLOOKUP(O54,Parameter!$O$11:$P$22,2,0)*Process!P54</f>
        <v>49474.43703145122</v>
      </c>
      <c r="AC54" s="514">
        <f>VLOOKUP($O54,Parameter!$O$11:$P$22,2,0)*VLOOKUP($O54,Parameter!$O$11:$T$22,6,0)*X54</f>
        <v>51349.518194943223</v>
      </c>
      <c r="AD54" s="514">
        <f>VLOOKUP($O54,Parameter!$O$11:$P$22,2,0)*VLOOKUP($O54,Parameter!$O$11:$T$22,6,0)^2*Y54</f>
        <v>50662.859086765697</v>
      </c>
      <c r="AE54" s="514">
        <f>VLOOKUP($O54,Parameter!$O$11:$P$22,2,0)*VLOOKUP($O54,Parameter!$O$11:$T$22,6,0)^3*Z54</f>
        <v>51484.943627595523</v>
      </c>
      <c r="AF54" s="514">
        <f>VLOOKUP($O54,Parameter!$O$11:$P$22,2,0)*VLOOKUP($O54,Parameter!$O$11:$T$22,6,0)^4*AA54</f>
        <v>53889.978816059062</v>
      </c>
    </row>
    <row r="55" spans="1:32">
      <c r="A55" s="14">
        <f t="shared" si="0"/>
        <v>54</v>
      </c>
      <c r="B55" s="14" t="s">
        <v>436</v>
      </c>
      <c r="C55" s="239" t="s">
        <v>441</v>
      </c>
      <c r="D55" s="239" t="s">
        <v>442</v>
      </c>
      <c r="E55" s="14" t="s">
        <v>511</v>
      </c>
      <c r="F55" s="372">
        <f>F54</f>
        <v>18.763566552901022</v>
      </c>
      <c r="G55" s="14" t="s">
        <v>527</v>
      </c>
      <c r="H55" s="373" t="s">
        <v>496</v>
      </c>
      <c r="I55" s="381">
        <f>IFERROR(VLOOKUP(H55,Parameter!$F$44:$H$92,3,0),"")</f>
        <v>30</v>
      </c>
      <c r="J55" s="376" t="s">
        <v>639</v>
      </c>
      <c r="K55" s="367">
        <f>IFERROR(INDEX(Parameter!$D$122:$M$122,1,MATCH(Process!$J55,Parameter!$D$121:$M$121,0)),"")</f>
        <v>0.5</v>
      </c>
      <c r="L55" s="372">
        <f t="shared" ref="L55:L56" si="12">IFERROR(I55/K55,0)</f>
        <v>60</v>
      </c>
      <c r="M55" s="243"/>
      <c r="N55" s="382">
        <f t="shared" ref="N55:N56" si="13">L55+M55</f>
        <v>60</v>
      </c>
      <c r="O55" s="373" t="s">
        <v>641</v>
      </c>
      <c r="P55" s="371">
        <f>N55*F55/3600/Parameter!$P$6/Parameter!$P$7</f>
        <v>4.598913370809074E-2</v>
      </c>
      <c r="Q55" s="14"/>
      <c r="R55" s="14"/>
      <c r="S55" s="486"/>
      <c r="T55" s="14"/>
      <c r="U55" s="14"/>
      <c r="V55" s="14"/>
      <c r="W55" s="14"/>
      <c r="X55" s="459">
        <f>P55*Parameter!W$8</f>
        <v>4.4609459696848014E-2</v>
      </c>
      <c r="Y55" s="459">
        <f>X55*Parameter!X$8</f>
        <v>4.1133579816189009E-2</v>
      </c>
      <c r="Z55" s="459">
        <f>Y55*Parameter!Y$8</f>
        <v>3.9066389550393321E-2</v>
      </c>
      <c r="AA55" s="459">
        <f>Z55*Parameter!Z$8</f>
        <v>3.8216179659118582E-2</v>
      </c>
      <c r="AB55" s="514">
        <f>VLOOKUP(O55,Parameter!$O$11:$P$22,2,0)*Process!P55</f>
        <v>4638.2284716985514</v>
      </c>
      <c r="AC55" s="514">
        <f>VLOOKUP($O55,Parameter!$O$11:$P$22,2,0)*VLOOKUP($O55,Parameter!$O$11:$T$22,6,0)*X55</f>
        <v>4814.0173307759269</v>
      </c>
      <c r="AD55" s="514">
        <f>VLOOKUP($O55,Parameter!$O$11:$P$22,2,0)*VLOOKUP($O55,Parameter!$O$11:$T$22,6,0)^2*Y55</f>
        <v>4749.6430393842847</v>
      </c>
      <c r="AE55" s="514">
        <f>VLOOKUP($O55,Parameter!$O$11:$P$22,2,0)*VLOOKUP($O55,Parameter!$O$11:$T$22,6,0)^3*Z55</f>
        <v>4826.7134650870803</v>
      </c>
      <c r="AF55" s="514">
        <f>VLOOKUP($O55,Parameter!$O$11:$P$22,2,0)*VLOOKUP($O55,Parameter!$O$11:$T$22,6,0)^4*AA55</f>
        <v>5052.1855140055377</v>
      </c>
    </row>
    <row r="56" spans="1:32">
      <c r="A56" s="14">
        <f t="shared" si="0"/>
        <v>55</v>
      </c>
      <c r="B56" s="14" t="s">
        <v>436</v>
      </c>
      <c r="C56" s="239" t="s">
        <v>441</v>
      </c>
      <c r="D56" s="239" t="s">
        <v>442</v>
      </c>
      <c r="E56" s="14" t="s">
        <v>512</v>
      </c>
      <c r="F56" s="372">
        <f>Parameter!R47</f>
        <v>45.032559726962454</v>
      </c>
      <c r="G56" s="14" t="s">
        <v>228</v>
      </c>
      <c r="H56" s="373" t="s">
        <v>497</v>
      </c>
      <c r="I56" s="381">
        <f>IFERROR(VLOOKUP(H56,Parameter!$F$44:$H$92,3,0),"")</f>
        <v>30</v>
      </c>
      <c r="J56" s="376" t="s">
        <v>639</v>
      </c>
      <c r="K56" s="367">
        <f>IFERROR(INDEX(Parameter!$D$122:$M$122,1,MATCH(Process!$J56,Parameter!$D$121:$M$121,0)),"")</f>
        <v>0.5</v>
      </c>
      <c r="L56" s="372">
        <f t="shared" si="12"/>
        <v>60</v>
      </c>
      <c r="M56" s="243"/>
      <c r="N56" s="382">
        <f t="shared" si="13"/>
        <v>60</v>
      </c>
      <c r="O56" s="373" t="s">
        <v>641</v>
      </c>
      <c r="P56" s="371">
        <f>N56*F56/3600/Parameter!$P$6/Parameter!$P$7</f>
        <v>0.11037392089941779</v>
      </c>
      <c r="Q56" s="14"/>
      <c r="R56" s="14"/>
      <c r="S56" s="486"/>
      <c r="T56" s="14"/>
      <c r="U56" s="14"/>
      <c r="V56" s="14"/>
      <c r="W56" s="14"/>
      <c r="X56" s="459">
        <f>P56*Parameter!W$8</f>
        <v>0.10706270327243524</v>
      </c>
      <c r="Y56" s="459">
        <f>X56*Parameter!X$8</f>
        <v>9.8720591558853626E-2</v>
      </c>
      <c r="Z56" s="459">
        <f>Y56*Parameter!Y$8</f>
        <v>9.3759334920943974E-2</v>
      </c>
      <c r="AA56" s="459">
        <f>Z56*Parameter!Z$8</f>
        <v>9.1718831181884591E-2</v>
      </c>
      <c r="AB56" s="514">
        <f>VLOOKUP(O56,Parameter!$O$11:$P$22,2,0)*Process!P56</f>
        <v>11131.748332076526</v>
      </c>
      <c r="AC56" s="514">
        <f>VLOOKUP($O56,Parameter!$O$11:$P$22,2,0)*VLOOKUP($O56,Parameter!$O$11:$T$22,6,0)*X56</f>
        <v>11553.641593862225</v>
      </c>
      <c r="AD56" s="514">
        <f>VLOOKUP($O56,Parameter!$O$11:$P$22,2,0)*VLOOKUP($O56,Parameter!$O$11:$T$22,6,0)^2*Y56</f>
        <v>11399.143294522282</v>
      </c>
      <c r="AE56" s="514">
        <f>VLOOKUP($O56,Parameter!$O$11:$P$22,2,0)*VLOOKUP($O56,Parameter!$O$11:$T$22,6,0)^3*Z56</f>
        <v>11584.112316208993</v>
      </c>
      <c r="AF56" s="514">
        <f>VLOOKUP($O56,Parameter!$O$11:$P$22,2,0)*VLOOKUP($O56,Parameter!$O$11:$T$22,6,0)^4*AA56</f>
        <v>12125.24523361329</v>
      </c>
    </row>
    <row r="57" spans="1:32">
      <c r="A57" s="14">
        <f t="shared" si="0"/>
        <v>56</v>
      </c>
      <c r="B57" s="14" t="s">
        <v>436</v>
      </c>
      <c r="C57" s="239" t="s">
        <v>441</v>
      </c>
      <c r="D57" s="239" t="s">
        <v>442</v>
      </c>
      <c r="E57" s="14" t="s">
        <v>78</v>
      </c>
      <c r="F57" s="372">
        <f>F56</f>
        <v>45.032559726962454</v>
      </c>
      <c r="G57" s="14" t="s">
        <v>228</v>
      </c>
      <c r="H57" s="373" t="s">
        <v>513</v>
      </c>
      <c r="I57" s="381">
        <f>IFERROR(VLOOKUP(H57,Parameter!$F$44:$H$92,3,0),"")</f>
        <v>0</v>
      </c>
      <c r="J57" s="376" t="s">
        <v>639</v>
      </c>
      <c r="K57" s="367">
        <f>IFERROR(INDEX(Parameter!$D$122:$M$122,1,MATCH(Process!$J57,Parameter!$D$121:$M$121,0)),"")</f>
        <v>0.5</v>
      </c>
      <c r="L57" s="372">
        <f t="shared" si="1"/>
        <v>0</v>
      </c>
      <c r="M57" s="243">
        <v>15</v>
      </c>
      <c r="N57" s="382">
        <f t="shared" si="2"/>
        <v>15</v>
      </c>
      <c r="O57" s="373" t="s">
        <v>641</v>
      </c>
      <c r="P57" s="371">
        <f>N57*F57/3600/Parameter!$P$6/Parameter!$P$7</f>
        <v>2.7593480224854448E-2</v>
      </c>
      <c r="Q57" s="14"/>
      <c r="R57" s="14"/>
      <c r="S57" s="486"/>
      <c r="T57" s="14"/>
      <c r="U57" s="14"/>
      <c r="V57" s="14"/>
      <c r="W57" s="14"/>
      <c r="X57" s="459">
        <f>P57*Parameter!W$8</f>
        <v>2.6765675818108809E-2</v>
      </c>
      <c r="Y57" s="459">
        <f>X57*Parameter!X$8</f>
        <v>2.4680147889713407E-2</v>
      </c>
      <c r="Z57" s="459">
        <f>Y57*Parameter!Y$8</f>
        <v>2.3439833730235993E-2</v>
      </c>
      <c r="AA57" s="459">
        <f>Z57*Parameter!Z$8</f>
        <v>2.2929707795471148E-2</v>
      </c>
      <c r="AB57" s="514">
        <f>VLOOKUP(O57,Parameter!$O$11:$P$22,2,0)*Process!P57</f>
        <v>2782.9370830191315</v>
      </c>
      <c r="AC57" s="514">
        <f>VLOOKUP($O57,Parameter!$O$11:$P$22,2,0)*VLOOKUP($O57,Parameter!$O$11:$T$22,6,0)*X57</f>
        <v>2888.4103984655562</v>
      </c>
      <c r="AD57" s="514">
        <f>VLOOKUP($O57,Parameter!$O$11:$P$22,2,0)*VLOOKUP($O57,Parameter!$O$11:$T$22,6,0)^2*Y57</f>
        <v>2849.7858236305706</v>
      </c>
      <c r="AE57" s="514">
        <f>VLOOKUP($O57,Parameter!$O$11:$P$22,2,0)*VLOOKUP($O57,Parameter!$O$11:$T$22,6,0)^3*Z57</f>
        <v>2896.0280790522484</v>
      </c>
      <c r="AF57" s="514">
        <f>VLOOKUP($O57,Parameter!$O$11:$P$22,2,0)*VLOOKUP($O57,Parameter!$O$11:$T$22,6,0)^4*AA57</f>
        <v>3031.3113084033225</v>
      </c>
    </row>
    <row r="58" spans="1:32">
      <c r="A58" s="14">
        <f t="shared" si="0"/>
        <v>57</v>
      </c>
      <c r="B58" s="14" t="s">
        <v>436</v>
      </c>
      <c r="C58" s="239" t="s">
        <v>441</v>
      </c>
      <c r="D58" s="239" t="s">
        <v>442</v>
      </c>
      <c r="E58" s="14" t="s">
        <v>73</v>
      </c>
      <c r="F58" s="372">
        <f>F56</f>
        <v>45.032559726962454</v>
      </c>
      <c r="G58" s="14" t="s">
        <v>228</v>
      </c>
      <c r="H58" s="373" t="s">
        <v>513</v>
      </c>
      <c r="I58" s="381">
        <f>IFERROR(VLOOKUP(H58,Parameter!$F$44:$H$92,3,0),"")</f>
        <v>0</v>
      </c>
      <c r="J58" s="376" t="s">
        <v>639</v>
      </c>
      <c r="K58" s="367">
        <f>IFERROR(INDEX(Parameter!$D$122:$M$122,1,MATCH(Process!$J58,Parameter!$D$121:$M$121,0)),"")</f>
        <v>0.5</v>
      </c>
      <c r="L58" s="372">
        <f t="shared" si="1"/>
        <v>0</v>
      </c>
      <c r="M58" s="243">
        <v>5</v>
      </c>
      <c r="N58" s="382">
        <f t="shared" si="2"/>
        <v>5</v>
      </c>
      <c r="O58" s="373" t="s">
        <v>641</v>
      </c>
      <c r="P58" s="371">
        <f>N58*F58/3600/Parameter!$P$6/Parameter!$P$7</f>
        <v>9.1978267416181498E-3</v>
      </c>
      <c r="Q58" s="14"/>
      <c r="R58" s="14"/>
      <c r="S58" s="486"/>
      <c r="T58" s="14"/>
      <c r="U58" s="14"/>
      <c r="V58" s="14"/>
      <c r="W58" s="14"/>
      <c r="X58" s="459">
        <f>P58*Parameter!W$8</f>
        <v>8.9218919393696042E-3</v>
      </c>
      <c r="Y58" s="459">
        <f>X58*Parameter!X$8</f>
        <v>8.2267159632378028E-3</v>
      </c>
      <c r="Z58" s="459">
        <f>Y58*Parameter!Y$8</f>
        <v>7.8132779100786656E-3</v>
      </c>
      <c r="AA58" s="459">
        <f>Z58*Parameter!Z$8</f>
        <v>7.6432359318237171E-3</v>
      </c>
      <c r="AB58" s="514">
        <f>VLOOKUP(O58,Parameter!$O$11:$P$22,2,0)*Process!P58</f>
        <v>927.64569433971053</v>
      </c>
      <c r="AC58" s="514">
        <f>VLOOKUP($O58,Parameter!$O$11:$P$22,2,0)*VLOOKUP($O58,Parameter!$O$11:$T$22,6,0)*X58</f>
        <v>962.80346615518556</v>
      </c>
      <c r="AD58" s="514">
        <f>VLOOKUP($O58,Parameter!$O$11:$P$22,2,0)*VLOOKUP($O58,Parameter!$O$11:$T$22,6,0)^2*Y58</f>
        <v>949.92860787685697</v>
      </c>
      <c r="AE58" s="514">
        <f>VLOOKUP($O58,Parameter!$O$11:$P$22,2,0)*VLOOKUP($O58,Parameter!$O$11:$T$22,6,0)^3*Z58</f>
        <v>965.3426930174162</v>
      </c>
      <c r="AF58" s="514">
        <f>VLOOKUP($O58,Parameter!$O$11:$P$22,2,0)*VLOOKUP($O58,Parameter!$O$11:$T$22,6,0)^4*AA58</f>
        <v>1010.4371028011076</v>
      </c>
    </row>
    <row r="59" spans="1:32">
      <c r="A59" s="14">
        <f t="shared" si="0"/>
        <v>58</v>
      </c>
      <c r="B59" s="14" t="s">
        <v>436</v>
      </c>
      <c r="C59" s="239" t="s">
        <v>441</v>
      </c>
      <c r="D59" s="239" t="s">
        <v>442</v>
      </c>
      <c r="E59" s="14" t="s">
        <v>68</v>
      </c>
      <c r="F59" s="372">
        <f>F53</f>
        <v>18.763566552901022</v>
      </c>
      <c r="G59" s="14" t="s">
        <v>526</v>
      </c>
      <c r="H59" s="373" t="s">
        <v>495</v>
      </c>
      <c r="I59" s="381">
        <f>IFERROR(VLOOKUP(H59,Parameter!$F$44:$H$92,3,0),"")</f>
        <v>320</v>
      </c>
      <c r="J59" s="376" t="s">
        <v>639</v>
      </c>
      <c r="K59" s="367">
        <f>IFERROR(INDEX(Parameter!$D$122:$M$122,1,MATCH(Process!$J59,Parameter!$D$121:$M$121,0)),"")</f>
        <v>0.5</v>
      </c>
      <c r="L59" s="372">
        <f t="shared" si="1"/>
        <v>640</v>
      </c>
      <c r="M59" s="243"/>
      <c r="N59" s="382">
        <f t="shared" si="2"/>
        <v>640</v>
      </c>
      <c r="O59" s="373" t="s">
        <v>641</v>
      </c>
      <c r="P59" s="371">
        <f>N59*F59/3600/Parameter!$P$6/Parameter!$P$7</f>
        <v>0.4905507595529679</v>
      </c>
      <c r="Q59" s="14"/>
      <c r="R59" s="14"/>
      <c r="S59" s="486"/>
      <c r="T59" s="14"/>
      <c r="U59" s="14"/>
      <c r="V59" s="14"/>
      <c r="W59" s="14"/>
      <c r="X59" s="459">
        <f>P59*Parameter!W$8</f>
        <v>0.47583423676637882</v>
      </c>
      <c r="Y59" s="459">
        <f>X59*Parameter!X$8</f>
        <v>0.43875818470601607</v>
      </c>
      <c r="Z59" s="459">
        <f>Y59*Parameter!Y$8</f>
        <v>0.41670815520419541</v>
      </c>
      <c r="AA59" s="459">
        <f>Z59*Parameter!Z$8</f>
        <v>0.40763924969726484</v>
      </c>
      <c r="AB59" s="514">
        <f>VLOOKUP(O59,Parameter!$O$11:$P$22,2,0)*Process!P59</f>
        <v>49474.43703145122</v>
      </c>
      <c r="AC59" s="514">
        <f>VLOOKUP($O59,Parameter!$O$11:$P$22,2,0)*VLOOKUP($O59,Parameter!$O$11:$T$22,6,0)*X59</f>
        <v>51349.518194943223</v>
      </c>
      <c r="AD59" s="514">
        <f>VLOOKUP($O59,Parameter!$O$11:$P$22,2,0)*VLOOKUP($O59,Parameter!$O$11:$T$22,6,0)^2*Y59</f>
        <v>50662.859086765697</v>
      </c>
      <c r="AE59" s="514">
        <f>VLOOKUP($O59,Parameter!$O$11:$P$22,2,0)*VLOOKUP($O59,Parameter!$O$11:$T$22,6,0)^3*Z59</f>
        <v>51484.943627595523</v>
      </c>
      <c r="AF59" s="514">
        <f>VLOOKUP($O59,Parameter!$O$11:$P$22,2,0)*VLOOKUP($O59,Parameter!$O$11:$T$22,6,0)^4*AA59</f>
        <v>53889.978816059062</v>
      </c>
    </row>
    <row r="60" spans="1:32">
      <c r="A60" s="14">
        <f t="shared" si="0"/>
        <v>59</v>
      </c>
      <c r="B60" s="14" t="s">
        <v>437</v>
      </c>
      <c r="C60" s="238" t="s">
        <v>1024</v>
      </c>
      <c r="D60" s="239"/>
      <c r="E60" s="14"/>
      <c r="F60" s="372"/>
      <c r="G60" s="14"/>
      <c r="H60" s="373"/>
      <c r="I60" s="381"/>
      <c r="J60" s="376" t="s">
        <v>455</v>
      </c>
      <c r="K60" s="367"/>
      <c r="L60" s="372"/>
      <c r="M60" s="243"/>
      <c r="N60" s="382"/>
      <c r="O60" s="373"/>
      <c r="P60" s="371"/>
      <c r="Q60" s="14"/>
      <c r="R60" s="14"/>
      <c r="S60" s="486"/>
      <c r="T60" s="14"/>
      <c r="U60" s="14"/>
      <c r="V60" s="14"/>
      <c r="W60" s="14"/>
      <c r="X60" s="459"/>
      <c r="Y60" s="459"/>
      <c r="Z60" s="459"/>
      <c r="AA60" s="459"/>
      <c r="AB60" s="514"/>
      <c r="AC60" s="514"/>
      <c r="AD60" s="514"/>
      <c r="AE60" s="514"/>
      <c r="AF60" s="514"/>
    </row>
    <row r="61" spans="1:32">
      <c r="A61" s="14">
        <f t="shared" si="0"/>
        <v>60</v>
      </c>
      <c r="B61" s="239" t="s">
        <v>654</v>
      </c>
      <c r="C61" s="14" t="s">
        <v>651</v>
      </c>
      <c r="D61" s="14" t="s">
        <v>655</v>
      </c>
      <c r="E61" s="14" t="s">
        <v>652</v>
      </c>
      <c r="F61" s="372">
        <f>Volume!B10/Parameter!P4*Parameter!R42*Volume!J26</f>
        <v>5.3008873720136522</v>
      </c>
      <c r="G61" s="239" t="s">
        <v>525</v>
      </c>
      <c r="H61" s="373" t="s">
        <v>513</v>
      </c>
      <c r="I61" s="381">
        <f>IFERROR(VLOOKUP(H61,Parameter!$F$44:$H$92,3,0),"")</f>
        <v>0</v>
      </c>
      <c r="J61" s="376" t="s">
        <v>455</v>
      </c>
      <c r="K61" s="367">
        <f>IFERROR(INDEX(Parameter!$D$122:$M$122,1,MATCH(Process!$J61,Parameter!$D$121:$M$121,0)),"")</f>
        <v>1.2</v>
      </c>
      <c r="L61" s="372">
        <f t="shared" si="1"/>
        <v>0</v>
      </c>
      <c r="M61" s="243">
        <v>180</v>
      </c>
      <c r="N61" s="382">
        <f t="shared" si="2"/>
        <v>180</v>
      </c>
      <c r="O61" s="373" t="s">
        <v>641</v>
      </c>
      <c r="P61" s="371">
        <f>N61*F61/3600/Parameter!$P$6/Parameter!$P$7</f>
        <v>3.8977113029512143E-2</v>
      </c>
      <c r="Q61" s="487"/>
      <c r="R61" s="14"/>
      <c r="S61" s="486"/>
      <c r="T61" s="14"/>
      <c r="U61" s="14"/>
      <c r="V61" s="14"/>
      <c r="W61" s="14"/>
      <c r="X61" s="459">
        <f>P61*Parameter!W$8</f>
        <v>3.7807799638626773E-2</v>
      </c>
      <c r="Y61" s="459">
        <f>X61*Parameter!X$8</f>
        <v>3.4861891506384253E-2</v>
      </c>
      <c r="Z61" s="459">
        <f>Y61*Parameter!Y$8</f>
        <v>3.3109888323309494E-2</v>
      </c>
      <c r="AA61" s="459">
        <f>Z61*Parameter!Z$8</f>
        <v>3.2389310996470334E-2</v>
      </c>
      <c r="AB61" s="514">
        <f>VLOOKUP(O61,Parameter!$O$11:$P$22,2,0)*Process!P61</f>
        <v>3931.0319812849802</v>
      </c>
      <c r="AC61" s="514">
        <f>VLOOKUP($O61,Parameter!$O$11:$P$22,2,0)*VLOOKUP($O61,Parameter!$O$11:$T$22,6,0)*X61</f>
        <v>4080.018093375681</v>
      </c>
      <c r="AD61" s="514">
        <f>VLOOKUP($O61,Parameter!$O$11:$P$22,2,0)*VLOOKUP($O61,Parameter!$O$11:$T$22,6,0)^2*Y61</f>
        <v>4025.4590306263567</v>
      </c>
      <c r="AE61" s="514">
        <f>VLOOKUP($O61,Parameter!$O$11:$P$22,2,0)*VLOOKUP($O61,Parameter!$O$11:$T$22,6,0)^3*Z61</f>
        <v>4090.7784322249568</v>
      </c>
      <c r="AF61" s="514">
        <f>VLOOKUP($O61,Parameter!$O$11:$P$22,2,0)*VLOOKUP($O61,Parameter!$O$11:$T$22,6,0)^4*AA61</f>
        <v>4281.8724761239464</v>
      </c>
    </row>
    <row r="62" spans="1:32">
      <c r="A62" s="14">
        <f t="shared" si="0"/>
        <v>61</v>
      </c>
      <c r="B62" s="239" t="s">
        <v>654</v>
      </c>
      <c r="C62" s="14" t="s">
        <v>651</v>
      </c>
      <c r="D62" s="14" t="s">
        <v>655</v>
      </c>
      <c r="E62" s="14" t="s">
        <v>653</v>
      </c>
      <c r="F62" s="372">
        <f>F61</f>
        <v>5.3008873720136522</v>
      </c>
      <c r="G62" s="239" t="str">
        <f>G61</f>
        <v>Piece</v>
      </c>
      <c r="H62" s="373" t="s">
        <v>513</v>
      </c>
      <c r="I62" s="381">
        <f>IFERROR(VLOOKUP(H62,Parameter!$F$44:$H$92,3,0),"")</f>
        <v>0</v>
      </c>
      <c r="J62" s="376" t="s">
        <v>455</v>
      </c>
      <c r="K62" s="367">
        <f>IFERROR(INDEX(Parameter!$D$122:$M$122,1,MATCH(Process!$J62,Parameter!$D$121:$M$121,0)),"")</f>
        <v>1.2</v>
      </c>
      <c r="L62" s="372">
        <f t="shared" si="1"/>
        <v>0</v>
      </c>
      <c r="M62" s="243">
        <f>3600/30</f>
        <v>120</v>
      </c>
      <c r="N62" s="382">
        <f t="shared" si="2"/>
        <v>120</v>
      </c>
      <c r="O62" s="373" t="s">
        <v>641</v>
      </c>
      <c r="P62" s="371">
        <f>N62*F62/3600/Parameter!$P$6/Parameter!$P$7</f>
        <v>2.5984742019674767E-2</v>
      </c>
      <c r="Q62" s="487"/>
      <c r="R62" s="14"/>
      <c r="S62" s="486"/>
      <c r="T62" s="14"/>
      <c r="U62" s="14"/>
      <c r="V62" s="14"/>
      <c r="W62" s="14"/>
      <c r="X62" s="459">
        <f>P62*Parameter!W$8</f>
        <v>2.5205199759084522E-2</v>
      </c>
      <c r="Y62" s="459">
        <f>X62*Parameter!X$8</f>
        <v>2.3241261004256174E-2</v>
      </c>
      <c r="Z62" s="459">
        <f>Y62*Parameter!Y$8</f>
        <v>2.2073258882206334E-2</v>
      </c>
      <c r="AA62" s="459">
        <f>Z62*Parameter!Z$8</f>
        <v>2.1592873997646894E-2</v>
      </c>
      <c r="AB62" s="514">
        <f>VLOOKUP(O62,Parameter!$O$11:$P$22,2,0)*Process!P62</f>
        <v>2620.6879875233208</v>
      </c>
      <c r="AC62" s="514">
        <f>VLOOKUP($O62,Parameter!$O$11:$P$22,2,0)*VLOOKUP($O62,Parameter!$O$11:$T$22,6,0)*X62</f>
        <v>2720.0120622504546</v>
      </c>
      <c r="AD62" s="514">
        <f>VLOOKUP($O62,Parameter!$O$11:$P$22,2,0)*VLOOKUP($O62,Parameter!$O$11:$T$22,6,0)^2*Y62</f>
        <v>2683.6393537509052</v>
      </c>
      <c r="AE62" s="514">
        <f>VLOOKUP($O62,Parameter!$O$11:$P$22,2,0)*VLOOKUP($O62,Parameter!$O$11:$T$22,6,0)^3*Z62</f>
        <v>2727.1856214833051</v>
      </c>
      <c r="AF62" s="514">
        <f>VLOOKUP($O62,Parameter!$O$11:$P$22,2,0)*VLOOKUP($O62,Parameter!$O$11:$T$22,6,0)^4*AA62</f>
        <v>2854.5816507492982</v>
      </c>
    </row>
    <row r="63" spans="1:32">
      <c r="A63" s="14">
        <f t="shared" si="0"/>
        <v>62</v>
      </c>
      <c r="B63" s="239" t="s">
        <v>654</v>
      </c>
      <c r="C63" s="14" t="s">
        <v>651</v>
      </c>
      <c r="D63" s="14" t="s">
        <v>655</v>
      </c>
      <c r="E63" s="14" t="str">
        <f>E26</f>
        <v>System registration</v>
      </c>
      <c r="F63" s="372">
        <f>Volume!B10/Parameter!P4*Volume!J26</f>
        <v>2.6504436860068261</v>
      </c>
      <c r="G63" s="239" t="s">
        <v>228</v>
      </c>
      <c r="H63" s="373" t="s">
        <v>513</v>
      </c>
      <c r="I63" s="381">
        <f>IFERROR(VLOOKUP(H63,Parameter!$F$44:$H$92,3,0),"")</f>
        <v>0</v>
      </c>
      <c r="J63" s="376" t="s">
        <v>455</v>
      </c>
      <c r="K63" s="367">
        <f>IFERROR(INDEX(Parameter!$D$122:$M$122,1,MATCH(Process!$J63,Parameter!$D$121:$M$121,0)),"")</f>
        <v>1.2</v>
      </c>
      <c r="L63" s="372">
        <f t="shared" si="1"/>
        <v>0</v>
      </c>
      <c r="M63" s="243">
        <v>300</v>
      </c>
      <c r="N63" s="382">
        <f t="shared" si="2"/>
        <v>300</v>
      </c>
      <c r="O63" s="373" t="s">
        <v>641</v>
      </c>
      <c r="P63" s="371">
        <f>N63*F63/3600/Parameter!$P$6/Parameter!$P$7</f>
        <v>3.2480927524593459E-2</v>
      </c>
      <c r="Q63" s="487"/>
      <c r="R63" s="14"/>
      <c r="S63" s="486"/>
      <c r="T63" s="14"/>
      <c r="U63" s="14"/>
      <c r="V63" s="14"/>
      <c r="W63" s="14"/>
      <c r="X63" s="459">
        <f>P63*Parameter!W$8</f>
        <v>3.1506499698855647E-2</v>
      </c>
      <c r="Y63" s="459">
        <f>X63*Parameter!X$8</f>
        <v>2.9051576255320212E-2</v>
      </c>
      <c r="Z63" s="459">
        <f>Y63*Parameter!Y$8</f>
        <v>2.7591573602757911E-2</v>
      </c>
      <c r="AA63" s="459">
        <f>Z63*Parameter!Z$8</f>
        <v>2.6991092497058607E-2</v>
      </c>
      <c r="AB63" s="514">
        <f>VLOOKUP(O63,Parameter!$O$11:$P$22,2,0)*Process!P63</f>
        <v>3275.859984404151</v>
      </c>
      <c r="AC63" s="514">
        <f>VLOOKUP($O63,Parameter!$O$11:$P$22,2,0)*VLOOKUP($O63,Parameter!$O$11:$T$22,6,0)*X63</f>
        <v>3400.0150778130678</v>
      </c>
      <c r="AD63" s="514">
        <f>VLOOKUP($O63,Parameter!$O$11:$P$22,2,0)*VLOOKUP($O63,Parameter!$O$11:$T$22,6,0)^2*Y63</f>
        <v>3354.5491921886305</v>
      </c>
      <c r="AE63" s="514">
        <f>VLOOKUP($O63,Parameter!$O$11:$P$22,2,0)*VLOOKUP($O63,Parameter!$O$11:$T$22,6,0)^3*Z63</f>
        <v>3408.9820268541307</v>
      </c>
      <c r="AF63" s="514">
        <f>VLOOKUP($O63,Parameter!$O$11:$P$22,2,0)*VLOOKUP($O63,Parameter!$O$11:$T$22,6,0)^4*AA63</f>
        <v>3568.2270634366214</v>
      </c>
    </row>
    <row r="64" spans="1:32">
      <c r="A64" s="14">
        <f t="shared" si="0"/>
        <v>63</v>
      </c>
      <c r="B64" s="14" t="s">
        <v>436</v>
      </c>
      <c r="C64" s="14" t="s">
        <v>80</v>
      </c>
      <c r="D64" s="14" t="s">
        <v>236</v>
      </c>
      <c r="E64" s="14" t="s">
        <v>77</v>
      </c>
      <c r="F64" s="372">
        <f>Parameter!R64/Parameter!R65</f>
        <v>0</v>
      </c>
      <c r="G64" s="14" t="s">
        <v>526</v>
      </c>
      <c r="H64" s="373" t="s">
        <v>513</v>
      </c>
      <c r="I64" s="381">
        <f>IFERROR(VLOOKUP(H64,Parameter!$F$44:$H$92,3,0),"")</f>
        <v>0</v>
      </c>
      <c r="J64" s="376" t="s">
        <v>38</v>
      </c>
      <c r="K64" s="367">
        <f>IFERROR(INDEX(Parameter!$D$122:$M$122,1,MATCH(Process!$J64,Parameter!$D$121:$M$121,0)),"")</f>
        <v>0.42</v>
      </c>
      <c r="L64" s="372">
        <f t="shared" si="1"/>
        <v>0</v>
      </c>
      <c r="M64" s="243">
        <v>5</v>
      </c>
      <c r="N64" s="382">
        <f t="shared" si="2"/>
        <v>5</v>
      </c>
      <c r="O64" s="373" t="s">
        <v>53</v>
      </c>
      <c r="P64" s="371">
        <f>N64*F64/3600/Parameter!$P$6/Parameter!$P$7</f>
        <v>0</v>
      </c>
      <c r="Q64" s="14"/>
      <c r="R64" s="14"/>
      <c r="S64" s="486"/>
      <c r="T64" s="14"/>
      <c r="U64" s="14"/>
      <c r="V64" s="14"/>
      <c r="W64" s="14"/>
      <c r="X64" s="459">
        <f>P64*Parameter!W$8</f>
        <v>0</v>
      </c>
      <c r="Y64" s="459">
        <f>X64*Parameter!X$8</f>
        <v>0</v>
      </c>
      <c r="Z64" s="459">
        <f>Y64*Parameter!Y$8</f>
        <v>0</v>
      </c>
      <c r="AA64" s="459">
        <f>Z64*Parameter!Z$8</f>
        <v>0</v>
      </c>
      <c r="AB64" s="514">
        <f>VLOOKUP(O64,Parameter!$O$11:$P$22,2,0)*Process!P64</f>
        <v>0</v>
      </c>
      <c r="AC64" s="514">
        <f>VLOOKUP($O64,Parameter!$O$11:$P$22,2,0)*VLOOKUP($O64,Parameter!$O$11:$T$22,6,0)*X64</f>
        <v>0</v>
      </c>
      <c r="AD64" s="514">
        <f>VLOOKUP($O64,Parameter!$O$11:$P$22,2,0)*VLOOKUP($O64,Parameter!$O$11:$T$22,6,0)^2*Y64</f>
        <v>0</v>
      </c>
      <c r="AE64" s="514">
        <f>VLOOKUP($O64,Parameter!$O$11:$P$22,2,0)*VLOOKUP($O64,Parameter!$O$11:$T$22,6,0)^3*Z64</f>
        <v>0</v>
      </c>
      <c r="AF64" s="514">
        <f>VLOOKUP($O64,Parameter!$O$11:$P$22,2,0)*VLOOKUP($O64,Parameter!$O$11:$T$22,6,0)^4*AA64</f>
        <v>0</v>
      </c>
    </row>
    <row r="65" spans="1:32">
      <c r="A65" s="14">
        <f t="shared" si="0"/>
        <v>64</v>
      </c>
      <c r="B65" s="14" t="s">
        <v>436</v>
      </c>
      <c r="C65" s="14" t="s">
        <v>80</v>
      </c>
      <c r="D65" s="239" t="s">
        <v>236</v>
      </c>
      <c r="E65" s="239" t="s">
        <v>498</v>
      </c>
      <c r="F65" s="372">
        <f>F64</f>
        <v>0</v>
      </c>
      <c r="G65" s="14" t="s">
        <v>526</v>
      </c>
      <c r="H65" s="373" t="s">
        <v>499</v>
      </c>
      <c r="I65" s="381">
        <f>IFERROR(VLOOKUP(H65,Parameter!$F$44:$H$92,3,0),"")</f>
        <v>0</v>
      </c>
      <c r="J65" s="376" t="s">
        <v>38</v>
      </c>
      <c r="K65" s="367">
        <f>IFERROR(INDEX(Parameter!$D$122:$M$122,1,MATCH(Process!$J65,Parameter!$D$121:$M$121,0)),"")</f>
        <v>0.42</v>
      </c>
      <c r="L65" s="372">
        <f t="shared" si="1"/>
        <v>0</v>
      </c>
      <c r="M65" s="243"/>
      <c r="N65" s="382">
        <f t="shared" si="2"/>
        <v>0</v>
      </c>
      <c r="O65" s="373" t="s">
        <v>53</v>
      </c>
      <c r="P65" s="371">
        <f>N65*F65/3600/Parameter!$P$6/Parameter!$P$7</f>
        <v>0</v>
      </c>
      <c r="Q65" s="14"/>
      <c r="R65" s="14"/>
      <c r="S65" s="486"/>
      <c r="T65" s="14"/>
      <c r="U65" s="14"/>
      <c r="V65" s="14"/>
      <c r="W65" s="14"/>
      <c r="X65" s="459">
        <f>P65*Parameter!W$8</f>
        <v>0</v>
      </c>
      <c r="Y65" s="459">
        <f>X65*Parameter!X$8</f>
        <v>0</v>
      </c>
      <c r="Z65" s="459">
        <f>Y65*Parameter!Y$8</f>
        <v>0</v>
      </c>
      <c r="AA65" s="459">
        <f>Z65*Parameter!Z$8</f>
        <v>0</v>
      </c>
      <c r="AB65" s="514">
        <f>VLOOKUP(O65,Parameter!$O$11:$P$22,2,0)*Process!P65</f>
        <v>0</v>
      </c>
      <c r="AC65" s="514">
        <f>VLOOKUP($O65,Parameter!$O$11:$P$22,2,0)*VLOOKUP($O65,Parameter!$O$11:$T$22,6,0)*X65</f>
        <v>0</v>
      </c>
      <c r="AD65" s="514">
        <f>VLOOKUP($O65,Parameter!$O$11:$P$22,2,0)*VLOOKUP($O65,Parameter!$O$11:$T$22,6,0)^2*Y65</f>
        <v>0</v>
      </c>
      <c r="AE65" s="514">
        <f>VLOOKUP($O65,Parameter!$O$11:$P$22,2,0)*VLOOKUP($O65,Parameter!$O$11:$T$22,6,0)^3*Z65</f>
        <v>0</v>
      </c>
      <c r="AF65" s="514">
        <f>VLOOKUP($O65,Parameter!$O$11:$P$22,2,0)*VLOOKUP($O65,Parameter!$O$11:$T$22,6,0)^4*AA65</f>
        <v>0</v>
      </c>
    </row>
    <row r="66" spans="1:32">
      <c r="A66" s="14">
        <f t="shared" si="0"/>
        <v>65</v>
      </c>
      <c r="B66" s="14" t="s">
        <v>436</v>
      </c>
      <c r="C66" s="14" t="s">
        <v>80</v>
      </c>
      <c r="D66" s="14" t="s">
        <v>236</v>
      </c>
      <c r="E66" s="14" t="s">
        <v>478</v>
      </c>
      <c r="F66" s="372">
        <f>F65</f>
        <v>0</v>
      </c>
      <c r="G66" s="14" t="s">
        <v>526</v>
      </c>
      <c r="H66" s="373" t="s">
        <v>500</v>
      </c>
      <c r="I66" s="381">
        <f>IFERROR(VLOOKUP(H66,Parameter!$F$44:$H$92,3,0),"")</f>
        <v>0</v>
      </c>
      <c r="J66" s="376" t="s">
        <v>38</v>
      </c>
      <c r="K66" s="367">
        <f>IFERROR(INDEX(Parameter!$D$122:$M$122,1,MATCH(Process!$J66,Parameter!$D$121:$M$121,0)),"")</f>
        <v>0.42</v>
      </c>
      <c r="L66" s="372">
        <f t="shared" si="1"/>
        <v>0</v>
      </c>
      <c r="M66" s="243"/>
      <c r="N66" s="382">
        <f t="shared" si="2"/>
        <v>0</v>
      </c>
      <c r="O66" s="373" t="s">
        <v>53</v>
      </c>
      <c r="P66" s="371">
        <f>N66*F66/3600/Parameter!$P$6/Parameter!$P$7</f>
        <v>0</v>
      </c>
      <c r="Q66" s="14"/>
      <c r="R66" s="14"/>
      <c r="S66" s="486"/>
      <c r="T66" s="14"/>
      <c r="U66" s="14"/>
      <c r="V66" s="14"/>
      <c r="W66" s="14"/>
      <c r="X66" s="459">
        <f>P66*Parameter!W$8</f>
        <v>0</v>
      </c>
      <c r="Y66" s="459">
        <f>X66*Parameter!X$8</f>
        <v>0</v>
      </c>
      <c r="Z66" s="459">
        <f>Y66*Parameter!Y$8</f>
        <v>0</v>
      </c>
      <c r="AA66" s="459">
        <f>Z66*Parameter!Z$8</f>
        <v>0</v>
      </c>
      <c r="AB66" s="514">
        <f>VLOOKUP(O66,Parameter!$O$11:$P$22,2,0)*Process!P66</f>
        <v>0</v>
      </c>
      <c r="AC66" s="514">
        <f>VLOOKUP($O66,Parameter!$O$11:$P$22,2,0)*VLOOKUP($O66,Parameter!$O$11:$T$22,6,0)*X66</f>
        <v>0</v>
      </c>
      <c r="AD66" s="514">
        <f>VLOOKUP($O66,Parameter!$O$11:$P$22,2,0)*VLOOKUP($O66,Parameter!$O$11:$T$22,6,0)^2*Y66</f>
        <v>0</v>
      </c>
      <c r="AE66" s="514">
        <f>VLOOKUP($O66,Parameter!$O$11:$P$22,2,0)*VLOOKUP($O66,Parameter!$O$11:$T$22,6,0)^3*Z66</f>
        <v>0</v>
      </c>
      <c r="AF66" s="514">
        <f>VLOOKUP($O66,Parameter!$O$11:$P$22,2,0)*VLOOKUP($O66,Parameter!$O$11:$T$22,6,0)^4*AA66</f>
        <v>0</v>
      </c>
    </row>
    <row r="67" spans="1:32">
      <c r="A67" s="14">
        <f t="shared" si="0"/>
        <v>66</v>
      </c>
      <c r="B67" s="14" t="s">
        <v>436</v>
      </c>
      <c r="C67" s="14" t="s">
        <v>80</v>
      </c>
      <c r="D67" s="14" t="s">
        <v>236</v>
      </c>
      <c r="E67" s="14" t="s">
        <v>483</v>
      </c>
      <c r="F67" s="372">
        <f>Parameter!R64</f>
        <v>0</v>
      </c>
      <c r="G67" s="14" t="s">
        <v>228</v>
      </c>
      <c r="H67" s="373" t="s">
        <v>501</v>
      </c>
      <c r="I67" s="381">
        <f>IFERROR(VLOOKUP(H67,Parameter!$F$44:$H$92,3,0),"")</f>
        <v>0</v>
      </c>
      <c r="J67" s="376" t="s">
        <v>38</v>
      </c>
      <c r="K67" s="367">
        <f>IFERROR(INDEX(Parameter!$D$122:$M$122,1,MATCH(Process!$J67,Parameter!$D$121:$M$121,0)),"")</f>
        <v>0.42</v>
      </c>
      <c r="L67" s="372">
        <f t="shared" si="1"/>
        <v>0</v>
      </c>
      <c r="M67" s="243"/>
      <c r="N67" s="382">
        <f t="shared" si="2"/>
        <v>0</v>
      </c>
      <c r="O67" s="373" t="s">
        <v>53</v>
      </c>
      <c r="P67" s="371">
        <f>N67*F67/3600/Parameter!$P$6/Parameter!$P$7</f>
        <v>0</v>
      </c>
      <c r="Q67" s="14"/>
      <c r="R67" s="14"/>
      <c r="S67" s="486"/>
      <c r="T67" s="14"/>
      <c r="U67" s="14"/>
      <c r="V67" s="14"/>
      <c r="W67" s="14"/>
      <c r="X67" s="459">
        <f>P67*Parameter!W$8</f>
        <v>0</v>
      </c>
      <c r="Y67" s="459">
        <f>X67*Parameter!X$8</f>
        <v>0</v>
      </c>
      <c r="Z67" s="459">
        <f>Y67*Parameter!Y$8</f>
        <v>0</v>
      </c>
      <c r="AA67" s="459">
        <f>Z67*Parameter!Z$8</f>
        <v>0</v>
      </c>
      <c r="AB67" s="514">
        <f>VLOOKUP(O67,Parameter!$O$11:$P$22,2,0)*Process!P67</f>
        <v>0</v>
      </c>
      <c r="AC67" s="514">
        <f>VLOOKUP($O67,Parameter!$O$11:$P$22,2,0)*VLOOKUP($O67,Parameter!$O$11:$T$22,6,0)*X67</f>
        <v>0</v>
      </c>
      <c r="AD67" s="514">
        <f>VLOOKUP($O67,Parameter!$O$11:$P$22,2,0)*VLOOKUP($O67,Parameter!$O$11:$T$22,6,0)^2*Y67</f>
        <v>0</v>
      </c>
      <c r="AE67" s="514">
        <f>VLOOKUP($O67,Parameter!$O$11:$P$22,2,0)*VLOOKUP($O67,Parameter!$O$11:$T$22,6,0)^3*Z67</f>
        <v>0</v>
      </c>
      <c r="AF67" s="514">
        <f>VLOOKUP($O67,Parameter!$O$11:$P$22,2,0)*VLOOKUP($O67,Parameter!$O$11:$T$22,6,0)^4*AA67</f>
        <v>0</v>
      </c>
    </row>
    <row r="68" spans="1:32">
      <c r="A68" s="14">
        <f t="shared" si="0"/>
        <v>67</v>
      </c>
      <c r="B68" s="14" t="s">
        <v>436</v>
      </c>
      <c r="C68" s="14" t="s">
        <v>80</v>
      </c>
      <c r="D68" s="239" t="s">
        <v>236</v>
      </c>
      <c r="E68" s="239" t="s">
        <v>237</v>
      </c>
      <c r="F68" s="372">
        <f>F67</f>
        <v>0</v>
      </c>
      <c r="G68" s="14" t="s">
        <v>228</v>
      </c>
      <c r="H68" s="373" t="s">
        <v>513</v>
      </c>
      <c r="I68" s="381">
        <f>IFERROR(VLOOKUP(H68,Parameter!$F$44:$H$92,3,0),"")</f>
        <v>0</v>
      </c>
      <c r="J68" s="376" t="s">
        <v>38</v>
      </c>
      <c r="K68" s="367">
        <f>IFERROR(INDEX(Parameter!$D$122:$M$122,1,MATCH(Process!$J68,Parameter!$D$121:$M$121,0)),"")</f>
        <v>0.42</v>
      </c>
      <c r="L68" s="372">
        <f t="shared" si="1"/>
        <v>0</v>
      </c>
      <c r="M68" s="243">
        <f>3600/40</f>
        <v>90</v>
      </c>
      <c r="N68" s="382">
        <f t="shared" si="2"/>
        <v>90</v>
      </c>
      <c r="O68" s="373" t="s">
        <v>53</v>
      </c>
      <c r="P68" s="371">
        <f>N68*F68/3600/Parameter!$P$6/Parameter!$P$7</f>
        <v>0</v>
      </c>
      <c r="Q68" s="14"/>
      <c r="R68" s="14"/>
      <c r="S68" s="486"/>
      <c r="T68" s="14"/>
      <c r="U68" s="14"/>
      <c r="V68" s="14"/>
      <c r="W68" s="14"/>
      <c r="X68" s="459">
        <f>P68*Parameter!W$8</f>
        <v>0</v>
      </c>
      <c r="Y68" s="459">
        <f>X68*Parameter!X$8</f>
        <v>0</v>
      </c>
      <c r="Z68" s="459">
        <f>Y68*Parameter!Y$8</f>
        <v>0</v>
      </c>
      <c r="AA68" s="459">
        <f>Z68*Parameter!Z$8</f>
        <v>0</v>
      </c>
      <c r="AB68" s="514">
        <f>VLOOKUP(O68,Parameter!$O$11:$P$22,2,0)*Process!P68</f>
        <v>0</v>
      </c>
      <c r="AC68" s="514">
        <f>VLOOKUP($O68,Parameter!$O$11:$P$22,2,0)*VLOOKUP($O68,Parameter!$O$11:$T$22,6,0)*X68</f>
        <v>0</v>
      </c>
      <c r="AD68" s="514">
        <f>VLOOKUP($O68,Parameter!$O$11:$P$22,2,0)*VLOOKUP($O68,Parameter!$O$11:$T$22,6,0)^2*Y68</f>
        <v>0</v>
      </c>
      <c r="AE68" s="514">
        <f>VLOOKUP($O68,Parameter!$O$11:$P$22,2,0)*VLOOKUP($O68,Parameter!$O$11:$T$22,6,0)^3*Z68</f>
        <v>0</v>
      </c>
      <c r="AF68" s="514">
        <f>VLOOKUP($O68,Parameter!$O$11:$P$22,2,0)*VLOOKUP($O68,Parameter!$O$11:$T$22,6,0)^4*AA68</f>
        <v>0</v>
      </c>
    </row>
    <row r="69" spans="1:32">
      <c r="A69" s="14">
        <f t="shared" si="0"/>
        <v>68</v>
      </c>
      <c r="B69" s="14" t="s">
        <v>436</v>
      </c>
      <c r="C69" s="14" t="s">
        <v>80</v>
      </c>
      <c r="D69" s="14" t="s">
        <v>236</v>
      </c>
      <c r="E69" s="14" t="s">
        <v>68</v>
      </c>
      <c r="F69" s="372">
        <f>F64</f>
        <v>0</v>
      </c>
      <c r="G69" s="14" t="s">
        <v>526</v>
      </c>
      <c r="H69" s="373" t="s">
        <v>499</v>
      </c>
      <c r="I69" s="381">
        <f>IFERROR(VLOOKUP(H69,Parameter!$F$44:$H$92,3,0),"")</f>
        <v>0</v>
      </c>
      <c r="J69" s="376" t="s">
        <v>38</v>
      </c>
      <c r="K69" s="367">
        <f>IFERROR(INDEX(Parameter!$D$122:$M$122,1,MATCH(Process!$J69,Parameter!$D$121:$M$121,0)),"")</f>
        <v>0.42</v>
      </c>
      <c r="L69" s="372">
        <f t="shared" si="1"/>
        <v>0</v>
      </c>
      <c r="M69" s="243"/>
      <c r="N69" s="382">
        <f t="shared" si="2"/>
        <v>0</v>
      </c>
      <c r="O69" s="373" t="s">
        <v>53</v>
      </c>
      <c r="P69" s="371">
        <f>N69*F69/3600/Parameter!$P$6/Parameter!$P$7</f>
        <v>0</v>
      </c>
      <c r="Q69" s="14"/>
      <c r="R69" s="14"/>
      <c r="S69" s="486"/>
      <c r="T69" s="14"/>
      <c r="U69" s="14"/>
      <c r="V69" s="14"/>
      <c r="W69" s="14"/>
      <c r="X69" s="459">
        <f>P69*Parameter!W$8</f>
        <v>0</v>
      </c>
      <c r="Y69" s="459">
        <f>X69*Parameter!X$8</f>
        <v>0</v>
      </c>
      <c r="Z69" s="459">
        <f>Y69*Parameter!Y$8</f>
        <v>0</v>
      </c>
      <c r="AA69" s="459">
        <f>Z69*Parameter!Z$8</f>
        <v>0</v>
      </c>
      <c r="AB69" s="514">
        <f>VLOOKUP(O69,Parameter!$O$11:$P$22,2,0)*Process!P69</f>
        <v>0</v>
      </c>
      <c r="AC69" s="514">
        <f>VLOOKUP($O69,Parameter!$O$11:$P$22,2,0)*VLOOKUP($O69,Parameter!$O$11:$T$22,6,0)*X69</f>
        <v>0</v>
      </c>
      <c r="AD69" s="514">
        <f>VLOOKUP($O69,Parameter!$O$11:$P$22,2,0)*VLOOKUP($O69,Parameter!$O$11:$T$22,6,0)^2*Y69</f>
        <v>0</v>
      </c>
      <c r="AE69" s="514">
        <f>VLOOKUP($O69,Parameter!$O$11:$P$22,2,0)*VLOOKUP($O69,Parameter!$O$11:$T$22,6,0)^3*Z69</f>
        <v>0</v>
      </c>
      <c r="AF69" s="514">
        <f>VLOOKUP($O69,Parameter!$O$11:$P$22,2,0)*VLOOKUP($O69,Parameter!$O$11:$T$22,6,0)^4*AA69</f>
        <v>0</v>
      </c>
    </row>
    <row r="70" spans="1:32">
      <c r="A70" s="14">
        <f t="shared" ref="A70:A135" si="14">ROW()-1</f>
        <v>69</v>
      </c>
      <c r="B70" s="14" t="s">
        <v>662</v>
      </c>
      <c r="C70" s="14" t="s">
        <v>662</v>
      </c>
      <c r="D70" s="14" t="s">
        <v>663</v>
      </c>
      <c r="E70" s="14" t="s">
        <v>663</v>
      </c>
      <c r="F70" s="372">
        <f>Volume!B86/Parameter!P4</f>
        <v>6.1433447098976108</v>
      </c>
      <c r="G70" s="14" t="s">
        <v>228</v>
      </c>
      <c r="H70" s="373" t="s">
        <v>513</v>
      </c>
      <c r="I70" s="381">
        <f>IFERROR(VLOOKUP(H70,Parameter!$F$44:$H$92,3,0),"")</f>
        <v>0</v>
      </c>
      <c r="J70" s="376" t="s">
        <v>455</v>
      </c>
      <c r="K70" s="367">
        <f>IFERROR(INDEX(Parameter!$D$122:$M$122,1,MATCH(Process!$J70,Parameter!$D$121:$M$121,0)),"")</f>
        <v>1.2</v>
      </c>
      <c r="L70" s="372">
        <f t="shared" si="1"/>
        <v>0</v>
      </c>
      <c r="M70" s="243">
        <v>300</v>
      </c>
      <c r="N70" s="382">
        <f t="shared" ref="N70" si="15">L70+M70</f>
        <v>300</v>
      </c>
      <c r="O70" s="373" t="s">
        <v>450</v>
      </c>
      <c r="P70" s="371">
        <f>N70*F70/3600/Parameter!$P$6/Parameter!$P$7</f>
        <v>7.5286087131098189E-2</v>
      </c>
      <c r="Q70" s="14"/>
      <c r="R70" s="14"/>
      <c r="S70" s="486"/>
      <c r="T70" s="14"/>
      <c r="U70" s="14"/>
      <c r="V70" s="14"/>
      <c r="W70" s="14"/>
      <c r="X70" s="459">
        <f>P70*Parameter!W$8</f>
        <v>7.3027504517165234E-2</v>
      </c>
      <c r="Y70" s="459">
        <f>X70*Parameter!X$8</f>
        <v>6.7337347420196744E-2</v>
      </c>
      <c r="Z70" s="459">
        <f>Y70*Parameter!Y$8</f>
        <v>6.3953272663427138E-2</v>
      </c>
      <c r="AA70" s="459">
        <f>Z70*Parameter!Z$8</f>
        <v>6.2561444403288133E-2</v>
      </c>
      <c r="AB70" s="514">
        <f>VLOOKUP(O70,Parameter!$O$11:$P$22,2,0)*Process!P70</f>
        <v>9491.2114204709633</v>
      </c>
      <c r="AC70" s="514">
        <f>VLOOKUP($O70,Parameter!$O$11:$P$22,2,0)*VLOOKUP($O70,Parameter!$O$11:$T$22,6,0)*X70</f>
        <v>9850.9283333068124</v>
      </c>
      <c r="AD70" s="514">
        <f>VLOOKUP($O70,Parameter!$O$11:$P$22,2,0)*VLOOKUP($O70,Parameter!$O$11:$T$22,6,0)^2*Y70</f>
        <v>9719.1991583924646</v>
      </c>
      <c r="AE70" s="514">
        <f>VLOOKUP($O70,Parameter!$O$11:$P$22,2,0)*VLOOKUP($O70,Parameter!$O$11:$T$22,6,0)^3*Z70</f>
        <v>9876.9084452622974</v>
      </c>
      <c r="AF70" s="514">
        <f>VLOOKUP($O70,Parameter!$O$11:$P$22,2,0)*VLOOKUP($O70,Parameter!$O$11:$T$22,6,0)^4*AA70</f>
        <v>10338.292117659996</v>
      </c>
    </row>
    <row r="71" spans="1:32">
      <c r="A71" s="14">
        <f t="shared" si="14"/>
        <v>70</v>
      </c>
      <c r="B71" s="14" t="s">
        <v>662</v>
      </c>
      <c r="C71" s="14" t="s">
        <v>662</v>
      </c>
      <c r="D71" s="239" t="s">
        <v>664</v>
      </c>
      <c r="E71" s="239" t="s">
        <v>664</v>
      </c>
      <c r="F71" s="372">
        <f>F70/Parameter!R37</f>
        <v>6.1433447098976108</v>
      </c>
      <c r="G71" s="14" t="s">
        <v>526</v>
      </c>
      <c r="H71" s="373" t="s">
        <v>667</v>
      </c>
      <c r="I71" s="381">
        <f>IFERROR(VLOOKUP(H71,Parameter!$F$44:$H$92,3,0),"")</f>
        <v>90</v>
      </c>
      <c r="J71" s="376" t="s">
        <v>464</v>
      </c>
      <c r="K71" s="367">
        <f>IFERROR(INDEX(Parameter!$D$122:$M$122,1,MATCH(Process!$J71,Parameter!$D$121:$M$121,0)),"")</f>
        <v>2.7777777777777777</v>
      </c>
      <c r="L71" s="372">
        <f t="shared" si="1"/>
        <v>32.4</v>
      </c>
      <c r="M71" s="243"/>
      <c r="N71" s="382"/>
      <c r="O71" s="373" t="s">
        <v>452</v>
      </c>
      <c r="P71" s="371">
        <f>N71*F71/3600/Parameter!$P$6/Parameter!$P$7</f>
        <v>0</v>
      </c>
      <c r="Q71" s="14"/>
      <c r="R71" s="14"/>
      <c r="S71" s="486"/>
      <c r="T71" s="14"/>
      <c r="U71" s="14"/>
      <c r="V71" s="14"/>
      <c r="W71" s="14"/>
      <c r="X71" s="459">
        <f>P71*Parameter!W$8</f>
        <v>0</v>
      </c>
      <c r="Y71" s="459">
        <f>X71*Parameter!X$8</f>
        <v>0</v>
      </c>
      <c r="Z71" s="459">
        <f>Y71*Parameter!Y$8</f>
        <v>0</v>
      </c>
      <c r="AA71" s="459">
        <f>Z71*Parameter!Z$8</f>
        <v>0</v>
      </c>
      <c r="AB71" s="514">
        <f>VLOOKUP(O71,Parameter!$O$11:$P$22,2,0)*Process!P71</f>
        <v>0</v>
      </c>
      <c r="AC71" s="514">
        <f>VLOOKUP($O71,Parameter!$O$11:$P$22,2,0)*VLOOKUP($O71,Parameter!$O$11:$T$22,6,0)*X71</f>
        <v>0</v>
      </c>
      <c r="AD71" s="514">
        <f>VLOOKUP($O71,Parameter!$O$11:$P$22,2,0)*VLOOKUP($O71,Parameter!$O$11:$T$22,6,0)^2*Y71</f>
        <v>0</v>
      </c>
      <c r="AE71" s="514">
        <f>VLOOKUP($O71,Parameter!$O$11:$P$22,2,0)*VLOOKUP($O71,Parameter!$O$11:$T$22,6,0)^3*Z71</f>
        <v>0</v>
      </c>
      <c r="AF71" s="514">
        <f>VLOOKUP($O71,Parameter!$O$11:$P$22,2,0)*VLOOKUP($O71,Parameter!$O$11:$T$22,6,0)^4*AA71</f>
        <v>0</v>
      </c>
    </row>
    <row r="72" spans="1:32" ht="13.9" customHeight="1">
      <c r="A72" s="14">
        <f t="shared" si="14"/>
        <v>71</v>
      </c>
      <c r="B72" s="14" t="s">
        <v>436</v>
      </c>
      <c r="C72" s="14" t="s">
        <v>958</v>
      </c>
      <c r="D72" s="14" t="s">
        <v>958</v>
      </c>
      <c r="E72" s="14" t="s">
        <v>959</v>
      </c>
      <c r="F72" s="372"/>
      <c r="G72" s="14" t="s">
        <v>526</v>
      </c>
      <c r="H72" s="373"/>
      <c r="I72" s="381"/>
      <c r="J72" s="376" t="s">
        <v>464</v>
      </c>
      <c r="K72" s="367">
        <f>IFERROR(INDEX(Parameter!$D$122:$M$122,1,MATCH(Process!$J72,Parameter!$D$121:$M$121,0)),"")</f>
        <v>2.7777777777777777</v>
      </c>
      <c r="L72" s="372">
        <f t="shared" si="1"/>
        <v>0</v>
      </c>
      <c r="M72" s="243"/>
      <c r="N72" s="382"/>
      <c r="O72" s="373" t="s">
        <v>452</v>
      </c>
      <c r="P72" s="371">
        <f>N72*F72/3600/Parameter!$P$6/Parameter!$P$7</f>
        <v>0</v>
      </c>
      <c r="Q72" s="14"/>
      <c r="R72" s="14"/>
      <c r="S72" s="486"/>
      <c r="T72" s="14"/>
      <c r="U72" s="14"/>
      <c r="V72" s="14"/>
      <c r="W72" s="14"/>
      <c r="X72" s="459">
        <f>P72*Parameter!W$8</f>
        <v>0</v>
      </c>
      <c r="Y72" s="459">
        <f>X72*Parameter!X$8</f>
        <v>0</v>
      </c>
      <c r="Z72" s="459">
        <f>Y72*Parameter!Y$8</f>
        <v>0</v>
      </c>
      <c r="AA72" s="459">
        <f>Z72*Parameter!Z$8</f>
        <v>0</v>
      </c>
      <c r="AB72" s="514">
        <f>VLOOKUP(O72,Parameter!$O$11:$P$22,2,0)*Process!P72</f>
        <v>0</v>
      </c>
      <c r="AC72" s="514">
        <f>VLOOKUP($O72,Parameter!$O$11:$P$22,2,0)*VLOOKUP($O72,Parameter!$O$11:$T$22,6,0)*X72</f>
        <v>0</v>
      </c>
      <c r="AD72" s="514">
        <f>VLOOKUP($O72,Parameter!$O$11:$P$22,2,0)*VLOOKUP($O72,Parameter!$O$11:$T$22,6,0)^2*Y72</f>
        <v>0</v>
      </c>
      <c r="AE72" s="514">
        <f>VLOOKUP($O72,Parameter!$O$11:$P$22,2,0)*VLOOKUP($O72,Parameter!$O$11:$T$22,6,0)^3*Z72</f>
        <v>0</v>
      </c>
      <c r="AF72" s="514">
        <f>VLOOKUP($O72,Parameter!$O$11:$P$22,2,0)*VLOOKUP($O72,Parameter!$O$11:$T$22,6,0)^4*AA72</f>
        <v>0</v>
      </c>
    </row>
    <row r="73" spans="1:32">
      <c r="A73" s="14">
        <f t="shared" si="14"/>
        <v>72</v>
      </c>
      <c r="B73" s="14" t="s">
        <v>558</v>
      </c>
      <c r="C73" s="14" t="s">
        <v>93</v>
      </c>
      <c r="D73" s="14" t="s">
        <v>94</v>
      </c>
      <c r="E73" s="14" t="s">
        <v>95</v>
      </c>
      <c r="F73" s="372">
        <v>1</v>
      </c>
      <c r="G73" s="14" t="s">
        <v>528</v>
      </c>
      <c r="H73" s="373" t="s">
        <v>513</v>
      </c>
      <c r="I73" s="381">
        <f>IFERROR(VLOOKUP(H73,Parameter!$F$44:$H$92,3,0),"")</f>
        <v>0</v>
      </c>
      <c r="J73" s="376" t="s">
        <v>455</v>
      </c>
      <c r="K73" s="367">
        <f>IFERROR(INDEX(Parameter!$D$122:$M$122,1,MATCH(Process!$J73,Parameter!$D$121:$M$121,0)),"")</f>
        <v>1.2</v>
      </c>
      <c r="L73" s="372">
        <f t="shared" ref="L73:L137" si="16">IFERROR(I73/K73,0)</f>
        <v>0</v>
      </c>
      <c r="M73" s="243">
        <f>3600*2</f>
        <v>7200</v>
      </c>
      <c r="N73" s="382">
        <f t="shared" ref="N73:N137" si="17">L73+M73</f>
        <v>7200</v>
      </c>
      <c r="O73" s="373" t="s">
        <v>49</v>
      </c>
      <c r="P73" s="371">
        <f>N73*F73/3600/Parameter!$P$6/Parameter!$P$7</f>
        <v>0.29411764705882354</v>
      </c>
      <c r="Q73" s="14"/>
      <c r="R73" s="14"/>
      <c r="S73" s="493"/>
      <c r="T73" s="14"/>
      <c r="U73" s="14"/>
      <c r="V73" s="14"/>
      <c r="W73" s="14"/>
      <c r="X73" s="459">
        <f>P73*Parameter!W$8</f>
        <v>0.28529411764705881</v>
      </c>
      <c r="Y73" s="459">
        <f>X73*Parameter!X$8</f>
        <v>0.26306457058823529</v>
      </c>
      <c r="Z73" s="459">
        <f>Y73*Parameter!Y$8</f>
        <v>0.24984411853845537</v>
      </c>
      <c r="AA73" s="459">
        <f>Z73*Parameter!Z$8</f>
        <v>0.24440670946884568</v>
      </c>
      <c r="AB73" s="514">
        <f>VLOOKUP(O73,Parameter!$O$11:$P$22,2,0)*Process!P73</f>
        <v>37179.878048780491</v>
      </c>
      <c r="AC73" s="514">
        <f>VLOOKUP($O73,Parameter!$O$11:$P$22,2,0)*VLOOKUP($O73,Parameter!$O$11:$T$22,6,0)*X73</f>
        <v>38588.995426829271</v>
      </c>
      <c r="AD73" s="514">
        <f>VLOOKUP($O73,Parameter!$O$11:$P$22,2,0)*VLOOKUP($O73,Parameter!$O$11:$T$22,6,0)^2*Y73</f>
        <v>38072.973346842897</v>
      </c>
      <c r="AE73" s="514">
        <f>VLOOKUP($O73,Parameter!$O$11:$P$22,2,0)*VLOOKUP($O73,Parameter!$O$11:$T$22,6,0)^3*Z73</f>
        <v>38690.767197724112</v>
      </c>
      <c r="AF73" s="514">
        <f>VLOOKUP($O73,Parameter!$O$11:$P$22,2,0)*VLOOKUP($O73,Parameter!$O$11:$T$22,6,0)^4*AA73</f>
        <v>40498.143296885311</v>
      </c>
    </row>
    <row r="74" spans="1:32">
      <c r="A74" s="14">
        <f t="shared" si="14"/>
        <v>73</v>
      </c>
      <c r="B74" s="14" t="s">
        <v>558</v>
      </c>
      <c r="C74" s="14" t="s">
        <v>96</v>
      </c>
      <c r="D74" s="14" t="s">
        <v>97</v>
      </c>
      <c r="E74" s="14" t="s">
        <v>98</v>
      </c>
      <c r="F74" s="372">
        <f>F75</f>
        <v>30.775859683731511</v>
      </c>
      <c r="G74" s="14" t="s">
        <v>526</v>
      </c>
      <c r="H74" s="373" t="s">
        <v>513</v>
      </c>
      <c r="I74" s="381">
        <f>IFERROR(VLOOKUP(H74,Parameter!$F$44:$H$92,3,0),"")</f>
        <v>0</v>
      </c>
      <c r="J74" s="376" t="s">
        <v>38</v>
      </c>
      <c r="K74" s="367">
        <f>IFERROR(INDEX(Parameter!$D$122:$M$122,1,MATCH(Process!$J74,Parameter!$D$121:$M$121,0)),"")</f>
        <v>0.42</v>
      </c>
      <c r="L74" s="372">
        <f t="shared" si="16"/>
        <v>0</v>
      </c>
      <c r="M74" s="243">
        <v>5</v>
      </c>
      <c r="N74" s="382">
        <f t="shared" si="17"/>
        <v>5</v>
      </c>
      <c r="O74" s="373" t="s">
        <v>53</v>
      </c>
      <c r="P74" s="371">
        <f>N74*F74/3600/Parameter!$P$6/Parameter!$P$7</f>
        <v>6.2859190530497374E-3</v>
      </c>
      <c r="Q74" s="14"/>
      <c r="R74" s="14"/>
      <c r="S74" s="486"/>
      <c r="T74" s="14"/>
      <c r="U74" s="14"/>
      <c r="V74" s="14"/>
      <c r="W74" s="14"/>
      <c r="X74" s="459">
        <f>P74*Parameter!W$8</f>
        <v>6.0973414814582448E-3</v>
      </c>
      <c r="Y74" s="459">
        <f>X74*Parameter!X$8</f>
        <v>5.6222488279059814E-3</v>
      </c>
      <c r="Z74" s="459">
        <f>Y74*Parameter!Y$8</f>
        <v>5.3396996770451984E-3</v>
      </c>
      <c r="AA74" s="459">
        <f>Z74*Parameter!Z$8</f>
        <v>5.2234906919275898E-3</v>
      </c>
      <c r="AB74" s="514">
        <f>VLOOKUP(O74,Parameter!$O$11:$P$22,2,0)*Process!P74</f>
        <v>528.30466626653083</v>
      </c>
      <c r="AC74" s="514">
        <f>VLOOKUP($O74,Parameter!$O$11:$P$22,2,0)*VLOOKUP($O74,Parameter!$O$11:$T$22,6,0)*X74</f>
        <v>548.32741311803227</v>
      </c>
      <c r="AD74" s="514">
        <f>VLOOKUP($O74,Parameter!$O$11:$P$22,2,0)*VLOOKUP($O74,Parameter!$O$11:$T$22,6,0)^2*Y74</f>
        <v>540.99503638469059</v>
      </c>
      <c r="AE74" s="514">
        <f>VLOOKUP($O74,Parameter!$O$11:$P$22,2,0)*VLOOKUP($O74,Parameter!$O$11:$T$22,6,0)^3*Z74</f>
        <v>549.77353140242826</v>
      </c>
      <c r="AF74" s="514">
        <f>VLOOKUP($O74,Parameter!$O$11:$P$22,2,0)*VLOOKUP($O74,Parameter!$O$11:$T$22,6,0)^4*AA74</f>
        <v>575.45530544248004</v>
      </c>
    </row>
    <row r="75" spans="1:32">
      <c r="A75" s="14">
        <f t="shared" si="14"/>
        <v>74</v>
      </c>
      <c r="B75" s="14" t="s">
        <v>558</v>
      </c>
      <c r="C75" s="14" t="s">
        <v>96</v>
      </c>
      <c r="D75" s="14" t="s">
        <v>97</v>
      </c>
      <c r="E75" s="14" t="s">
        <v>502</v>
      </c>
      <c r="F75" s="372">
        <f>Parameter!R67/Parameter!R68</f>
        <v>30.775859683731511</v>
      </c>
      <c r="G75" s="14" t="s">
        <v>526</v>
      </c>
      <c r="H75" s="373" t="s">
        <v>503</v>
      </c>
      <c r="I75" s="381">
        <f>IFERROR(VLOOKUP(H75,Parameter!$F$44:$H$92,3,0),"")</f>
        <v>55</v>
      </c>
      <c r="J75" s="376" t="s">
        <v>38</v>
      </c>
      <c r="K75" s="367">
        <f>IFERROR(INDEX(Parameter!$D$122:$M$122,1,MATCH(Process!$J75,Parameter!$D$121:$M$121,0)),"")</f>
        <v>0.42</v>
      </c>
      <c r="L75" s="372">
        <f t="shared" si="16"/>
        <v>130.95238095238096</v>
      </c>
      <c r="M75" s="243"/>
      <c r="N75" s="382">
        <f t="shared" si="17"/>
        <v>130.95238095238096</v>
      </c>
      <c r="O75" s="373" t="s">
        <v>53</v>
      </c>
      <c r="P75" s="371">
        <f>N75*F75/3600/Parameter!$P$6/Parameter!$P$7</f>
        <v>0.16463121329415978</v>
      </c>
      <c r="Q75" s="14"/>
      <c r="R75" s="14"/>
      <c r="S75" s="486"/>
      <c r="T75" s="14"/>
      <c r="U75" s="14"/>
      <c r="V75" s="14"/>
      <c r="W75" s="14"/>
      <c r="X75" s="459">
        <f>P75*Parameter!W$8</f>
        <v>0.15969227689533497</v>
      </c>
      <c r="Y75" s="459">
        <f>X75*Parameter!X$8</f>
        <v>0.14724937406420424</v>
      </c>
      <c r="Z75" s="459">
        <f>Y75*Parameter!Y$8</f>
        <v>0.13984927725594562</v>
      </c>
      <c r="AA75" s="459">
        <f>Z75*Parameter!Z$8</f>
        <v>0.13680570859810348</v>
      </c>
      <c r="AB75" s="514">
        <f>VLOOKUP(O75,Parameter!$O$11:$P$22,2,0)*Process!P75</f>
        <v>13836.550783171044</v>
      </c>
      <c r="AC75" s="514">
        <f>VLOOKUP($O75,Parameter!$O$11:$P$22,2,0)*VLOOKUP($O75,Parameter!$O$11:$T$22,6,0)*X75</f>
        <v>14360.956057853226</v>
      </c>
      <c r="AD75" s="514">
        <f>VLOOKUP($O75,Parameter!$O$11:$P$22,2,0)*VLOOKUP($O75,Parameter!$O$11:$T$22,6,0)^2*Y75</f>
        <v>14168.917619599037</v>
      </c>
      <c r="AE75" s="514">
        <f>VLOOKUP($O75,Parameter!$O$11:$P$22,2,0)*VLOOKUP($O75,Parameter!$O$11:$T$22,6,0)^3*Z75</f>
        <v>14398.830584349307</v>
      </c>
      <c r="AF75" s="514">
        <f>VLOOKUP($O75,Parameter!$O$11:$P$22,2,0)*VLOOKUP($O75,Parameter!$O$11:$T$22,6,0)^4*AA75</f>
        <v>15071.448475874471</v>
      </c>
    </row>
    <row r="76" spans="1:32">
      <c r="A76" s="14">
        <f t="shared" si="14"/>
        <v>75</v>
      </c>
      <c r="B76" s="14" t="s">
        <v>558</v>
      </c>
      <c r="C76" s="14" t="s">
        <v>96</v>
      </c>
      <c r="D76" s="14" t="s">
        <v>97</v>
      </c>
      <c r="E76" s="14" t="s">
        <v>99</v>
      </c>
      <c r="F76" s="372">
        <f>F75</f>
        <v>30.775859683731511</v>
      </c>
      <c r="G76" s="14" t="s">
        <v>526</v>
      </c>
      <c r="H76" s="373" t="s">
        <v>503</v>
      </c>
      <c r="I76" s="381">
        <f>IFERROR(VLOOKUP(H76,Parameter!$F$44:$H$92,3,0),"")</f>
        <v>55</v>
      </c>
      <c r="J76" s="376" t="s">
        <v>38</v>
      </c>
      <c r="K76" s="367">
        <f>IFERROR(INDEX(Parameter!$D$122:$M$122,1,MATCH(Process!$J76,Parameter!$D$121:$M$121,0)),"")</f>
        <v>0.42</v>
      </c>
      <c r="L76" s="372">
        <f t="shared" si="16"/>
        <v>130.95238095238096</v>
      </c>
      <c r="M76" s="243"/>
      <c r="N76" s="382">
        <f t="shared" si="17"/>
        <v>130.95238095238096</v>
      </c>
      <c r="O76" s="373" t="s">
        <v>53</v>
      </c>
      <c r="P76" s="371">
        <f>N76*F76/3600/Parameter!$P$6/Parameter!$P$7</f>
        <v>0.16463121329415978</v>
      </c>
      <c r="Q76" s="14"/>
      <c r="R76" s="14"/>
      <c r="S76" s="486"/>
      <c r="T76" s="14"/>
      <c r="U76" s="14"/>
      <c r="V76" s="14"/>
      <c r="W76" s="14"/>
      <c r="X76" s="459">
        <f>P76*Parameter!W$8</f>
        <v>0.15969227689533497</v>
      </c>
      <c r="Y76" s="459">
        <f>X76*Parameter!X$8</f>
        <v>0.14724937406420424</v>
      </c>
      <c r="Z76" s="459">
        <f>Y76*Parameter!Y$8</f>
        <v>0.13984927725594562</v>
      </c>
      <c r="AA76" s="459">
        <f>Z76*Parameter!Z$8</f>
        <v>0.13680570859810348</v>
      </c>
      <c r="AB76" s="514">
        <f>VLOOKUP(O76,Parameter!$O$11:$P$22,2,0)*Process!P76</f>
        <v>13836.550783171044</v>
      </c>
      <c r="AC76" s="514">
        <f>VLOOKUP($O76,Parameter!$O$11:$P$22,2,0)*VLOOKUP($O76,Parameter!$O$11:$T$22,6,0)*X76</f>
        <v>14360.956057853226</v>
      </c>
      <c r="AD76" s="514">
        <f>VLOOKUP($O76,Parameter!$O$11:$P$22,2,0)*VLOOKUP($O76,Parameter!$O$11:$T$22,6,0)^2*Y76</f>
        <v>14168.917619599037</v>
      </c>
      <c r="AE76" s="514">
        <f>VLOOKUP($O76,Parameter!$O$11:$P$22,2,0)*VLOOKUP($O76,Parameter!$O$11:$T$22,6,0)^3*Z76</f>
        <v>14398.830584349307</v>
      </c>
      <c r="AF76" s="514">
        <f>VLOOKUP($O76,Parameter!$O$11:$P$22,2,0)*VLOOKUP($O76,Parameter!$O$11:$T$22,6,0)^4*AA76</f>
        <v>15071.448475874471</v>
      </c>
    </row>
    <row r="77" spans="1:32">
      <c r="A77" s="14">
        <f t="shared" si="14"/>
        <v>76</v>
      </c>
      <c r="B77" s="14" t="s">
        <v>558</v>
      </c>
      <c r="C77" s="14" t="s">
        <v>96</v>
      </c>
      <c r="D77" s="14" t="s">
        <v>100</v>
      </c>
      <c r="E77" s="14" t="s">
        <v>511</v>
      </c>
      <c r="F77" s="372">
        <f>F74</f>
        <v>30.775859683731511</v>
      </c>
      <c r="G77" s="14" t="s">
        <v>526</v>
      </c>
      <c r="H77" s="373" t="s">
        <v>479</v>
      </c>
      <c r="I77" s="381">
        <f>IFERROR(VLOOKUP(H77,Parameter!$F$44:$H$92,3,0),"")</f>
        <v>20</v>
      </c>
      <c r="J77" s="376" t="s">
        <v>38</v>
      </c>
      <c r="K77" s="367">
        <f>IFERROR(INDEX(Parameter!$D$122:$M$122,1,MATCH(Process!$J77,Parameter!$D$121:$M$121,0)),"")</f>
        <v>0.42</v>
      </c>
      <c r="L77" s="372">
        <f t="shared" si="16"/>
        <v>47.61904761904762</v>
      </c>
      <c r="M77" s="243"/>
      <c r="N77" s="382">
        <f t="shared" si="17"/>
        <v>47.61904761904762</v>
      </c>
      <c r="O77" s="373" t="s">
        <v>53</v>
      </c>
      <c r="P77" s="371">
        <f>N77*F77/3600/Parameter!$P$6/Parameter!$P$7</f>
        <v>5.9865895743330823E-2</v>
      </c>
      <c r="Q77" s="14"/>
      <c r="R77" s="14"/>
      <c r="S77" s="486"/>
      <c r="T77" s="14"/>
      <c r="U77" s="14"/>
      <c r="V77" s="14"/>
      <c r="W77" s="14"/>
      <c r="X77" s="459">
        <f>P77*Parameter!W$8</f>
        <v>5.8069918871030891E-2</v>
      </c>
      <c r="Y77" s="459">
        <f>X77*Parameter!X$8</f>
        <v>5.3545226932437906E-2</v>
      </c>
      <c r="Z77" s="459">
        <f>Y77*Parameter!Y$8</f>
        <v>5.0854282638525684E-2</v>
      </c>
      <c r="AA77" s="459">
        <f>Z77*Parameter!Z$8</f>
        <v>4.9747530399310361E-2</v>
      </c>
      <c r="AB77" s="514">
        <f>VLOOKUP(O77,Parameter!$O$11:$P$22,2,0)*Process!P77</f>
        <v>5031.4730120621971</v>
      </c>
      <c r="AC77" s="514">
        <f>VLOOKUP($O77,Parameter!$O$11:$P$22,2,0)*VLOOKUP($O77,Parameter!$O$11:$T$22,6,0)*X77</f>
        <v>5222.165839219354</v>
      </c>
      <c r="AD77" s="514">
        <f>VLOOKUP($O77,Parameter!$O$11:$P$22,2,0)*VLOOKUP($O77,Parameter!$O$11:$T$22,6,0)^2*Y77</f>
        <v>5152.333679854195</v>
      </c>
      <c r="AE77" s="514">
        <f>VLOOKUP($O77,Parameter!$O$11:$P$22,2,0)*VLOOKUP($O77,Parameter!$O$11:$T$22,6,0)^3*Z77</f>
        <v>5235.9383943088396</v>
      </c>
      <c r="AF77" s="514">
        <f>VLOOKUP($O77,Parameter!$O$11:$P$22,2,0)*VLOOKUP($O77,Parameter!$O$11:$T$22,6,0)^4*AA77</f>
        <v>5480.5267184998074</v>
      </c>
    </row>
    <row r="78" spans="1:32">
      <c r="A78" s="14">
        <f t="shared" si="14"/>
        <v>77</v>
      </c>
      <c r="B78" s="14" t="s">
        <v>558</v>
      </c>
      <c r="C78" s="14" t="s">
        <v>96</v>
      </c>
      <c r="D78" s="14" t="s">
        <v>100</v>
      </c>
      <c r="E78" s="14" t="s">
        <v>512</v>
      </c>
      <c r="F78" s="372">
        <f>Parameter!R67</f>
        <v>738.62063240955626</v>
      </c>
      <c r="G78" s="14" t="s">
        <v>228</v>
      </c>
      <c r="H78" s="373" t="s">
        <v>484</v>
      </c>
      <c r="I78" s="381">
        <f>IFERROR(VLOOKUP(H78,Parameter!$F$44:$H$92,3,0),"")</f>
        <v>10</v>
      </c>
      <c r="J78" s="376" t="s">
        <v>38</v>
      </c>
      <c r="K78" s="367">
        <f>IFERROR(INDEX(Parameter!$D$122:$M$122,1,MATCH(Process!$J78,Parameter!$D$121:$M$121,0)),"")</f>
        <v>0.42</v>
      </c>
      <c r="L78" s="372">
        <f t="shared" si="16"/>
        <v>23.80952380952381</v>
      </c>
      <c r="M78" s="243"/>
      <c r="N78" s="382">
        <f t="shared" si="17"/>
        <v>23.80952380952381</v>
      </c>
      <c r="O78" s="373" t="s">
        <v>53</v>
      </c>
      <c r="P78" s="371">
        <f>N78*F78/3600/Parameter!$P$6/Parameter!$P$7</f>
        <v>0.71839074891997001</v>
      </c>
      <c r="Q78" s="14"/>
      <c r="R78" s="14"/>
      <c r="S78" s="486"/>
      <c r="T78" s="14"/>
      <c r="U78" s="14"/>
      <c r="V78" s="14"/>
      <c r="W78" s="14"/>
      <c r="X78" s="459">
        <f>P78*Parameter!W$8</f>
        <v>0.69683902645237084</v>
      </c>
      <c r="Y78" s="459">
        <f>X78*Parameter!X$8</f>
        <v>0.64254272318925498</v>
      </c>
      <c r="Z78" s="459">
        <f>Y78*Parameter!Y$8</f>
        <v>0.61025139166230835</v>
      </c>
      <c r="AA78" s="459">
        <f>Z78*Parameter!Z$8</f>
        <v>0.59697036479172449</v>
      </c>
      <c r="AB78" s="514">
        <f>VLOOKUP(O78,Parameter!$O$11:$P$22,2,0)*Process!P78</f>
        <v>60377.67614474638</v>
      </c>
      <c r="AC78" s="514">
        <f>VLOOKUP($O78,Parameter!$O$11:$P$22,2,0)*VLOOKUP($O78,Parameter!$O$11:$T$22,6,0)*X78</f>
        <v>62665.990070632259</v>
      </c>
      <c r="AD78" s="514">
        <f>VLOOKUP($O78,Parameter!$O$11:$P$22,2,0)*VLOOKUP($O78,Parameter!$O$11:$T$22,6,0)^2*Y78</f>
        <v>61828.004158250355</v>
      </c>
      <c r="AE78" s="514">
        <f>VLOOKUP($O78,Parameter!$O$11:$P$22,2,0)*VLOOKUP($O78,Parameter!$O$11:$T$22,6,0)^3*Z78</f>
        <v>62831.26073170609</v>
      </c>
      <c r="AF78" s="514">
        <f>VLOOKUP($O78,Parameter!$O$11:$P$22,2,0)*VLOOKUP($O78,Parameter!$O$11:$T$22,6,0)^4*AA78</f>
        <v>65766.320621997715</v>
      </c>
    </row>
    <row r="79" spans="1:32">
      <c r="A79" s="14">
        <f t="shared" si="14"/>
        <v>78</v>
      </c>
      <c r="B79" s="14" t="s">
        <v>558</v>
      </c>
      <c r="C79" s="14" t="s">
        <v>96</v>
      </c>
      <c r="D79" s="14" t="s">
        <v>100</v>
      </c>
      <c r="E79" s="14" t="s">
        <v>101</v>
      </c>
      <c r="F79" s="372">
        <f>Parameter!R67*Parameter!R69</f>
        <v>4801.0341106621154</v>
      </c>
      <c r="G79" s="14" t="s">
        <v>525</v>
      </c>
      <c r="H79" s="373" t="s">
        <v>513</v>
      </c>
      <c r="I79" s="381">
        <f>IFERROR(VLOOKUP(H79,Parameter!$F$44:$H$92,3,0),"")</f>
        <v>0</v>
      </c>
      <c r="J79" s="376" t="s">
        <v>38</v>
      </c>
      <c r="K79" s="367">
        <f>IFERROR(INDEX(Parameter!$D$122:$M$122,1,MATCH(Process!$J79,Parameter!$D$121:$M$121,0)),"")</f>
        <v>0.42</v>
      </c>
      <c r="L79" s="372">
        <f t="shared" si="16"/>
        <v>0</v>
      </c>
      <c r="M79" s="384">
        <v>8</v>
      </c>
      <c r="N79" s="382">
        <f t="shared" si="17"/>
        <v>8</v>
      </c>
      <c r="O79" s="373" t="s">
        <v>53</v>
      </c>
      <c r="P79" s="371">
        <f>N79*F79/3600/Parameter!$P$6/Parameter!$P$7</f>
        <v>1.5689653956412142</v>
      </c>
      <c r="Q79" s="14"/>
      <c r="R79" s="14"/>
      <c r="S79" s="486"/>
      <c r="T79" s="14"/>
      <c r="U79" s="14"/>
      <c r="V79" s="14"/>
      <c r="W79" s="14"/>
      <c r="X79" s="459">
        <f>P79*Parameter!W$8</f>
        <v>1.5218964337719776</v>
      </c>
      <c r="Y79" s="459">
        <f>X79*Parameter!X$8</f>
        <v>1.4033133074453326</v>
      </c>
      <c r="Z79" s="459">
        <f>Y79*Parameter!Y$8</f>
        <v>1.3327890393904811</v>
      </c>
      <c r="AA79" s="459">
        <f>Z79*Parameter!Z$8</f>
        <v>1.3037832767051258</v>
      </c>
      <c r="AB79" s="514">
        <f>VLOOKUP(O79,Parameter!$O$11:$P$22,2,0)*Process!P79</f>
        <v>131864.84470012606</v>
      </c>
      <c r="AC79" s="514">
        <f>VLOOKUP($O79,Parameter!$O$11:$P$22,2,0)*VLOOKUP($O79,Parameter!$O$11:$T$22,6,0)*X79</f>
        <v>136862.52231426083</v>
      </c>
      <c r="AD79" s="514">
        <f>VLOOKUP($O79,Parameter!$O$11:$P$22,2,0)*VLOOKUP($O79,Parameter!$O$11:$T$22,6,0)^2*Y79</f>
        <v>135032.36108161873</v>
      </c>
      <c r="AE79" s="514">
        <f>VLOOKUP($O79,Parameter!$O$11:$P$22,2,0)*VLOOKUP($O79,Parameter!$O$11:$T$22,6,0)^3*Z79</f>
        <v>137223.47343804606</v>
      </c>
      <c r="AF79" s="514">
        <f>VLOOKUP($O79,Parameter!$O$11:$P$22,2,0)*VLOOKUP($O79,Parameter!$O$11:$T$22,6,0)^4*AA79</f>
        <v>143633.64423844294</v>
      </c>
    </row>
    <row r="80" spans="1:32">
      <c r="A80" s="14">
        <f t="shared" si="14"/>
        <v>79</v>
      </c>
      <c r="B80" s="14" t="s">
        <v>558</v>
      </c>
      <c r="C80" s="14" t="s">
        <v>96</v>
      </c>
      <c r="D80" s="14" t="s">
        <v>100</v>
      </c>
      <c r="E80" s="14" t="s">
        <v>102</v>
      </c>
      <c r="F80" s="372">
        <f>F79*Parameter!R84</f>
        <v>432.09306995959037</v>
      </c>
      <c r="G80" s="14" t="s">
        <v>525</v>
      </c>
      <c r="H80" s="373" t="s">
        <v>513</v>
      </c>
      <c r="I80" s="381">
        <f>IFERROR(VLOOKUP(H80,Parameter!$F$44:$H$92,3,0),"")</f>
        <v>0</v>
      </c>
      <c r="J80" s="376" t="s">
        <v>38</v>
      </c>
      <c r="K80" s="367">
        <f>IFERROR(INDEX(Parameter!$D$122:$M$122,1,MATCH(Process!$J80,Parameter!$D$121:$M$121,0)),"")</f>
        <v>0.42</v>
      </c>
      <c r="L80" s="372">
        <f t="shared" si="16"/>
        <v>0</v>
      </c>
      <c r="M80" s="243">
        <v>5</v>
      </c>
      <c r="N80" s="382">
        <f t="shared" si="17"/>
        <v>5</v>
      </c>
      <c r="O80" s="373" t="s">
        <v>53</v>
      </c>
      <c r="P80" s="371">
        <f>N80*F80/3600/Parameter!$P$6/Parameter!$P$7</f>
        <v>8.8254303504818291E-2</v>
      </c>
      <c r="Q80" s="14"/>
      <c r="R80" s="14"/>
      <c r="S80" s="486"/>
      <c r="T80" s="14"/>
      <c r="U80" s="14"/>
      <c r="V80" s="14"/>
      <c r="W80" s="14"/>
      <c r="X80" s="459">
        <f>P80*Parameter!W$8</f>
        <v>8.5606674399673732E-2</v>
      </c>
      <c r="Y80" s="459">
        <f>X80*Parameter!X$8</f>
        <v>7.8936373543799954E-2</v>
      </c>
      <c r="Z80" s="459">
        <f>Y80*Parameter!Y$8</f>
        <v>7.4969383465714551E-2</v>
      </c>
      <c r="AA80" s="459">
        <f>Z80*Parameter!Z$8</f>
        <v>7.3337809314663327E-2</v>
      </c>
      <c r="AB80" s="514">
        <f>VLOOKUP(O80,Parameter!$O$11:$P$22,2,0)*Process!P80</f>
        <v>7417.3975143820908</v>
      </c>
      <c r="AC80" s="514">
        <f>VLOOKUP($O80,Parameter!$O$11:$P$22,2,0)*VLOOKUP($O80,Parameter!$O$11:$T$22,6,0)*X80</f>
        <v>7698.5168801771706</v>
      </c>
      <c r="AD80" s="514">
        <f>VLOOKUP($O80,Parameter!$O$11:$P$22,2,0)*VLOOKUP($O80,Parameter!$O$11:$T$22,6,0)^2*Y80</f>
        <v>7595.5703108410535</v>
      </c>
      <c r="AE80" s="514">
        <f>VLOOKUP($O80,Parameter!$O$11:$P$22,2,0)*VLOOKUP($O80,Parameter!$O$11:$T$22,6,0)^3*Z80</f>
        <v>7718.8203808900898</v>
      </c>
      <c r="AF80" s="514">
        <f>VLOOKUP($O80,Parameter!$O$11:$P$22,2,0)*VLOOKUP($O80,Parameter!$O$11:$T$22,6,0)^4*AA80</f>
        <v>8079.3924884124162</v>
      </c>
    </row>
    <row r="81" spans="1:32">
      <c r="A81" s="14">
        <f t="shared" si="14"/>
        <v>80</v>
      </c>
      <c r="B81" s="14" t="s">
        <v>558</v>
      </c>
      <c r="C81" s="14" t="s">
        <v>96</v>
      </c>
      <c r="D81" s="14" t="s">
        <v>100</v>
      </c>
      <c r="E81" s="14" t="s">
        <v>73</v>
      </c>
      <c r="F81" s="372">
        <f>Parameter!R67</f>
        <v>738.62063240955626</v>
      </c>
      <c r="G81" s="239" t="s">
        <v>228</v>
      </c>
      <c r="H81" s="373" t="s">
        <v>513</v>
      </c>
      <c r="I81" s="381">
        <f>IFERROR(VLOOKUP(H81,Parameter!$F$44:$H$92,3,0),"")</f>
        <v>0</v>
      </c>
      <c r="J81" s="376" t="s">
        <v>38</v>
      </c>
      <c r="K81" s="367">
        <f>IFERROR(INDEX(Parameter!$D$122:$M$122,1,MATCH(Process!$J81,Parameter!$D$121:$M$121,0)),"")</f>
        <v>0.42</v>
      </c>
      <c r="L81" s="372">
        <f t="shared" si="16"/>
        <v>0</v>
      </c>
      <c r="M81" s="243">
        <v>5</v>
      </c>
      <c r="N81" s="382">
        <f t="shared" si="17"/>
        <v>5</v>
      </c>
      <c r="O81" s="373" t="s">
        <v>53</v>
      </c>
      <c r="P81" s="371">
        <f>N81*F81/3600/Parameter!$P$6/Parameter!$P$7</f>
        <v>0.15086205727319368</v>
      </c>
      <c r="Q81" s="14"/>
      <c r="R81" s="14"/>
      <c r="S81" s="486"/>
      <c r="T81" s="14"/>
      <c r="U81" s="14"/>
      <c r="V81" s="14"/>
      <c r="W81" s="14"/>
      <c r="X81" s="459">
        <f>P81*Parameter!W$8</f>
        <v>0.14633619555499786</v>
      </c>
      <c r="Y81" s="459">
        <f>X81*Parameter!X$8</f>
        <v>0.13493397186974351</v>
      </c>
      <c r="Z81" s="459">
        <f>Y81*Parameter!Y$8</f>
        <v>0.12815279224908471</v>
      </c>
      <c r="AA81" s="459">
        <f>Z81*Parameter!Z$8</f>
        <v>0.12536377660626211</v>
      </c>
      <c r="AB81" s="514">
        <f>VLOOKUP(O81,Parameter!$O$11:$P$22,2,0)*Process!P81</f>
        <v>12679.311990396738</v>
      </c>
      <c r="AC81" s="514">
        <f>VLOOKUP($O81,Parameter!$O$11:$P$22,2,0)*VLOOKUP($O81,Parameter!$O$11:$T$22,6,0)*X81</f>
        <v>13159.857914832774</v>
      </c>
      <c r="AD81" s="514">
        <f>VLOOKUP($O81,Parameter!$O$11:$P$22,2,0)*VLOOKUP($O81,Parameter!$O$11:$T$22,6,0)^2*Y81</f>
        <v>12983.880873232571</v>
      </c>
      <c r="AE81" s="514">
        <f>VLOOKUP($O81,Parameter!$O$11:$P$22,2,0)*VLOOKUP($O81,Parameter!$O$11:$T$22,6,0)^3*Z81</f>
        <v>13194.564753658275</v>
      </c>
      <c r="AF81" s="514">
        <f>VLOOKUP($O81,Parameter!$O$11:$P$22,2,0)*VLOOKUP($O81,Parameter!$O$11:$T$22,6,0)^4*AA81</f>
        <v>13810.927330619515</v>
      </c>
    </row>
    <row r="82" spans="1:32">
      <c r="A82" s="14">
        <f t="shared" si="14"/>
        <v>81</v>
      </c>
      <c r="B82" s="14" t="s">
        <v>558</v>
      </c>
      <c r="C82" s="14" t="s">
        <v>96</v>
      </c>
      <c r="D82" s="14" t="s">
        <v>100</v>
      </c>
      <c r="E82" s="14" t="s">
        <v>480</v>
      </c>
      <c r="F82" s="372">
        <f>F74*Parameter!R70</f>
        <v>0</v>
      </c>
      <c r="G82" s="239" t="s">
        <v>526</v>
      </c>
      <c r="H82" s="373" t="s">
        <v>481</v>
      </c>
      <c r="I82" s="381">
        <f>IFERROR(VLOOKUP(H82,Parameter!$F$44:$H$92,3,0),"")</f>
        <v>0</v>
      </c>
      <c r="J82" s="376" t="s">
        <v>38</v>
      </c>
      <c r="K82" s="367">
        <f>IFERROR(INDEX(Parameter!$D$122:$M$122,1,MATCH(Process!$J82,Parameter!$D$121:$M$121,0)),"")</f>
        <v>0.42</v>
      </c>
      <c r="L82" s="372">
        <f t="shared" si="16"/>
        <v>0</v>
      </c>
      <c r="M82" s="243"/>
      <c r="N82" s="382">
        <f t="shared" si="17"/>
        <v>0</v>
      </c>
      <c r="O82" s="373" t="s">
        <v>53</v>
      </c>
      <c r="P82" s="371">
        <f>N82*F82/3600/Parameter!$P$6/Parameter!$P$7</f>
        <v>0</v>
      </c>
      <c r="Q82" s="14"/>
      <c r="R82" s="14"/>
      <c r="S82" s="486"/>
      <c r="T82" s="14"/>
      <c r="U82" s="14"/>
      <c r="V82" s="14"/>
      <c r="W82" s="14"/>
      <c r="X82" s="459">
        <f>P82*Parameter!W$8</f>
        <v>0</v>
      </c>
      <c r="Y82" s="459">
        <f>X82*Parameter!X$8</f>
        <v>0</v>
      </c>
      <c r="Z82" s="459">
        <f>Y82*Parameter!Y$8</f>
        <v>0</v>
      </c>
      <c r="AA82" s="459">
        <f>Z82*Parameter!Z$8</f>
        <v>0</v>
      </c>
      <c r="AB82" s="514">
        <f>VLOOKUP(O82,Parameter!$O$11:$P$22,2,0)*Process!P82</f>
        <v>0</v>
      </c>
      <c r="AC82" s="514">
        <f>VLOOKUP($O82,Parameter!$O$11:$P$22,2,0)*VLOOKUP($O82,Parameter!$O$11:$T$22,6,0)*X82</f>
        <v>0</v>
      </c>
      <c r="AD82" s="514">
        <f>VLOOKUP($O82,Parameter!$O$11:$P$22,2,0)*VLOOKUP($O82,Parameter!$O$11:$T$22,6,0)^2*Y82</f>
        <v>0</v>
      </c>
      <c r="AE82" s="514">
        <f>VLOOKUP($O82,Parameter!$O$11:$P$22,2,0)*VLOOKUP($O82,Parameter!$O$11:$T$22,6,0)^3*Z82</f>
        <v>0</v>
      </c>
      <c r="AF82" s="514">
        <f>VLOOKUP($O82,Parameter!$O$11:$P$22,2,0)*VLOOKUP($O82,Parameter!$O$11:$T$22,6,0)^4*AA82</f>
        <v>0</v>
      </c>
    </row>
    <row r="83" spans="1:32">
      <c r="A83" s="14">
        <f t="shared" si="14"/>
        <v>82</v>
      </c>
      <c r="B83" s="14" t="s">
        <v>558</v>
      </c>
      <c r="C83" s="14" t="s">
        <v>96</v>
      </c>
      <c r="D83" s="14" t="s">
        <v>74</v>
      </c>
      <c r="E83" s="14" t="s">
        <v>482</v>
      </c>
      <c r="F83" s="372">
        <f>F82</f>
        <v>0</v>
      </c>
      <c r="G83" s="239" t="s">
        <v>526</v>
      </c>
      <c r="H83" s="373" t="s">
        <v>513</v>
      </c>
      <c r="I83" s="381">
        <f>IFERROR(VLOOKUP(H83,Parameter!$F$44:$H$92,3,0),"")</f>
        <v>0</v>
      </c>
      <c r="J83" s="376" t="s">
        <v>38</v>
      </c>
      <c r="K83" s="367">
        <f>IFERROR(INDEX(Parameter!$D$122:$M$122,1,MATCH(Process!$J83,Parameter!$D$121:$M$121,0)),"")</f>
        <v>0.42</v>
      </c>
      <c r="L83" s="372">
        <f t="shared" si="16"/>
        <v>0</v>
      </c>
      <c r="M83" s="243">
        <v>180</v>
      </c>
      <c r="N83" s="382">
        <f t="shared" si="17"/>
        <v>180</v>
      </c>
      <c r="O83" s="373" t="s">
        <v>53</v>
      </c>
      <c r="P83" s="371">
        <f>N83*F83/3600/Parameter!$P$6/Parameter!$P$7</f>
        <v>0</v>
      </c>
      <c r="Q83" s="14"/>
      <c r="R83" s="14"/>
      <c r="S83" s="486"/>
      <c r="T83" s="14"/>
      <c r="U83" s="14"/>
      <c r="V83" s="14"/>
      <c r="W83" s="14"/>
      <c r="X83" s="459">
        <f>P83*Parameter!W$8</f>
        <v>0</v>
      </c>
      <c r="Y83" s="459">
        <f>X83*Parameter!X$8</f>
        <v>0</v>
      </c>
      <c r="Z83" s="459">
        <f>Y83*Parameter!Y$8</f>
        <v>0</v>
      </c>
      <c r="AA83" s="459">
        <f>Z83*Parameter!Z$8</f>
        <v>0</v>
      </c>
      <c r="AB83" s="514">
        <f>VLOOKUP(O83,Parameter!$O$11:$P$22,2,0)*Process!P83</f>
        <v>0</v>
      </c>
      <c r="AC83" s="514">
        <f>VLOOKUP($O83,Parameter!$O$11:$P$22,2,0)*VLOOKUP($O83,Parameter!$O$11:$T$22,6,0)*X83</f>
        <v>0</v>
      </c>
      <c r="AD83" s="514">
        <f>VLOOKUP($O83,Parameter!$O$11:$P$22,2,0)*VLOOKUP($O83,Parameter!$O$11:$T$22,6,0)^2*Y83</f>
        <v>0</v>
      </c>
      <c r="AE83" s="514">
        <f>VLOOKUP($O83,Parameter!$O$11:$P$22,2,0)*VLOOKUP($O83,Parameter!$O$11:$T$22,6,0)^3*Z83</f>
        <v>0</v>
      </c>
      <c r="AF83" s="514">
        <f>VLOOKUP($O83,Parameter!$O$11:$P$22,2,0)*VLOOKUP($O83,Parameter!$O$11:$T$22,6,0)^4*AA83</f>
        <v>0</v>
      </c>
    </row>
    <row r="84" spans="1:32">
      <c r="A84" s="14">
        <f t="shared" si="14"/>
        <v>83</v>
      </c>
      <c r="B84" s="14" t="s">
        <v>558</v>
      </c>
      <c r="C84" s="14" t="s">
        <v>103</v>
      </c>
      <c r="D84" s="14" t="s">
        <v>104</v>
      </c>
      <c r="E84" s="14" t="s">
        <v>98</v>
      </c>
      <c r="F84" s="372">
        <f>Parameter!R72/Parameter!R73</f>
        <v>358.32178156996594</v>
      </c>
      <c r="G84" s="14" t="s">
        <v>526</v>
      </c>
      <c r="H84" s="373" t="s">
        <v>513</v>
      </c>
      <c r="I84" s="381">
        <f>IFERROR(VLOOKUP(H84,Parameter!$F$44:$H$92,3,0),"")</f>
        <v>0</v>
      </c>
      <c r="J84" s="376" t="s">
        <v>464</v>
      </c>
      <c r="K84" s="367">
        <f>IFERROR(INDEX(Parameter!$D$122:$M$122,1,MATCH(Process!$J84,Parameter!$D$121:$M$121,0)),"")</f>
        <v>2.7777777777777777</v>
      </c>
      <c r="L84" s="372">
        <f t="shared" si="16"/>
        <v>0</v>
      </c>
      <c r="M84" s="243">
        <v>5</v>
      </c>
      <c r="N84" s="382">
        <f t="shared" si="17"/>
        <v>5</v>
      </c>
      <c r="O84" s="373" t="s">
        <v>60</v>
      </c>
      <c r="P84" s="371">
        <f>N84*F84/3600/Parameter!$P$6/Parameter!$P$7</f>
        <v>7.3186638392558401E-2</v>
      </c>
      <c r="Q84" s="14"/>
      <c r="R84" s="14"/>
      <c r="S84" s="486"/>
      <c r="T84" s="14"/>
      <c r="U84" s="14"/>
      <c r="V84" s="14"/>
      <c r="W84" s="14"/>
      <c r="X84" s="459">
        <f>P84*Parameter!W$8</f>
        <v>7.0991039240781637E-2</v>
      </c>
      <c r="Y84" s="459">
        <f>X84*Parameter!X$8</f>
        <v>6.5459559445218404E-2</v>
      </c>
      <c r="Z84" s="459">
        <f>Y84*Parameter!Y$8</f>
        <v>6.2169853937136837E-2</v>
      </c>
      <c r="AA84" s="459">
        <f>Z84*Parameter!Z$8</f>
        <v>6.0816838586479037E-2</v>
      </c>
      <c r="AB84" s="514">
        <f>VLOOKUP(O84,Parameter!$O$11:$P$22,2,0)*Process!P84</f>
        <v>7381.2294898816735</v>
      </c>
      <c r="AC84" s="514">
        <f>VLOOKUP($O84,Parameter!$O$11:$P$22,2,0)*VLOOKUP($O84,Parameter!$O$11:$T$22,6,0)*X84</f>
        <v>7660.9780875481883</v>
      </c>
      <c r="AD84" s="514">
        <f>VLOOKUP($O84,Parameter!$O$11:$P$22,2,0)*VLOOKUP($O84,Parameter!$O$11:$T$22,6,0)^2*Y84</f>
        <v>7558.5334967071894</v>
      </c>
      <c r="AE84" s="514">
        <f>VLOOKUP($O84,Parameter!$O$11:$P$22,2,0)*VLOOKUP($O84,Parameter!$O$11:$T$22,6,0)^3*Z84</f>
        <v>7681.1825862176256</v>
      </c>
      <c r="AF84" s="514">
        <f>VLOOKUP($O84,Parameter!$O$11:$P$22,2,0)*VLOOKUP($O84,Parameter!$O$11:$T$22,6,0)^4*AA84</f>
        <v>8039.996505535295</v>
      </c>
    </row>
    <row r="85" spans="1:32">
      <c r="A85" s="14">
        <f t="shared" si="14"/>
        <v>84</v>
      </c>
      <c r="B85" s="14" t="s">
        <v>558</v>
      </c>
      <c r="C85" s="14" t="s">
        <v>103</v>
      </c>
      <c r="D85" s="14" t="s">
        <v>104</v>
      </c>
      <c r="E85" s="14" t="s">
        <v>486</v>
      </c>
      <c r="F85" s="372">
        <f>F84</f>
        <v>358.32178156996594</v>
      </c>
      <c r="G85" s="14" t="s">
        <v>526</v>
      </c>
      <c r="H85" s="373" t="s">
        <v>504</v>
      </c>
      <c r="I85" s="381">
        <f>IFERROR(VLOOKUP(H85,Parameter!$F$44:$H$92,3,0),"")</f>
        <v>11</v>
      </c>
      <c r="J85" s="376" t="s">
        <v>35</v>
      </c>
      <c r="K85" s="367">
        <f>IFERROR(INDEX(Parameter!$D$122:$M$122,1,MATCH(Process!$J85,Parameter!$D$121:$M$121,0)),"")</f>
        <v>2.7777777777777777</v>
      </c>
      <c r="L85" s="372">
        <f t="shared" si="16"/>
        <v>3.96</v>
      </c>
      <c r="M85" s="243"/>
      <c r="N85" s="382">
        <f t="shared" si="17"/>
        <v>3.96</v>
      </c>
      <c r="O85" s="373" t="s">
        <v>60</v>
      </c>
      <c r="P85" s="371">
        <f>N85*F85/3600/Parameter!$P$6/Parameter!$P$7</f>
        <v>5.7963817606906255E-2</v>
      </c>
      <c r="Q85" s="14"/>
      <c r="R85" s="14"/>
      <c r="S85" s="486"/>
      <c r="T85" s="14"/>
      <c r="U85" s="14"/>
      <c r="V85" s="14"/>
      <c r="W85" s="14"/>
      <c r="X85" s="459">
        <f>P85*Parameter!W$8</f>
        <v>5.6224903078699061E-2</v>
      </c>
      <c r="Y85" s="459">
        <f>X85*Parameter!X$8</f>
        <v>5.1843971080612984E-2</v>
      </c>
      <c r="Z85" s="459">
        <f>Y85*Parameter!Y$8</f>
        <v>4.9238524318212386E-2</v>
      </c>
      <c r="AA85" s="459">
        <f>Z85*Parameter!Z$8</f>
        <v>4.8166936160491405E-2</v>
      </c>
      <c r="AB85" s="514">
        <f>VLOOKUP(O85,Parameter!$O$11:$P$22,2,0)*Process!P85</f>
        <v>5845.9337559862861</v>
      </c>
      <c r="AC85" s="514">
        <f>VLOOKUP($O85,Parameter!$O$11:$P$22,2,0)*VLOOKUP($O85,Parameter!$O$11:$T$22,6,0)*X85</f>
        <v>6067.4946453381663</v>
      </c>
      <c r="AD85" s="514">
        <f>VLOOKUP($O85,Parameter!$O$11:$P$22,2,0)*VLOOKUP($O85,Parameter!$O$11:$T$22,6,0)^2*Y85</f>
        <v>5986.3585293920951</v>
      </c>
      <c r="AE85" s="514">
        <f>VLOOKUP($O85,Parameter!$O$11:$P$22,2,0)*VLOOKUP($O85,Parameter!$O$11:$T$22,6,0)^3*Z85</f>
        <v>6083.4966082843612</v>
      </c>
      <c r="AF85" s="514">
        <f>VLOOKUP($O85,Parameter!$O$11:$P$22,2,0)*VLOOKUP($O85,Parameter!$O$11:$T$22,6,0)^4*AA85</f>
        <v>6367.6772323839541</v>
      </c>
    </row>
    <row r="86" spans="1:32">
      <c r="A86" s="14">
        <f t="shared" si="14"/>
        <v>85</v>
      </c>
      <c r="B86" s="14" t="s">
        <v>558</v>
      </c>
      <c r="C86" s="14" t="s">
        <v>103</v>
      </c>
      <c r="D86" s="14" t="s">
        <v>104</v>
      </c>
      <c r="E86" s="14" t="s">
        <v>478</v>
      </c>
      <c r="F86" s="372">
        <f>F84</f>
        <v>358.32178156996594</v>
      </c>
      <c r="G86" s="14" t="s">
        <v>526</v>
      </c>
      <c r="H86" s="373" t="s">
        <v>488</v>
      </c>
      <c r="I86" s="381">
        <f>IFERROR(VLOOKUP(H86,Parameter!$F$44:$H$92,3,0),"")</f>
        <v>90</v>
      </c>
      <c r="J86" s="376" t="s">
        <v>35</v>
      </c>
      <c r="K86" s="367">
        <f>IFERROR(INDEX(Parameter!$D$122:$M$122,1,MATCH(Process!$J86,Parameter!$D$121:$M$121,0)),"")</f>
        <v>2.7777777777777777</v>
      </c>
      <c r="L86" s="372">
        <f t="shared" ref="L86:L89" si="18">IFERROR(I86/K86,0)</f>
        <v>32.4</v>
      </c>
      <c r="M86" s="243"/>
      <c r="N86" s="382">
        <f t="shared" ref="N86:N87" si="19">L86+M86</f>
        <v>32.4</v>
      </c>
      <c r="O86" s="373" t="s">
        <v>60</v>
      </c>
      <c r="P86" s="371">
        <f>N86*F86/3600/Parameter!$P$6/Parameter!$P$7</f>
        <v>0.47424941678377847</v>
      </c>
      <c r="Q86" s="14"/>
      <c r="R86" s="14"/>
      <c r="S86" s="486"/>
      <c r="T86" s="14"/>
      <c r="U86" s="14"/>
      <c r="V86" s="14"/>
      <c r="W86" s="14"/>
      <c r="X86" s="459">
        <f>P86*Parameter!W$8</f>
        <v>0.46002193428026505</v>
      </c>
      <c r="Y86" s="459">
        <f>X86*Parameter!X$8</f>
        <v>0.42417794520501534</v>
      </c>
      <c r="Z86" s="459">
        <f>Y86*Parameter!Y$8</f>
        <v>0.40286065351264677</v>
      </c>
      <c r="AA86" s="459">
        <f>Z86*Parameter!Z$8</f>
        <v>0.39409311404038422</v>
      </c>
      <c r="AB86" s="514">
        <f>VLOOKUP(O86,Parameter!$O$11:$P$22,2,0)*Process!P86</f>
        <v>47830.367094433248</v>
      </c>
      <c r="AC86" s="514">
        <f>VLOOKUP($O86,Parameter!$O$11:$P$22,2,0)*VLOOKUP($O86,Parameter!$O$11:$T$22,6,0)*X86</f>
        <v>49643.138007312271</v>
      </c>
      <c r="AD86" s="514">
        <f>VLOOKUP($O86,Parameter!$O$11:$P$22,2,0)*VLOOKUP($O86,Parameter!$O$11:$T$22,6,0)^2*Y86</f>
        <v>48979.297058662596</v>
      </c>
      <c r="AE86" s="514">
        <f>VLOOKUP($O86,Parameter!$O$11:$P$22,2,0)*VLOOKUP($O86,Parameter!$O$11:$T$22,6,0)^3*Z86</f>
        <v>49774.063158690224</v>
      </c>
      <c r="AF86" s="514">
        <f>VLOOKUP($O86,Parameter!$O$11:$P$22,2,0)*VLOOKUP($O86,Parameter!$O$11:$T$22,6,0)^4*AA86</f>
        <v>52099.17735586872</v>
      </c>
    </row>
    <row r="87" spans="1:32">
      <c r="A87" s="14">
        <f t="shared" si="14"/>
        <v>86</v>
      </c>
      <c r="B87" s="14" t="s">
        <v>558</v>
      </c>
      <c r="C87" s="14" t="s">
        <v>103</v>
      </c>
      <c r="D87" s="14" t="s">
        <v>104</v>
      </c>
      <c r="E87" s="14" t="s">
        <v>483</v>
      </c>
      <c r="F87" s="372">
        <f>Parameter!R72</f>
        <v>358.32178156996594</v>
      </c>
      <c r="G87" s="14" t="s">
        <v>228</v>
      </c>
      <c r="H87" s="373" t="s">
        <v>489</v>
      </c>
      <c r="I87" s="381">
        <f>IFERROR(VLOOKUP(H87,Parameter!$F$44:$H$92,3,0),"")</f>
        <v>60</v>
      </c>
      <c r="J87" s="376" t="s">
        <v>35</v>
      </c>
      <c r="K87" s="367">
        <f>IFERROR(INDEX(Parameter!$D$122:$M$122,1,MATCH(Process!$J87,Parameter!$D$121:$M$121,0)),"")</f>
        <v>2.7777777777777777</v>
      </c>
      <c r="L87" s="372">
        <f t="shared" si="18"/>
        <v>21.6</v>
      </c>
      <c r="M87" s="243"/>
      <c r="N87" s="382">
        <f t="shared" si="19"/>
        <v>21.6</v>
      </c>
      <c r="O87" s="373" t="s">
        <v>60</v>
      </c>
      <c r="P87" s="371">
        <f>N87*F87/3600/Parameter!$P$6/Parameter!$P$7</f>
        <v>0.31616627785585233</v>
      </c>
      <c r="Q87" s="14"/>
      <c r="R87" s="14"/>
      <c r="S87" s="486"/>
      <c r="T87" s="14"/>
      <c r="U87" s="14"/>
      <c r="V87" s="14"/>
      <c r="W87" s="14"/>
      <c r="X87" s="459">
        <f>P87*Parameter!W$8</f>
        <v>0.3066812895201767</v>
      </c>
      <c r="Y87" s="459">
        <f>X87*Parameter!X$8</f>
        <v>0.28278529680334358</v>
      </c>
      <c r="Z87" s="459">
        <f>Y87*Parameter!Y$8</f>
        <v>0.26857376900843122</v>
      </c>
      <c r="AA87" s="459">
        <f>Z87*Parameter!Z$8</f>
        <v>0.26272874269358953</v>
      </c>
      <c r="AB87" s="514">
        <f>VLOOKUP(O87,Parameter!$O$11:$P$22,2,0)*Process!P87</f>
        <v>31886.911396288833</v>
      </c>
      <c r="AC87" s="514">
        <f>VLOOKUP($O87,Parameter!$O$11:$P$22,2,0)*VLOOKUP($O87,Parameter!$O$11:$T$22,6,0)*X87</f>
        <v>33095.425338208181</v>
      </c>
      <c r="AD87" s="514">
        <f>VLOOKUP($O87,Parameter!$O$11:$P$22,2,0)*VLOOKUP($O87,Parameter!$O$11:$T$22,6,0)^2*Y87</f>
        <v>32652.864705775068</v>
      </c>
      <c r="AE87" s="514">
        <f>VLOOKUP($O87,Parameter!$O$11:$P$22,2,0)*VLOOKUP($O87,Parameter!$O$11:$T$22,6,0)^3*Z87</f>
        <v>33182.708772460152</v>
      </c>
      <c r="AF87" s="514">
        <f>VLOOKUP($O87,Parameter!$O$11:$P$22,2,0)*VLOOKUP($O87,Parameter!$O$11:$T$22,6,0)^4*AA87</f>
        <v>34732.784903912485</v>
      </c>
    </row>
    <row r="88" spans="1:32">
      <c r="A88" s="14">
        <f t="shared" si="14"/>
        <v>87</v>
      </c>
      <c r="B88" s="14" t="s">
        <v>558</v>
      </c>
      <c r="C88" s="14" t="s">
        <v>103</v>
      </c>
      <c r="D88" s="14" t="s">
        <v>104</v>
      </c>
      <c r="E88" s="14" t="s">
        <v>102</v>
      </c>
      <c r="F88" s="372">
        <f>F87*Parameter!R84</f>
        <v>32.248960341296936</v>
      </c>
      <c r="G88" s="14" t="s">
        <v>228</v>
      </c>
      <c r="H88" s="373" t="s">
        <v>513</v>
      </c>
      <c r="I88" s="381">
        <f>IFERROR(VLOOKUP(H88,Parameter!$F$44:$H$92,3,0),"")</f>
        <v>0</v>
      </c>
      <c r="J88" s="376" t="s">
        <v>35</v>
      </c>
      <c r="K88" s="367">
        <f>IFERROR(INDEX(Parameter!$D$122:$M$122,1,MATCH(Process!$J88,Parameter!$D$121:$M$121,0)),"")</f>
        <v>2.7777777777777777</v>
      </c>
      <c r="L88" s="372">
        <f t="shared" si="18"/>
        <v>0</v>
      </c>
      <c r="M88" s="243">
        <v>5</v>
      </c>
      <c r="N88" s="382">
        <f t="shared" si="17"/>
        <v>5</v>
      </c>
      <c r="O88" s="373" t="s">
        <v>60</v>
      </c>
      <c r="P88" s="371">
        <f>N88*F88/3600/Parameter!$P$6/Parameter!$P$7</f>
        <v>6.5867974553302571E-3</v>
      </c>
      <c r="Q88" s="14"/>
      <c r="R88" s="14"/>
      <c r="S88" s="486"/>
      <c r="T88" s="14"/>
      <c r="U88" s="14"/>
      <c r="V88" s="14"/>
      <c r="W88" s="14"/>
      <c r="X88" s="459">
        <f>P88*Parameter!W$8</f>
        <v>6.3891935316703488E-3</v>
      </c>
      <c r="Y88" s="459">
        <f>X88*Parameter!X$8</f>
        <v>5.8913603500696582E-3</v>
      </c>
      <c r="Z88" s="459">
        <f>Y88*Parameter!Y$8</f>
        <v>5.595286854342317E-3</v>
      </c>
      <c r="AA88" s="459">
        <f>Z88*Parameter!Z$8</f>
        <v>5.4735154727831147E-3</v>
      </c>
      <c r="AB88" s="514">
        <f>VLOOKUP(O88,Parameter!$O$11:$P$22,2,0)*Process!P88</f>
        <v>664.31065408935069</v>
      </c>
      <c r="AC88" s="514">
        <f>VLOOKUP($O88,Parameter!$O$11:$P$22,2,0)*VLOOKUP($O88,Parameter!$O$11:$T$22,6,0)*X88</f>
        <v>689.48802787933721</v>
      </c>
      <c r="AD88" s="514">
        <f>VLOOKUP($O88,Parameter!$O$11:$P$22,2,0)*VLOOKUP($O88,Parameter!$O$11:$T$22,6,0)^2*Y88</f>
        <v>680.26801470364728</v>
      </c>
      <c r="AE88" s="514">
        <f>VLOOKUP($O88,Parameter!$O$11:$P$22,2,0)*VLOOKUP($O88,Parameter!$O$11:$T$22,6,0)^3*Z88</f>
        <v>691.30643275958653</v>
      </c>
      <c r="AF88" s="514">
        <f>VLOOKUP($O88,Parameter!$O$11:$P$22,2,0)*VLOOKUP($O88,Parameter!$O$11:$T$22,6,0)^4*AA88</f>
        <v>723.59968549817665</v>
      </c>
    </row>
    <row r="89" spans="1:32">
      <c r="A89" s="14">
        <f t="shared" si="14"/>
        <v>88</v>
      </c>
      <c r="B89" s="14" t="s">
        <v>558</v>
      </c>
      <c r="C89" s="14" t="s">
        <v>103</v>
      </c>
      <c r="D89" s="14" t="s">
        <v>105</v>
      </c>
      <c r="E89" s="14" t="s">
        <v>106</v>
      </c>
      <c r="F89" s="372">
        <f>F87</f>
        <v>358.32178156996594</v>
      </c>
      <c r="G89" s="14" t="s">
        <v>228</v>
      </c>
      <c r="H89" s="373" t="s">
        <v>513</v>
      </c>
      <c r="I89" s="381">
        <f>IFERROR(VLOOKUP(H89,Parameter!$F$44:$H$92,3,0),"")</f>
        <v>0</v>
      </c>
      <c r="J89" s="376" t="s">
        <v>35</v>
      </c>
      <c r="K89" s="367">
        <f>IFERROR(INDEX(Parameter!$D$122:$M$122,1,MATCH(Process!$J89,Parameter!$D$121:$M$121,0)),"")</f>
        <v>2.7777777777777777</v>
      </c>
      <c r="L89" s="372">
        <f t="shared" si="18"/>
        <v>0</v>
      </c>
      <c r="M89" s="243">
        <v>10</v>
      </c>
      <c r="N89" s="382">
        <f t="shared" si="17"/>
        <v>10</v>
      </c>
      <c r="O89" s="373" t="s">
        <v>60</v>
      </c>
      <c r="P89" s="371">
        <f>N89*F89/3600/Parameter!$P$6/Parameter!$P$7</f>
        <v>0.1463732767851168</v>
      </c>
      <c r="Q89" s="14"/>
      <c r="R89" s="14"/>
      <c r="S89" s="486"/>
      <c r="T89" s="14"/>
      <c r="U89" s="14"/>
      <c r="V89" s="14"/>
      <c r="W89" s="14"/>
      <c r="X89" s="459">
        <f>P89*Parameter!W$8</f>
        <v>0.14198207848156327</v>
      </c>
      <c r="Y89" s="459">
        <f>X89*Parameter!X$8</f>
        <v>0.13091911889043681</v>
      </c>
      <c r="Z89" s="459">
        <f>Y89*Parameter!Y$8</f>
        <v>0.12433970787427367</v>
      </c>
      <c r="AA89" s="459">
        <f>Z89*Parameter!Z$8</f>
        <v>0.12163367717295807</v>
      </c>
      <c r="AB89" s="514">
        <f>VLOOKUP(O89,Parameter!$O$11:$P$22,2,0)*Process!P89</f>
        <v>14762.458979763347</v>
      </c>
      <c r="AC89" s="514">
        <f>VLOOKUP($O89,Parameter!$O$11:$P$22,2,0)*VLOOKUP($O89,Parameter!$O$11:$T$22,6,0)*X89</f>
        <v>15321.956175096377</v>
      </c>
      <c r="AD89" s="514">
        <f>VLOOKUP($O89,Parameter!$O$11:$P$22,2,0)*VLOOKUP($O89,Parameter!$O$11:$T$22,6,0)^2*Y89</f>
        <v>15117.066993414379</v>
      </c>
      <c r="AE89" s="514">
        <f>VLOOKUP($O89,Parameter!$O$11:$P$22,2,0)*VLOOKUP($O89,Parameter!$O$11:$T$22,6,0)^3*Z89</f>
        <v>15362.365172435251</v>
      </c>
      <c r="AF89" s="514">
        <f>VLOOKUP($O89,Parameter!$O$11:$P$22,2,0)*VLOOKUP($O89,Parameter!$O$11:$T$22,6,0)^4*AA89</f>
        <v>16079.99301107059</v>
      </c>
    </row>
    <row r="90" spans="1:32">
      <c r="A90" s="14">
        <f t="shared" si="14"/>
        <v>89</v>
      </c>
      <c r="B90" s="14" t="s">
        <v>558</v>
      </c>
      <c r="C90" s="14" t="s">
        <v>103</v>
      </c>
      <c r="D90" s="14" t="s">
        <v>104</v>
      </c>
      <c r="E90" s="14" t="s">
        <v>73</v>
      </c>
      <c r="F90" s="372">
        <f>F87</f>
        <v>358.32178156996594</v>
      </c>
      <c r="G90" s="14" t="s">
        <v>228</v>
      </c>
      <c r="H90" s="373" t="s">
        <v>513</v>
      </c>
      <c r="I90" s="381">
        <f>IFERROR(VLOOKUP(H90,Parameter!$F$44:$H$92,3,0),"")</f>
        <v>0</v>
      </c>
      <c r="J90" s="376" t="s">
        <v>35</v>
      </c>
      <c r="K90" s="367">
        <f>IFERROR(INDEX(Parameter!$D$122:$M$122,1,MATCH(Process!$J90,Parameter!$D$121:$M$121,0)),"")</f>
        <v>2.7777777777777777</v>
      </c>
      <c r="L90" s="372">
        <f t="shared" si="16"/>
        <v>0</v>
      </c>
      <c r="M90" s="243">
        <v>5</v>
      </c>
      <c r="N90" s="382">
        <f t="shared" si="17"/>
        <v>5</v>
      </c>
      <c r="O90" s="373" t="s">
        <v>60</v>
      </c>
      <c r="P90" s="371">
        <f>N90*F90/3600/Parameter!$P$6/Parameter!$P$7</f>
        <v>7.3186638392558401E-2</v>
      </c>
      <c r="Q90" s="14"/>
      <c r="R90" s="14"/>
      <c r="S90" s="486"/>
      <c r="T90" s="14"/>
      <c r="U90" s="14"/>
      <c r="V90" s="14"/>
      <c r="W90" s="14"/>
      <c r="X90" s="459">
        <f>P90*Parameter!W$8</f>
        <v>7.0991039240781637E-2</v>
      </c>
      <c r="Y90" s="459">
        <f>X90*Parameter!X$8</f>
        <v>6.5459559445218404E-2</v>
      </c>
      <c r="Z90" s="459">
        <f>Y90*Parameter!Y$8</f>
        <v>6.2169853937136837E-2</v>
      </c>
      <c r="AA90" s="459">
        <f>Z90*Parameter!Z$8</f>
        <v>6.0816838586479037E-2</v>
      </c>
      <c r="AB90" s="514">
        <f>VLOOKUP(O90,Parameter!$O$11:$P$22,2,0)*Process!P90</f>
        <v>7381.2294898816735</v>
      </c>
      <c r="AC90" s="514">
        <f>VLOOKUP($O90,Parameter!$O$11:$P$22,2,0)*VLOOKUP($O90,Parameter!$O$11:$T$22,6,0)*X90</f>
        <v>7660.9780875481883</v>
      </c>
      <c r="AD90" s="514">
        <f>VLOOKUP($O90,Parameter!$O$11:$P$22,2,0)*VLOOKUP($O90,Parameter!$O$11:$T$22,6,0)^2*Y90</f>
        <v>7558.5334967071894</v>
      </c>
      <c r="AE90" s="514">
        <f>VLOOKUP($O90,Parameter!$O$11:$P$22,2,0)*VLOOKUP($O90,Parameter!$O$11:$T$22,6,0)^3*Z90</f>
        <v>7681.1825862176256</v>
      </c>
      <c r="AF90" s="514">
        <f>VLOOKUP($O90,Parameter!$O$11:$P$22,2,0)*VLOOKUP($O90,Parameter!$O$11:$T$22,6,0)^4*AA90</f>
        <v>8039.996505535295</v>
      </c>
    </row>
    <row r="91" spans="1:32">
      <c r="A91" s="14">
        <f t="shared" si="14"/>
        <v>90</v>
      </c>
      <c r="B91" s="14" t="s">
        <v>558</v>
      </c>
      <c r="C91" s="14" t="s">
        <v>103</v>
      </c>
      <c r="D91" s="14" t="s">
        <v>104</v>
      </c>
      <c r="E91" s="14" t="s">
        <v>107</v>
      </c>
      <c r="F91" s="372">
        <f>F84</f>
        <v>358.32178156996594</v>
      </c>
      <c r="G91" s="14" t="s">
        <v>526</v>
      </c>
      <c r="H91" s="373" t="s">
        <v>504</v>
      </c>
      <c r="I91" s="381">
        <f>IFERROR(VLOOKUP(H91,Parameter!$F$44:$H$92,3,0),"")</f>
        <v>11</v>
      </c>
      <c r="J91" s="376" t="s">
        <v>35</v>
      </c>
      <c r="K91" s="367">
        <f>IFERROR(INDEX(Parameter!$D$122:$M$122,1,MATCH(Process!$J91,Parameter!$D$121:$M$121,0)),"")</f>
        <v>2.7777777777777777</v>
      </c>
      <c r="L91" s="372">
        <f t="shared" si="16"/>
        <v>3.96</v>
      </c>
      <c r="M91" s="243"/>
      <c r="N91" s="382">
        <f t="shared" si="17"/>
        <v>3.96</v>
      </c>
      <c r="O91" s="373" t="s">
        <v>60</v>
      </c>
      <c r="P91" s="371">
        <f>N91*F91/3600/Parameter!$P$6/Parameter!$P$7</f>
        <v>5.7963817606906255E-2</v>
      </c>
      <c r="Q91" s="14"/>
      <c r="R91" s="14"/>
      <c r="S91" s="486"/>
      <c r="T91" s="14"/>
      <c r="U91" s="14"/>
      <c r="V91" s="14"/>
      <c r="W91" s="14"/>
      <c r="X91" s="459">
        <f>P91*Parameter!W$8</f>
        <v>5.6224903078699061E-2</v>
      </c>
      <c r="Y91" s="459">
        <f>X91*Parameter!X$8</f>
        <v>5.1843971080612984E-2</v>
      </c>
      <c r="Z91" s="459">
        <f>Y91*Parameter!Y$8</f>
        <v>4.9238524318212386E-2</v>
      </c>
      <c r="AA91" s="459">
        <f>Z91*Parameter!Z$8</f>
        <v>4.8166936160491405E-2</v>
      </c>
      <c r="AB91" s="514">
        <f>VLOOKUP(O91,Parameter!$O$11:$P$22,2,0)*Process!P91</f>
        <v>5845.9337559862861</v>
      </c>
      <c r="AC91" s="514">
        <f>VLOOKUP($O91,Parameter!$O$11:$P$22,2,0)*VLOOKUP($O91,Parameter!$O$11:$T$22,6,0)*X91</f>
        <v>6067.4946453381663</v>
      </c>
      <c r="AD91" s="514">
        <f>VLOOKUP($O91,Parameter!$O$11:$P$22,2,0)*VLOOKUP($O91,Parameter!$O$11:$T$22,6,0)^2*Y91</f>
        <v>5986.3585293920951</v>
      </c>
      <c r="AE91" s="514">
        <f>VLOOKUP($O91,Parameter!$O$11:$P$22,2,0)*VLOOKUP($O91,Parameter!$O$11:$T$22,6,0)^3*Z91</f>
        <v>6083.4966082843612</v>
      </c>
      <c r="AF91" s="514">
        <f>VLOOKUP($O91,Parameter!$O$11:$P$22,2,0)*VLOOKUP($O91,Parameter!$O$11:$T$22,6,0)^4*AA91</f>
        <v>6367.6772323839541</v>
      </c>
    </row>
    <row r="92" spans="1:32">
      <c r="A92" s="14">
        <f t="shared" si="14"/>
        <v>91</v>
      </c>
      <c r="B92" s="14" t="s">
        <v>558</v>
      </c>
      <c r="C92" s="14" t="s">
        <v>108</v>
      </c>
      <c r="D92" s="14" t="s">
        <v>109</v>
      </c>
      <c r="E92" s="14" t="s">
        <v>98</v>
      </c>
      <c r="F92" s="372">
        <f>Parameter!R75/Parameter!R76</f>
        <v>203.84528018202511</v>
      </c>
      <c r="G92" s="14" t="s">
        <v>526</v>
      </c>
      <c r="H92" s="373" t="s">
        <v>513</v>
      </c>
      <c r="I92" s="381">
        <f>IFERROR(VLOOKUP(H92,Parameter!$F$44:$H$92,3,0),"")</f>
        <v>0</v>
      </c>
      <c r="J92" s="414" t="s">
        <v>564</v>
      </c>
      <c r="K92" s="367">
        <f>IFERROR(INDEX(Parameter!$D$122:$M$122,1,MATCH(Process!$J92,Parameter!$D$121:$M$121,0)),"")</f>
        <v>2.4</v>
      </c>
      <c r="L92" s="372">
        <f t="shared" si="16"/>
        <v>0</v>
      </c>
      <c r="M92" s="243">
        <v>5</v>
      </c>
      <c r="N92" s="382">
        <f t="shared" si="17"/>
        <v>5</v>
      </c>
      <c r="O92" s="373" t="s">
        <v>53</v>
      </c>
      <c r="P92" s="371">
        <f>N92*F92/3600/Parameter!$P$6/Parameter!$P$7</f>
        <v>4.1635065396655457E-2</v>
      </c>
      <c r="Q92" s="14"/>
      <c r="R92" s="14"/>
      <c r="S92" s="486"/>
      <c r="T92" s="14"/>
      <c r="U92" s="14"/>
      <c r="V92" s="14"/>
      <c r="W92" s="14"/>
      <c r="X92" s="459">
        <f>P92*Parameter!W$8</f>
        <v>4.0386013434755785E-2</v>
      </c>
      <c r="Y92" s="459">
        <f>X92*Parameter!X$8</f>
        <v>3.7239216039946482E-2</v>
      </c>
      <c r="Z92" s="459">
        <f>Y92*Parameter!Y$8</f>
        <v>3.5367739128682303E-2</v>
      </c>
      <c r="AA92" s="459">
        <f>Z92*Parameter!Z$8</f>
        <v>3.4598023729196979E-2</v>
      </c>
      <c r="AB92" s="514">
        <f>VLOOKUP(O92,Parameter!$O$11:$P$22,2,0)*Process!P92</f>
        <v>3499.2495359439054</v>
      </c>
      <c r="AC92" s="514">
        <f>VLOOKUP($O92,Parameter!$O$11:$P$22,2,0)*VLOOKUP($O92,Parameter!$O$11:$T$22,6,0)*X92</f>
        <v>3631.8710933561788</v>
      </c>
      <c r="AD92" s="514">
        <f>VLOOKUP($O92,Parameter!$O$11:$P$22,2,0)*VLOOKUP($O92,Parameter!$O$11:$T$22,6,0)^2*Y92</f>
        <v>3583.3047688093357</v>
      </c>
      <c r="AE92" s="514">
        <f>VLOOKUP($O92,Parameter!$O$11:$P$22,2,0)*VLOOKUP($O92,Parameter!$O$11:$T$22,6,0)^3*Z92</f>
        <v>3641.4495223550239</v>
      </c>
      <c r="AF92" s="514">
        <f>VLOOKUP($O92,Parameter!$O$11:$P$22,2,0)*VLOOKUP($O92,Parameter!$O$11:$T$22,6,0)^4*AA92</f>
        <v>3811.5538989204379</v>
      </c>
    </row>
    <row r="93" spans="1:32">
      <c r="A93" s="14">
        <f t="shared" si="14"/>
        <v>92</v>
      </c>
      <c r="B93" s="14" t="s">
        <v>558</v>
      </c>
      <c r="C93" s="14" t="s">
        <v>108</v>
      </c>
      <c r="D93" s="14" t="s">
        <v>110</v>
      </c>
      <c r="E93" s="14" t="s">
        <v>246</v>
      </c>
      <c r="F93" s="372">
        <f>F92*Parameter!R77</f>
        <v>61.153584054607528</v>
      </c>
      <c r="G93" s="14" t="s">
        <v>526</v>
      </c>
      <c r="H93" s="373" t="s">
        <v>513</v>
      </c>
      <c r="I93" s="381">
        <f>IFERROR(VLOOKUP(H93,Parameter!$F$44:$H$92,3,0),"")</f>
        <v>0</v>
      </c>
      <c r="J93" s="414" t="s">
        <v>564</v>
      </c>
      <c r="K93" s="367">
        <f>IFERROR(INDEX(Parameter!$D$122:$M$122,1,MATCH(Process!$J93,Parameter!$D$121:$M$121,0)),"")</f>
        <v>2.4</v>
      </c>
      <c r="L93" s="372">
        <f t="shared" si="16"/>
        <v>0</v>
      </c>
      <c r="M93" s="243">
        <v>30</v>
      </c>
      <c r="N93" s="382">
        <f t="shared" si="17"/>
        <v>30</v>
      </c>
      <c r="O93" s="373" t="s">
        <v>53</v>
      </c>
      <c r="P93" s="371">
        <f>N93*F93/3600/Parameter!$P$6/Parameter!$P$7</f>
        <v>7.4943117713979823E-2</v>
      </c>
      <c r="Q93" s="14"/>
      <c r="R93" s="14"/>
      <c r="S93" s="486"/>
      <c r="T93" s="14"/>
      <c r="U93" s="14"/>
      <c r="V93" s="14"/>
      <c r="W93" s="14"/>
      <c r="X93" s="459">
        <f>P93*Parameter!W$8</f>
        <v>7.2694824182560416E-2</v>
      </c>
      <c r="Y93" s="459">
        <f>X93*Parameter!X$8</f>
        <v>6.7030588871903676E-2</v>
      </c>
      <c r="Z93" s="459">
        <f>Y93*Parameter!Y$8</f>
        <v>6.3661930431628155E-2</v>
      </c>
      <c r="AA93" s="459">
        <f>Z93*Parameter!Z$8</f>
        <v>6.2276442712554565E-2</v>
      </c>
      <c r="AB93" s="514">
        <f>VLOOKUP(O93,Parameter!$O$11:$P$22,2,0)*Process!P93</f>
        <v>6298.6491646990298</v>
      </c>
      <c r="AC93" s="514">
        <f>VLOOKUP($O93,Parameter!$O$11:$P$22,2,0)*VLOOKUP($O93,Parameter!$O$11:$T$22,6,0)*X93</f>
        <v>6537.3679680411215</v>
      </c>
      <c r="AD93" s="514">
        <f>VLOOKUP($O93,Parameter!$O$11:$P$22,2,0)*VLOOKUP($O93,Parameter!$O$11:$T$22,6,0)^2*Y93</f>
        <v>6449.9485838568053</v>
      </c>
      <c r="AE93" s="514">
        <f>VLOOKUP($O93,Parameter!$O$11:$P$22,2,0)*VLOOKUP($O93,Parameter!$O$11:$T$22,6,0)^3*Z93</f>
        <v>6554.6091402390439</v>
      </c>
      <c r="AF93" s="514">
        <f>VLOOKUP($O93,Parameter!$O$11:$P$22,2,0)*VLOOKUP($O93,Parameter!$O$11:$T$22,6,0)^4*AA93</f>
        <v>6860.7970180567881</v>
      </c>
    </row>
    <row r="94" spans="1:32">
      <c r="A94" s="14">
        <f t="shared" si="14"/>
        <v>93</v>
      </c>
      <c r="B94" s="14" t="s">
        <v>558</v>
      </c>
      <c r="C94" s="14" t="s">
        <v>108</v>
      </c>
      <c r="D94" s="14" t="s">
        <v>110</v>
      </c>
      <c r="E94" s="14" t="s">
        <v>478</v>
      </c>
      <c r="F94" s="372">
        <f>F93</f>
        <v>61.153584054607528</v>
      </c>
      <c r="G94" s="239" t="s">
        <v>526</v>
      </c>
      <c r="H94" s="373" t="s">
        <v>493</v>
      </c>
      <c r="I94" s="381">
        <f>IFERROR(VLOOKUP(H94,Parameter!$F$44:$H$92,3,0),"")</f>
        <v>80</v>
      </c>
      <c r="J94" s="414" t="s">
        <v>564</v>
      </c>
      <c r="K94" s="367">
        <f>IFERROR(INDEX(Parameter!$D$122:$M$122,1,MATCH(Process!$J94,Parameter!$D$121:$M$121,0)),"")</f>
        <v>2.4</v>
      </c>
      <c r="L94" s="372">
        <f t="shared" si="16"/>
        <v>33.333333333333336</v>
      </c>
      <c r="M94" s="243"/>
      <c r="N94" s="382">
        <f t="shared" si="17"/>
        <v>33.333333333333336</v>
      </c>
      <c r="O94" s="373" t="s">
        <v>453</v>
      </c>
      <c r="P94" s="371">
        <f>N94*F94/3600/Parameter!$P$6/Parameter!$P$7</f>
        <v>8.3270130793310915E-2</v>
      </c>
      <c r="Q94" s="14"/>
      <c r="R94" s="494"/>
      <c r="S94" s="486"/>
      <c r="T94" s="14"/>
      <c r="U94" s="14"/>
      <c r="V94" s="14"/>
      <c r="W94" s="14"/>
      <c r="X94" s="459">
        <f>P94*Parameter!W$8</f>
        <v>8.0772026869511571E-2</v>
      </c>
      <c r="Y94" s="459">
        <f>X94*Parameter!X$8</f>
        <v>7.4478432079892964E-2</v>
      </c>
      <c r="Z94" s="459">
        <f>Y94*Parameter!Y$8</f>
        <v>7.0735478257364606E-2</v>
      </c>
      <c r="AA94" s="459">
        <f>Z94*Parameter!Z$8</f>
        <v>6.9196047458393958E-2</v>
      </c>
      <c r="AB94" s="514">
        <f>VLOOKUP(O94,Parameter!$O$11:$P$22,2,0)*Process!P94</f>
        <v>6998.4990718878107</v>
      </c>
      <c r="AC94" s="514">
        <f>VLOOKUP($O94,Parameter!$O$11:$P$22,2,0)*VLOOKUP($O94,Parameter!$O$11:$T$22,6,0)*X94</f>
        <v>7263.7421867123576</v>
      </c>
      <c r="AD94" s="514">
        <f>VLOOKUP($O94,Parameter!$O$11:$P$22,2,0)*VLOOKUP($O94,Parameter!$O$11:$T$22,6,0)^2*Y94</f>
        <v>7166.6095376186713</v>
      </c>
      <c r="AE94" s="514">
        <f>VLOOKUP($O94,Parameter!$O$11:$P$22,2,0)*VLOOKUP($O94,Parameter!$O$11:$T$22,6,0)^3*Z94</f>
        <v>7282.8990447100477</v>
      </c>
      <c r="AF94" s="514">
        <f>VLOOKUP($O94,Parameter!$O$11:$P$22,2,0)*VLOOKUP($O94,Parameter!$O$11:$T$22,6,0)^4*AA94</f>
        <v>7623.1077978408757</v>
      </c>
    </row>
    <row r="95" spans="1:32">
      <c r="A95" s="14">
        <f t="shared" si="14"/>
        <v>94</v>
      </c>
      <c r="B95" s="14" t="s">
        <v>558</v>
      </c>
      <c r="C95" s="14" t="s">
        <v>108</v>
      </c>
      <c r="D95" s="14" t="s">
        <v>110</v>
      </c>
      <c r="E95" s="14" t="s">
        <v>483</v>
      </c>
      <c r="F95" s="372">
        <f>Parameter!R75*Parameter!R77</f>
        <v>366.92150432764515</v>
      </c>
      <c r="G95" s="239" t="s">
        <v>228</v>
      </c>
      <c r="H95" s="373" t="s">
        <v>494</v>
      </c>
      <c r="I95" s="381">
        <f>IFERROR(VLOOKUP(H95,Parameter!$F$44:$H$92,3,0),"")</f>
        <v>30</v>
      </c>
      <c r="J95" s="414" t="s">
        <v>564</v>
      </c>
      <c r="K95" s="367">
        <f>IFERROR(INDEX(Parameter!$D$122:$M$122,1,MATCH(Process!$J95,Parameter!$D$121:$M$121,0)),"")</f>
        <v>2.4</v>
      </c>
      <c r="L95" s="372">
        <f t="shared" si="16"/>
        <v>12.5</v>
      </c>
      <c r="M95" s="243"/>
      <c r="N95" s="382">
        <f t="shared" si="17"/>
        <v>12.5</v>
      </c>
      <c r="O95" s="373" t="s">
        <v>453</v>
      </c>
      <c r="P95" s="371">
        <f>N95*F95/3600/Parameter!$P$6/Parameter!$P$7</f>
        <v>0.18735779428494953</v>
      </c>
      <c r="Q95" s="14"/>
      <c r="R95" s="14"/>
      <c r="S95" s="486"/>
      <c r="T95" s="14"/>
      <c r="U95" s="14"/>
      <c r="V95" s="14"/>
      <c r="W95" s="14"/>
      <c r="X95" s="459">
        <f>P95*Parameter!W$8</f>
        <v>0.18173706045640101</v>
      </c>
      <c r="Y95" s="459">
        <f>X95*Parameter!X$8</f>
        <v>0.16757647217975916</v>
      </c>
      <c r="Z95" s="459">
        <f>Y95*Parameter!Y$8</f>
        <v>0.15915482607907036</v>
      </c>
      <c r="AA95" s="459">
        <f>Z95*Parameter!Z$8</f>
        <v>0.1556911067813864</v>
      </c>
      <c r="AB95" s="514">
        <f>VLOOKUP(O95,Parameter!$O$11:$P$22,2,0)*Process!P95</f>
        <v>15746.622911747572</v>
      </c>
      <c r="AC95" s="514">
        <f>VLOOKUP($O95,Parameter!$O$11:$P$22,2,0)*VLOOKUP($O95,Parameter!$O$11:$T$22,6,0)*X95</f>
        <v>16343.4199201028</v>
      </c>
      <c r="AD95" s="514">
        <f>VLOOKUP($O95,Parameter!$O$11:$P$22,2,0)*VLOOKUP($O95,Parameter!$O$11:$T$22,6,0)^2*Y95</f>
        <v>16124.871459642009</v>
      </c>
      <c r="AE95" s="514">
        <f>VLOOKUP($O95,Parameter!$O$11:$P$22,2,0)*VLOOKUP($O95,Parameter!$O$11:$T$22,6,0)^3*Z95</f>
        <v>16386.522850597608</v>
      </c>
      <c r="AF95" s="514">
        <f>VLOOKUP($O95,Parameter!$O$11:$P$22,2,0)*VLOOKUP($O95,Parameter!$O$11:$T$22,6,0)^4*AA95</f>
        <v>17151.992545141969</v>
      </c>
    </row>
    <row r="96" spans="1:32">
      <c r="A96" s="14">
        <f t="shared" si="14"/>
        <v>95</v>
      </c>
      <c r="B96" s="14" t="s">
        <v>558</v>
      </c>
      <c r="C96" s="14" t="s">
        <v>108</v>
      </c>
      <c r="D96" s="14" t="s">
        <v>110</v>
      </c>
      <c r="E96" s="14" t="s">
        <v>101</v>
      </c>
      <c r="F96" s="372">
        <f>Parameter!R75*Parameter!R79*Parameter!R77</f>
        <v>2384.9897781296936</v>
      </c>
      <c r="G96" s="14" t="s">
        <v>525</v>
      </c>
      <c r="H96" s="373" t="s">
        <v>513</v>
      </c>
      <c r="I96" s="381">
        <f>IFERROR(VLOOKUP(H96,Parameter!$F$44:$H$92,3,0),"")</f>
        <v>0</v>
      </c>
      <c r="J96" s="414" t="s">
        <v>564</v>
      </c>
      <c r="K96" s="367">
        <f>IFERROR(INDEX(Parameter!$D$122:$M$122,1,MATCH(Process!$J96,Parameter!$D$121:$M$121,0)),"")</f>
        <v>2.4</v>
      </c>
      <c r="L96" s="372">
        <f t="shared" si="16"/>
        <v>0</v>
      </c>
      <c r="M96" s="384">
        <v>15</v>
      </c>
      <c r="N96" s="382">
        <f t="shared" si="17"/>
        <v>15</v>
      </c>
      <c r="O96" s="373" t="s">
        <v>53</v>
      </c>
      <c r="P96" s="371">
        <f>N96*F96/3600/Parameter!$P$6/Parameter!$P$7</f>
        <v>1.4613907954226064</v>
      </c>
      <c r="Q96" s="14"/>
      <c r="R96" s="14"/>
      <c r="S96" s="486"/>
      <c r="T96" s="14"/>
      <c r="U96" s="14"/>
      <c r="V96" s="14"/>
      <c r="W96" s="14"/>
      <c r="X96" s="459">
        <f>P96*Parameter!W$8</f>
        <v>1.4175490715599279</v>
      </c>
      <c r="Y96" s="459">
        <f>X96*Parameter!X$8</f>
        <v>1.3070964830021214</v>
      </c>
      <c r="Z96" s="459">
        <f>Y96*Parameter!Y$8</f>
        <v>1.2414076434167487</v>
      </c>
      <c r="AA96" s="459">
        <f>Z96*Parameter!Z$8</f>
        <v>1.2143906328948137</v>
      </c>
      <c r="AB96" s="514">
        <f>VLOOKUP(O96,Parameter!$O$11:$P$22,2,0)*Process!P96</f>
        <v>122823.65871163107</v>
      </c>
      <c r="AC96" s="514">
        <f>VLOOKUP($O96,Parameter!$O$11:$P$22,2,0)*VLOOKUP($O96,Parameter!$O$11:$T$22,6,0)*X96</f>
        <v>127478.67537680185</v>
      </c>
      <c r="AD96" s="514">
        <f>VLOOKUP($O96,Parameter!$O$11:$P$22,2,0)*VLOOKUP($O96,Parameter!$O$11:$T$22,6,0)^2*Y96</f>
        <v>125773.99738520768</v>
      </c>
      <c r="AE96" s="514">
        <f>VLOOKUP($O96,Parameter!$O$11:$P$22,2,0)*VLOOKUP($O96,Parameter!$O$11:$T$22,6,0)^3*Z96</f>
        <v>127814.87823466132</v>
      </c>
      <c r="AF96" s="514">
        <f>VLOOKUP($O96,Parameter!$O$11:$P$22,2,0)*VLOOKUP($O96,Parameter!$O$11:$T$22,6,0)^4*AA96</f>
        <v>133785.54185210733</v>
      </c>
    </row>
    <row r="97" spans="1:32">
      <c r="A97" s="14">
        <f t="shared" si="14"/>
        <v>96</v>
      </c>
      <c r="B97" s="14" t="s">
        <v>558</v>
      </c>
      <c r="C97" s="14" t="s">
        <v>108</v>
      </c>
      <c r="D97" s="14" t="s">
        <v>110</v>
      </c>
      <c r="E97" s="14" t="s">
        <v>102</v>
      </c>
      <c r="F97" s="372">
        <f>Parameter!R75*Parameter!R77*Parameter!R84</f>
        <v>33.022935389488062</v>
      </c>
      <c r="G97" s="14" t="s">
        <v>228</v>
      </c>
      <c r="H97" s="373" t="s">
        <v>513</v>
      </c>
      <c r="I97" s="381">
        <f>IFERROR(VLOOKUP(H97,Parameter!$F$44:$H$92,3,0),"")</f>
        <v>0</v>
      </c>
      <c r="J97" s="414" t="s">
        <v>564</v>
      </c>
      <c r="K97" s="367">
        <f>IFERROR(INDEX(Parameter!$D$122:$M$122,1,MATCH(Process!$J97,Parameter!$D$121:$M$121,0)),"")</f>
        <v>2.4</v>
      </c>
      <c r="L97" s="372">
        <f t="shared" si="16"/>
        <v>0</v>
      </c>
      <c r="M97" s="243">
        <v>5</v>
      </c>
      <c r="N97" s="382">
        <f t="shared" si="17"/>
        <v>5</v>
      </c>
      <c r="O97" s="373" t="s">
        <v>53</v>
      </c>
      <c r="P97" s="371">
        <f>N97*F97/3600/Parameter!$P$6/Parameter!$P$7</f>
        <v>6.7448805942581817E-3</v>
      </c>
      <c r="Q97" s="14"/>
      <c r="R97" s="14"/>
      <c r="S97" s="486"/>
      <c r="T97" s="14"/>
      <c r="U97" s="14"/>
      <c r="V97" s="14"/>
      <c r="W97" s="14"/>
      <c r="X97" s="459">
        <f>P97*Parameter!W$8</f>
        <v>6.5425341764304354E-3</v>
      </c>
      <c r="Y97" s="459">
        <f>X97*Parameter!X$8</f>
        <v>6.0327529984713288E-3</v>
      </c>
      <c r="Z97" s="459">
        <f>Y97*Parameter!Y$8</f>
        <v>5.7295737388465317E-3</v>
      </c>
      <c r="AA97" s="459">
        <f>Z97*Parameter!Z$8</f>
        <v>5.6048798441299084E-3</v>
      </c>
      <c r="AB97" s="514">
        <f>VLOOKUP(O97,Parameter!$O$11:$P$22,2,0)*Process!P97</f>
        <v>566.87842482291251</v>
      </c>
      <c r="AC97" s="514">
        <f>VLOOKUP($O97,Parameter!$O$11:$P$22,2,0)*VLOOKUP($O97,Parameter!$O$11:$T$22,6,0)*X97</f>
        <v>588.36311712370082</v>
      </c>
      <c r="AD97" s="514">
        <f>VLOOKUP($O97,Parameter!$O$11:$P$22,2,0)*VLOOKUP($O97,Parameter!$O$11:$T$22,6,0)^2*Y97</f>
        <v>580.4953725471122</v>
      </c>
      <c r="AE97" s="514">
        <f>VLOOKUP($O97,Parameter!$O$11:$P$22,2,0)*VLOOKUP($O97,Parameter!$O$11:$T$22,6,0)^3*Z97</f>
        <v>589.91482262151374</v>
      </c>
      <c r="AF97" s="514">
        <f>VLOOKUP($O97,Parameter!$O$11:$P$22,2,0)*VLOOKUP($O97,Parameter!$O$11:$T$22,6,0)^4*AA97</f>
        <v>617.47173162511069</v>
      </c>
    </row>
    <row r="98" spans="1:32">
      <c r="A98" s="14">
        <f t="shared" si="14"/>
        <v>97</v>
      </c>
      <c r="B98" s="14" t="s">
        <v>558</v>
      </c>
      <c r="C98" s="14" t="s">
        <v>108</v>
      </c>
      <c r="D98" s="14" t="s">
        <v>110</v>
      </c>
      <c r="E98" s="14" t="s">
        <v>73</v>
      </c>
      <c r="F98" s="372">
        <f>Parameter!R75*Parameter!R77</f>
        <v>366.92150432764515</v>
      </c>
      <c r="G98" s="239" t="s">
        <v>228</v>
      </c>
      <c r="H98" s="373" t="s">
        <v>513</v>
      </c>
      <c r="I98" s="381">
        <f>IFERROR(VLOOKUP(H98,Parameter!$F$44:$H$92,3,0),"")</f>
        <v>0</v>
      </c>
      <c r="J98" s="414" t="s">
        <v>564</v>
      </c>
      <c r="K98" s="367">
        <f>IFERROR(INDEX(Parameter!$D$122:$M$122,1,MATCH(Process!$J98,Parameter!$D$121:$M$121,0)),"")</f>
        <v>2.4</v>
      </c>
      <c r="L98" s="372">
        <f t="shared" si="16"/>
        <v>0</v>
      </c>
      <c r="M98" s="243">
        <f>M81</f>
        <v>5</v>
      </c>
      <c r="N98" s="382">
        <f t="shared" si="17"/>
        <v>5</v>
      </c>
      <c r="O98" s="373" t="s">
        <v>53</v>
      </c>
      <c r="P98" s="371">
        <f>N98*F98/3600/Parameter!$P$6/Parameter!$P$7</f>
        <v>7.4943117713979823E-2</v>
      </c>
      <c r="Q98" s="14"/>
      <c r="R98" s="14"/>
      <c r="S98" s="486"/>
      <c r="T98" s="14"/>
      <c r="U98" s="14"/>
      <c r="V98" s="14"/>
      <c r="W98" s="14"/>
      <c r="X98" s="459">
        <f>P98*Parameter!W$8</f>
        <v>7.2694824182560416E-2</v>
      </c>
      <c r="Y98" s="459">
        <f>X98*Parameter!X$8</f>
        <v>6.7030588871903676E-2</v>
      </c>
      <c r="Z98" s="459">
        <f>Y98*Parameter!Y$8</f>
        <v>6.3661930431628155E-2</v>
      </c>
      <c r="AA98" s="459">
        <f>Z98*Parameter!Z$8</f>
        <v>6.2276442712554565E-2</v>
      </c>
      <c r="AB98" s="514">
        <f>VLOOKUP(O98,Parameter!$O$11:$P$22,2,0)*Process!P98</f>
        <v>6298.6491646990298</v>
      </c>
      <c r="AC98" s="514">
        <f>VLOOKUP($O98,Parameter!$O$11:$P$22,2,0)*VLOOKUP($O98,Parameter!$O$11:$T$22,6,0)*X98</f>
        <v>6537.3679680411215</v>
      </c>
      <c r="AD98" s="514">
        <f>VLOOKUP($O98,Parameter!$O$11:$P$22,2,0)*VLOOKUP($O98,Parameter!$O$11:$T$22,6,0)^2*Y98</f>
        <v>6449.9485838568053</v>
      </c>
      <c r="AE98" s="514">
        <f>VLOOKUP($O98,Parameter!$O$11:$P$22,2,0)*VLOOKUP($O98,Parameter!$O$11:$T$22,6,0)^3*Z98</f>
        <v>6554.6091402390439</v>
      </c>
      <c r="AF98" s="514">
        <f>VLOOKUP($O98,Parameter!$O$11:$P$22,2,0)*VLOOKUP($O98,Parameter!$O$11:$T$22,6,0)^4*AA98</f>
        <v>6860.7970180567881</v>
      </c>
    </row>
    <row r="99" spans="1:32">
      <c r="A99" s="14">
        <f t="shared" si="14"/>
        <v>98</v>
      </c>
      <c r="B99" s="14" t="s">
        <v>558</v>
      </c>
      <c r="C99" s="14" t="s">
        <v>108</v>
      </c>
      <c r="D99" s="14" t="s">
        <v>110</v>
      </c>
      <c r="E99" s="14" t="s">
        <v>245</v>
      </c>
      <c r="F99" s="372">
        <f>F93</f>
        <v>61.153584054607528</v>
      </c>
      <c r="G99" s="14" t="s">
        <v>526</v>
      </c>
      <c r="H99" s="373" t="s">
        <v>505</v>
      </c>
      <c r="I99" s="381">
        <f>IFERROR(VLOOKUP(H99,Parameter!$F$44:$H$92,3,0),"")</f>
        <v>77</v>
      </c>
      <c r="J99" s="414" t="s">
        <v>564</v>
      </c>
      <c r="K99" s="367">
        <f>IFERROR(INDEX(Parameter!$D$122:$M$122,1,MATCH(Process!$J99,Parameter!$D$121:$M$121,0)),"")</f>
        <v>2.4</v>
      </c>
      <c r="L99" s="372">
        <f>IFERROR(I99/K99,0)</f>
        <v>32.083333333333336</v>
      </c>
      <c r="M99" s="243"/>
      <c r="N99" s="382">
        <f>L99+M99</f>
        <v>32.083333333333336</v>
      </c>
      <c r="O99" s="373" t="s">
        <v>53</v>
      </c>
      <c r="P99" s="371">
        <f>N99*F99/3600/Parameter!$P$6/Parameter!$P$7</f>
        <v>8.0147500888561762E-2</v>
      </c>
      <c r="Q99" s="14"/>
      <c r="R99" s="14"/>
      <c r="S99" s="14"/>
      <c r="T99" s="14"/>
      <c r="U99" s="14"/>
      <c r="V99" s="14"/>
      <c r="W99" s="14"/>
      <c r="X99" s="459">
        <f>P99*Parameter!W$8</f>
        <v>7.7743075861904903E-2</v>
      </c>
      <c r="Y99" s="459">
        <f>X99*Parameter!X$8</f>
        <v>7.168549087689699E-2</v>
      </c>
      <c r="Z99" s="459">
        <f>Y99*Parameter!Y$8</f>
        <v>6.8082897822713442E-2</v>
      </c>
      <c r="AA99" s="459">
        <f>Z99*Parameter!Z$8</f>
        <v>6.6601195678704192E-2</v>
      </c>
      <c r="AB99" s="514">
        <f>VLOOKUP(O99,Parameter!$O$11:$P$22,2,0)*Process!P99</f>
        <v>6736.055356692018</v>
      </c>
      <c r="AC99" s="514">
        <f>VLOOKUP($O99,Parameter!$O$11:$P$22,2,0)*VLOOKUP($O99,Parameter!$O$11:$T$22,6,0)*X99</f>
        <v>6991.3518547106451</v>
      </c>
      <c r="AD99" s="514">
        <f>VLOOKUP($O99,Parameter!$O$11:$P$22,2,0)*VLOOKUP($O99,Parameter!$O$11:$T$22,6,0)^2*Y99</f>
        <v>6897.8616799579722</v>
      </c>
      <c r="AE99" s="514">
        <f>VLOOKUP($O99,Parameter!$O$11:$P$22,2,0)*VLOOKUP($O99,Parameter!$O$11:$T$22,6,0)^3*Z99</f>
        <v>7009.7903305334221</v>
      </c>
      <c r="AF99" s="514">
        <f>VLOOKUP($O99,Parameter!$O$11:$P$22,2,0)*VLOOKUP($O99,Parameter!$O$11:$T$22,6,0)^4*AA99</f>
        <v>7337.2412554218436</v>
      </c>
    </row>
    <row r="100" spans="1:32">
      <c r="A100" s="14">
        <f t="shared" si="14"/>
        <v>99</v>
      </c>
      <c r="B100" s="14" t="s">
        <v>558</v>
      </c>
      <c r="C100" s="14" t="s">
        <v>108</v>
      </c>
      <c r="D100" s="14" t="s">
        <v>110</v>
      </c>
      <c r="E100" s="14" t="s">
        <v>510</v>
      </c>
      <c r="F100" s="372">
        <f>F93</f>
        <v>61.153584054607528</v>
      </c>
      <c r="G100" s="239" t="s">
        <v>526</v>
      </c>
      <c r="H100" s="373" t="s">
        <v>505</v>
      </c>
      <c r="I100" s="381">
        <f>IFERROR(VLOOKUP(H100,Parameter!$F$44:$H$92,3,0),"")</f>
        <v>77</v>
      </c>
      <c r="J100" s="414" t="s">
        <v>564</v>
      </c>
      <c r="K100" s="367">
        <f>IFERROR(INDEX(Parameter!$D$122:$M$122,1,MATCH(Process!$J100,Parameter!$D$121:$M$121,0)),"")</f>
        <v>2.4</v>
      </c>
      <c r="L100" s="372">
        <f>IFERROR(I100/K100,0)</f>
        <v>32.083333333333336</v>
      </c>
      <c r="M100" s="243"/>
      <c r="N100" s="382">
        <f>L100+M100</f>
        <v>32.083333333333336</v>
      </c>
      <c r="O100" s="373" t="s">
        <v>53</v>
      </c>
      <c r="P100" s="371">
        <f>N100*F100/3600/Parameter!$P$6/Parameter!$P$7</f>
        <v>8.0147500888561762E-2</v>
      </c>
      <c r="Q100" s="14"/>
      <c r="R100" s="14"/>
      <c r="S100" s="14"/>
      <c r="T100" s="14"/>
      <c r="U100" s="14"/>
      <c r="V100" s="14"/>
      <c r="W100" s="14"/>
      <c r="X100" s="459">
        <f>P100*Parameter!W$8</f>
        <v>7.7743075861904903E-2</v>
      </c>
      <c r="Y100" s="459">
        <f>X100*Parameter!X$8</f>
        <v>7.168549087689699E-2</v>
      </c>
      <c r="Z100" s="459">
        <f>Y100*Parameter!Y$8</f>
        <v>6.8082897822713442E-2</v>
      </c>
      <c r="AA100" s="459">
        <f>Z100*Parameter!Z$8</f>
        <v>6.6601195678704192E-2</v>
      </c>
      <c r="AB100" s="514">
        <f>VLOOKUP(O100,Parameter!$O$11:$P$22,2,0)*Process!P100</f>
        <v>6736.055356692018</v>
      </c>
      <c r="AC100" s="514">
        <f>VLOOKUP($O100,Parameter!$O$11:$P$22,2,0)*VLOOKUP($O100,Parameter!$O$11:$T$22,6,0)*X100</f>
        <v>6991.3518547106451</v>
      </c>
      <c r="AD100" s="514">
        <f>VLOOKUP($O100,Parameter!$O$11:$P$22,2,0)*VLOOKUP($O100,Parameter!$O$11:$T$22,6,0)^2*Y100</f>
        <v>6897.8616799579722</v>
      </c>
      <c r="AE100" s="514">
        <f>VLOOKUP($O100,Parameter!$O$11:$P$22,2,0)*VLOOKUP($O100,Parameter!$O$11:$T$22,6,0)^3*Z100</f>
        <v>7009.7903305334221</v>
      </c>
      <c r="AF100" s="514">
        <f>VLOOKUP($O100,Parameter!$O$11:$P$22,2,0)*VLOOKUP($O100,Parameter!$O$11:$T$22,6,0)^4*AA100</f>
        <v>7337.2412554218436</v>
      </c>
    </row>
    <row r="101" spans="1:32">
      <c r="A101" s="14">
        <f t="shared" si="14"/>
        <v>100</v>
      </c>
      <c r="B101" s="14" t="s">
        <v>558</v>
      </c>
      <c r="C101" s="14" t="s">
        <v>108</v>
      </c>
      <c r="D101" s="14" t="s">
        <v>112</v>
      </c>
      <c r="E101" s="14" t="s">
        <v>246</v>
      </c>
      <c r="F101" s="372">
        <f>F92-F93</f>
        <v>142.69169612741757</v>
      </c>
      <c r="G101" s="14" t="s">
        <v>526</v>
      </c>
      <c r="H101" s="373" t="s">
        <v>513</v>
      </c>
      <c r="I101" s="381">
        <f>IFERROR(VLOOKUP(H101,Parameter!$F$44:$H$92,3,0),"")</f>
        <v>0</v>
      </c>
      <c r="J101" s="414" t="s">
        <v>643</v>
      </c>
      <c r="K101" s="367">
        <f>IFERROR(INDEX(Parameter!$D$122:$M$122,1,MATCH(Process!$J101,Parameter!$D$121:$M$121,0)),"")</f>
        <v>2.8</v>
      </c>
      <c r="L101" s="372">
        <f t="shared" si="16"/>
        <v>0</v>
      </c>
      <c r="M101" s="243">
        <v>30</v>
      </c>
      <c r="N101" s="382">
        <f t="shared" si="17"/>
        <v>30</v>
      </c>
      <c r="O101" s="373" t="s">
        <v>452</v>
      </c>
      <c r="P101" s="371">
        <f>N101*F101/3600/Parameter!$P$6/Parameter!$P$7</f>
        <v>0.17486727466595292</v>
      </c>
      <c r="Q101" s="14"/>
      <c r="R101" s="488"/>
      <c r="S101" s="486"/>
      <c r="T101" s="14"/>
      <c r="U101" s="14"/>
      <c r="V101" s="14"/>
      <c r="W101" s="14"/>
      <c r="X101" s="459">
        <f>P101*Parameter!W$8</f>
        <v>0.16962125642597431</v>
      </c>
      <c r="Y101" s="459">
        <f>X101*Parameter!X$8</f>
        <v>0.15640470736777523</v>
      </c>
      <c r="Z101" s="459">
        <f>Y101*Parameter!Y$8</f>
        <v>0.14854450434046568</v>
      </c>
      <c r="AA101" s="459">
        <f>Z101*Parameter!Z$8</f>
        <v>0.1453116996626273</v>
      </c>
      <c r="AB101" s="514">
        <f>VLOOKUP(O101,Parameter!$O$11:$P$22,2,0)*Process!P101</f>
        <v>17636.217661157283</v>
      </c>
      <c r="AC101" s="514">
        <f>VLOOKUP($O101,Parameter!$O$11:$P$22,2,0)*VLOOKUP($O101,Parameter!$O$11:$T$22,6,0)*X101</f>
        <v>18304.630310515146</v>
      </c>
      <c r="AD101" s="514">
        <f>VLOOKUP($O101,Parameter!$O$11:$P$22,2,0)*VLOOKUP($O101,Parameter!$O$11:$T$22,6,0)^2*Y101</f>
        <v>18059.85603479905</v>
      </c>
      <c r="AE101" s="514">
        <f>VLOOKUP($O101,Parameter!$O$11:$P$22,2,0)*VLOOKUP($O101,Parameter!$O$11:$T$22,6,0)^3*Z101</f>
        <v>18352.905592669322</v>
      </c>
      <c r="AF101" s="514">
        <f>VLOOKUP($O101,Parameter!$O$11:$P$22,2,0)*VLOOKUP($O101,Parameter!$O$11:$T$22,6,0)^4*AA101</f>
        <v>19210.231650559006</v>
      </c>
    </row>
    <row r="102" spans="1:32">
      <c r="A102" s="14">
        <f t="shared" si="14"/>
        <v>101</v>
      </c>
      <c r="B102" s="14" t="s">
        <v>558</v>
      </c>
      <c r="C102" s="14" t="s">
        <v>108</v>
      </c>
      <c r="D102" s="14" t="s">
        <v>112</v>
      </c>
      <c r="E102" s="14" t="s">
        <v>511</v>
      </c>
      <c r="F102" s="372">
        <f>F110</f>
        <v>142.69169612741757</v>
      </c>
      <c r="G102" s="14" t="s">
        <v>526</v>
      </c>
      <c r="H102" s="373" t="s">
        <v>493</v>
      </c>
      <c r="I102" s="381">
        <f>IFERROR(VLOOKUP(H102,Parameter!$F$44:$H$92,3,0),"")</f>
        <v>80</v>
      </c>
      <c r="J102" s="414" t="s">
        <v>643</v>
      </c>
      <c r="K102" s="367">
        <f>IFERROR(INDEX(Parameter!$D$122:$M$122,1,MATCH(Process!$J102,Parameter!$D$121:$M$121,0)),"")</f>
        <v>2.8</v>
      </c>
      <c r="L102" s="372">
        <f t="shared" si="16"/>
        <v>28.571428571428573</v>
      </c>
      <c r="M102" s="243"/>
      <c r="N102" s="382">
        <f t="shared" si="17"/>
        <v>28.571428571428573</v>
      </c>
      <c r="O102" s="373" t="s">
        <v>452</v>
      </c>
      <c r="P102" s="371">
        <f>N102*F102/3600/Parameter!$P$6/Parameter!$P$7</f>
        <v>0.16654026158662183</v>
      </c>
      <c r="Q102" s="14"/>
      <c r="R102" s="488"/>
      <c r="S102" s="486"/>
      <c r="T102" s="14"/>
      <c r="U102" s="14"/>
      <c r="V102" s="14"/>
      <c r="W102" s="14"/>
      <c r="X102" s="459">
        <f>P102*Parameter!W$8</f>
        <v>0.16154405373902314</v>
      </c>
      <c r="Y102" s="459">
        <f>X102*Parameter!X$8</f>
        <v>0.14895686415978593</v>
      </c>
      <c r="Z102" s="459">
        <f>Y102*Parameter!Y$8</f>
        <v>0.14147095651472921</v>
      </c>
      <c r="AA102" s="459">
        <f>Z102*Parameter!Z$8</f>
        <v>0.13839209491678792</v>
      </c>
      <c r="AB102" s="514">
        <f>VLOOKUP(O102,Parameter!$O$11:$P$22,2,0)*Process!P102</f>
        <v>16796.397772530745</v>
      </c>
      <c r="AC102" s="514">
        <f>VLOOKUP($O102,Parameter!$O$11:$P$22,2,0)*VLOOKUP($O102,Parameter!$O$11:$T$22,6,0)*X102</f>
        <v>17432.98124810966</v>
      </c>
      <c r="AD102" s="514">
        <f>VLOOKUP($O102,Parameter!$O$11:$P$22,2,0)*VLOOKUP($O102,Parameter!$O$11:$T$22,6,0)^2*Y102</f>
        <v>17199.86289028481</v>
      </c>
      <c r="AE102" s="514">
        <f>VLOOKUP($O102,Parameter!$O$11:$P$22,2,0)*VLOOKUP($O102,Parameter!$O$11:$T$22,6,0)^3*Z102</f>
        <v>17478.957707304115</v>
      </c>
      <c r="AF102" s="514">
        <f>VLOOKUP($O102,Parameter!$O$11:$P$22,2,0)*VLOOKUP($O102,Parameter!$O$11:$T$22,6,0)^4*AA102</f>
        <v>18295.458714818102</v>
      </c>
    </row>
    <row r="103" spans="1:32">
      <c r="A103" s="14">
        <f t="shared" si="14"/>
        <v>102</v>
      </c>
      <c r="B103" s="14" t="s">
        <v>558</v>
      </c>
      <c r="C103" s="14" t="s">
        <v>108</v>
      </c>
      <c r="D103" s="14" t="s">
        <v>112</v>
      </c>
      <c r="E103" s="14" t="s">
        <v>512</v>
      </c>
      <c r="F103" s="372">
        <f>Parameter!R75*Parameter!R78</f>
        <v>856.15017676450532</v>
      </c>
      <c r="G103" s="239" t="s">
        <v>228</v>
      </c>
      <c r="H103" s="373" t="s">
        <v>494</v>
      </c>
      <c r="I103" s="381">
        <f>IFERROR(VLOOKUP(H103,Parameter!$F$44:$H$92,3,0),"")</f>
        <v>30</v>
      </c>
      <c r="J103" s="414" t="s">
        <v>643</v>
      </c>
      <c r="K103" s="367">
        <f>IFERROR(INDEX(Parameter!$D$122:$M$122,1,MATCH(Process!$J103,Parameter!$D$121:$M$121,0)),"")</f>
        <v>2.8</v>
      </c>
      <c r="L103" s="372">
        <f t="shared" si="16"/>
        <v>10.714285714285715</v>
      </c>
      <c r="M103" s="243"/>
      <c r="N103" s="382">
        <f t="shared" si="17"/>
        <v>10.714285714285715</v>
      </c>
      <c r="O103" s="373" t="s">
        <v>452</v>
      </c>
      <c r="P103" s="371">
        <f>N103*F103/3600/Parameter!$P$6/Parameter!$P$7</f>
        <v>0.37471558856989906</v>
      </c>
      <c r="Q103" s="14"/>
      <c r="R103" s="14"/>
      <c r="S103" s="486"/>
      <c r="T103" s="14"/>
      <c r="U103" s="14"/>
      <c r="V103" s="14"/>
      <c r="W103" s="14"/>
      <c r="X103" s="459">
        <f>P103*Parameter!W$8</f>
        <v>0.36347412091280201</v>
      </c>
      <c r="Y103" s="459">
        <f>X103*Parameter!X$8</f>
        <v>0.33515294435951831</v>
      </c>
      <c r="Z103" s="459">
        <f>Y103*Parameter!Y$8</f>
        <v>0.31830965215814072</v>
      </c>
      <c r="AA103" s="459">
        <f>Z103*Parameter!Z$8</f>
        <v>0.31138221356277279</v>
      </c>
      <c r="AB103" s="514">
        <f>VLOOKUP(O103,Parameter!$O$11:$P$22,2,0)*Process!P103</f>
        <v>37791.894988194173</v>
      </c>
      <c r="AC103" s="514">
        <f>VLOOKUP($O103,Parameter!$O$11:$P$22,2,0)*VLOOKUP($O103,Parameter!$O$11:$T$22,6,0)*X103</f>
        <v>39224.207808246727</v>
      </c>
      <c r="AD103" s="514">
        <f>VLOOKUP($O103,Parameter!$O$11:$P$22,2,0)*VLOOKUP($O103,Parameter!$O$11:$T$22,6,0)^2*Y103</f>
        <v>38699.691503140821</v>
      </c>
      <c r="AE103" s="514">
        <f>VLOOKUP($O103,Parameter!$O$11:$P$22,2,0)*VLOOKUP($O103,Parameter!$O$11:$T$22,6,0)^3*Z103</f>
        <v>39327.654841434261</v>
      </c>
      <c r="AF103" s="514">
        <f>VLOOKUP($O103,Parameter!$O$11:$P$22,2,0)*VLOOKUP($O103,Parameter!$O$11:$T$22,6,0)^4*AA103</f>
        <v>41164.782108340725</v>
      </c>
    </row>
    <row r="104" spans="1:32">
      <c r="A104" s="14">
        <f t="shared" si="14"/>
        <v>103</v>
      </c>
      <c r="B104" s="14" t="s">
        <v>558</v>
      </c>
      <c r="C104" s="14" t="s">
        <v>108</v>
      </c>
      <c r="D104" s="14" t="s">
        <v>112</v>
      </c>
      <c r="E104" s="14" t="s">
        <v>113</v>
      </c>
      <c r="F104" s="372">
        <f>F103</f>
        <v>856.15017676450532</v>
      </c>
      <c r="G104" s="239" t="s">
        <v>228</v>
      </c>
      <c r="H104" s="373" t="s">
        <v>506</v>
      </c>
      <c r="I104" s="381">
        <f>IFERROR(VLOOKUP(H104,Parameter!$F$44:$H$92,3,0),"")</f>
        <v>9</v>
      </c>
      <c r="J104" s="414" t="s">
        <v>644</v>
      </c>
      <c r="K104" s="367">
        <f>IFERROR(INDEX(Parameter!$D$122:$M$122,1,MATCH(Process!$J104,Parameter!$D$121:$M$121,0)),"")</f>
        <v>0.5</v>
      </c>
      <c r="L104" s="372">
        <f t="shared" si="16"/>
        <v>18</v>
      </c>
      <c r="M104" s="243"/>
      <c r="N104" s="382">
        <f t="shared" si="17"/>
        <v>18</v>
      </c>
      <c r="O104" s="373" t="s">
        <v>452</v>
      </c>
      <c r="P104" s="371">
        <f>N104*F104/3600/Parameter!$P$6/Parameter!$P$7</f>
        <v>0.62952218879743038</v>
      </c>
      <c r="Q104" s="14"/>
      <c r="R104" s="14"/>
      <c r="S104" s="486"/>
      <c r="T104" s="14"/>
      <c r="U104" s="14"/>
      <c r="V104" s="14"/>
      <c r="W104" s="14"/>
      <c r="X104" s="459">
        <f>P104*Parameter!W$8</f>
        <v>0.61063652313350736</v>
      </c>
      <c r="Y104" s="459">
        <f>X104*Parameter!X$8</f>
        <v>0.56305694652399074</v>
      </c>
      <c r="Z104" s="459">
        <f>Y104*Parameter!Y$8</f>
        <v>0.53476021562567633</v>
      </c>
      <c r="AA104" s="459">
        <f>Z104*Parameter!Z$8</f>
        <v>0.52312211878545822</v>
      </c>
      <c r="AB104" s="514">
        <f>VLOOKUP(O104,Parameter!$O$11:$P$22,2,0)*Process!P104</f>
        <v>63490.383580166206</v>
      </c>
      <c r="AC104" s="514">
        <f>VLOOKUP($O104,Parameter!$O$11:$P$22,2,0)*VLOOKUP($O104,Parameter!$O$11:$T$22,6,0)*X104</f>
        <v>65896.669117854501</v>
      </c>
      <c r="AD104" s="514">
        <f>VLOOKUP($O104,Parameter!$O$11:$P$22,2,0)*VLOOKUP($O104,Parameter!$O$11:$T$22,6,0)^2*Y104</f>
        <v>65015.481725276572</v>
      </c>
      <c r="AE104" s="514">
        <f>VLOOKUP($O104,Parameter!$O$11:$P$22,2,0)*VLOOKUP($O104,Parameter!$O$11:$T$22,6,0)^3*Z104</f>
        <v>66070.460133609551</v>
      </c>
      <c r="AF104" s="514">
        <f>VLOOKUP($O104,Parameter!$O$11:$P$22,2,0)*VLOOKUP($O104,Parameter!$O$11:$T$22,6,0)^4*AA104</f>
        <v>69156.83394201241</v>
      </c>
    </row>
    <row r="105" spans="1:32">
      <c r="A105" s="14">
        <f t="shared" si="14"/>
        <v>104</v>
      </c>
      <c r="B105" s="14" t="s">
        <v>558</v>
      </c>
      <c r="C105" s="14" t="s">
        <v>108</v>
      </c>
      <c r="D105" s="14" t="s">
        <v>112</v>
      </c>
      <c r="E105" s="14" t="s">
        <v>101</v>
      </c>
      <c r="F105" s="372">
        <f>F104*Parameter!R79</f>
        <v>5564.9761489692846</v>
      </c>
      <c r="G105" s="239" t="s">
        <v>525</v>
      </c>
      <c r="H105" s="373" t="s">
        <v>513</v>
      </c>
      <c r="I105" s="381">
        <f>IFERROR(VLOOKUP(H105,Parameter!$F$44:$H$92,3,0),"")</f>
        <v>0</v>
      </c>
      <c r="J105" s="376" t="s">
        <v>455</v>
      </c>
      <c r="K105" s="367">
        <f>IFERROR(INDEX(Parameter!$D$122:$M$122,1,MATCH(Process!$J105,Parameter!$D$121:$M$121,0)),"")</f>
        <v>1.2</v>
      </c>
      <c r="L105" s="372">
        <f t="shared" si="16"/>
        <v>0</v>
      </c>
      <c r="M105" s="384">
        <v>10</v>
      </c>
      <c r="N105" s="382">
        <f t="shared" si="17"/>
        <v>10</v>
      </c>
      <c r="O105" s="373" t="s">
        <v>452</v>
      </c>
      <c r="P105" s="371">
        <f>N105*F105/3600/Parameter!$P$6/Parameter!$P$7</f>
        <v>2.2732745706573874</v>
      </c>
      <c r="Q105" s="14"/>
      <c r="R105" s="14"/>
      <c r="S105" s="486"/>
      <c r="T105" s="14"/>
      <c r="U105" s="14"/>
      <c r="V105" s="14"/>
      <c r="W105" s="14"/>
      <c r="X105" s="459">
        <f>P105*Parameter!W$8</f>
        <v>2.2050763335376655</v>
      </c>
      <c r="Y105" s="459">
        <f>X105*Parameter!X$8</f>
        <v>2.0332611957810776</v>
      </c>
      <c r="Z105" s="459">
        <f>Y105*Parameter!Y$8</f>
        <v>1.9310785564260533</v>
      </c>
      <c r="AA105" s="459">
        <f>Z105*Parameter!Z$8</f>
        <v>1.8890520956141545</v>
      </c>
      <c r="AB105" s="514">
        <f>VLOOKUP(O105,Parameter!$O$11:$P$22,2,0)*Process!P105</f>
        <v>229270.82959504463</v>
      </c>
      <c r="AC105" s="514">
        <f>VLOOKUP($O105,Parameter!$O$11:$P$22,2,0)*VLOOKUP($O105,Parameter!$O$11:$T$22,6,0)*X105</f>
        <v>237960.19403669683</v>
      </c>
      <c r="AD105" s="514">
        <f>VLOOKUP($O105,Parameter!$O$11:$P$22,2,0)*VLOOKUP($O105,Parameter!$O$11:$T$22,6,0)^2*Y105</f>
        <v>234778.12845238761</v>
      </c>
      <c r="AE105" s="514">
        <f>VLOOKUP($O105,Parameter!$O$11:$P$22,2,0)*VLOOKUP($O105,Parameter!$O$11:$T$22,6,0)^3*Z105</f>
        <v>238587.77270470111</v>
      </c>
      <c r="AF105" s="514">
        <f>VLOOKUP($O105,Parameter!$O$11:$P$22,2,0)*VLOOKUP($O105,Parameter!$O$11:$T$22,6,0)^4*AA105</f>
        <v>249733.01145726701</v>
      </c>
    </row>
    <row r="106" spans="1:32">
      <c r="A106" s="14">
        <f t="shared" si="14"/>
        <v>105</v>
      </c>
      <c r="B106" s="14" t="s">
        <v>558</v>
      </c>
      <c r="C106" s="14" t="s">
        <v>108</v>
      </c>
      <c r="D106" s="14" t="s">
        <v>112</v>
      </c>
      <c r="E106" s="14" t="s">
        <v>102</v>
      </c>
      <c r="F106" s="372">
        <f>F105*Parameter!R84</f>
        <v>500.84785340723562</v>
      </c>
      <c r="G106" s="239" t="s">
        <v>525</v>
      </c>
      <c r="H106" s="373" t="s">
        <v>513</v>
      </c>
      <c r="I106" s="381">
        <f>IFERROR(VLOOKUP(H106,Parameter!$F$44:$H$92,3,0),"")</f>
        <v>0</v>
      </c>
      <c r="J106" s="376" t="s">
        <v>455</v>
      </c>
      <c r="K106" s="367">
        <f>IFERROR(INDEX(Parameter!$D$122:$M$122,1,MATCH(Process!$J106,Parameter!$D$121:$M$121,0)),"")</f>
        <v>1.2</v>
      </c>
      <c r="L106" s="372">
        <f t="shared" si="16"/>
        <v>0</v>
      </c>
      <c r="M106" s="243">
        <v>15</v>
      </c>
      <c r="N106" s="382">
        <f t="shared" si="17"/>
        <v>15</v>
      </c>
      <c r="O106" s="373" t="s">
        <v>452</v>
      </c>
      <c r="P106" s="371">
        <f>N106*F106/3600/Parameter!$P$6/Parameter!$P$7</f>
        <v>0.30689206703874733</v>
      </c>
      <c r="Q106" s="14"/>
      <c r="R106" s="14"/>
      <c r="S106" s="486"/>
      <c r="T106" s="14"/>
      <c r="U106" s="14"/>
      <c r="V106" s="14"/>
      <c r="W106" s="14"/>
      <c r="X106" s="459">
        <f>P106*Parameter!W$8</f>
        <v>0.29768530502758489</v>
      </c>
      <c r="Y106" s="459">
        <f>X106*Parameter!X$8</f>
        <v>0.27449026143044553</v>
      </c>
      <c r="Z106" s="459">
        <f>Y106*Parameter!Y$8</f>
        <v>0.26069560511751727</v>
      </c>
      <c r="AA106" s="459">
        <f>Z106*Parameter!Z$8</f>
        <v>0.25502203290791092</v>
      </c>
      <c r="AB106" s="514">
        <f>VLOOKUP(O106,Parameter!$O$11:$P$22,2,0)*Process!P106</f>
        <v>30951.561995331027</v>
      </c>
      <c r="AC106" s="514">
        <f>VLOOKUP($O106,Parameter!$O$11:$P$22,2,0)*VLOOKUP($O106,Parameter!$O$11:$T$22,6,0)*X106</f>
        <v>32124.626194954075</v>
      </c>
      <c r="AD106" s="514">
        <f>VLOOKUP($O106,Parameter!$O$11:$P$22,2,0)*VLOOKUP($O106,Parameter!$O$11:$T$22,6,0)^2*Y106</f>
        <v>31695.047341072335</v>
      </c>
      <c r="AE106" s="514">
        <f>VLOOKUP($O106,Parameter!$O$11:$P$22,2,0)*VLOOKUP($O106,Parameter!$O$11:$T$22,6,0)^3*Z106</f>
        <v>32209.349315134659</v>
      </c>
      <c r="AF106" s="514">
        <f>VLOOKUP($O106,Parameter!$O$11:$P$22,2,0)*VLOOKUP($O106,Parameter!$O$11:$T$22,6,0)^4*AA106</f>
        <v>33713.956546731053</v>
      </c>
    </row>
    <row r="107" spans="1:32">
      <c r="A107" s="14">
        <f t="shared" si="14"/>
        <v>106</v>
      </c>
      <c r="B107" s="14" t="s">
        <v>558</v>
      </c>
      <c r="C107" s="14" t="s">
        <v>108</v>
      </c>
      <c r="D107" s="14" t="s">
        <v>112</v>
      </c>
      <c r="E107" s="14" t="s">
        <v>73</v>
      </c>
      <c r="F107" s="372">
        <f>F104</f>
        <v>856.15017676450532</v>
      </c>
      <c r="G107" s="239" t="s">
        <v>228</v>
      </c>
      <c r="H107" s="373"/>
      <c r="I107" s="381" t="str">
        <f>IFERROR(VLOOKUP(H107,Parameter!$F$44:$H$92,3,0),"")</f>
        <v/>
      </c>
      <c r="J107" s="376" t="s">
        <v>455</v>
      </c>
      <c r="K107" s="367">
        <f>IFERROR(INDEX(Parameter!$D$122:$M$122,1,MATCH(Process!$J107,Parameter!$D$121:$M$121,0)),"")</f>
        <v>1.2</v>
      </c>
      <c r="L107" s="372">
        <f t="shared" si="16"/>
        <v>0</v>
      </c>
      <c r="M107" s="243">
        <f>M98</f>
        <v>5</v>
      </c>
      <c r="N107" s="382">
        <f t="shared" si="17"/>
        <v>5</v>
      </c>
      <c r="O107" s="373" t="s">
        <v>452</v>
      </c>
      <c r="P107" s="371">
        <f>N107*F107/3600/Parameter!$P$6/Parameter!$P$7</f>
        <v>0.17486727466595289</v>
      </c>
      <c r="Q107" s="14"/>
      <c r="R107" s="14"/>
      <c r="S107" s="486"/>
      <c r="T107" s="14"/>
      <c r="U107" s="14"/>
      <c r="V107" s="14"/>
      <c r="W107" s="14"/>
      <c r="X107" s="459">
        <f>P107*Parameter!W$8</f>
        <v>0.16962125642597428</v>
      </c>
      <c r="Y107" s="459">
        <f>X107*Parameter!X$8</f>
        <v>0.1564047073677752</v>
      </c>
      <c r="Z107" s="459">
        <f>Y107*Parameter!Y$8</f>
        <v>0.14854450434046565</v>
      </c>
      <c r="AA107" s="459">
        <f>Z107*Parameter!Z$8</f>
        <v>0.14531169966262727</v>
      </c>
      <c r="AB107" s="514">
        <f>VLOOKUP(O107,Parameter!$O$11:$P$22,2,0)*Process!P107</f>
        <v>17636.21766115728</v>
      </c>
      <c r="AC107" s="514">
        <f>VLOOKUP($O107,Parameter!$O$11:$P$22,2,0)*VLOOKUP($O107,Parameter!$O$11:$T$22,6,0)*X107</f>
        <v>18304.630310515142</v>
      </c>
      <c r="AD107" s="514">
        <f>VLOOKUP($O107,Parameter!$O$11:$P$22,2,0)*VLOOKUP($O107,Parameter!$O$11:$T$22,6,0)^2*Y107</f>
        <v>18059.85603479905</v>
      </c>
      <c r="AE107" s="514">
        <f>VLOOKUP($O107,Parameter!$O$11:$P$22,2,0)*VLOOKUP($O107,Parameter!$O$11:$T$22,6,0)^3*Z107</f>
        <v>18352.905592669318</v>
      </c>
      <c r="AF107" s="514">
        <f>VLOOKUP($O107,Parameter!$O$11:$P$22,2,0)*VLOOKUP($O107,Parameter!$O$11:$T$22,6,0)^4*AA107</f>
        <v>19210.231650559002</v>
      </c>
    </row>
    <row r="108" spans="1:32">
      <c r="A108" s="14">
        <f t="shared" si="14"/>
        <v>107</v>
      </c>
      <c r="B108" s="14" t="s">
        <v>558</v>
      </c>
      <c r="C108" s="14" t="s">
        <v>108</v>
      </c>
      <c r="D108" s="14" t="s">
        <v>112</v>
      </c>
      <c r="E108" s="14" t="s">
        <v>114</v>
      </c>
      <c r="F108" s="372">
        <f>F107</f>
        <v>856.15017676450532</v>
      </c>
      <c r="G108" s="239" t="s">
        <v>228</v>
      </c>
      <c r="H108" s="373" t="s">
        <v>506</v>
      </c>
      <c r="I108" s="381">
        <f>IFERROR(VLOOKUP(H108,Parameter!$F$44:$H$92,3,0),"")</f>
        <v>9</v>
      </c>
      <c r="J108" s="414" t="s">
        <v>644</v>
      </c>
      <c r="K108" s="367">
        <f>IFERROR(INDEX(Parameter!$D$122:$M$122,1,MATCH(Process!$J108,Parameter!$D$121:$M$121,0)),"")</f>
        <v>0.5</v>
      </c>
      <c r="L108" s="372">
        <f t="shared" si="16"/>
        <v>18</v>
      </c>
      <c r="M108" s="413"/>
      <c r="N108" s="382">
        <f t="shared" si="17"/>
        <v>18</v>
      </c>
      <c r="O108" s="373" t="s">
        <v>452</v>
      </c>
      <c r="P108" s="371">
        <f>N108*F108/3600/Parameter!$P$6/Parameter!$P$7</f>
        <v>0.62952218879743038</v>
      </c>
      <c r="Q108" s="14"/>
      <c r="R108" s="14"/>
      <c r="S108" s="486"/>
      <c r="T108" s="14"/>
      <c r="U108" s="14"/>
      <c r="V108" s="14"/>
      <c r="W108" s="14"/>
      <c r="X108" s="459">
        <f>P108*Parameter!W$8</f>
        <v>0.61063652313350736</v>
      </c>
      <c r="Y108" s="459">
        <f>X108*Parameter!X$8</f>
        <v>0.56305694652399074</v>
      </c>
      <c r="Z108" s="459">
        <f>Y108*Parameter!Y$8</f>
        <v>0.53476021562567633</v>
      </c>
      <c r="AA108" s="459">
        <f>Z108*Parameter!Z$8</f>
        <v>0.52312211878545822</v>
      </c>
      <c r="AB108" s="514">
        <f>VLOOKUP(O108,Parameter!$O$11:$P$22,2,0)*Process!P108</f>
        <v>63490.383580166206</v>
      </c>
      <c r="AC108" s="514">
        <f>VLOOKUP($O108,Parameter!$O$11:$P$22,2,0)*VLOOKUP($O108,Parameter!$O$11:$T$22,6,0)*X108</f>
        <v>65896.669117854501</v>
      </c>
      <c r="AD108" s="514">
        <f>VLOOKUP($O108,Parameter!$O$11:$P$22,2,0)*VLOOKUP($O108,Parameter!$O$11:$T$22,6,0)^2*Y108</f>
        <v>65015.481725276572</v>
      </c>
      <c r="AE108" s="514">
        <f>VLOOKUP($O108,Parameter!$O$11:$P$22,2,0)*VLOOKUP($O108,Parameter!$O$11:$T$22,6,0)^3*Z108</f>
        <v>66070.460133609551</v>
      </c>
      <c r="AF108" s="514">
        <f>VLOOKUP($O108,Parameter!$O$11:$P$22,2,0)*VLOOKUP($O108,Parameter!$O$11:$T$22,6,0)^4*AA108</f>
        <v>69156.83394201241</v>
      </c>
    </row>
    <row r="109" spans="1:32">
      <c r="A109" s="14">
        <f t="shared" si="14"/>
        <v>108</v>
      </c>
      <c r="B109" s="14" t="s">
        <v>558</v>
      </c>
      <c r="C109" s="14" t="s">
        <v>108</v>
      </c>
      <c r="D109" s="14" t="s">
        <v>112</v>
      </c>
      <c r="E109" s="14" t="s">
        <v>245</v>
      </c>
      <c r="F109" s="372">
        <f>F101</f>
        <v>142.69169612741757</v>
      </c>
      <c r="G109" s="239" t="s">
        <v>526</v>
      </c>
      <c r="H109" s="373" t="s">
        <v>505</v>
      </c>
      <c r="I109" s="381">
        <f>IFERROR(VLOOKUP(H109,Parameter!$F$44:$H$92,3,0),"")</f>
        <v>77</v>
      </c>
      <c r="J109" s="414" t="s">
        <v>643</v>
      </c>
      <c r="K109" s="367">
        <f>IFERROR(INDEX(Parameter!$D$122:$M$122,1,MATCH(Process!$J109,Parameter!$D$121:$M$121,0)),"")</f>
        <v>2.8</v>
      </c>
      <c r="L109" s="372">
        <f>IFERROR(I109/K109,0)</f>
        <v>27.5</v>
      </c>
      <c r="M109" s="243"/>
      <c r="N109" s="382">
        <f>L109+M109</f>
        <v>27.5</v>
      </c>
      <c r="O109" s="373" t="s">
        <v>452</v>
      </c>
      <c r="P109" s="371">
        <f>N109*F109/3600/Parameter!$P$6/Parameter!$P$7</f>
        <v>0.16029500177712352</v>
      </c>
      <c r="Q109" s="14"/>
      <c r="R109" s="488"/>
      <c r="S109" s="486"/>
      <c r="T109" s="14"/>
      <c r="U109" s="14"/>
      <c r="V109" s="14"/>
      <c r="W109" s="14"/>
      <c r="X109" s="459">
        <f>P109*Parameter!W$8</f>
        <v>0.15548615172380981</v>
      </c>
      <c r="Y109" s="459">
        <f>X109*Parameter!X$8</f>
        <v>0.14337098175379398</v>
      </c>
      <c r="Z109" s="459">
        <f>Y109*Parameter!Y$8</f>
        <v>0.13616579564542688</v>
      </c>
      <c r="AA109" s="459">
        <f>Z109*Parameter!Z$8</f>
        <v>0.13320239135740838</v>
      </c>
      <c r="AB109" s="514">
        <f>VLOOKUP(O109,Parameter!$O$11:$P$22,2,0)*Process!P109</f>
        <v>16166.532856060845</v>
      </c>
      <c r="AC109" s="514">
        <f>VLOOKUP($O109,Parameter!$O$11:$P$22,2,0)*VLOOKUP($O109,Parameter!$O$11:$T$22,6,0)*X109</f>
        <v>16779.244451305553</v>
      </c>
      <c r="AD109" s="514">
        <f>VLOOKUP($O109,Parameter!$O$11:$P$22,2,0)*VLOOKUP($O109,Parameter!$O$11:$T$22,6,0)^2*Y109</f>
        <v>16554.868031899132</v>
      </c>
      <c r="AE109" s="514">
        <f>VLOOKUP($O109,Parameter!$O$11:$P$22,2,0)*VLOOKUP($O109,Parameter!$O$11:$T$22,6,0)^3*Z109</f>
        <v>16823.496793280214</v>
      </c>
      <c r="AF109" s="514">
        <f>VLOOKUP($O109,Parameter!$O$11:$P$22,2,0)*VLOOKUP($O109,Parameter!$O$11:$T$22,6,0)^4*AA109</f>
        <v>17609.379013012425</v>
      </c>
    </row>
    <row r="110" spans="1:32">
      <c r="A110" s="14">
        <f t="shared" si="14"/>
        <v>109</v>
      </c>
      <c r="B110" s="14" t="s">
        <v>558</v>
      </c>
      <c r="C110" s="14" t="s">
        <v>108</v>
      </c>
      <c r="D110" s="14" t="s">
        <v>112</v>
      </c>
      <c r="E110" s="14" t="s">
        <v>510</v>
      </c>
      <c r="F110" s="372">
        <f>F109</f>
        <v>142.69169612741757</v>
      </c>
      <c r="G110" s="239" t="s">
        <v>526</v>
      </c>
      <c r="H110" s="373" t="s">
        <v>505</v>
      </c>
      <c r="I110" s="381">
        <f>IFERROR(VLOOKUP(H110,Parameter!$F$44:$H$92,3,0),"")</f>
        <v>77</v>
      </c>
      <c r="J110" s="414" t="s">
        <v>643</v>
      </c>
      <c r="K110" s="367">
        <f>IFERROR(INDEX(Parameter!$D$122:$M$122,1,MATCH(Process!$J110,Parameter!$D$121:$M$121,0)),"")</f>
        <v>2.8</v>
      </c>
      <c r="L110" s="372">
        <f>IFERROR(I110/K110,0)</f>
        <v>27.5</v>
      </c>
      <c r="M110" s="243"/>
      <c r="N110" s="382">
        <f>L110+M110</f>
        <v>27.5</v>
      </c>
      <c r="O110" s="373" t="s">
        <v>452</v>
      </c>
      <c r="P110" s="371">
        <f>N110*F110/3600/Parameter!$P$6/Parameter!$P$7</f>
        <v>0.16029500177712352</v>
      </c>
      <c r="Q110" s="14"/>
      <c r="R110" s="488"/>
      <c r="S110" s="486"/>
      <c r="T110" s="14"/>
      <c r="U110" s="14"/>
      <c r="V110" s="14"/>
      <c r="W110" s="14"/>
      <c r="X110" s="459">
        <f>P110*Parameter!W$8</f>
        <v>0.15548615172380981</v>
      </c>
      <c r="Y110" s="459">
        <f>X110*Parameter!X$8</f>
        <v>0.14337098175379398</v>
      </c>
      <c r="Z110" s="459">
        <f>Y110*Parameter!Y$8</f>
        <v>0.13616579564542688</v>
      </c>
      <c r="AA110" s="459">
        <f>Z110*Parameter!Z$8</f>
        <v>0.13320239135740838</v>
      </c>
      <c r="AB110" s="514">
        <f>VLOOKUP(O110,Parameter!$O$11:$P$22,2,0)*Process!P110</f>
        <v>16166.532856060845</v>
      </c>
      <c r="AC110" s="514">
        <f>VLOOKUP($O110,Parameter!$O$11:$P$22,2,0)*VLOOKUP($O110,Parameter!$O$11:$T$22,6,0)*X110</f>
        <v>16779.244451305553</v>
      </c>
      <c r="AD110" s="514">
        <f>VLOOKUP($O110,Parameter!$O$11:$P$22,2,0)*VLOOKUP($O110,Parameter!$O$11:$T$22,6,0)^2*Y110</f>
        <v>16554.868031899132</v>
      </c>
      <c r="AE110" s="514">
        <f>VLOOKUP($O110,Parameter!$O$11:$P$22,2,0)*VLOOKUP($O110,Parameter!$O$11:$T$22,6,0)^3*Z110</f>
        <v>16823.496793280214</v>
      </c>
      <c r="AF110" s="514">
        <f>VLOOKUP($O110,Parameter!$O$11:$P$22,2,0)*VLOOKUP($O110,Parameter!$O$11:$T$22,6,0)^4*AA110</f>
        <v>17609.379013012425</v>
      </c>
    </row>
    <row r="111" spans="1:32" s="240" customFormat="1">
      <c r="A111" s="14">
        <f t="shared" si="14"/>
        <v>110</v>
      </c>
      <c r="B111" s="14" t="s">
        <v>558</v>
      </c>
      <c r="C111" s="239" t="s">
        <v>251</v>
      </c>
      <c r="D111" s="239" t="s">
        <v>249</v>
      </c>
      <c r="E111" s="239" t="s">
        <v>250</v>
      </c>
      <c r="F111" s="382">
        <f>IFERROR(Parameter!R81/Parameter!R82,0)</f>
        <v>0</v>
      </c>
      <c r="G111" s="239" t="s">
        <v>527</v>
      </c>
      <c r="H111" s="374"/>
      <c r="I111" s="381" t="str">
        <f>IFERROR(VLOOKUP(H111,Parameter!$F$44:$H$92,3,0),"")</f>
        <v/>
      </c>
      <c r="J111" s="414" t="s">
        <v>36</v>
      </c>
      <c r="K111" s="367">
        <f>IFERROR(INDEX(Parameter!$D$122:$M$122,1,MATCH(Process!$J111,Parameter!$D$121:$M$121,0)),"")</f>
        <v>2.7777777777777777</v>
      </c>
      <c r="L111" s="372">
        <f t="shared" si="16"/>
        <v>0</v>
      </c>
      <c r="M111" s="383">
        <f>3600/25</f>
        <v>144</v>
      </c>
      <c r="N111" s="382">
        <f t="shared" si="17"/>
        <v>144</v>
      </c>
      <c r="O111" s="373" t="s">
        <v>452</v>
      </c>
      <c r="P111" s="371">
        <f>N111*F111/3600/Parameter!$P$6/Parameter!$P$7</f>
        <v>0</v>
      </c>
      <c r="Q111" s="238"/>
      <c r="R111" s="495"/>
      <c r="S111" s="496"/>
      <c r="T111" s="238"/>
      <c r="U111" s="238"/>
      <c r="V111" s="238"/>
      <c r="W111" s="238"/>
      <c r="X111" s="459">
        <f>P111*Parameter!W$8</f>
        <v>0</v>
      </c>
      <c r="Y111" s="459">
        <f>X111*Parameter!X$8</f>
        <v>0</v>
      </c>
      <c r="Z111" s="459">
        <f>Y111*Parameter!Y$8</f>
        <v>0</v>
      </c>
      <c r="AA111" s="459">
        <f>Z111*Parameter!Z$8</f>
        <v>0</v>
      </c>
      <c r="AB111" s="514">
        <f>VLOOKUP(O111,Parameter!$O$11:$P$22,2,0)*Process!P111</f>
        <v>0</v>
      </c>
      <c r="AC111" s="514">
        <f>VLOOKUP($O111,Parameter!$O$11:$P$22,2,0)*VLOOKUP($O111,Parameter!$O$11:$T$22,6,0)*X111</f>
        <v>0</v>
      </c>
      <c r="AD111" s="514">
        <f>VLOOKUP($O111,Parameter!$O$11:$P$22,2,0)*VLOOKUP($O111,Parameter!$O$11:$T$22,6,0)^2*Y111</f>
        <v>0</v>
      </c>
      <c r="AE111" s="514">
        <f>VLOOKUP($O111,Parameter!$O$11:$P$22,2,0)*VLOOKUP($O111,Parameter!$O$11:$T$22,6,0)^3*Z111</f>
        <v>0</v>
      </c>
      <c r="AF111" s="514">
        <f>VLOOKUP($O111,Parameter!$O$11:$P$22,2,0)*VLOOKUP($O111,Parameter!$O$11:$T$22,6,0)^4*AA111</f>
        <v>0</v>
      </c>
    </row>
    <row r="112" spans="1:32">
      <c r="A112" s="14">
        <f t="shared" si="14"/>
        <v>111</v>
      </c>
      <c r="B112" s="14" t="s">
        <v>558</v>
      </c>
      <c r="C112" s="14" t="s">
        <v>518</v>
      </c>
      <c r="D112" s="14" t="s">
        <v>517</v>
      </c>
      <c r="E112" s="14" t="s">
        <v>98</v>
      </c>
      <c r="F112" s="372">
        <f>Parameter!R87/Parameter!R88</f>
        <v>19.906765642775888</v>
      </c>
      <c r="G112" s="14" t="s">
        <v>526</v>
      </c>
      <c r="H112" s="373"/>
      <c r="I112" s="381" t="str">
        <f>IFERROR(VLOOKUP(H112,Parameter!$F$44:$H$92,3,0),"")</f>
        <v/>
      </c>
      <c r="J112" s="376" t="s">
        <v>639</v>
      </c>
      <c r="K112" s="367">
        <f>IFERROR(INDEX(Parameter!$D$122:$M$122,1,MATCH(Process!$J112,Parameter!$D$121:$M$121,0)),"")</f>
        <v>0.5</v>
      </c>
      <c r="L112" s="372">
        <f t="shared" si="16"/>
        <v>0</v>
      </c>
      <c r="M112" s="243"/>
      <c r="N112" s="382">
        <f t="shared" si="17"/>
        <v>0</v>
      </c>
      <c r="O112" s="373" t="s">
        <v>641</v>
      </c>
      <c r="P112" s="371">
        <f>N112*F112/3600/Parameter!$P$6/Parameter!$P$7</f>
        <v>0</v>
      </c>
      <c r="Q112" s="14"/>
      <c r="R112" s="14"/>
      <c r="S112" s="486"/>
      <c r="T112" s="14"/>
      <c r="U112" s="14"/>
      <c r="V112" s="14"/>
      <c r="W112" s="14"/>
      <c r="X112" s="459">
        <f>P112*Parameter!W$8</f>
        <v>0</v>
      </c>
      <c r="Y112" s="459">
        <f>X112*Parameter!X$8</f>
        <v>0</v>
      </c>
      <c r="Z112" s="459">
        <f>Y112*Parameter!Y$8</f>
        <v>0</v>
      </c>
      <c r="AA112" s="459">
        <f>Z112*Parameter!Z$8</f>
        <v>0</v>
      </c>
      <c r="AB112" s="514">
        <f>VLOOKUP(O112,Parameter!$O$11:$P$22,2,0)*Process!P112</f>
        <v>0</v>
      </c>
      <c r="AC112" s="514">
        <f>VLOOKUP($O112,Parameter!$O$11:$P$22,2,0)*VLOOKUP($O112,Parameter!$O$11:$T$22,6,0)*X112</f>
        <v>0</v>
      </c>
      <c r="AD112" s="514">
        <f>VLOOKUP($O112,Parameter!$O$11:$P$22,2,0)*VLOOKUP($O112,Parameter!$O$11:$T$22,6,0)^2*Y112</f>
        <v>0</v>
      </c>
      <c r="AE112" s="514">
        <f>VLOOKUP($O112,Parameter!$O$11:$P$22,2,0)*VLOOKUP($O112,Parameter!$O$11:$T$22,6,0)^3*Z112</f>
        <v>0</v>
      </c>
      <c r="AF112" s="514">
        <f>VLOOKUP($O112,Parameter!$O$11:$P$22,2,0)*VLOOKUP($O112,Parameter!$O$11:$T$22,6,0)^4*AA112</f>
        <v>0</v>
      </c>
    </row>
    <row r="113" spans="1:32">
      <c r="A113" s="14">
        <f t="shared" si="14"/>
        <v>112</v>
      </c>
      <c r="B113" s="14" t="s">
        <v>558</v>
      </c>
      <c r="C113" s="14" t="s">
        <v>518</v>
      </c>
      <c r="D113" s="14" t="s">
        <v>517</v>
      </c>
      <c r="E113" s="681" t="s">
        <v>516</v>
      </c>
      <c r="F113" s="372">
        <f>F112</f>
        <v>19.906765642775888</v>
      </c>
      <c r="G113" s="14" t="s">
        <v>526</v>
      </c>
      <c r="H113" s="373" t="s">
        <v>507</v>
      </c>
      <c r="I113" s="381">
        <f>IFERROR(VLOOKUP(H113,Parameter!$F$44:$H$92,3,0),"")</f>
        <v>160</v>
      </c>
      <c r="J113" s="376" t="s">
        <v>639</v>
      </c>
      <c r="K113" s="367">
        <f>IFERROR(INDEX(Parameter!$D$122:$M$122,1,MATCH(Process!$J113,Parameter!$D$121:$M$121,0)),"")</f>
        <v>0.5</v>
      </c>
      <c r="L113" s="372">
        <f t="shared" si="16"/>
        <v>320</v>
      </c>
      <c r="M113" s="243"/>
      <c r="N113" s="382">
        <f t="shared" si="17"/>
        <v>320</v>
      </c>
      <c r="O113" s="373" t="s">
        <v>641</v>
      </c>
      <c r="P113" s="371">
        <f>N113*F113/3600/Parameter!$P$6/Parameter!$P$7</f>
        <v>0.26021915872909662</v>
      </c>
      <c r="Q113" s="14"/>
      <c r="R113" s="14"/>
      <c r="S113" s="486"/>
      <c r="T113" s="14"/>
      <c r="U113" s="14"/>
      <c r="V113" s="14"/>
      <c r="W113" s="14"/>
      <c r="X113" s="459">
        <f>P113*Parameter!W$8</f>
        <v>0.25241258396722371</v>
      </c>
      <c r="Y113" s="459">
        <f>X113*Parameter!X$8</f>
        <v>0.23274510024966558</v>
      </c>
      <c r="Z113" s="459">
        <f>Y113*Parameter!Y$8</f>
        <v>0.22104836955426446</v>
      </c>
      <c r="AA113" s="459">
        <f>Z113*Parameter!Z$8</f>
        <v>0.21623764830748116</v>
      </c>
      <c r="AB113" s="514">
        <f>VLOOKUP(O113,Parameter!$O$11:$P$22,2,0)*Process!P113</f>
        <v>26244.371519579294</v>
      </c>
      <c r="AC113" s="514">
        <f>VLOOKUP($O113,Parameter!$O$11:$P$22,2,0)*VLOOKUP($O113,Parameter!$O$11:$T$22,6,0)*X113</f>
        <v>27239.03320017135</v>
      </c>
      <c r="AD113" s="514">
        <f>VLOOKUP($O113,Parameter!$O$11:$P$22,2,0)*VLOOKUP($O113,Parameter!$O$11:$T$22,6,0)^2*Y113</f>
        <v>26874.785766070025</v>
      </c>
      <c r="AE113" s="514">
        <f>VLOOKUP($O113,Parameter!$O$11:$P$22,2,0)*VLOOKUP($O113,Parameter!$O$11:$T$22,6,0)^3*Z113</f>
        <v>27310.871417662689</v>
      </c>
      <c r="AF113" s="514">
        <f>VLOOKUP($O113,Parameter!$O$11:$P$22,2,0)*VLOOKUP($O113,Parameter!$O$11:$T$22,6,0)^4*AA113</f>
        <v>28586.654241903288</v>
      </c>
    </row>
    <row r="114" spans="1:32">
      <c r="A114" s="14">
        <f t="shared" si="14"/>
        <v>113</v>
      </c>
      <c r="B114" s="14" t="s">
        <v>558</v>
      </c>
      <c r="C114" s="14" t="s">
        <v>518</v>
      </c>
      <c r="D114" s="14" t="s">
        <v>517</v>
      </c>
      <c r="E114" s="681" t="s">
        <v>511</v>
      </c>
      <c r="F114" s="372">
        <f>F113</f>
        <v>19.906765642775888</v>
      </c>
      <c r="G114" s="14" t="s">
        <v>526</v>
      </c>
      <c r="H114" s="373" t="s">
        <v>496</v>
      </c>
      <c r="I114" s="381">
        <f>IFERROR(VLOOKUP(H114,Parameter!$F$44:$H$92,3,0),"")</f>
        <v>30</v>
      </c>
      <c r="J114" s="376" t="s">
        <v>639</v>
      </c>
      <c r="K114" s="367">
        <f>IFERROR(INDEX(Parameter!$D$122:$M$122,1,MATCH(Process!$J114,Parameter!$D$121:$M$121,0)),"")</f>
        <v>0.5</v>
      </c>
      <c r="L114" s="372">
        <f t="shared" si="16"/>
        <v>60</v>
      </c>
      <c r="M114" s="243"/>
      <c r="N114" s="382">
        <f t="shared" si="17"/>
        <v>60</v>
      </c>
      <c r="O114" s="373" t="s">
        <v>641</v>
      </c>
      <c r="P114" s="371">
        <f>N114*F114/3600/Parameter!$P$6/Parameter!$P$7</f>
        <v>4.879109226170561E-2</v>
      </c>
      <c r="Q114" s="14"/>
      <c r="R114" s="488"/>
      <c r="S114" s="486"/>
      <c r="T114" s="14"/>
      <c r="U114" s="14"/>
      <c r="V114" s="14"/>
      <c r="W114" s="14"/>
      <c r="X114" s="459">
        <f>P114*Parameter!W$8</f>
        <v>4.7327359493854436E-2</v>
      </c>
      <c r="Y114" s="459">
        <f>X114*Parameter!X$8</f>
        <v>4.3639706296812283E-2</v>
      </c>
      <c r="Z114" s="459">
        <f>Y114*Parameter!Y$8</f>
        <v>4.1446569291424575E-2</v>
      </c>
      <c r="AA114" s="459">
        <f>Z114*Parameter!Z$8</f>
        <v>4.054455905765271E-2</v>
      </c>
      <c r="AB114" s="514">
        <f>VLOOKUP(O114,Parameter!$O$11:$P$22,2,0)*Process!P114</f>
        <v>4920.8196599211169</v>
      </c>
      <c r="AC114" s="514">
        <f>VLOOKUP($O114,Parameter!$O$11:$P$22,2,0)*VLOOKUP($O114,Parameter!$O$11:$T$22,6,0)*X114</f>
        <v>5107.3187250321271</v>
      </c>
      <c r="AD114" s="514">
        <f>VLOOKUP($O114,Parameter!$O$11:$P$22,2,0)*VLOOKUP($O114,Parameter!$O$11:$T$22,6,0)^2*Y114</f>
        <v>5039.0223311381278</v>
      </c>
      <c r="AE114" s="514">
        <f>VLOOKUP($O114,Parameter!$O$11:$P$22,2,0)*VLOOKUP($O114,Parameter!$O$11:$T$22,6,0)^3*Z114</f>
        <v>5120.7883908117528</v>
      </c>
      <c r="AF114" s="514">
        <f>VLOOKUP($O114,Parameter!$O$11:$P$22,2,0)*VLOOKUP($O114,Parameter!$O$11:$T$22,6,0)^4*AA114</f>
        <v>5359.9976703568655</v>
      </c>
    </row>
    <row r="115" spans="1:32">
      <c r="A115" s="14">
        <f t="shared" si="14"/>
        <v>114</v>
      </c>
      <c r="B115" s="14" t="s">
        <v>558</v>
      </c>
      <c r="C115" s="14" t="s">
        <v>518</v>
      </c>
      <c r="D115" s="14" t="s">
        <v>517</v>
      </c>
      <c r="E115" s="681" t="s">
        <v>512</v>
      </c>
      <c r="F115" s="372">
        <f>Parameter!R87</f>
        <v>47.77623754266213</v>
      </c>
      <c r="G115" s="14" t="s">
        <v>228</v>
      </c>
      <c r="H115" s="373" t="s">
        <v>497</v>
      </c>
      <c r="I115" s="381">
        <f>IFERROR(VLOOKUP(H115,Parameter!$F$44:$H$92,3,0),"")</f>
        <v>30</v>
      </c>
      <c r="J115" s="376" t="s">
        <v>639</v>
      </c>
      <c r="K115" s="367">
        <f>IFERROR(INDEX(Parameter!$D$122:$M$122,1,MATCH(Process!$J115,Parameter!$D$121:$M$121,0)),"")</f>
        <v>0.5</v>
      </c>
      <c r="L115" s="372">
        <f t="shared" si="16"/>
        <v>60</v>
      </c>
      <c r="M115" s="243"/>
      <c r="N115" s="382">
        <f t="shared" si="17"/>
        <v>60</v>
      </c>
      <c r="O115" s="373" t="s">
        <v>641</v>
      </c>
      <c r="P115" s="371">
        <f>N115*F115/3600/Parameter!$P$6/Parameter!$P$7</f>
        <v>0.11709862142809346</v>
      </c>
      <c r="Q115" s="14"/>
      <c r="R115" s="488"/>
      <c r="S115" s="486"/>
      <c r="T115" s="14"/>
      <c r="U115" s="14"/>
      <c r="V115" s="14"/>
      <c r="W115" s="14"/>
      <c r="X115" s="459">
        <f>P115*Parameter!W$8</f>
        <v>0.11358566278525065</v>
      </c>
      <c r="Y115" s="459">
        <f>X115*Parameter!X$8</f>
        <v>0.10473529511234948</v>
      </c>
      <c r="Z115" s="459">
        <f>Y115*Parameter!Y$8</f>
        <v>9.9471766299418979E-2</v>
      </c>
      <c r="AA115" s="459">
        <f>Z115*Parameter!Z$8</f>
        <v>9.7306941738366501E-2</v>
      </c>
      <c r="AB115" s="514">
        <f>VLOOKUP(O115,Parameter!$O$11:$P$22,2,0)*Process!P115</f>
        <v>11809.967183810681</v>
      </c>
      <c r="AC115" s="514">
        <f>VLOOKUP($O115,Parameter!$O$11:$P$22,2,0)*VLOOKUP($O115,Parameter!$O$11:$T$22,6,0)*X115</f>
        <v>12257.564940077105</v>
      </c>
      <c r="AD115" s="514">
        <f>VLOOKUP($O115,Parameter!$O$11:$P$22,2,0)*VLOOKUP($O115,Parameter!$O$11:$T$22,6,0)^2*Y115</f>
        <v>12093.653594731508</v>
      </c>
      <c r="AE115" s="514">
        <f>VLOOKUP($O115,Parameter!$O$11:$P$22,2,0)*VLOOKUP($O115,Parameter!$O$11:$T$22,6,0)^3*Z115</f>
        <v>12289.892137948205</v>
      </c>
      <c r="AF115" s="514">
        <f>VLOOKUP($O115,Parameter!$O$11:$P$22,2,0)*VLOOKUP($O115,Parameter!$O$11:$T$22,6,0)^4*AA115</f>
        <v>12863.994408856477</v>
      </c>
    </row>
    <row r="116" spans="1:32">
      <c r="A116" s="14">
        <f t="shared" si="14"/>
        <v>115</v>
      </c>
      <c r="B116" s="14" t="s">
        <v>558</v>
      </c>
      <c r="C116" s="14" t="s">
        <v>518</v>
      </c>
      <c r="D116" s="14" t="s">
        <v>517</v>
      </c>
      <c r="E116" s="14" t="s">
        <v>102</v>
      </c>
      <c r="F116" s="372">
        <f>F115</f>
        <v>47.77623754266213</v>
      </c>
      <c r="G116" s="14" t="s">
        <v>228</v>
      </c>
      <c r="H116" s="373"/>
      <c r="I116" s="381" t="str">
        <f>IFERROR(VLOOKUP(H116,Parameter!$F$44:$H$92,3,0),"")</f>
        <v/>
      </c>
      <c r="J116" s="376" t="s">
        <v>455</v>
      </c>
      <c r="K116" s="367">
        <f>IFERROR(INDEX(Parameter!$D$122:$M$122,1,MATCH(Process!$J116,Parameter!$D$121:$M$121,0)),"")</f>
        <v>1.2</v>
      </c>
      <c r="L116" s="372">
        <f t="shared" si="16"/>
        <v>0</v>
      </c>
      <c r="M116" s="243">
        <v>15</v>
      </c>
      <c r="N116" s="382">
        <f t="shared" si="17"/>
        <v>15</v>
      </c>
      <c r="O116" s="373" t="s">
        <v>641</v>
      </c>
      <c r="P116" s="371">
        <f>N116*F116/3600/Parameter!$P$6/Parameter!$P$7</f>
        <v>2.9274655357023366E-2</v>
      </c>
      <c r="Q116" s="14"/>
      <c r="R116" s="14"/>
      <c r="S116" s="486"/>
      <c r="T116" s="14"/>
      <c r="U116" s="14"/>
      <c r="V116" s="14"/>
      <c r="W116" s="14"/>
      <c r="X116" s="459">
        <f>P116*Parameter!W$8</f>
        <v>2.8396415696312662E-2</v>
      </c>
      <c r="Y116" s="459">
        <f>X116*Parameter!X$8</f>
        <v>2.6183823778087371E-2</v>
      </c>
      <c r="Z116" s="459">
        <f>Y116*Parameter!Y$8</f>
        <v>2.4867941574854745E-2</v>
      </c>
      <c r="AA116" s="459">
        <f>Z116*Parameter!Z$8</f>
        <v>2.4326735434591625E-2</v>
      </c>
      <c r="AB116" s="514">
        <f>VLOOKUP(O116,Parameter!$O$11:$P$22,2,0)*Process!P116</f>
        <v>2952.4917959526701</v>
      </c>
      <c r="AC116" s="514">
        <f>VLOOKUP($O116,Parameter!$O$11:$P$22,2,0)*VLOOKUP($O116,Parameter!$O$11:$T$22,6,0)*X116</f>
        <v>3064.3912350192763</v>
      </c>
      <c r="AD116" s="514">
        <f>VLOOKUP($O116,Parameter!$O$11:$P$22,2,0)*VLOOKUP($O116,Parameter!$O$11:$T$22,6,0)^2*Y116</f>
        <v>3023.413398682877</v>
      </c>
      <c r="AE116" s="514">
        <f>VLOOKUP($O116,Parameter!$O$11:$P$22,2,0)*VLOOKUP($O116,Parameter!$O$11:$T$22,6,0)^3*Z116</f>
        <v>3072.4730344870513</v>
      </c>
      <c r="AF116" s="514">
        <f>VLOOKUP($O116,Parameter!$O$11:$P$22,2,0)*VLOOKUP($O116,Parameter!$O$11:$T$22,6,0)^4*AA116</f>
        <v>3215.9986022141193</v>
      </c>
    </row>
    <row r="117" spans="1:32">
      <c r="A117" s="14">
        <f t="shared" si="14"/>
        <v>116</v>
      </c>
      <c r="B117" s="14" t="s">
        <v>558</v>
      </c>
      <c r="C117" s="14" t="s">
        <v>518</v>
      </c>
      <c r="D117" s="14" t="s">
        <v>517</v>
      </c>
      <c r="E117" s="239" t="s">
        <v>106</v>
      </c>
      <c r="F117" s="372">
        <f>F115</f>
        <v>47.77623754266213</v>
      </c>
      <c r="G117" s="14" t="s">
        <v>228</v>
      </c>
      <c r="H117" s="373"/>
      <c r="I117" s="381" t="str">
        <f>IFERROR(VLOOKUP(H117,Parameter!$F$44:$H$92,3,0),"")</f>
        <v/>
      </c>
      <c r="J117" s="376" t="s">
        <v>455</v>
      </c>
      <c r="K117" s="367">
        <f>IFERROR(INDEX(Parameter!$D$122:$M$122,1,MATCH(Process!$J117,Parameter!$D$121:$M$121,0)),"")</f>
        <v>1.2</v>
      </c>
      <c r="L117" s="372">
        <f t="shared" si="16"/>
        <v>0</v>
      </c>
      <c r="M117" s="243">
        <v>15</v>
      </c>
      <c r="N117" s="382">
        <f t="shared" si="17"/>
        <v>15</v>
      </c>
      <c r="O117" s="373" t="s">
        <v>641</v>
      </c>
      <c r="P117" s="371">
        <f>N117*F117/3600/Parameter!$P$6/Parameter!$P$7</f>
        <v>2.9274655357023366E-2</v>
      </c>
      <c r="Q117" s="14"/>
      <c r="R117" s="14"/>
      <c r="S117" s="486"/>
      <c r="T117" s="14"/>
      <c r="U117" s="14"/>
      <c r="V117" s="14"/>
      <c r="W117" s="14"/>
      <c r="X117" s="459">
        <f>P117*Parameter!W$8</f>
        <v>2.8396415696312662E-2</v>
      </c>
      <c r="Y117" s="459">
        <f>X117*Parameter!X$8</f>
        <v>2.6183823778087371E-2</v>
      </c>
      <c r="Z117" s="459">
        <f>Y117*Parameter!Y$8</f>
        <v>2.4867941574854745E-2</v>
      </c>
      <c r="AA117" s="459">
        <f>Z117*Parameter!Z$8</f>
        <v>2.4326735434591625E-2</v>
      </c>
      <c r="AB117" s="514">
        <f>VLOOKUP(O117,Parameter!$O$11:$P$22,2,0)*Process!P117</f>
        <v>2952.4917959526701</v>
      </c>
      <c r="AC117" s="514">
        <f>VLOOKUP($O117,Parameter!$O$11:$P$22,2,0)*VLOOKUP($O117,Parameter!$O$11:$T$22,6,0)*X117</f>
        <v>3064.3912350192763</v>
      </c>
      <c r="AD117" s="514">
        <f>VLOOKUP($O117,Parameter!$O$11:$P$22,2,0)*VLOOKUP($O117,Parameter!$O$11:$T$22,6,0)^2*Y117</f>
        <v>3023.413398682877</v>
      </c>
      <c r="AE117" s="514">
        <f>VLOOKUP($O117,Parameter!$O$11:$P$22,2,0)*VLOOKUP($O117,Parameter!$O$11:$T$22,6,0)^3*Z117</f>
        <v>3072.4730344870513</v>
      </c>
      <c r="AF117" s="514">
        <f>VLOOKUP($O117,Parameter!$O$11:$P$22,2,0)*VLOOKUP($O117,Parameter!$O$11:$T$22,6,0)^4*AA117</f>
        <v>3215.9986022141193</v>
      </c>
    </row>
    <row r="118" spans="1:32">
      <c r="A118" s="14">
        <f t="shared" si="14"/>
        <v>117</v>
      </c>
      <c r="B118" s="14" t="s">
        <v>558</v>
      </c>
      <c r="C118" s="14" t="s">
        <v>518</v>
      </c>
      <c r="D118" s="14" t="s">
        <v>517</v>
      </c>
      <c r="E118" s="14" t="s">
        <v>73</v>
      </c>
      <c r="F118" s="372">
        <f>F115</f>
        <v>47.77623754266213</v>
      </c>
      <c r="G118" s="14" t="s">
        <v>228</v>
      </c>
      <c r="H118" s="373"/>
      <c r="I118" s="381" t="str">
        <f>IFERROR(VLOOKUP(H118,Parameter!$F$44:$H$92,3,0),"")</f>
        <v/>
      </c>
      <c r="J118" s="376" t="s">
        <v>455</v>
      </c>
      <c r="K118" s="367">
        <f>IFERROR(INDEX(Parameter!$D$122:$M$122,1,MATCH(Process!$J118,Parameter!$D$121:$M$121,0)),"")</f>
        <v>1.2</v>
      </c>
      <c r="L118" s="372">
        <f t="shared" si="16"/>
        <v>0</v>
      </c>
      <c r="M118" s="243">
        <v>5</v>
      </c>
      <c r="N118" s="382">
        <f t="shared" si="17"/>
        <v>5</v>
      </c>
      <c r="O118" s="373" t="s">
        <v>641</v>
      </c>
      <c r="P118" s="371">
        <f>N118*F118/3600/Parameter!$P$6/Parameter!$P$7</f>
        <v>9.758218452341122E-3</v>
      </c>
      <c r="Q118" s="14"/>
      <c r="R118" s="14"/>
      <c r="S118" s="486"/>
      <c r="T118" s="14"/>
      <c r="U118" s="14"/>
      <c r="V118" s="14"/>
      <c r="W118" s="14"/>
      <c r="X118" s="459">
        <f>P118*Parameter!W$8</f>
        <v>9.4654718987708872E-3</v>
      </c>
      <c r="Y118" s="459">
        <f>X118*Parameter!X$8</f>
        <v>8.7279412593624563E-3</v>
      </c>
      <c r="Z118" s="459">
        <f>Y118*Parameter!Y$8</f>
        <v>8.2893138582849149E-3</v>
      </c>
      <c r="AA118" s="459">
        <f>Z118*Parameter!Z$8</f>
        <v>8.1089118115305406E-3</v>
      </c>
      <c r="AB118" s="514">
        <f>VLOOKUP(O118,Parameter!$O$11:$P$22,2,0)*Process!P118</f>
        <v>984.16393198422338</v>
      </c>
      <c r="AC118" s="514">
        <f>VLOOKUP($O118,Parameter!$O$11:$P$22,2,0)*VLOOKUP($O118,Parameter!$O$11:$T$22,6,0)*X118</f>
        <v>1021.4637450064254</v>
      </c>
      <c r="AD118" s="514">
        <f>VLOOKUP($O118,Parameter!$O$11:$P$22,2,0)*VLOOKUP($O118,Parameter!$O$11:$T$22,6,0)^2*Y118</f>
        <v>1007.8044662276255</v>
      </c>
      <c r="AE118" s="514">
        <f>VLOOKUP($O118,Parameter!$O$11:$P$22,2,0)*VLOOKUP($O118,Parameter!$O$11:$T$22,6,0)^3*Z118</f>
        <v>1024.1576781623505</v>
      </c>
      <c r="AF118" s="514">
        <f>VLOOKUP($O118,Parameter!$O$11:$P$22,2,0)*VLOOKUP($O118,Parameter!$O$11:$T$22,6,0)^4*AA118</f>
        <v>1071.9995340713729</v>
      </c>
    </row>
    <row r="119" spans="1:32">
      <c r="A119" s="14">
        <f t="shared" si="14"/>
        <v>118</v>
      </c>
      <c r="B119" s="14" t="s">
        <v>558</v>
      </c>
      <c r="C119" s="14" t="s">
        <v>518</v>
      </c>
      <c r="D119" s="14" t="s">
        <v>517</v>
      </c>
      <c r="E119" s="14" t="s">
        <v>107</v>
      </c>
      <c r="F119" s="372">
        <f>F113</f>
        <v>19.906765642775888</v>
      </c>
      <c r="G119" s="14" t="s">
        <v>526</v>
      </c>
      <c r="H119" s="373" t="s">
        <v>507</v>
      </c>
      <c r="I119" s="381">
        <f>IFERROR(VLOOKUP(H119,Parameter!$F$44:$H$92,3,0),"")</f>
        <v>160</v>
      </c>
      <c r="J119" s="376" t="s">
        <v>639</v>
      </c>
      <c r="K119" s="367">
        <f>IFERROR(INDEX(Parameter!$D$122:$M$122,1,MATCH(Process!$J119,Parameter!$D$121:$M$121,0)),"")</f>
        <v>0.5</v>
      </c>
      <c r="L119" s="372">
        <f t="shared" si="16"/>
        <v>320</v>
      </c>
      <c r="M119" s="243"/>
      <c r="N119" s="382">
        <f t="shared" si="17"/>
        <v>320</v>
      </c>
      <c r="O119" s="373" t="s">
        <v>641</v>
      </c>
      <c r="P119" s="371">
        <f>N119*F119/3600/Parameter!$P$6/Parameter!$P$7</f>
        <v>0.26021915872909662</v>
      </c>
      <c r="Q119" s="14"/>
      <c r="R119" s="14"/>
      <c r="S119" s="486"/>
      <c r="T119" s="14"/>
      <c r="U119" s="14"/>
      <c r="V119" s="14"/>
      <c r="W119" s="14"/>
      <c r="X119" s="459">
        <f>P119*Parameter!W$8</f>
        <v>0.25241258396722371</v>
      </c>
      <c r="Y119" s="459">
        <f>X119*Parameter!X$8</f>
        <v>0.23274510024966558</v>
      </c>
      <c r="Z119" s="459">
        <f>Y119*Parameter!Y$8</f>
        <v>0.22104836955426446</v>
      </c>
      <c r="AA119" s="459">
        <f>Z119*Parameter!Z$8</f>
        <v>0.21623764830748116</v>
      </c>
      <c r="AB119" s="514">
        <f>VLOOKUP(O119,Parameter!$O$11:$P$22,2,0)*Process!P119</f>
        <v>26244.371519579294</v>
      </c>
      <c r="AC119" s="514">
        <f>VLOOKUP($O119,Parameter!$O$11:$P$22,2,0)*VLOOKUP($O119,Parameter!$O$11:$T$22,6,0)*X119</f>
        <v>27239.03320017135</v>
      </c>
      <c r="AD119" s="514">
        <f>VLOOKUP($O119,Parameter!$O$11:$P$22,2,0)*VLOOKUP($O119,Parameter!$O$11:$T$22,6,0)^2*Y119</f>
        <v>26874.785766070025</v>
      </c>
      <c r="AE119" s="514">
        <f>VLOOKUP($O119,Parameter!$O$11:$P$22,2,0)*VLOOKUP($O119,Parameter!$O$11:$T$22,6,0)^3*Z119</f>
        <v>27310.871417662689</v>
      </c>
      <c r="AF119" s="514">
        <f>VLOOKUP($O119,Parameter!$O$11:$P$22,2,0)*VLOOKUP($O119,Parameter!$O$11:$T$22,6,0)^4*AA119</f>
        <v>28586.654241903288</v>
      </c>
    </row>
    <row r="120" spans="1:32">
      <c r="A120" s="14">
        <f t="shared" si="14"/>
        <v>119</v>
      </c>
      <c r="B120" s="14" t="s">
        <v>972</v>
      </c>
      <c r="C120" s="14"/>
      <c r="D120" s="14"/>
      <c r="E120" s="14"/>
      <c r="F120" s="372"/>
      <c r="G120" s="14"/>
      <c r="H120" s="373"/>
      <c r="I120" s="381"/>
      <c r="J120" s="376" t="s">
        <v>455</v>
      </c>
      <c r="K120" s="367"/>
      <c r="L120" s="372"/>
      <c r="M120" s="243"/>
      <c r="N120" s="382"/>
      <c r="O120" s="373"/>
      <c r="P120" s="371"/>
      <c r="Q120" s="14"/>
      <c r="R120" s="14"/>
      <c r="S120" s="486"/>
      <c r="T120" s="14"/>
      <c r="U120" s="14"/>
      <c r="V120" s="14"/>
      <c r="W120" s="14"/>
      <c r="X120" s="459"/>
      <c r="Y120" s="459"/>
      <c r="Z120" s="459"/>
      <c r="AA120" s="459"/>
      <c r="AB120" s="514"/>
      <c r="AC120" s="514"/>
      <c r="AD120" s="514"/>
      <c r="AE120" s="514"/>
      <c r="AF120" s="514"/>
    </row>
    <row r="121" spans="1:32" ht="12.4" customHeight="1">
      <c r="A121" s="14">
        <f t="shared" si="14"/>
        <v>120</v>
      </c>
      <c r="B121" s="14" t="s">
        <v>521</v>
      </c>
      <c r="C121" s="14" t="s">
        <v>519</v>
      </c>
      <c r="D121" s="14" t="s">
        <v>520</v>
      </c>
      <c r="E121" s="14" t="s">
        <v>252</v>
      </c>
      <c r="F121" s="372">
        <f>F122</f>
        <v>9.829351535836178</v>
      </c>
      <c r="G121" s="14" t="s">
        <v>526</v>
      </c>
      <c r="H121" s="373" t="s">
        <v>508</v>
      </c>
      <c r="I121" s="381">
        <f>IFERROR(VLOOKUP(H121,Parameter!$F$44:$H$92,3,0),"")</f>
        <v>30</v>
      </c>
      <c r="J121" s="376" t="s">
        <v>38</v>
      </c>
      <c r="K121" s="367">
        <f>IFERROR(INDEX(Parameter!$D$122:$M$122,1,MATCH(Process!$J121,Parameter!$D$121:$M$121,0)),"")</f>
        <v>0.42</v>
      </c>
      <c r="L121" s="372">
        <f t="shared" si="16"/>
        <v>71.428571428571431</v>
      </c>
      <c r="M121" s="243"/>
      <c r="N121" s="382">
        <f t="shared" si="17"/>
        <v>71.428571428571431</v>
      </c>
      <c r="O121" s="373" t="s">
        <v>648</v>
      </c>
      <c r="P121" s="371">
        <f>N121*F121/3600/Parameter!$P$6/Parameter!$P$7</f>
        <v>2.8680414145180258E-2</v>
      </c>
      <c r="Q121" s="14"/>
      <c r="R121" s="14"/>
      <c r="S121" s="486"/>
      <c r="T121" s="14"/>
      <c r="U121" s="14"/>
      <c r="V121" s="14"/>
      <c r="W121" s="14"/>
      <c r="X121" s="459">
        <f>P121*Parameter!W$8</f>
        <v>2.7820001720824845E-2</v>
      </c>
      <c r="Y121" s="459">
        <f>X121*Parameter!X$8</f>
        <v>2.5652322826741614E-2</v>
      </c>
      <c r="Z121" s="459">
        <f>Y121*Parameter!Y$8</f>
        <v>2.4363151490829384E-2</v>
      </c>
      <c r="AA121" s="459">
        <f>Z121*Parameter!Z$8</f>
        <v>2.3832931201252624E-2</v>
      </c>
      <c r="AB121" s="514">
        <f>VLOOKUP(O121,Parameter!$O$11:$P$22,2,0)*Process!P121</f>
        <v>2892.5596710006739</v>
      </c>
      <c r="AC121" s="514">
        <f>VLOOKUP($O121,Parameter!$O$11:$P$22,2,0)*VLOOKUP($O121,Parameter!$O$11:$T$22,6,0)*X121</f>
        <v>3002.187682531599</v>
      </c>
      <c r="AD121" s="514">
        <f>VLOOKUP($O121,Parameter!$O$11:$P$22,2,0)*VLOOKUP($O121,Parameter!$O$11:$T$22,6,0)^2*Y121</f>
        <v>2962.0416482719888</v>
      </c>
      <c r="AE121" s="514">
        <f>VLOOKUP($O121,Parameter!$O$11:$P$22,2,0)*VLOOKUP($O121,Parameter!$O$11:$T$22,6,0)^3*Z121</f>
        <v>3010.1054309370807</v>
      </c>
      <c r="AF121" s="514">
        <f>VLOOKUP($O121,Parameter!$O$11:$P$22,2,0)*VLOOKUP($O121,Parameter!$O$11:$T$22,6,0)^4*AA121</f>
        <v>3150.7175977630463</v>
      </c>
    </row>
    <row r="122" spans="1:32">
      <c r="A122" s="14">
        <f t="shared" si="14"/>
        <v>121</v>
      </c>
      <c r="B122" s="14" t="str">
        <f>D122</f>
        <v>Key cutting handling</v>
      </c>
      <c r="C122" s="14" t="s">
        <v>519</v>
      </c>
      <c r="D122" s="14" t="s">
        <v>521</v>
      </c>
      <c r="E122" s="14" t="s">
        <v>524</v>
      </c>
      <c r="F122" s="372">
        <f>Volume!B87/Parameter!P4</f>
        <v>9.829351535836178</v>
      </c>
      <c r="G122" s="14" t="s">
        <v>525</v>
      </c>
      <c r="H122" s="373" t="s">
        <v>513</v>
      </c>
      <c r="I122" s="381">
        <f>IFERROR(VLOOKUP(H122,Parameter!$F$44:$H$92,3,0),"")</f>
        <v>0</v>
      </c>
      <c r="J122" s="376" t="s">
        <v>455</v>
      </c>
      <c r="K122" s="367">
        <f>IFERROR(INDEX(Parameter!$D$122:$M$122,1,MATCH(Process!$J122,Parameter!$D$121:$M$121,0)),"")</f>
        <v>1.2</v>
      </c>
      <c r="L122" s="372">
        <f t="shared" si="16"/>
        <v>0</v>
      </c>
      <c r="M122" s="243">
        <f>3600*8/20</f>
        <v>1440</v>
      </c>
      <c r="N122" s="382">
        <f t="shared" si="17"/>
        <v>1440</v>
      </c>
      <c r="O122" s="373" t="s">
        <v>648</v>
      </c>
      <c r="P122" s="371">
        <f>N122*F122/3600/Parameter!$P$6/Parameter!$P$7</f>
        <v>0.57819714916683396</v>
      </c>
      <c r="Q122" s="14"/>
      <c r="R122" s="14"/>
      <c r="S122" s="486"/>
      <c r="T122" s="14"/>
      <c r="U122" s="14"/>
      <c r="V122" s="14"/>
      <c r="W122" s="14"/>
      <c r="X122" s="459">
        <f>P122*Parameter!W$8</f>
        <v>0.56085123469182885</v>
      </c>
      <c r="Y122" s="459">
        <f>X122*Parameter!X$8</f>
        <v>0.51715082818711089</v>
      </c>
      <c r="Z122" s="459">
        <f>Y122*Parameter!Y$8</f>
        <v>0.4911611340551203</v>
      </c>
      <c r="AA122" s="459">
        <f>Z122*Parameter!Z$8</f>
        <v>0.48047189301725279</v>
      </c>
      <c r="AB122" s="514">
        <f>VLOOKUP(O122,Parameter!$O$11:$P$22,2,0)*Process!P122</f>
        <v>58314.002967373584</v>
      </c>
      <c r="AC122" s="514">
        <f>VLOOKUP($O122,Parameter!$O$11:$P$22,2,0)*VLOOKUP($O122,Parameter!$O$11:$T$22,6,0)*X122</f>
        <v>60524.103679837033</v>
      </c>
      <c r="AD122" s="514">
        <f>VLOOKUP($O122,Parameter!$O$11:$P$22,2,0)*VLOOKUP($O122,Parameter!$O$11:$T$22,6,0)^2*Y122</f>
        <v>59714.759629163287</v>
      </c>
      <c r="AE122" s="514">
        <f>VLOOKUP($O122,Parameter!$O$11:$P$22,2,0)*VLOOKUP($O122,Parameter!$O$11:$T$22,6,0)^3*Z122</f>
        <v>60683.725487691539</v>
      </c>
      <c r="AF122" s="514">
        <f>VLOOKUP($O122,Parameter!$O$11:$P$22,2,0)*VLOOKUP($O122,Parameter!$O$11:$T$22,6,0)^4*AA122</f>
        <v>63518.466770903004</v>
      </c>
    </row>
    <row r="123" spans="1:32" ht="12.4" customHeight="1">
      <c r="A123" s="14">
        <f t="shared" si="14"/>
        <v>122</v>
      </c>
      <c r="B123" s="14" t="s">
        <v>647</v>
      </c>
      <c r="C123" s="14" t="s">
        <v>519</v>
      </c>
      <c r="D123" s="14" t="s">
        <v>520</v>
      </c>
      <c r="E123" s="14" t="s">
        <v>252</v>
      </c>
      <c r="F123" s="655">
        <f>F124</f>
        <v>4.0955631399317405E-2</v>
      </c>
      <c r="G123" s="14" t="s">
        <v>526</v>
      </c>
      <c r="H123" s="373" t="s">
        <v>508</v>
      </c>
      <c r="I123" s="381">
        <f>IFERROR(VLOOKUP(H123,Parameter!$F$44:$H$92,3,0),"")</f>
        <v>30</v>
      </c>
      <c r="J123" s="376" t="s">
        <v>38</v>
      </c>
      <c r="K123" s="367">
        <f>IFERROR(INDEX(Parameter!$D$122:$M$122,1,MATCH(Process!$J123,Parameter!$D$121:$M$121,0)),"")</f>
        <v>0.42</v>
      </c>
      <c r="L123" s="372">
        <f t="shared" ref="L123" si="20">IFERROR(I123/K123,0)</f>
        <v>71.428571428571431</v>
      </c>
      <c r="M123" s="243"/>
      <c r="N123" s="382">
        <f t="shared" ref="N123" si="21">L123+M123</f>
        <v>71.428571428571431</v>
      </c>
      <c r="O123" s="373" t="s">
        <v>648</v>
      </c>
      <c r="P123" s="371">
        <f>N123*F123/3600/Parameter!$P$6/Parameter!$P$7</f>
        <v>1.1950172560491775E-4</v>
      </c>
      <c r="Q123" s="14"/>
      <c r="R123" s="14"/>
      <c r="S123" s="486"/>
      <c r="T123" s="14"/>
      <c r="U123" s="14"/>
      <c r="V123" s="14"/>
      <c r="W123" s="14"/>
      <c r="X123" s="459">
        <f>P123*Parameter!W$8</f>
        <v>1.159166738367702E-4</v>
      </c>
      <c r="Y123" s="459">
        <f>X123*Parameter!X$8</f>
        <v>1.0688467844475674E-4</v>
      </c>
      <c r="Z123" s="459">
        <f>Y123*Parameter!Y$8</f>
        <v>1.0151313121178912E-4</v>
      </c>
      <c r="AA123" s="459">
        <f>Z123*Parameter!Z$8</f>
        <v>9.9303880005219283E-5</v>
      </c>
      <c r="AB123" s="514">
        <f>VLOOKUP(O123,Parameter!$O$11:$P$22,2,0)*Process!P123</f>
        <v>12.052331962502809</v>
      </c>
      <c r="AC123" s="514">
        <f>VLOOKUP($O123,Parameter!$O$11:$P$22,2,0)*VLOOKUP($O123,Parameter!$O$11:$T$22,6,0)*X123</f>
        <v>12.509115343881664</v>
      </c>
      <c r="AD123" s="514">
        <f>VLOOKUP($O123,Parameter!$O$11:$P$22,2,0)*VLOOKUP($O123,Parameter!$O$11:$T$22,6,0)^2*Y123</f>
        <v>12.341840201133289</v>
      </c>
      <c r="AE123" s="514">
        <f>VLOOKUP($O123,Parameter!$O$11:$P$22,2,0)*VLOOKUP($O123,Parameter!$O$11:$T$22,6,0)^3*Z123</f>
        <v>12.542105962237839</v>
      </c>
      <c r="AF123" s="514">
        <f>VLOOKUP($O123,Parameter!$O$11:$P$22,2,0)*VLOOKUP($O123,Parameter!$O$11:$T$22,6,0)^4*AA123</f>
        <v>13.127989990679362</v>
      </c>
    </row>
    <row r="124" spans="1:32">
      <c r="A124" s="14">
        <f t="shared" si="14"/>
        <v>123</v>
      </c>
      <c r="B124" s="14" t="s">
        <v>647</v>
      </c>
      <c r="C124" s="14" t="s">
        <v>519</v>
      </c>
      <c r="D124" s="14" t="s">
        <v>523</v>
      </c>
      <c r="E124" s="14" t="s">
        <v>524</v>
      </c>
      <c r="F124" s="655">
        <f>第二轮数据!C60/Parameter!P4</f>
        <v>4.0955631399317405E-2</v>
      </c>
      <c r="G124" s="14" t="s">
        <v>525</v>
      </c>
      <c r="H124" s="373" t="s">
        <v>513</v>
      </c>
      <c r="I124" s="381">
        <f>IFERROR(VLOOKUP(H124,Parameter!$F$44:$H$92,3,0),"")</f>
        <v>0</v>
      </c>
      <c r="J124" s="376" t="s">
        <v>455</v>
      </c>
      <c r="K124" s="367">
        <f>IFERROR(INDEX(Parameter!$D$122:$M$122,1,MATCH(Process!$J124,Parameter!$D$121:$M$121,0)),"")</f>
        <v>1.2</v>
      </c>
      <c r="L124" s="372">
        <f t="shared" si="16"/>
        <v>0</v>
      </c>
      <c r="M124" s="384">
        <f>M122</f>
        <v>1440</v>
      </c>
      <c r="N124" s="382">
        <f t="shared" si="17"/>
        <v>1440</v>
      </c>
      <c r="O124" s="373" t="s">
        <v>648</v>
      </c>
      <c r="P124" s="371">
        <f>N124*F124/3600/Parameter!$P$6/Parameter!$P$7</f>
        <v>2.4091547881951417E-3</v>
      </c>
      <c r="Q124" s="14"/>
      <c r="R124" s="14"/>
      <c r="S124" s="486"/>
      <c r="T124" s="14"/>
      <c r="U124" s="14"/>
      <c r="V124" s="14"/>
      <c r="W124" s="14"/>
      <c r="X124" s="459">
        <f>P124*Parameter!W$8</f>
        <v>2.336880144549287E-3</v>
      </c>
      <c r="Y124" s="459">
        <f>X124*Parameter!X$8</f>
        <v>2.1547951174462955E-3</v>
      </c>
      <c r="Z124" s="459">
        <f>Y124*Parameter!Y$8</f>
        <v>2.0465047252296682E-3</v>
      </c>
      <c r="AA124" s="459">
        <f>Z124*Parameter!Z$8</f>
        <v>2.0019662209052203E-3</v>
      </c>
      <c r="AB124" s="514">
        <f>VLOOKUP(O124,Parameter!$O$11:$P$22,2,0)*Process!P124</f>
        <v>242.9750123640566</v>
      </c>
      <c r="AC124" s="514">
        <f>VLOOKUP($O124,Parameter!$O$11:$P$22,2,0)*VLOOKUP($O124,Parameter!$O$11:$T$22,6,0)*X124</f>
        <v>252.18376533265433</v>
      </c>
      <c r="AD124" s="514">
        <f>VLOOKUP($O124,Parameter!$O$11:$P$22,2,0)*VLOOKUP($O124,Parameter!$O$11:$T$22,6,0)^2*Y124</f>
        <v>248.81149845484703</v>
      </c>
      <c r="AE124" s="514">
        <f>VLOOKUP($O124,Parameter!$O$11:$P$22,2,0)*VLOOKUP($O124,Parameter!$O$11:$T$22,6,0)^3*Z124</f>
        <v>252.8488561987148</v>
      </c>
      <c r="AF124" s="514">
        <f>VLOOKUP($O124,Parameter!$O$11:$P$22,2,0)*VLOOKUP($O124,Parameter!$O$11:$T$22,6,0)^4*AA124</f>
        <v>264.66027821209588</v>
      </c>
    </row>
    <row r="125" spans="1:32">
      <c r="A125" s="14">
        <f t="shared" si="14"/>
        <v>124</v>
      </c>
      <c r="B125" s="14" t="s">
        <v>558</v>
      </c>
      <c r="C125" s="239" t="s">
        <v>253</v>
      </c>
      <c r="D125" s="14" t="s">
        <v>115</v>
      </c>
      <c r="E125" s="14" t="s">
        <v>116</v>
      </c>
      <c r="F125" s="372">
        <f>Parameter!R92</f>
        <v>243.65881146757681</v>
      </c>
      <c r="G125" s="14" t="s">
        <v>228</v>
      </c>
      <c r="H125" s="373"/>
      <c r="I125" s="381" t="str">
        <f>IFERROR(VLOOKUP(H125,Parameter!$F$44:$H$92,3,0),"")</f>
        <v/>
      </c>
      <c r="J125" s="376" t="s">
        <v>455</v>
      </c>
      <c r="K125" s="367">
        <f>IFERROR(INDEX(Parameter!$D$122:$M$122,1,MATCH(Process!$J125,Parameter!$D$121:$M$121,0)),"")</f>
        <v>1.2</v>
      </c>
      <c r="L125" s="372">
        <f t="shared" si="16"/>
        <v>0</v>
      </c>
      <c r="M125" s="243">
        <v>2</v>
      </c>
      <c r="N125" s="382">
        <f t="shared" si="17"/>
        <v>2</v>
      </c>
      <c r="O125" s="373" t="s">
        <v>117</v>
      </c>
      <c r="P125" s="371">
        <f>N125*F125/3600/Parameter!$P$6/Parameter!$P$7</f>
        <v>1.9906765642775884E-2</v>
      </c>
      <c r="Q125" s="500">
        <f>P125</f>
        <v>1.9906765642775884E-2</v>
      </c>
      <c r="R125" s="14"/>
      <c r="S125" s="486"/>
      <c r="T125" s="14"/>
      <c r="U125" s="14"/>
      <c r="V125" s="14"/>
      <c r="W125" s="14"/>
      <c r="X125" s="459">
        <f>P125*Parameter!W$8</f>
        <v>1.9309562673492604E-2</v>
      </c>
      <c r="Y125" s="459">
        <f>X125*Parameter!X$8</f>
        <v>1.7805000169099406E-2</v>
      </c>
      <c r="Z125" s="459">
        <f>Y125*Parameter!Y$8</f>
        <v>1.6910200270901222E-2</v>
      </c>
      <c r="AA125" s="459">
        <f>Z125*Parameter!Z$8</f>
        <v>1.6542180095522298E-2</v>
      </c>
      <c r="AB125" s="514">
        <f>VLOOKUP(O125,Parameter!$O$11:$P$22,2,0)*Process!P125</f>
        <v>1673.0786843731792</v>
      </c>
      <c r="AC125" s="514">
        <f>VLOOKUP($O125,Parameter!$O$11:$P$22,2,0)*VLOOKUP($O125,Parameter!$O$11:$T$22,6,0)*X125</f>
        <v>1736.4883665109223</v>
      </c>
      <c r="AD125" s="514">
        <f>VLOOKUP($O125,Parameter!$O$11:$P$22,2,0)*VLOOKUP($O125,Parameter!$O$11:$T$22,6,0)^2*Y125</f>
        <v>1713.267592586963</v>
      </c>
      <c r="AE125" s="514">
        <f>VLOOKUP($O125,Parameter!$O$11:$P$22,2,0)*VLOOKUP($O125,Parameter!$O$11:$T$22,6,0)^3*Z125</f>
        <v>1741.0680528759954</v>
      </c>
      <c r="AF125" s="514">
        <f>VLOOKUP($O125,Parameter!$O$11:$P$22,2,0)*VLOOKUP($O125,Parameter!$O$11:$T$22,6,0)^4*AA125</f>
        <v>1822.3992079213335</v>
      </c>
    </row>
    <row r="126" spans="1:32">
      <c r="A126" s="14">
        <f t="shared" si="14"/>
        <v>125</v>
      </c>
      <c r="B126" s="14" t="s">
        <v>558</v>
      </c>
      <c r="C126" s="239" t="s">
        <v>253</v>
      </c>
      <c r="D126" s="14" t="s">
        <v>115</v>
      </c>
      <c r="E126" s="14" t="s">
        <v>255</v>
      </c>
      <c r="F126" s="372">
        <f>Parameter!R92/Parameter!R94</f>
        <v>121.82940573378841</v>
      </c>
      <c r="G126" s="14" t="s">
        <v>531</v>
      </c>
      <c r="H126" s="373"/>
      <c r="I126" s="381" t="str">
        <f>IFERROR(VLOOKUP(H126,Parameter!$F$44:$H$92,3,0),"")</f>
        <v/>
      </c>
      <c r="J126" s="376" t="s">
        <v>455</v>
      </c>
      <c r="K126" s="367">
        <f>IFERROR(INDEX(Parameter!$D$122:$M$122,1,MATCH(Process!$J126,Parameter!$D$121:$M$121,0)),"")</f>
        <v>1.2</v>
      </c>
      <c r="L126" s="372">
        <f t="shared" si="16"/>
        <v>0</v>
      </c>
      <c r="M126" s="243">
        <v>15</v>
      </c>
      <c r="N126" s="382">
        <f t="shared" si="17"/>
        <v>15</v>
      </c>
      <c r="O126" s="373" t="s">
        <v>117</v>
      </c>
      <c r="P126" s="371">
        <f>N126*F126/3600/Parameter!$P$6/Parameter!$P$7</f>
        <v>7.4650371160409554E-2</v>
      </c>
      <c r="Q126" s="500">
        <f t="shared" ref="Q126:Q146" si="22">P126</f>
        <v>7.4650371160409554E-2</v>
      </c>
      <c r="R126" s="14"/>
      <c r="S126" s="486"/>
      <c r="T126" s="14"/>
      <c r="U126" s="14"/>
      <c r="V126" s="14"/>
      <c r="W126" s="14"/>
      <c r="X126" s="459">
        <f>P126*Parameter!W$8</f>
        <v>7.2410860025597254E-2</v>
      </c>
      <c r="Y126" s="459">
        <f>X126*Parameter!X$8</f>
        <v>6.676875063412277E-2</v>
      </c>
      <c r="Z126" s="459">
        <f>Y126*Parameter!Y$8</f>
        <v>6.3413251015879579E-2</v>
      </c>
      <c r="AA126" s="459">
        <f>Z126*Parameter!Z$8</f>
        <v>6.2033175358208625E-2</v>
      </c>
      <c r="AB126" s="514">
        <f>VLOOKUP(O126,Parameter!$O$11:$P$22,2,0)*Process!P126</f>
        <v>6274.0450663994206</v>
      </c>
      <c r="AC126" s="514">
        <f>VLOOKUP($O126,Parameter!$O$11:$P$22,2,0)*VLOOKUP($O126,Parameter!$O$11:$T$22,6,0)*X126</f>
        <v>6511.8313744159577</v>
      </c>
      <c r="AD126" s="514">
        <f>VLOOKUP($O126,Parameter!$O$11:$P$22,2,0)*VLOOKUP($O126,Parameter!$O$11:$T$22,6,0)^2*Y126</f>
        <v>6424.7534722011114</v>
      </c>
      <c r="AE126" s="514">
        <f>VLOOKUP($O126,Parameter!$O$11:$P$22,2,0)*VLOOKUP($O126,Parameter!$O$11:$T$22,6,0)^3*Z126</f>
        <v>6529.0051982849818</v>
      </c>
      <c r="AF126" s="514">
        <f>VLOOKUP($O126,Parameter!$O$11:$P$22,2,0)*VLOOKUP($O126,Parameter!$O$11:$T$22,6,0)^4*AA126</f>
        <v>6833.9970297050013</v>
      </c>
    </row>
    <row r="127" spans="1:32">
      <c r="A127" s="14">
        <f t="shared" si="14"/>
        <v>126</v>
      </c>
      <c r="B127" s="14" t="s">
        <v>558</v>
      </c>
      <c r="C127" s="239" t="s">
        <v>253</v>
      </c>
      <c r="D127" s="14" t="s">
        <v>118</v>
      </c>
      <c r="E127" s="14" t="s">
        <v>119</v>
      </c>
      <c r="F127" s="372">
        <f>Parameter!R92*Parameter!R93</f>
        <v>3167.5645490784987</v>
      </c>
      <c r="G127" s="14" t="s">
        <v>525</v>
      </c>
      <c r="H127" s="373"/>
      <c r="I127" s="381" t="str">
        <f>IFERROR(VLOOKUP(H127,Parameter!$F$44:$H$92,3,0),"")</f>
        <v/>
      </c>
      <c r="J127" s="376" t="s">
        <v>455</v>
      </c>
      <c r="K127" s="367">
        <f>IFERROR(INDEX(Parameter!$D$122:$M$122,1,MATCH(Process!$J127,Parameter!$D$121:$M$121,0)),"")</f>
        <v>1.2</v>
      </c>
      <c r="L127" s="372">
        <f t="shared" si="16"/>
        <v>0</v>
      </c>
      <c r="M127" s="243">
        <v>2</v>
      </c>
      <c r="N127" s="382">
        <f t="shared" si="17"/>
        <v>2</v>
      </c>
      <c r="O127" s="373" t="s">
        <v>117</v>
      </c>
      <c r="P127" s="371">
        <f>N127*F127/3600/Parameter!$P$6/Parameter!$P$7</f>
        <v>0.25878795335608651</v>
      </c>
      <c r="Q127" s="500">
        <f t="shared" si="22"/>
        <v>0.25878795335608651</v>
      </c>
      <c r="R127" s="14"/>
      <c r="S127" s="486"/>
      <c r="T127" s="14"/>
      <c r="U127" s="14"/>
      <c r="V127" s="14"/>
      <c r="W127" s="14"/>
      <c r="X127" s="459">
        <f>P127*Parameter!W$8</f>
        <v>0.25102431475540388</v>
      </c>
      <c r="Y127" s="459">
        <f>X127*Parameter!X$8</f>
        <v>0.2314650021982923</v>
      </c>
      <c r="Z127" s="459">
        <f>Y127*Parameter!Y$8</f>
        <v>0.21983260352171588</v>
      </c>
      <c r="AA127" s="459">
        <f>Z127*Parameter!Z$8</f>
        <v>0.2150483412417899</v>
      </c>
      <c r="AB127" s="514">
        <f>VLOOKUP(O127,Parameter!$O$11:$P$22,2,0)*Process!P127</f>
        <v>21750.022896851329</v>
      </c>
      <c r="AC127" s="514">
        <f>VLOOKUP($O127,Parameter!$O$11:$P$22,2,0)*VLOOKUP($O127,Parameter!$O$11:$T$22,6,0)*X127</f>
        <v>22574.348764641993</v>
      </c>
      <c r="AD127" s="514">
        <f>VLOOKUP($O127,Parameter!$O$11:$P$22,2,0)*VLOOKUP($O127,Parameter!$O$11:$T$22,6,0)^2*Y127</f>
        <v>22272.478703630521</v>
      </c>
      <c r="AE127" s="514">
        <f>VLOOKUP($O127,Parameter!$O$11:$P$22,2,0)*VLOOKUP($O127,Parameter!$O$11:$T$22,6,0)^3*Z127</f>
        <v>22633.884687387937</v>
      </c>
      <c r="AF127" s="514">
        <f>VLOOKUP($O127,Parameter!$O$11:$P$22,2,0)*VLOOKUP($O127,Parameter!$O$11:$T$22,6,0)^4*AA127</f>
        <v>23691.189702977335</v>
      </c>
    </row>
    <row r="128" spans="1:32">
      <c r="A128" s="14">
        <f t="shared" si="14"/>
        <v>127</v>
      </c>
      <c r="B128" s="14" t="s">
        <v>558</v>
      </c>
      <c r="C128" s="239" t="s">
        <v>253</v>
      </c>
      <c r="D128" s="14" t="s">
        <v>118</v>
      </c>
      <c r="E128" s="14" t="s">
        <v>120</v>
      </c>
      <c r="F128" s="372">
        <f>F127</f>
        <v>3167.5645490784987</v>
      </c>
      <c r="G128" s="14" t="s">
        <v>525</v>
      </c>
      <c r="H128" s="373"/>
      <c r="I128" s="381" t="str">
        <f>IFERROR(VLOOKUP(H128,Parameter!$F$44:$H$92,3,0),"")</f>
        <v/>
      </c>
      <c r="J128" s="376" t="s">
        <v>455</v>
      </c>
      <c r="K128" s="367">
        <f>IFERROR(INDEX(Parameter!$D$122:$M$122,1,MATCH(Process!$J128,Parameter!$D$121:$M$121,0)),"")</f>
        <v>1.2</v>
      </c>
      <c r="L128" s="372">
        <f t="shared" si="16"/>
        <v>0</v>
      </c>
      <c r="M128" s="243">
        <v>2</v>
      </c>
      <c r="N128" s="382">
        <f t="shared" si="17"/>
        <v>2</v>
      </c>
      <c r="O128" s="373" t="s">
        <v>117</v>
      </c>
      <c r="P128" s="371">
        <f>N128*F128/3600/Parameter!$P$6/Parameter!$P$7</f>
        <v>0.25878795335608651</v>
      </c>
      <c r="Q128" s="500">
        <f t="shared" si="22"/>
        <v>0.25878795335608651</v>
      </c>
      <c r="R128" s="14"/>
      <c r="S128" s="486"/>
      <c r="T128" s="14"/>
      <c r="U128" s="14"/>
      <c r="V128" s="14"/>
      <c r="W128" s="14"/>
      <c r="X128" s="459">
        <f>P128*Parameter!W$8</f>
        <v>0.25102431475540388</v>
      </c>
      <c r="Y128" s="459">
        <f>X128*Parameter!X$8</f>
        <v>0.2314650021982923</v>
      </c>
      <c r="Z128" s="459">
        <f>Y128*Parameter!Y$8</f>
        <v>0.21983260352171588</v>
      </c>
      <c r="AA128" s="459">
        <f>Z128*Parameter!Z$8</f>
        <v>0.2150483412417899</v>
      </c>
      <c r="AB128" s="514">
        <f>VLOOKUP(O128,Parameter!$O$11:$P$22,2,0)*Process!P128</f>
        <v>21750.022896851329</v>
      </c>
      <c r="AC128" s="514">
        <f>VLOOKUP($O128,Parameter!$O$11:$P$22,2,0)*VLOOKUP($O128,Parameter!$O$11:$T$22,6,0)*X128</f>
        <v>22574.348764641993</v>
      </c>
      <c r="AD128" s="514">
        <f>VLOOKUP($O128,Parameter!$O$11:$P$22,2,0)*VLOOKUP($O128,Parameter!$O$11:$T$22,6,0)^2*Y128</f>
        <v>22272.478703630521</v>
      </c>
      <c r="AE128" s="514">
        <f>VLOOKUP($O128,Parameter!$O$11:$P$22,2,0)*VLOOKUP($O128,Parameter!$O$11:$T$22,6,0)^3*Z128</f>
        <v>22633.884687387937</v>
      </c>
      <c r="AF128" s="514">
        <f>VLOOKUP($O128,Parameter!$O$11:$P$22,2,0)*VLOOKUP($O128,Parameter!$O$11:$T$22,6,0)^4*AA128</f>
        <v>23691.189702977335</v>
      </c>
    </row>
    <row r="129" spans="1:32">
      <c r="A129" s="14">
        <f t="shared" si="14"/>
        <v>128</v>
      </c>
      <c r="B129" s="14" t="s">
        <v>558</v>
      </c>
      <c r="C129" s="239" t="s">
        <v>253</v>
      </c>
      <c r="D129" s="14" t="s">
        <v>118</v>
      </c>
      <c r="E129" s="14" t="s">
        <v>121</v>
      </c>
      <c r="F129" s="372">
        <f>F126</f>
        <v>121.82940573378841</v>
      </c>
      <c r="G129" s="14" t="s">
        <v>531</v>
      </c>
      <c r="H129" s="373"/>
      <c r="I129" s="381" t="str">
        <f>IFERROR(VLOOKUP(H129,Parameter!$F$44:$H$92,3,0),"")</f>
        <v/>
      </c>
      <c r="J129" s="376" t="s">
        <v>455</v>
      </c>
      <c r="K129" s="367">
        <f>IFERROR(INDEX(Parameter!$D$122:$M$122,1,MATCH(Process!$J129,Parameter!$D$121:$M$121,0)),"")</f>
        <v>1.2</v>
      </c>
      <c r="L129" s="372">
        <f t="shared" si="16"/>
        <v>0</v>
      </c>
      <c r="M129" s="243">
        <v>10</v>
      </c>
      <c r="N129" s="382">
        <f t="shared" si="17"/>
        <v>10</v>
      </c>
      <c r="O129" s="373" t="s">
        <v>117</v>
      </c>
      <c r="P129" s="371">
        <f>N129*F129/3600/Parameter!$P$6/Parameter!$P$7</f>
        <v>4.9766914106939709E-2</v>
      </c>
      <c r="Q129" s="500">
        <f t="shared" si="22"/>
        <v>4.9766914106939709E-2</v>
      </c>
      <c r="R129" s="14"/>
      <c r="S129" s="486"/>
      <c r="T129" s="14"/>
      <c r="U129" s="14"/>
      <c r="V129" s="14"/>
      <c r="W129" s="14"/>
      <c r="X129" s="459">
        <f>P129*Parameter!W$8</f>
        <v>4.8273906683731514E-2</v>
      </c>
      <c r="Y129" s="459">
        <f>X129*Parameter!X$8</f>
        <v>4.451250042274852E-2</v>
      </c>
      <c r="Z129" s="459">
        <f>Y129*Parameter!Y$8</f>
        <v>4.2275500677253053E-2</v>
      </c>
      <c r="AA129" s="459">
        <f>Z129*Parameter!Z$8</f>
        <v>4.1355450238805748E-2</v>
      </c>
      <c r="AB129" s="514">
        <f>VLOOKUP(O129,Parameter!$O$11:$P$22,2,0)*Process!P129</f>
        <v>4182.696710932948</v>
      </c>
      <c r="AC129" s="514">
        <f>VLOOKUP($O129,Parameter!$O$11:$P$22,2,0)*VLOOKUP($O129,Parameter!$O$11:$T$22,6,0)*X129</f>
        <v>4341.2209162773061</v>
      </c>
      <c r="AD129" s="514">
        <f>VLOOKUP($O129,Parameter!$O$11:$P$22,2,0)*VLOOKUP($O129,Parameter!$O$11:$T$22,6,0)^2*Y129</f>
        <v>4283.1689814674082</v>
      </c>
      <c r="AE129" s="514">
        <f>VLOOKUP($O129,Parameter!$O$11:$P$22,2,0)*VLOOKUP($O129,Parameter!$O$11:$T$22,6,0)^3*Z129</f>
        <v>4352.6701321899882</v>
      </c>
      <c r="AF129" s="514">
        <f>VLOOKUP($O129,Parameter!$O$11:$P$22,2,0)*VLOOKUP($O129,Parameter!$O$11:$T$22,6,0)^4*AA129</f>
        <v>4555.9980198033336</v>
      </c>
    </row>
    <row r="130" spans="1:32">
      <c r="A130" s="14">
        <f t="shared" si="14"/>
        <v>129</v>
      </c>
      <c r="B130" s="14" t="s">
        <v>558</v>
      </c>
      <c r="C130" s="239" t="s">
        <v>253</v>
      </c>
      <c r="D130" s="14" t="s">
        <v>122</v>
      </c>
      <c r="E130" s="14" t="s">
        <v>123</v>
      </c>
      <c r="F130" s="372">
        <f>F129</f>
        <v>121.82940573378841</v>
      </c>
      <c r="G130" s="14" t="s">
        <v>531</v>
      </c>
      <c r="H130" s="373"/>
      <c r="I130" s="381" t="str">
        <f>IFERROR(VLOOKUP(H130,Parameter!$F$44:$H$92,3,0),"")</f>
        <v/>
      </c>
      <c r="J130" s="376" t="s">
        <v>455</v>
      </c>
      <c r="K130" s="367">
        <f>IFERROR(INDEX(Parameter!$D$122:$M$122,1,MATCH(Process!$J130,Parameter!$D$121:$M$121,0)),"")</f>
        <v>1.2</v>
      </c>
      <c r="L130" s="372">
        <f t="shared" si="16"/>
        <v>0</v>
      </c>
      <c r="M130" s="383">
        <v>5</v>
      </c>
      <c r="N130" s="382">
        <f t="shared" si="17"/>
        <v>5</v>
      </c>
      <c r="O130" s="373" t="s">
        <v>117</v>
      </c>
      <c r="P130" s="371">
        <f>N130*F130/3600/Parameter!$P$6/Parameter!$P$7</f>
        <v>2.4883457053469855E-2</v>
      </c>
      <c r="Q130" s="500">
        <f t="shared" si="22"/>
        <v>2.4883457053469855E-2</v>
      </c>
      <c r="R130" s="14"/>
      <c r="S130" s="486"/>
      <c r="T130" s="14"/>
      <c r="U130" s="14"/>
      <c r="V130" s="14"/>
      <c r="W130" s="14"/>
      <c r="X130" s="459">
        <f>P130*Parameter!W$8</f>
        <v>2.4136953341865757E-2</v>
      </c>
      <c r="Y130" s="459">
        <f>X130*Parameter!X$8</f>
        <v>2.225625021137426E-2</v>
      </c>
      <c r="Z130" s="459">
        <f>Y130*Parameter!Y$8</f>
        <v>2.1137750338626526E-2</v>
      </c>
      <c r="AA130" s="459">
        <f>Z130*Parameter!Z$8</f>
        <v>2.0677725119402874E-2</v>
      </c>
      <c r="AB130" s="514">
        <f>VLOOKUP(O130,Parameter!$O$11:$P$22,2,0)*Process!P130</f>
        <v>2091.348355466474</v>
      </c>
      <c r="AC130" s="514">
        <f>VLOOKUP($O130,Parameter!$O$11:$P$22,2,0)*VLOOKUP($O130,Parameter!$O$11:$T$22,6,0)*X130</f>
        <v>2170.610458138653</v>
      </c>
      <c r="AD130" s="514">
        <f>VLOOKUP($O130,Parameter!$O$11:$P$22,2,0)*VLOOKUP($O130,Parameter!$O$11:$T$22,6,0)^2*Y130</f>
        <v>2141.5844907337041</v>
      </c>
      <c r="AE130" s="514">
        <f>VLOOKUP($O130,Parameter!$O$11:$P$22,2,0)*VLOOKUP($O130,Parameter!$O$11:$T$22,6,0)^3*Z130</f>
        <v>2176.3350660949941</v>
      </c>
      <c r="AF130" s="514">
        <f>VLOOKUP($O130,Parameter!$O$11:$P$22,2,0)*VLOOKUP($O130,Parameter!$O$11:$T$22,6,0)^4*AA130</f>
        <v>2277.9990099016668</v>
      </c>
    </row>
    <row r="131" spans="1:32">
      <c r="A131" s="14">
        <f t="shared" si="14"/>
        <v>130</v>
      </c>
      <c r="B131" s="14" t="s">
        <v>558</v>
      </c>
      <c r="C131" s="239" t="s">
        <v>253</v>
      </c>
      <c r="D131" s="14" t="s">
        <v>122</v>
      </c>
      <c r="E131" s="14" t="s">
        <v>124</v>
      </c>
      <c r="F131" s="372">
        <f>F130</f>
        <v>121.82940573378841</v>
      </c>
      <c r="G131" s="14" t="s">
        <v>531</v>
      </c>
      <c r="H131" s="373"/>
      <c r="I131" s="381" t="str">
        <f>IFERROR(VLOOKUP(H131,Parameter!$F$44:$H$92,3,0),"")</f>
        <v/>
      </c>
      <c r="J131" s="376" t="s">
        <v>455</v>
      </c>
      <c r="K131" s="367">
        <f>IFERROR(INDEX(Parameter!$D$122:$M$122,1,MATCH(Process!$J131,Parameter!$D$121:$M$121,0)),"")</f>
        <v>1.2</v>
      </c>
      <c r="L131" s="372">
        <f t="shared" si="16"/>
        <v>0</v>
      </c>
      <c r="M131" s="383">
        <v>30</v>
      </c>
      <c r="N131" s="382">
        <f t="shared" si="17"/>
        <v>30</v>
      </c>
      <c r="O131" s="373" t="s">
        <v>117</v>
      </c>
      <c r="P131" s="371">
        <f>N131*F131/3600/Parameter!$P$6/Parameter!$P$7</f>
        <v>0.14930074232081911</v>
      </c>
      <c r="Q131" s="500">
        <f t="shared" si="22"/>
        <v>0.14930074232081911</v>
      </c>
      <c r="R131" s="14"/>
      <c r="S131" s="486"/>
      <c r="T131" s="14"/>
      <c r="U131" s="14"/>
      <c r="V131" s="14"/>
      <c r="W131" s="14"/>
      <c r="X131" s="459">
        <f>P131*Parameter!W$8</f>
        <v>0.14482172005119451</v>
      </c>
      <c r="Y131" s="459">
        <f>X131*Parameter!X$8</f>
        <v>0.13353750126824554</v>
      </c>
      <c r="Z131" s="459">
        <f>Y131*Parameter!Y$8</f>
        <v>0.12682650203175916</v>
      </c>
      <c r="AA131" s="459">
        <f>Z131*Parameter!Z$8</f>
        <v>0.12406635071641725</v>
      </c>
      <c r="AB131" s="514">
        <f>VLOOKUP(O131,Parameter!$O$11:$P$22,2,0)*Process!P131</f>
        <v>12548.090132798841</v>
      </c>
      <c r="AC131" s="514">
        <f>VLOOKUP($O131,Parameter!$O$11:$P$22,2,0)*VLOOKUP($O131,Parameter!$O$11:$T$22,6,0)*X131</f>
        <v>13023.662748831915</v>
      </c>
      <c r="AD131" s="514">
        <f>VLOOKUP($O131,Parameter!$O$11:$P$22,2,0)*VLOOKUP($O131,Parameter!$O$11:$T$22,6,0)^2*Y131</f>
        <v>12849.506944402223</v>
      </c>
      <c r="AE131" s="514">
        <f>VLOOKUP($O131,Parameter!$O$11:$P$22,2,0)*VLOOKUP($O131,Parameter!$O$11:$T$22,6,0)^3*Z131</f>
        <v>13058.010396569964</v>
      </c>
      <c r="AF131" s="514">
        <f>VLOOKUP($O131,Parameter!$O$11:$P$22,2,0)*VLOOKUP($O131,Parameter!$O$11:$T$22,6,0)^4*AA131</f>
        <v>13667.994059410003</v>
      </c>
    </row>
    <row r="132" spans="1:32">
      <c r="A132" s="14">
        <f t="shared" si="14"/>
        <v>131</v>
      </c>
      <c r="B132" s="14" t="s">
        <v>558</v>
      </c>
      <c r="C132" s="239" t="s">
        <v>253</v>
      </c>
      <c r="D132" s="14" t="s">
        <v>122</v>
      </c>
      <c r="E132" s="14" t="s">
        <v>65</v>
      </c>
      <c r="F132" s="372">
        <f>F131</f>
        <v>121.82940573378841</v>
      </c>
      <c r="G132" s="14" t="s">
        <v>531</v>
      </c>
      <c r="H132" s="373"/>
      <c r="I132" s="381" t="str">
        <f>IFERROR(VLOOKUP(H132,Parameter!$F$44:$H$92,3,0),"")</f>
        <v/>
      </c>
      <c r="J132" s="376" t="s">
        <v>455</v>
      </c>
      <c r="K132" s="367">
        <f>IFERROR(INDEX(Parameter!$D$122:$M$122,1,MATCH(Process!$J132,Parameter!$D$121:$M$121,0)),"")</f>
        <v>1.2</v>
      </c>
      <c r="L132" s="372">
        <f t="shared" si="16"/>
        <v>0</v>
      </c>
      <c r="M132" s="383">
        <v>5</v>
      </c>
      <c r="N132" s="382">
        <f t="shared" si="17"/>
        <v>5</v>
      </c>
      <c r="O132" s="373" t="s">
        <v>117</v>
      </c>
      <c r="P132" s="371">
        <f>N132*F132/3600/Parameter!$P$6/Parameter!$P$7</f>
        <v>2.4883457053469855E-2</v>
      </c>
      <c r="Q132" s="500">
        <f t="shared" si="22"/>
        <v>2.4883457053469855E-2</v>
      </c>
      <c r="R132" s="14"/>
      <c r="S132" s="486"/>
      <c r="T132" s="14"/>
      <c r="U132" s="14"/>
      <c r="V132" s="14"/>
      <c r="W132" s="14"/>
      <c r="X132" s="459">
        <f>P132*Parameter!W$8</f>
        <v>2.4136953341865757E-2</v>
      </c>
      <c r="Y132" s="459">
        <f>X132*Parameter!X$8</f>
        <v>2.225625021137426E-2</v>
      </c>
      <c r="Z132" s="459">
        <f>Y132*Parameter!Y$8</f>
        <v>2.1137750338626526E-2</v>
      </c>
      <c r="AA132" s="459">
        <f>Z132*Parameter!Z$8</f>
        <v>2.0677725119402874E-2</v>
      </c>
      <c r="AB132" s="514">
        <f>VLOOKUP(O132,Parameter!$O$11:$P$22,2,0)*Process!P132</f>
        <v>2091.348355466474</v>
      </c>
      <c r="AC132" s="514">
        <f>VLOOKUP($O132,Parameter!$O$11:$P$22,2,0)*VLOOKUP($O132,Parameter!$O$11:$T$22,6,0)*X132</f>
        <v>2170.610458138653</v>
      </c>
      <c r="AD132" s="514">
        <f>VLOOKUP($O132,Parameter!$O$11:$P$22,2,0)*VLOOKUP($O132,Parameter!$O$11:$T$22,6,0)^2*Y132</f>
        <v>2141.5844907337041</v>
      </c>
      <c r="AE132" s="514">
        <f>VLOOKUP($O132,Parameter!$O$11:$P$22,2,0)*VLOOKUP($O132,Parameter!$O$11:$T$22,6,0)^3*Z132</f>
        <v>2176.3350660949941</v>
      </c>
      <c r="AF132" s="514">
        <f>VLOOKUP($O132,Parameter!$O$11:$P$22,2,0)*VLOOKUP($O132,Parameter!$O$11:$T$22,6,0)^4*AA132</f>
        <v>2277.9990099016668</v>
      </c>
    </row>
    <row r="133" spans="1:32">
      <c r="A133" s="14">
        <f t="shared" si="14"/>
        <v>132</v>
      </c>
      <c r="B133" s="14" t="s">
        <v>558</v>
      </c>
      <c r="C133" s="239" t="s">
        <v>256</v>
      </c>
      <c r="D133" s="14" t="s">
        <v>115</v>
      </c>
      <c r="E133" s="14" t="s">
        <v>116</v>
      </c>
      <c r="F133" s="372">
        <f>Parameter!R97</f>
        <v>1786.8312840955632</v>
      </c>
      <c r="G133" s="14" t="s">
        <v>228</v>
      </c>
      <c r="H133" s="373"/>
      <c r="I133" s="381" t="str">
        <f>IFERROR(VLOOKUP(H133,Parameter!$F$44:$H$92,3,0),"")</f>
        <v/>
      </c>
      <c r="J133" s="376" t="s">
        <v>455</v>
      </c>
      <c r="K133" s="367">
        <f>IFERROR(INDEX(Parameter!$D$122:$M$122,1,MATCH(Process!$J133,Parameter!$D$121:$M$121,0)),"")</f>
        <v>1.2</v>
      </c>
      <c r="L133" s="372">
        <f t="shared" si="16"/>
        <v>0</v>
      </c>
      <c r="M133" s="383">
        <v>10</v>
      </c>
      <c r="N133" s="382">
        <f t="shared" si="17"/>
        <v>10</v>
      </c>
      <c r="O133" s="373" t="s">
        <v>117</v>
      </c>
      <c r="P133" s="371">
        <f>N133*F133/3600/Parameter!$P$6/Parameter!$P$7</f>
        <v>0.7299147402351156</v>
      </c>
      <c r="Q133" s="500">
        <f t="shared" si="22"/>
        <v>0.7299147402351156</v>
      </c>
      <c r="R133" s="14"/>
      <c r="S133" s="486"/>
      <c r="T133" s="14"/>
      <c r="U133" s="14"/>
      <c r="V133" s="14"/>
      <c r="W133" s="14"/>
      <c r="X133" s="459">
        <f>P133*Parameter!W$8</f>
        <v>0.70801729802806201</v>
      </c>
      <c r="Y133" s="459">
        <f>X133*Parameter!X$8</f>
        <v>0.65285000620031142</v>
      </c>
      <c r="Z133" s="459">
        <f>Y133*Parameter!Y$8</f>
        <v>0.62004067659971129</v>
      </c>
      <c r="AA133" s="459">
        <f>Z133*Parameter!Z$8</f>
        <v>0.60654660350248413</v>
      </c>
      <c r="AB133" s="514">
        <f>VLOOKUP(O133,Parameter!$O$11:$P$22,2,0)*Process!P133</f>
        <v>61346.21842701656</v>
      </c>
      <c r="AC133" s="514">
        <f>VLOOKUP($O133,Parameter!$O$11:$P$22,2,0)*VLOOKUP($O133,Parameter!$O$11:$T$22,6,0)*X133</f>
        <v>63671.240105400473</v>
      </c>
      <c r="AD133" s="514">
        <f>VLOOKUP($O133,Parameter!$O$11:$P$22,2,0)*VLOOKUP($O133,Parameter!$O$11:$T$22,6,0)^2*Y133</f>
        <v>62819.81172818863</v>
      </c>
      <c r="AE133" s="514">
        <f>VLOOKUP($O133,Parameter!$O$11:$P$22,2,0)*VLOOKUP($O133,Parameter!$O$11:$T$22,6,0)^3*Z133</f>
        <v>63839.161938786478</v>
      </c>
      <c r="AF133" s="514">
        <f>VLOOKUP($O133,Parameter!$O$11:$P$22,2,0)*VLOOKUP($O133,Parameter!$O$11:$T$22,6,0)^4*AA133</f>
        <v>66821.304290448883</v>
      </c>
    </row>
    <row r="134" spans="1:32">
      <c r="A134" s="14">
        <f t="shared" si="14"/>
        <v>133</v>
      </c>
      <c r="B134" s="14" t="s">
        <v>558</v>
      </c>
      <c r="C134" s="239" t="s">
        <v>256</v>
      </c>
      <c r="D134" s="14" t="s">
        <v>115</v>
      </c>
      <c r="E134" s="14" t="s">
        <v>255</v>
      </c>
      <c r="F134" s="372">
        <f>Parameter!R97/Parameter!R99</f>
        <v>297.80521401592722</v>
      </c>
      <c r="G134" s="14" t="s">
        <v>531</v>
      </c>
      <c r="H134" s="373"/>
      <c r="I134" s="381" t="str">
        <f>IFERROR(VLOOKUP(H134,Parameter!$F$44:$H$92,3,0),"")</f>
        <v/>
      </c>
      <c r="J134" s="376" t="s">
        <v>455</v>
      </c>
      <c r="K134" s="367">
        <f>IFERROR(INDEX(Parameter!$D$122:$M$122,1,MATCH(Process!$J134,Parameter!$D$121:$M$121,0)),"")</f>
        <v>1.2</v>
      </c>
      <c r="L134" s="372">
        <f t="shared" si="16"/>
        <v>0</v>
      </c>
      <c r="M134" s="383">
        <v>30</v>
      </c>
      <c r="N134" s="382">
        <f t="shared" si="17"/>
        <v>30</v>
      </c>
      <c r="O134" s="373" t="s">
        <v>117</v>
      </c>
      <c r="P134" s="371">
        <f>N134*F134/3600/Parameter!$P$6/Parameter!$P$7</f>
        <v>0.36495737011755791</v>
      </c>
      <c r="Q134" s="500">
        <f t="shared" si="22"/>
        <v>0.36495737011755791</v>
      </c>
      <c r="R134" s="14"/>
      <c r="S134" s="486"/>
      <c r="T134" s="14"/>
      <c r="U134" s="14"/>
      <c r="V134" s="14"/>
      <c r="W134" s="14"/>
      <c r="X134" s="459">
        <f>P134*Parameter!W$8</f>
        <v>0.35400864901403112</v>
      </c>
      <c r="Y134" s="459">
        <f>X134*Parameter!X$8</f>
        <v>0.32642500310015582</v>
      </c>
      <c r="Z134" s="459">
        <f>Y134*Parameter!Y$8</f>
        <v>0.31002033829985576</v>
      </c>
      <c r="AA134" s="459">
        <f>Z134*Parameter!Z$8</f>
        <v>0.30327330175124217</v>
      </c>
      <c r="AB134" s="514">
        <f>VLOOKUP(O134,Parameter!$O$11:$P$22,2,0)*Process!P134</f>
        <v>30673.109213508287</v>
      </c>
      <c r="AC134" s="514">
        <f>VLOOKUP($O134,Parameter!$O$11:$P$22,2,0)*VLOOKUP($O134,Parameter!$O$11:$T$22,6,0)*X134</f>
        <v>31835.620052700247</v>
      </c>
      <c r="AD134" s="514">
        <f>VLOOKUP($O134,Parameter!$O$11:$P$22,2,0)*VLOOKUP($O134,Parameter!$O$11:$T$22,6,0)^2*Y134</f>
        <v>31409.905864094326</v>
      </c>
      <c r="AE134" s="514">
        <f>VLOOKUP($O134,Parameter!$O$11:$P$22,2,0)*VLOOKUP($O134,Parameter!$O$11:$T$22,6,0)^3*Z134</f>
        <v>31919.58096939325</v>
      </c>
      <c r="AF134" s="514">
        <f>VLOOKUP($O134,Parameter!$O$11:$P$22,2,0)*VLOOKUP($O134,Parameter!$O$11:$T$22,6,0)^4*AA134</f>
        <v>33410.652145224449</v>
      </c>
    </row>
    <row r="135" spans="1:32">
      <c r="A135" s="14">
        <f t="shared" si="14"/>
        <v>134</v>
      </c>
      <c r="B135" s="14" t="s">
        <v>558</v>
      </c>
      <c r="C135" s="239" t="s">
        <v>256</v>
      </c>
      <c r="D135" s="14" t="s">
        <v>118</v>
      </c>
      <c r="E135" s="14" t="s">
        <v>119</v>
      </c>
      <c r="F135" s="372">
        <f>Parameter!R97*Parameter!R98</f>
        <v>23228.806693242321</v>
      </c>
      <c r="G135" s="14" t="s">
        <v>525</v>
      </c>
      <c r="H135" s="373"/>
      <c r="I135" s="381" t="str">
        <f>IFERROR(VLOOKUP(H135,Parameter!$F$44:$H$92,3,0),"")</f>
        <v/>
      </c>
      <c r="J135" s="376" t="s">
        <v>455</v>
      </c>
      <c r="K135" s="367">
        <f>IFERROR(INDEX(Parameter!$D$122:$M$122,1,MATCH(Process!$J135,Parameter!$D$121:$M$121,0)),"")</f>
        <v>1.2</v>
      </c>
      <c r="L135" s="372">
        <f t="shared" si="16"/>
        <v>0</v>
      </c>
      <c r="M135" s="749">
        <v>2.5</v>
      </c>
      <c r="N135" s="382">
        <f t="shared" si="17"/>
        <v>2.5</v>
      </c>
      <c r="O135" s="373" t="s">
        <v>117</v>
      </c>
      <c r="P135" s="371">
        <f>N135*F135/3600/Parameter!$P$6/Parameter!$P$7</f>
        <v>2.3722229057641262</v>
      </c>
      <c r="Q135" s="500">
        <f t="shared" si="22"/>
        <v>2.3722229057641262</v>
      </c>
      <c r="R135" s="14"/>
      <c r="S135" s="486"/>
      <c r="T135" s="14"/>
      <c r="U135" s="14"/>
      <c r="V135" s="14"/>
      <c r="W135" s="14"/>
      <c r="X135" s="459">
        <f>P135*Parameter!W$8</f>
        <v>2.301056218591202</v>
      </c>
      <c r="Y135" s="459">
        <f>X135*Parameter!X$8</f>
        <v>2.1217625201510129</v>
      </c>
      <c r="Z135" s="459">
        <f>Y135*Parameter!Y$8</f>
        <v>2.0151321989490625</v>
      </c>
      <c r="AA135" s="459">
        <f>Z135*Parameter!Z$8</f>
        <v>1.9712764613830742</v>
      </c>
      <c r="AB135" s="514">
        <f>VLOOKUP(O135,Parameter!$O$11:$P$22,2,0)*Process!P135</f>
        <v>199375.20988780385</v>
      </c>
      <c r="AC135" s="514">
        <f>VLOOKUP($O135,Parameter!$O$11:$P$22,2,0)*VLOOKUP($O135,Parameter!$O$11:$T$22,6,0)*X135</f>
        <v>206931.53034255159</v>
      </c>
      <c r="AD135" s="514">
        <f>VLOOKUP($O135,Parameter!$O$11:$P$22,2,0)*VLOOKUP($O135,Parameter!$O$11:$T$22,6,0)^2*Y135</f>
        <v>204164.38811661312</v>
      </c>
      <c r="AE135" s="514">
        <f>VLOOKUP($O135,Parameter!$O$11:$P$22,2,0)*VLOOKUP($O135,Parameter!$O$11:$T$22,6,0)^3*Z135</f>
        <v>207477.27630105612</v>
      </c>
      <c r="AF135" s="514">
        <f>VLOOKUP($O135,Parameter!$O$11:$P$22,2,0)*VLOOKUP($O135,Parameter!$O$11:$T$22,6,0)^4*AA135</f>
        <v>217169.23894395895</v>
      </c>
    </row>
    <row r="136" spans="1:32">
      <c r="A136" s="14">
        <f t="shared" ref="A136:A164" si="23">ROW()-1</f>
        <v>135</v>
      </c>
      <c r="B136" s="14" t="s">
        <v>558</v>
      </c>
      <c r="C136" s="239" t="s">
        <v>256</v>
      </c>
      <c r="D136" s="14" t="s">
        <v>118</v>
      </c>
      <c r="E136" s="14" t="s">
        <v>120</v>
      </c>
      <c r="F136" s="372">
        <f>F134</f>
        <v>297.80521401592722</v>
      </c>
      <c r="G136" s="14" t="s">
        <v>531</v>
      </c>
      <c r="H136" s="373"/>
      <c r="I136" s="381" t="str">
        <f>IFERROR(VLOOKUP(H136,Parameter!$F$44:$H$92,3,0),"")</f>
        <v/>
      </c>
      <c r="J136" s="376" t="s">
        <v>455</v>
      </c>
      <c r="K136" s="367">
        <f>IFERROR(INDEX(Parameter!$D$122:$M$122,1,MATCH(Process!$J136,Parameter!$D$121:$M$121,0)),"")</f>
        <v>1.2</v>
      </c>
      <c r="L136" s="372">
        <f t="shared" si="16"/>
        <v>0</v>
      </c>
      <c r="M136" s="383">
        <v>5</v>
      </c>
      <c r="N136" s="382">
        <f t="shared" si="17"/>
        <v>5</v>
      </c>
      <c r="O136" s="373" t="s">
        <v>117</v>
      </c>
      <c r="P136" s="371">
        <f>N136*F136/3600/Parameter!$P$6/Parameter!$P$7</f>
        <v>6.0826228352926316E-2</v>
      </c>
      <c r="Q136" s="500">
        <f t="shared" si="22"/>
        <v>6.0826228352926316E-2</v>
      </c>
      <c r="R136" s="14"/>
      <c r="S136" s="486"/>
      <c r="T136" s="14"/>
      <c r="U136" s="14"/>
      <c r="V136" s="14"/>
      <c r="W136" s="14"/>
      <c r="X136" s="459">
        <f>P136*Parameter!W$8</f>
        <v>5.900144150233852E-2</v>
      </c>
      <c r="Y136" s="459">
        <f>X136*Parameter!X$8</f>
        <v>5.4404167183359303E-2</v>
      </c>
      <c r="Z136" s="459">
        <f>Y136*Parameter!Y$8</f>
        <v>5.1670056383309293E-2</v>
      </c>
      <c r="AA136" s="459">
        <f>Z136*Parameter!Z$8</f>
        <v>5.05455502918737E-2</v>
      </c>
      <c r="AB136" s="514">
        <f>VLOOKUP(O136,Parameter!$O$11:$P$22,2,0)*Process!P136</f>
        <v>5112.1848689180479</v>
      </c>
      <c r="AC136" s="514">
        <f>VLOOKUP($O136,Parameter!$O$11:$P$22,2,0)*VLOOKUP($O136,Parameter!$O$11:$T$22,6,0)*X136</f>
        <v>5305.9366754500415</v>
      </c>
      <c r="AD136" s="514">
        <f>VLOOKUP($O136,Parameter!$O$11:$P$22,2,0)*VLOOKUP($O136,Parameter!$O$11:$T$22,6,0)^2*Y136</f>
        <v>5234.9843106823873</v>
      </c>
      <c r="AE136" s="514">
        <f>VLOOKUP($O136,Parameter!$O$11:$P$22,2,0)*VLOOKUP($O136,Parameter!$O$11:$T$22,6,0)^3*Z136</f>
        <v>5319.9301615655413</v>
      </c>
      <c r="AF136" s="514">
        <f>VLOOKUP($O136,Parameter!$O$11:$P$22,2,0)*VLOOKUP($O136,Parameter!$O$11:$T$22,6,0)^4*AA136</f>
        <v>5568.442024204076</v>
      </c>
    </row>
    <row r="137" spans="1:32">
      <c r="A137" s="14">
        <f t="shared" si="23"/>
        <v>136</v>
      </c>
      <c r="B137" s="14" t="s">
        <v>558</v>
      </c>
      <c r="C137" s="239" t="s">
        <v>256</v>
      </c>
      <c r="D137" s="14" t="s">
        <v>118</v>
      </c>
      <c r="E137" s="14" t="s">
        <v>121</v>
      </c>
      <c r="F137" s="372">
        <f>F136</f>
        <v>297.80521401592722</v>
      </c>
      <c r="G137" s="14" t="s">
        <v>531</v>
      </c>
      <c r="H137" s="373"/>
      <c r="I137" s="381" t="str">
        <f>IFERROR(VLOOKUP(H137,Parameter!$F$44:$H$92,3,0),"")</f>
        <v/>
      </c>
      <c r="J137" s="376" t="s">
        <v>455</v>
      </c>
      <c r="K137" s="367">
        <f>IFERROR(INDEX(Parameter!$D$122:$M$122,1,MATCH(Process!$J137,Parameter!$D$121:$M$121,0)),"")</f>
        <v>1.2</v>
      </c>
      <c r="L137" s="372">
        <f t="shared" si="16"/>
        <v>0</v>
      </c>
      <c r="M137" s="383">
        <v>20</v>
      </c>
      <c r="N137" s="382">
        <f t="shared" si="17"/>
        <v>20</v>
      </c>
      <c r="O137" s="373" t="s">
        <v>117</v>
      </c>
      <c r="P137" s="371">
        <f>N137*F137/3600/Parameter!$P$6/Parameter!$P$7</f>
        <v>0.24330491341170526</v>
      </c>
      <c r="Q137" s="500">
        <f t="shared" si="22"/>
        <v>0.24330491341170526</v>
      </c>
      <c r="R137" s="14"/>
      <c r="S137" s="486"/>
      <c r="T137" s="14"/>
      <c r="U137" s="14"/>
      <c r="V137" s="14"/>
      <c r="W137" s="14"/>
      <c r="X137" s="459">
        <f>P137*Parameter!W$8</f>
        <v>0.23600576600935408</v>
      </c>
      <c r="Y137" s="459">
        <f>X137*Parameter!X$8</f>
        <v>0.21761666873343721</v>
      </c>
      <c r="Z137" s="459">
        <f>Y137*Parameter!Y$8</f>
        <v>0.20668022553323717</v>
      </c>
      <c r="AA137" s="459">
        <f>Z137*Parameter!Z$8</f>
        <v>0.2021822011674948</v>
      </c>
      <c r="AB137" s="514">
        <f>VLOOKUP(O137,Parameter!$O$11:$P$22,2,0)*Process!P137</f>
        <v>20448.739475672191</v>
      </c>
      <c r="AC137" s="514">
        <f>VLOOKUP($O137,Parameter!$O$11:$P$22,2,0)*VLOOKUP($O137,Parameter!$O$11:$T$22,6,0)*X137</f>
        <v>21223.746701800166</v>
      </c>
      <c r="AD137" s="514">
        <f>VLOOKUP($O137,Parameter!$O$11:$P$22,2,0)*VLOOKUP($O137,Parameter!$O$11:$T$22,6,0)^2*Y137</f>
        <v>20939.937242729549</v>
      </c>
      <c r="AE137" s="514">
        <f>VLOOKUP($O137,Parameter!$O$11:$P$22,2,0)*VLOOKUP($O137,Parameter!$O$11:$T$22,6,0)^3*Z137</f>
        <v>21279.720646262165</v>
      </c>
      <c r="AF137" s="514">
        <f>VLOOKUP($O137,Parameter!$O$11:$P$22,2,0)*VLOOKUP($O137,Parameter!$O$11:$T$22,6,0)^4*AA137</f>
        <v>22273.768096816304</v>
      </c>
    </row>
    <row r="138" spans="1:32">
      <c r="A138" s="14">
        <f t="shared" si="23"/>
        <v>137</v>
      </c>
      <c r="B138" s="14" t="s">
        <v>558</v>
      </c>
      <c r="C138" s="239" t="s">
        <v>256</v>
      </c>
      <c r="D138" s="14" t="s">
        <v>122</v>
      </c>
      <c r="E138" s="14" t="s">
        <v>123</v>
      </c>
      <c r="F138" s="372">
        <f t="shared" ref="F138:F139" si="24">F137</f>
        <v>297.80521401592722</v>
      </c>
      <c r="G138" s="14" t="s">
        <v>531</v>
      </c>
      <c r="H138" s="373"/>
      <c r="I138" s="381" t="str">
        <f>IFERROR(VLOOKUP(H138,Parameter!$F$44:$H$92,3,0),"")</f>
        <v/>
      </c>
      <c r="J138" s="376" t="s">
        <v>455</v>
      </c>
      <c r="K138" s="367">
        <f>IFERROR(INDEX(Parameter!$D$122:$M$122,1,MATCH(Process!$J138,Parameter!$D$121:$M$121,0)),"")</f>
        <v>1.2</v>
      </c>
      <c r="L138" s="372">
        <f t="shared" ref="L138:L160" si="25">IFERROR(I138/K138,0)</f>
        <v>0</v>
      </c>
      <c r="M138" s="383">
        <v>30</v>
      </c>
      <c r="N138" s="382">
        <f t="shared" ref="N138:N160" si="26">L138+M138</f>
        <v>30</v>
      </c>
      <c r="O138" s="373" t="s">
        <v>117</v>
      </c>
      <c r="P138" s="371">
        <f>N138*F138/3600/Parameter!$P$6/Parameter!$P$7</f>
        <v>0.36495737011755791</v>
      </c>
      <c r="Q138" s="500">
        <f t="shared" si="22"/>
        <v>0.36495737011755791</v>
      </c>
      <c r="R138" s="503">
        <f>P138</f>
        <v>0.36495737011755791</v>
      </c>
      <c r="S138" s="486"/>
      <c r="T138" s="14"/>
      <c r="U138" s="14"/>
      <c r="V138" s="14"/>
      <c r="W138" s="14"/>
      <c r="X138" s="459">
        <f>P138*Parameter!W$8</f>
        <v>0.35400864901403112</v>
      </c>
      <c r="Y138" s="459">
        <f>X138*Parameter!X$8</f>
        <v>0.32642500310015582</v>
      </c>
      <c r="Z138" s="459">
        <f>Y138*Parameter!Y$8</f>
        <v>0.31002033829985576</v>
      </c>
      <c r="AA138" s="459">
        <f>Z138*Parameter!Z$8</f>
        <v>0.30327330175124217</v>
      </c>
      <c r="AB138" s="514">
        <f>VLOOKUP(O138,Parameter!$O$11:$P$22,2,0)*Process!P138</f>
        <v>30673.109213508287</v>
      </c>
      <c r="AC138" s="514">
        <f>VLOOKUP($O138,Parameter!$O$11:$P$22,2,0)*VLOOKUP($O138,Parameter!$O$11:$T$22,6,0)*X138</f>
        <v>31835.620052700247</v>
      </c>
      <c r="AD138" s="514">
        <f>VLOOKUP($O138,Parameter!$O$11:$P$22,2,0)*VLOOKUP($O138,Parameter!$O$11:$T$22,6,0)^2*Y138</f>
        <v>31409.905864094326</v>
      </c>
      <c r="AE138" s="514">
        <f>VLOOKUP($O138,Parameter!$O$11:$P$22,2,0)*VLOOKUP($O138,Parameter!$O$11:$T$22,6,0)^3*Z138</f>
        <v>31919.58096939325</v>
      </c>
      <c r="AF138" s="514">
        <f>VLOOKUP($O138,Parameter!$O$11:$P$22,2,0)*VLOOKUP($O138,Parameter!$O$11:$T$22,6,0)^4*AA138</f>
        <v>33410.652145224449</v>
      </c>
    </row>
    <row r="139" spans="1:32">
      <c r="A139" s="14">
        <f t="shared" si="23"/>
        <v>138</v>
      </c>
      <c r="B139" s="14" t="s">
        <v>558</v>
      </c>
      <c r="C139" s="239" t="s">
        <v>256</v>
      </c>
      <c r="D139" s="14" t="s">
        <v>122</v>
      </c>
      <c r="E139" s="14" t="s">
        <v>124</v>
      </c>
      <c r="F139" s="372">
        <f t="shared" si="24"/>
        <v>297.80521401592722</v>
      </c>
      <c r="G139" s="14" t="s">
        <v>531</v>
      </c>
      <c r="H139" s="373"/>
      <c r="I139" s="381" t="str">
        <f>IFERROR(VLOOKUP(H139,Parameter!$F$44:$H$92,3,0),"")</f>
        <v/>
      </c>
      <c r="J139" s="376" t="s">
        <v>455</v>
      </c>
      <c r="K139" s="367">
        <f>IFERROR(INDEX(Parameter!$D$122:$M$122,1,MATCH(Process!$J139,Parameter!$D$121:$M$121,0)),"")</f>
        <v>1.2</v>
      </c>
      <c r="L139" s="372">
        <f t="shared" si="25"/>
        <v>0</v>
      </c>
      <c r="M139" s="383">
        <v>30</v>
      </c>
      <c r="N139" s="382">
        <f t="shared" si="26"/>
        <v>30</v>
      </c>
      <c r="O139" s="373" t="s">
        <v>117</v>
      </c>
      <c r="P139" s="371">
        <f>N139*F139/3600/Parameter!$P$6/Parameter!$P$7</f>
        <v>0.36495737011755791</v>
      </c>
      <c r="Q139" s="500">
        <f t="shared" si="22"/>
        <v>0.36495737011755791</v>
      </c>
      <c r="R139" s="14"/>
      <c r="S139" s="486"/>
      <c r="T139" s="14"/>
      <c r="U139" s="14"/>
      <c r="V139" s="14"/>
      <c r="W139" s="14"/>
      <c r="X139" s="459">
        <f>P139*Parameter!W$8</f>
        <v>0.35400864901403112</v>
      </c>
      <c r="Y139" s="459">
        <f>X139*Parameter!X$8</f>
        <v>0.32642500310015582</v>
      </c>
      <c r="Z139" s="459">
        <f>Y139*Parameter!Y$8</f>
        <v>0.31002033829985576</v>
      </c>
      <c r="AA139" s="459">
        <f>Z139*Parameter!Z$8</f>
        <v>0.30327330175124217</v>
      </c>
      <c r="AB139" s="514">
        <f>VLOOKUP(O139,Parameter!$O$11:$P$22,2,0)*Process!P139</f>
        <v>30673.109213508287</v>
      </c>
      <c r="AC139" s="514">
        <f>VLOOKUP($O139,Parameter!$O$11:$P$22,2,0)*VLOOKUP($O139,Parameter!$O$11:$T$22,6,0)*X139</f>
        <v>31835.620052700247</v>
      </c>
      <c r="AD139" s="514">
        <f>VLOOKUP($O139,Parameter!$O$11:$P$22,2,0)*VLOOKUP($O139,Parameter!$O$11:$T$22,6,0)^2*Y139</f>
        <v>31409.905864094326</v>
      </c>
      <c r="AE139" s="514">
        <f>VLOOKUP($O139,Parameter!$O$11:$P$22,2,0)*VLOOKUP($O139,Parameter!$O$11:$T$22,6,0)^3*Z139</f>
        <v>31919.58096939325</v>
      </c>
      <c r="AF139" s="514">
        <f>VLOOKUP($O139,Parameter!$O$11:$P$22,2,0)*VLOOKUP($O139,Parameter!$O$11:$T$22,6,0)^4*AA139</f>
        <v>33410.652145224449</v>
      </c>
    </row>
    <row r="140" spans="1:32">
      <c r="A140" s="14">
        <f t="shared" si="23"/>
        <v>139</v>
      </c>
      <c r="B140" s="14" t="s">
        <v>558</v>
      </c>
      <c r="C140" s="239" t="s">
        <v>256</v>
      </c>
      <c r="D140" s="14" t="s">
        <v>122</v>
      </c>
      <c r="E140" s="14" t="s">
        <v>65</v>
      </c>
      <c r="F140" s="372">
        <f>F139</f>
        <v>297.80521401592722</v>
      </c>
      <c r="G140" s="14" t="s">
        <v>531</v>
      </c>
      <c r="H140" s="373"/>
      <c r="I140" s="381" t="str">
        <f>IFERROR(VLOOKUP(H140,Parameter!$F$44:$H$92,3,0),"")</f>
        <v/>
      </c>
      <c r="J140" s="376" t="s">
        <v>455</v>
      </c>
      <c r="K140" s="367">
        <f>IFERROR(INDEX(Parameter!$D$122:$M$122,1,MATCH(Process!$J140,Parameter!$D$121:$M$121,0)),"")</f>
        <v>1.2</v>
      </c>
      <c r="L140" s="372">
        <f t="shared" si="25"/>
        <v>0</v>
      </c>
      <c r="M140" s="383">
        <v>5</v>
      </c>
      <c r="N140" s="382">
        <f t="shared" si="26"/>
        <v>5</v>
      </c>
      <c r="O140" s="373" t="s">
        <v>117</v>
      </c>
      <c r="P140" s="371">
        <f>N140*F140/3600/Parameter!$P$6/Parameter!$P$7</f>
        <v>6.0826228352926316E-2</v>
      </c>
      <c r="Q140" s="500">
        <f t="shared" si="22"/>
        <v>6.0826228352926316E-2</v>
      </c>
      <c r="R140" s="14"/>
      <c r="S140" s="486"/>
      <c r="T140" s="14"/>
      <c r="U140" s="14"/>
      <c r="V140" s="14"/>
      <c r="W140" s="14"/>
      <c r="X140" s="459">
        <f>P140*Parameter!W$8</f>
        <v>5.900144150233852E-2</v>
      </c>
      <c r="Y140" s="459">
        <f>X140*Parameter!X$8</f>
        <v>5.4404167183359303E-2</v>
      </c>
      <c r="Z140" s="459">
        <f>Y140*Parameter!Y$8</f>
        <v>5.1670056383309293E-2</v>
      </c>
      <c r="AA140" s="459">
        <f>Z140*Parameter!Z$8</f>
        <v>5.05455502918737E-2</v>
      </c>
      <c r="AB140" s="514">
        <f>VLOOKUP(O140,Parameter!$O$11:$P$22,2,0)*Process!P140</f>
        <v>5112.1848689180479</v>
      </c>
      <c r="AC140" s="514">
        <f>VLOOKUP($O140,Parameter!$O$11:$P$22,2,0)*VLOOKUP($O140,Parameter!$O$11:$T$22,6,0)*X140</f>
        <v>5305.9366754500415</v>
      </c>
      <c r="AD140" s="514">
        <f>VLOOKUP($O140,Parameter!$O$11:$P$22,2,0)*VLOOKUP($O140,Parameter!$O$11:$T$22,6,0)^2*Y140</f>
        <v>5234.9843106823873</v>
      </c>
      <c r="AE140" s="514">
        <f>VLOOKUP($O140,Parameter!$O$11:$P$22,2,0)*VLOOKUP($O140,Parameter!$O$11:$T$22,6,0)^3*Z140</f>
        <v>5319.9301615655413</v>
      </c>
      <c r="AF140" s="514">
        <f>VLOOKUP($O140,Parameter!$O$11:$P$22,2,0)*VLOOKUP($O140,Parameter!$O$11:$T$22,6,0)^4*AA140</f>
        <v>5568.442024204076</v>
      </c>
    </row>
    <row r="141" spans="1:32">
      <c r="A141" s="14">
        <f t="shared" si="23"/>
        <v>140</v>
      </c>
      <c r="B141" s="14" t="s">
        <v>558</v>
      </c>
      <c r="C141" s="239" t="s">
        <v>261</v>
      </c>
      <c r="D141" s="14" t="s">
        <v>118</v>
      </c>
      <c r="E141" s="14" t="s">
        <v>262</v>
      </c>
      <c r="F141" s="372">
        <f>Parameter!R102*Parameter!R103</f>
        <v>358.32178156996594</v>
      </c>
      <c r="G141" s="14" t="s">
        <v>525</v>
      </c>
      <c r="H141" s="373"/>
      <c r="I141" s="381" t="str">
        <f>IFERROR(VLOOKUP(H141,Parameter!$F$44:$H$92,3,0),"")</f>
        <v/>
      </c>
      <c r="J141" s="376" t="s">
        <v>455</v>
      </c>
      <c r="K141" s="367">
        <f>IFERROR(INDEX(Parameter!$D$122:$M$122,1,MATCH(Process!$J141,Parameter!$D$121:$M$121,0)),"")</f>
        <v>1.2</v>
      </c>
      <c r="L141" s="372">
        <f t="shared" si="25"/>
        <v>0</v>
      </c>
      <c r="M141" s="384">
        <v>120</v>
      </c>
      <c r="N141" s="382">
        <f t="shared" si="26"/>
        <v>120</v>
      </c>
      <c r="O141" s="373" t="s">
        <v>117</v>
      </c>
      <c r="P141" s="371">
        <f>N141*F141/3600/Parameter!$P$6/Parameter!$P$7</f>
        <v>1.7564793214214016</v>
      </c>
      <c r="Q141" s="500">
        <f t="shared" si="22"/>
        <v>1.7564793214214016</v>
      </c>
      <c r="R141" s="14"/>
      <c r="S141" s="486"/>
      <c r="T141" s="14"/>
      <c r="U141" s="14"/>
      <c r="V141" s="14"/>
      <c r="W141" s="14"/>
      <c r="X141" s="459">
        <f>P141*Parameter!W$8</f>
        <v>1.7037849417787594</v>
      </c>
      <c r="Y141" s="459">
        <f>X141*Parameter!X$8</f>
        <v>1.571029426685242</v>
      </c>
      <c r="Z141" s="459">
        <f>Y141*Parameter!Y$8</f>
        <v>1.4920764944912845</v>
      </c>
      <c r="AA141" s="459">
        <f>Z141*Parameter!Z$8</f>
        <v>1.4596041260754973</v>
      </c>
      <c r="AB141" s="514">
        <f>VLOOKUP(O141,Parameter!$O$11:$P$22,2,0)*Process!P141</f>
        <v>147624.58979763347</v>
      </c>
      <c r="AC141" s="514">
        <f>VLOOKUP($O141,Parameter!$O$11:$P$22,2,0)*VLOOKUP($O141,Parameter!$O$11:$T$22,6,0)*X141</f>
        <v>153219.56175096377</v>
      </c>
      <c r="AD141" s="514">
        <f>VLOOKUP($O141,Parameter!$O$11:$P$22,2,0)*VLOOKUP($O141,Parameter!$O$11:$T$22,6,0)^2*Y141</f>
        <v>151170.66993414384</v>
      </c>
      <c r="AE141" s="514">
        <f>VLOOKUP($O141,Parameter!$O$11:$P$22,2,0)*VLOOKUP($O141,Parameter!$O$11:$T$22,6,0)^3*Z141</f>
        <v>153623.65172435256</v>
      </c>
      <c r="AF141" s="514">
        <f>VLOOKUP($O141,Parameter!$O$11:$P$22,2,0)*VLOOKUP($O141,Parameter!$O$11:$T$22,6,0)^4*AA141</f>
        <v>160799.93011070593</v>
      </c>
    </row>
    <row r="142" spans="1:32">
      <c r="A142" s="14">
        <f t="shared" si="23"/>
        <v>141</v>
      </c>
      <c r="B142" s="14" t="s">
        <v>558</v>
      </c>
      <c r="C142" s="239" t="s">
        <v>261</v>
      </c>
      <c r="D142" s="14" t="s">
        <v>118</v>
      </c>
      <c r="E142" s="14" t="s">
        <v>120</v>
      </c>
      <c r="F142" s="372">
        <f>F141</f>
        <v>358.32178156996594</v>
      </c>
      <c r="G142" s="14" t="s">
        <v>525</v>
      </c>
      <c r="H142" s="373"/>
      <c r="I142" s="381" t="str">
        <f>IFERROR(VLOOKUP(H142,Parameter!$F$44:$H$92,3,0),"")</f>
        <v/>
      </c>
      <c r="J142" s="376" t="s">
        <v>455</v>
      </c>
      <c r="K142" s="367">
        <f>IFERROR(INDEX(Parameter!$D$122:$M$122,1,MATCH(Process!$J142,Parameter!$D$121:$M$121,0)),"")</f>
        <v>1.2</v>
      </c>
      <c r="L142" s="372">
        <f t="shared" si="25"/>
        <v>0</v>
      </c>
      <c r="M142" s="383">
        <v>5</v>
      </c>
      <c r="N142" s="382">
        <f t="shared" si="26"/>
        <v>5</v>
      </c>
      <c r="O142" s="373" t="s">
        <v>117</v>
      </c>
      <c r="P142" s="371">
        <f>N142*F142/3600/Parameter!$P$6/Parameter!$P$7</f>
        <v>7.3186638392558401E-2</v>
      </c>
      <c r="Q142" s="500">
        <f t="shared" si="22"/>
        <v>7.3186638392558401E-2</v>
      </c>
      <c r="R142" s="14"/>
      <c r="S142" s="486"/>
      <c r="T142" s="14"/>
      <c r="U142" s="14"/>
      <c r="V142" s="14"/>
      <c r="W142" s="14"/>
      <c r="X142" s="459">
        <f>P142*Parameter!W$8</f>
        <v>7.0991039240781637E-2</v>
      </c>
      <c r="Y142" s="459">
        <f>X142*Parameter!X$8</f>
        <v>6.5459559445218404E-2</v>
      </c>
      <c r="Z142" s="459">
        <f>Y142*Parameter!Y$8</f>
        <v>6.2169853937136837E-2</v>
      </c>
      <c r="AA142" s="459">
        <f>Z142*Parameter!Z$8</f>
        <v>6.0816838586479037E-2</v>
      </c>
      <c r="AB142" s="514">
        <f>VLOOKUP(O142,Parameter!$O$11:$P$22,2,0)*Process!P142</f>
        <v>6151.0245749013948</v>
      </c>
      <c r="AC142" s="514">
        <f>VLOOKUP($O142,Parameter!$O$11:$P$22,2,0)*VLOOKUP($O142,Parameter!$O$11:$T$22,6,0)*X142</f>
        <v>6384.1484062901563</v>
      </c>
      <c r="AD142" s="514">
        <f>VLOOKUP($O142,Parameter!$O$11:$P$22,2,0)*VLOOKUP($O142,Parameter!$O$11:$T$22,6,0)^2*Y142</f>
        <v>6298.7779139226586</v>
      </c>
      <c r="AE142" s="514">
        <f>VLOOKUP($O142,Parameter!$O$11:$P$22,2,0)*VLOOKUP($O142,Parameter!$O$11:$T$22,6,0)^3*Z142</f>
        <v>6400.9854885146879</v>
      </c>
      <c r="AF142" s="514">
        <f>VLOOKUP($O142,Parameter!$O$11:$P$22,2,0)*VLOOKUP($O142,Parameter!$O$11:$T$22,6,0)^4*AA142</f>
        <v>6699.9970879460789</v>
      </c>
    </row>
    <row r="143" spans="1:32">
      <c r="A143" s="14">
        <f t="shared" si="23"/>
        <v>142</v>
      </c>
      <c r="B143" s="14" t="s">
        <v>558</v>
      </c>
      <c r="C143" s="239" t="s">
        <v>261</v>
      </c>
      <c r="D143" s="14" t="s">
        <v>118</v>
      </c>
      <c r="E143" s="14" t="s">
        <v>121</v>
      </c>
      <c r="F143" s="372">
        <f>F142</f>
        <v>358.32178156996594</v>
      </c>
      <c r="G143" s="14" t="s">
        <v>525</v>
      </c>
      <c r="H143" s="373"/>
      <c r="I143" s="381" t="str">
        <f>IFERROR(VLOOKUP(H143,Parameter!$F$44:$H$92,3,0),"")</f>
        <v/>
      </c>
      <c r="J143" s="376" t="s">
        <v>455</v>
      </c>
      <c r="K143" s="367">
        <f>IFERROR(INDEX(Parameter!$D$122:$M$122,1,MATCH(Process!$J143,Parameter!$D$121:$M$121,0)),"")</f>
        <v>1.2</v>
      </c>
      <c r="L143" s="372">
        <f t="shared" si="25"/>
        <v>0</v>
      </c>
      <c r="M143" s="383">
        <v>20</v>
      </c>
      <c r="N143" s="382">
        <f t="shared" si="26"/>
        <v>20</v>
      </c>
      <c r="O143" s="373" t="s">
        <v>117</v>
      </c>
      <c r="P143" s="371">
        <f>N143*F143/3600/Parameter!$P$6/Parameter!$P$7</f>
        <v>0.2927465535702336</v>
      </c>
      <c r="Q143" s="500">
        <f t="shared" si="22"/>
        <v>0.2927465535702336</v>
      </c>
      <c r="R143" s="14"/>
      <c r="S143" s="486"/>
      <c r="T143" s="14"/>
      <c r="U143" s="14"/>
      <c r="V143" s="14"/>
      <c r="W143" s="14"/>
      <c r="X143" s="459">
        <f>P143*Parameter!W$8</f>
        <v>0.28396415696312655</v>
      </c>
      <c r="Y143" s="459">
        <f>X143*Parameter!X$8</f>
        <v>0.26183823778087362</v>
      </c>
      <c r="Z143" s="459">
        <f>Y143*Parameter!Y$8</f>
        <v>0.24867941574854735</v>
      </c>
      <c r="AA143" s="459">
        <f>Z143*Parameter!Z$8</f>
        <v>0.24326735434591615</v>
      </c>
      <c r="AB143" s="514">
        <f>VLOOKUP(O143,Parameter!$O$11:$P$22,2,0)*Process!P143</f>
        <v>24604.098299605579</v>
      </c>
      <c r="AC143" s="514">
        <f>VLOOKUP($O143,Parameter!$O$11:$P$22,2,0)*VLOOKUP($O143,Parameter!$O$11:$T$22,6,0)*X143</f>
        <v>25536.593625160625</v>
      </c>
      <c r="AD143" s="514">
        <f>VLOOKUP($O143,Parameter!$O$11:$P$22,2,0)*VLOOKUP($O143,Parameter!$O$11:$T$22,6,0)^2*Y143</f>
        <v>25195.111655690635</v>
      </c>
      <c r="AE143" s="514">
        <f>VLOOKUP($O143,Parameter!$O$11:$P$22,2,0)*VLOOKUP($O143,Parameter!$O$11:$T$22,6,0)^3*Z143</f>
        <v>25603.941954058751</v>
      </c>
      <c r="AF143" s="514">
        <f>VLOOKUP($O143,Parameter!$O$11:$P$22,2,0)*VLOOKUP($O143,Parameter!$O$11:$T$22,6,0)^4*AA143</f>
        <v>26799.988351784315</v>
      </c>
    </row>
    <row r="144" spans="1:32">
      <c r="A144" s="14">
        <f t="shared" si="23"/>
        <v>143</v>
      </c>
      <c r="B144" s="14" t="s">
        <v>558</v>
      </c>
      <c r="C144" s="239" t="s">
        <v>261</v>
      </c>
      <c r="D144" s="14" t="s">
        <v>122</v>
      </c>
      <c r="E144" s="14" t="s">
        <v>123</v>
      </c>
      <c r="F144" s="372">
        <f t="shared" ref="F144:F145" si="27">F143</f>
        <v>358.32178156996594</v>
      </c>
      <c r="G144" s="14" t="s">
        <v>525</v>
      </c>
      <c r="H144" s="373"/>
      <c r="I144" s="381" t="str">
        <f>IFERROR(VLOOKUP(H144,Parameter!$F$44:$H$92,3,0),"")</f>
        <v/>
      </c>
      <c r="J144" s="376" t="s">
        <v>455</v>
      </c>
      <c r="K144" s="367">
        <f>IFERROR(INDEX(Parameter!$D$122:$M$122,1,MATCH(Process!$J144,Parameter!$D$121:$M$121,0)),"")</f>
        <v>1.2</v>
      </c>
      <c r="L144" s="372">
        <f t="shared" si="25"/>
        <v>0</v>
      </c>
      <c r="M144" s="383">
        <v>30</v>
      </c>
      <c r="N144" s="382">
        <f t="shared" si="26"/>
        <v>30</v>
      </c>
      <c r="O144" s="373" t="s">
        <v>117</v>
      </c>
      <c r="P144" s="371">
        <f>N144*F144/3600/Parameter!$P$6/Parameter!$P$7</f>
        <v>0.4391198303553504</v>
      </c>
      <c r="Q144" s="500">
        <f t="shared" si="22"/>
        <v>0.4391198303553504</v>
      </c>
      <c r="R144" s="500">
        <f>P144</f>
        <v>0.4391198303553504</v>
      </c>
      <c r="S144" s="486"/>
      <c r="T144" s="14"/>
      <c r="U144" s="14"/>
      <c r="V144" s="14"/>
      <c r="W144" s="14"/>
      <c r="X144" s="459">
        <f>P144*Parameter!W$8</f>
        <v>0.42594623544468985</v>
      </c>
      <c r="Y144" s="459">
        <f>X144*Parameter!X$8</f>
        <v>0.39275735667131051</v>
      </c>
      <c r="Z144" s="459">
        <f>Y144*Parameter!Y$8</f>
        <v>0.37301912362282114</v>
      </c>
      <c r="AA144" s="459">
        <f>Z144*Parameter!Z$8</f>
        <v>0.36490103151887432</v>
      </c>
      <c r="AB144" s="514">
        <f>VLOOKUP(O144,Parameter!$O$11:$P$22,2,0)*Process!P144</f>
        <v>36906.147449408367</v>
      </c>
      <c r="AC144" s="514">
        <f>VLOOKUP($O144,Parameter!$O$11:$P$22,2,0)*VLOOKUP($O144,Parameter!$O$11:$T$22,6,0)*X144</f>
        <v>38304.890437740942</v>
      </c>
      <c r="AD144" s="514">
        <f>VLOOKUP($O144,Parameter!$O$11:$P$22,2,0)*VLOOKUP($O144,Parameter!$O$11:$T$22,6,0)^2*Y144</f>
        <v>37792.667483535959</v>
      </c>
      <c r="AE144" s="514">
        <f>VLOOKUP($O144,Parameter!$O$11:$P$22,2,0)*VLOOKUP($O144,Parameter!$O$11:$T$22,6,0)^3*Z144</f>
        <v>38405.91293108814</v>
      </c>
      <c r="AF144" s="514">
        <f>VLOOKUP($O144,Parameter!$O$11:$P$22,2,0)*VLOOKUP($O144,Parameter!$O$11:$T$22,6,0)^4*AA144</f>
        <v>40199.982527676482</v>
      </c>
    </row>
    <row r="145" spans="1:32">
      <c r="A145" s="14">
        <f t="shared" si="23"/>
        <v>144</v>
      </c>
      <c r="B145" s="14" t="s">
        <v>558</v>
      </c>
      <c r="C145" s="239" t="s">
        <v>261</v>
      </c>
      <c r="D145" s="14" t="s">
        <v>122</v>
      </c>
      <c r="E145" s="14" t="s">
        <v>124</v>
      </c>
      <c r="F145" s="372">
        <f t="shared" si="27"/>
        <v>358.32178156996594</v>
      </c>
      <c r="G145" s="14" t="s">
        <v>525</v>
      </c>
      <c r="H145" s="373"/>
      <c r="I145" s="381" t="str">
        <f>IFERROR(VLOOKUP(H145,Parameter!$F$44:$H$92,3,0),"")</f>
        <v/>
      </c>
      <c r="J145" s="376" t="s">
        <v>455</v>
      </c>
      <c r="K145" s="367">
        <f>IFERROR(INDEX(Parameter!$D$122:$M$122,1,MATCH(Process!$J145,Parameter!$D$121:$M$121,0)),"")</f>
        <v>1.2</v>
      </c>
      <c r="L145" s="372">
        <f t="shared" si="25"/>
        <v>0</v>
      </c>
      <c r="M145" s="383">
        <v>30</v>
      </c>
      <c r="N145" s="382">
        <f t="shared" si="26"/>
        <v>30</v>
      </c>
      <c r="O145" s="373" t="s">
        <v>117</v>
      </c>
      <c r="P145" s="371">
        <f>N145*F145/3600/Parameter!$P$6/Parameter!$P$7</f>
        <v>0.4391198303553504</v>
      </c>
      <c r="Q145" s="500">
        <f t="shared" si="22"/>
        <v>0.4391198303553504</v>
      </c>
      <c r="R145" s="14"/>
      <c r="S145" s="486"/>
      <c r="T145" s="14"/>
      <c r="U145" s="14"/>
      <c r="V145" s="14"/>
      <c r="W145" s="14"/>
      <c r="X145" s="459">
        <f>P145*Parameter!W$8</f>
        <v>0.42594623544468985</v>
      </c>
      <c r="Y145" s="459">
        <f>X145*Parameter!X$8</f>
        <v>0.39275735667131051</v>
      </c>
      <c r="Z145" s="459">
        <f>Y145*Parameter!Y$8</f>
        <v>0.37301912362282114</v>
      </c>
      <c r="AA145" s="459">
        <f>Z145*Parameter!Z$8</f>
        <v>0.36490103151887432</v>
      </c>
      <c r="AB145" s="514">
        <f>VLOOKUP(O145,Parameter!$O$11:$P$22,2,0)*Process!P145</f>
        <v>36906.147449408367</v>
      </c>
      <c r="AC145" s="514">
        <f>VLOOKUP($O145,Parameter!$O$11:$P$22,2,0)*VLOOKUP($O145,Parameter!$O$11:$T$22,6,0)*X145</f>
        <v>38304.890437740942</v>
      </c>
      <c r="AD145" s="514">
        <f>VLOOKUP($O145,Parameter!$O$11:$P$22,2,0)*VLOOKUP($O145,Parameter!$O$11:$T$22,6,0)^2*Y145</f>
        <v>37792.667483535959</v>
      </c>
      <c r="AE145" s="514">
        <f>VLOOKUP($O145,Parameter!$O$11:$P$22,2,0)*VLOOKUP($O145,Parameter!$O$11:$T$22,6,0)^3*Z145</f>
        <v>38405.91293108814</v>
      </c>
      <c r="AF145" s="514">
        <f>VLOOKUP($O145,Parameter!$O$11:$P$22,2,0)*VLOOKUP($O145,Parameter!$O$11:$T$22,6,0)^4*AA145</f>
        <v>40199.982527676482</v>
      </c>
    </row>
    <row r="146" spans="1:32">
      <c r="A146" s="14">
        <f t="shared" si="23"/>
        <v>145</v>
      </c>
      <c r="B146" s="14" t="s">
        <v>558</v>
      </c>
      <c r="C146" s="239" t="s">
        <v>261</v>
      </c>
      <c r="D146" s="14" t="s">
        <v>122</v>
      </c>
      <c r="E146" s="14" t="s">
        <v>65</v>
      </c>
      <c r="F146" s="372">
        <f>F145</f>
        <v>358.32178156996594</v>
      </c>
      <c r="G146" s="14" t="s">
        <v>525</v>
      </c>
      <c r="H146" s="373"/>
      <c r="I146" s="381" t="str">
        <f>IFERROR(VLOOKUP(H146,Parameter!$F$44:$H$92,3,0),"")</f>
        <v/>
      </c>
      <c r="J146" s="376" t="s">
        <v>455</v>
      </c>
      <c r="K146" s="367">
        <f>IFERROR(INDEX(Parameter!$D$122:$M$122,1,MATCH(Process!$J146,Parameter!$D$121:$M$121,0)),"")</f>
        <v>1.2</v>
      </c>
      <c r="L146" s="372">
        <f t="shared" si="25"/>
        <v>0</v>
      </c>
      <c r="M146" s="243">
        <v>5</v>
      </c>
      <c r="N146" s="382">
        <f t="shared" si="26"/>
        <v>5</v>
      </c>
      <c r="O146" s="373" t="s">
        <v>117</v>
      </c>
      <c r="P146" s="371">
        <f>N146*F146/3600/Parameter!$P$6/Parameter!$P$7</f>
        <v>7.3186638392558401E-2</v>
      </c>
      <c r="Q146" s="500">
        <f t="shared" si="22"/>
        <v>7.3186638392558401E-2</v>
      </c>
      <c r="R146" s="14"/>
      <c r="S146" s="486"/>
      <c r="T146" s="14"/>
      <c r="U146" s="14"/>
      <c r="V146" s="14"/>
      <c r="W146" s="14"/>
      <c r="X146" s="459">
        <f>P146*Parameter!W$8</f>
        <v>7.0991039240781637E-2</v>
      </c>
      <c r="Y146" s="459">
        <f>X146*Parameter!X$8</f>
        <v>6.5459559445218404E-2</v>
      </c>
      <c r="Z146" s="459">
        <f>Y146*Parameter!Y$8</f>
        <v>6.2169853937136837E-2</v>
      </c>
      <c r="AA146" s="459">
        <f>Z146*Parameter!Z$8</f>
        <v>6.0816838586479037E-2</v>
      </c>
      <c r="AB146" s="514">
        <f>VLOOKUP(O146,Parameter!$O$11:$P$22,2,0)*Process!P146</f>
        <v>6151.0245749013948</v>
      </c>
      <c r="AC146" s="514">
        <f>VLOOKUP($O146,Parameter!$O$11:$P$22,2,0)*VLOOKUP($O146,Parameter!$O$11:$T$22,6,0)*X146</f>
        <v>6384.1484062901563</v>
      </c>
      <c r="AD146" s="514">
        <f>VLOOKUP($O146,Parameter!$O$11:$P$22,2,0)*VLOOKUP($O146,Parameter!$O$11:$T$22,6,0)^2*Y146</f>
        <v>6298.7779139226586</v>
      </c>
      <c r="AE146" s="514">
        <f>VLOOKUP($O146,Parameter!$O$11:$P$22,2,0)*VLOOKUP($O146,Parameter!$O$11:$T$22,6,0)^3*Z146</f>
        <v>6400.9854885146879</v>
      </c>
      <c r="AF146" s="514">
        <f>VLOOKUP($O146,Parameter!$O$11:$P$22,2,0)*VLOOKUP($O146,Parameter!$O$11:$T$22,6,0)^4*AA146</f>
        <v>6699.9970879460789</v>
      </c>
    </row>
    <row r="147" spans="1:32">
      <c r="A147" s="14">
        <f t="shared" si="23"/>
        <v>146</v>
      </c>
      <c r="B147" s="14" t="s">
        <v>558</v>
      </c>
      <c r="C147" s="14" t="s">
        <v>125</v>
      </c>
      <c r="D147" s="14" t="s">
        <v>126</v>
      </c>
      <c r="E147" s="14" t="s">
        <v>127</v>
      </c>
      <c r="F147" s="372">
        <f>F126/Parameter!R105</f>
        <v>20.3049009556314</v>
      </c>
      <c r="G147" s="14" t="s">
        <v>531</v>
      </c>
      <c r="H147" s="373" t="s">
        <v>509</v>
      </c>
      <c r="I147" s="381">
        <f>IFERROR(VLOOKUP(H147,Parameter!$F$44:$H$92,3,0),"")</f>
        <v>60</v>
      </c>
      <c r="J147" s="376" t="s">
        <v>35</v>
      </c>
      <c r="K147" s="367">
        <f>IFERROR(INDEX(Parameter!$D$122:$M$122,1,MATCH(Process!$J147,Parameter!$D$121:$M$121,0)),"")</f>
        <v>2.7777777777777777</v>
      </c>
      <c r="L147" s="372">
        <f t="shared" si="25"/>
        <v>21.6</v>
      </c>
      <c r="M147" s="243"/>
      <c r="N147" s="382">
        <f t="shared" si="26"/>
        <v>21.6</v>
      </c>
      <c r="O147" s="373" t="s">
        <v>60</v>
      </c>
      <c r="P147" s="371">
        <f>N147*F147/3600/Parameter!$P$6/Parameter!$P$7</f>
        <v>1.7916089078498294E-2</v>
      </c>
      <c r="Q147" s="500"/>
      <c r="R147" s="14"/>
      <c r="S147" s="486"/>
      <c r="T147" s="14"/>
      <c r="U147" s="14"/>
      <c r="V147" s="14"/>
      <c r="W147" s="14"/>
      <c r="X147" s="459">
        <f>P147*Parameter!W$8</f>
        <v>1.7378606406143342E-2</v>
      </c>
      <c r="Y147" s="459">
        <f>X147*Parameter!X$8</f>
        <v>1.6024500152189466E-2</v>
      </c>
      <c r="Z147" s="459">
        <f>Y147*Parameter!Y$8</f>
        <v>1.5219180243811099E-2</v>
      </c>
      <c r="AA147" s="459">
        <f>Z147*Parameter!Z$8</f>
        <v>1.4887962085970069E-2</v>
      </c>
      <c r="AB147" s="514">
        <f>VLOOKUP(O147,Parameter!$O$11:$P$22,2,0)*Process!P147</f>
        <v>1806.9249791230336</v>
      </c>
      <c r="AC147" s="514">
        <f>VLOOKUP($O147,Parameter!$O$11:$P$22,2,0)*VLOOKUP($O147,Parameter!$O$11:$T$22,6,0)*X147</f>
        <v>1875.4074358317964</v>
      </c>
      <c r="AD147" s="514">
        <f>VLOOKUP($O147,Parameter!$O$11:$P$22,2,0)*VLOOKUP($O147,Parameter!$O$11:$T$22,6,0)^2*Y147</f>
        <v>1850.3289999939202</v>
      </c>
      <c r="AE147" s="514">
        <f>VLOOKUP($O147,Parameter!$O$11:$P$22,2,0)*VLOOKUP($O147,Parameter!$O$11:$T$22,6,0)^3*Z147</f>
        <v>1880.3534971060749</v>
      </c>
      <c r="AF147" s="514">
        <f>VLOOKUP($O147,Parameter!$O$11:$P$22,2,0)*VLOOKUP($O147,Parameter!$O$11:$T$22,6,0)^4*AA147</f>
        <v>1968.1911445550402</v>
      </c>
    </row>
    <row r="148" spans="1:32">
      <c r="A148" s="14">
        <f t="shared" si="23"/>
        <v>147</v>
      </c>
      <c r="B148" s="14" t="s">
        <v>558</v>
      </c>
      <c r="C148" s="14" t="s">
        <v>125</v>
      </c>
      <c r="D148" s="14" t="s">
        <v>126</v>
      </c>
      <c r="E148" s="14" t="s">
        <v>128</v>
      </c>
      <c r="F148" s="372">
        <f>F134/Parameter!R106</f>
        <v>297.80521401592722</v>
      </c>
      <c r="G148" s="14" t="s">
        <v>531</v>
      </c>
      <c r="H148" s="373" t="s">
        <v>509</v>
      </c>
      <c r="I148" s="381">
        <f>IFERROR(VLOOKUP(H148,Parameter!$F$44:$H$92,3,0),"")</f>
        <v>60</v>
      </c>
      <c r="J148" s="376" t="s">
        <v>35</v>
      </c>
      <c r="K148" s="367">
        <f>IFERROR(INDEX(Parameter!$D$122:$M$122,1,MATCH(Process!$J148,Parameter!$D$121:$M$121,0)),"")</f>
        <v>2.7777777777777777</v>
      </c>
      <c r="L148" s="372">
        <f t="shared" si="25"/>
        <v>21.6</v>
      </c>
      <c r="M148" s="243"/>
      <c r="N148" s="382">
        <f t="shared" si="26"/>
        <v>21.6</v>
      </c>
      <c r="O148" s="373" t="s">
        <v>60</v>
      </c>
      <c r="P148" s="371">
        <f>N148*F148/3600/Parameter!$P$6/Parameter!$P$7</f>
        <v>0.2627693064846417</v>
      </c>
      <c r="Q148" s="500"/>
      <c r="R148" s="14"/>
      <c r="S148" s="486"/>
      <c r="T148" s="14"/>
      <c r="U148" s="14"/>
      <c r="V148" s="14"/>
      <c r="W148" s="14"/>
      <c r="X148" s="459">
        <f>P148*Parameter!W$8</f>
        <v>0.25488622729010241</v>
      </c>
      <c r="Y148" s="459">
        <f>X148*Parameter!X$8</f>
        <v>0.2350260022321122</v>
      </c>
      <c r="Z148" s="459">
        <f>Y148*Parameter!Y$8</f>
        <v>0.22321464357589615</v>
      </c>
      <c r="AA148" s="459">
        <f>Z148*Parameter!Z$8</f>
        <v>0.21835677726089439</v>
      </c>
      <c r="AB148" s="514">
        <f>VLOOKUP(O148,Parameter!$O$11:$P$22,2,0)*Process!P148</f>
        <v>26501.566360471163</v>
      </c>
      <c r="AC148" s="514">
        <f>VLOOKUP($O148,Parameter!$O$11:$P$22,2,0)*VLOOKUP($O148,Parameter!$O$11:$T$22,6,0)*X148</f>
        <v>27505.975725533019</v>
      </c>
      <c r="AD148" s="514">
        <f>VLOOKUP($O148,Parameter!$O$11:$P$22,2,0)*VLOOKUP($O148,Parameter!$O$11:$T$22,6,0)^2*Y148</f>
        <v>27138.158666577499</v>
      </c>
      <c r="AE148" s="514">
        <f>VLOOKUP($O148,Parameter!$O$11:$P$22,2,0)*VLOOKUP($O148,Parameter!$O$11:$T$22,6,0)^3*Z148</f>
        <v>27578.51795755577</v>
      </c>
      <c r="AF148" s="514">
        <f>VLOOKUP($O148,Parameter!$O$11:$P$22,2,0)*VLOOKUP($O148,Parameter!$O$11:$T$22,6,0)^4*AA148</f>
        <v>28866.803453473931</v>
      </c>
    </row>
    <row r="149" spans="1:32">
      <c r="A149" s="14">
        <f t="shared" si="23"/>
        <v>148</v>
      </c>
      <c r="B149" s="14" t="s">
        <v>558</v>
      </c>
      <c r="C149" s="14" t="s">
        <v>125</v>
      </c>
      <c r="D149" s="14" t="s">
        <v>126</v>
      </c>
      <c r="E149" s="14" t="s">
        <v>263</v>
      </c>
      <c r="F149" s="372">
        <f>F146</f>
        <v>358.32178156996594</v>
      </c>
      <c r="G149" s="14" t="s">
        <v>531</v>
      </c>
      <c r="H149" s="373" t="s">
        <v>509</v>
      </c>
      <c r="I149" s="381">
        <f>IFERROR(VLOOKUP(H149,Parameter!$F$44:$H$92,3,0),"")</f>
        <v>60</v>
      </c>
      <c r="J149" s="376" t="s">
        <v>35</v>
      </c>
      <c r="K149" s="367">
        <f>IFERROR(INDEX(Parameter!$D$122:$M$122,1,MATCH(Process!$J149,Parameter!$D$121:$M$121,0)),"")</f>
        <v>2.7777777777777777</v>
      </c>
      <c r="L149" s="372">
        <f t="shared" si="25"/>
        <v>21.6</v>
      </c>
      <c r="M149" s="243"/>
      <c r="N149" s="382">
        <f t="shared" si="26"/>
        <v>21.6</v>
      </c>
      <c r="O149" s="373" t="s">
        <v>60</v>
      </c>
      <c r="P149" s="371">
        <f>N149*F149/3600/Parameter!$P$6/Parameter!$P$7</f>
        <v>0.31616627785585233</v>
      </c>
      <c r="Q149" s="500"/>
      <c r="R149" s="14"/>
      <c r="S149" s="486"/>
      <c r="T149" s="14"/>
      <c r="U149" s="14"/>
      <c r="V149" s="14"/>
      <c r="W149" s="14"/>
      <c r="X149" s="459">
        <f>P149*Parameter!W$8</f>
        <v>0.3066812895201767</v>
      </c>
      <c r="Y149" s="459">
        <f>X149*Parameter!X$8</f>
        <v>0.28278529680334358</v>
      </c>
      <c r="Z149" s="459">
        <f>Y149*Parameter!Y$8</f>
        <v>0.26857376900843122</v>
      </c>
      <c r="AA149" s="459">
        <f>Z149*Parameter!Z$8</f>
        <v>0.26272874269358953</v>
      </c>
      <c r="AB149" s="514">
        <f>VLOOKUP(O149,Parameter!$O$11:$P$22,2,0)*Process!P149</f>
        <v>31886.911396288833</v>
      </c>
      <c r="AC149" s="514">
        <f>VLOOKUP($O149,Parameter!$O$11:$P$22,2,0)*VLOOKUP($O149,Parameter!$O$11:$T$22,6,0)*X149</f>
        <v>33095.425338208181</v>
      </c>
      <c r="AD149" s="514">
        <f>VLOOKUP($O149,Parameter!$O$11:$P$22,2,0)*VLOOKUP($O149,Parameter!$O$11:$T$22,6,0)^2*Y149</f>
        <v>32652.864705775068</v>
      </c>
      <c r="AE149" s="514">
        <f>VLOOKUP($O149,Parameter!$O$11:$P$22,2,0)*VLOOKUP($O149,Parameter!$O$11:$T$22,6,0)^3*Z149</f>
        <v>33182.708772460152</v>
      </c>
      <c r="AF149" s="514">
        <f>VLOOKUP($O149,Parameter!$O$11:$P$22,2,0)*VLOOKUP($O149,Parameter!$O$11:$T$22,6,0)^4*AA149</f>
        <v>34732.784903912485</v>
      </c>
    </row>
    <row r="150" spans="1:32" ht="13.9" customHeight="1">
      <c r="A150" s="14">
        <f t="shared" si="23"/>
        <v>149</v>
      </c>
      <c r="B150" s="14" t="s">
        <v>558</v>
      </c>
      <c r="C150" s="358" t="s">
        <v>958</v>
      </c>
      <c r="D150" s="358" t="s">
        <v>958</v>
      </c>
      <c r="E150" s="358" t="s">
        <v>959</v>
      </c>
      <c r="F150" s="372"/>
      <c r="G150" s="14" t="s">
        <v>526</v>
      </c>
      <c r="H150" s="373"/>
      <c r="I150" s="381"/>
      <c r="J150" s="376" t="s">
        <v>464</v>
      </c>
      <c r="K150" s="367">
        <f>IFERROR(INDEX(Parameter!$D$122:$M$122,1,MATCH(Process!$J150,Parameter!$D$121:$M$121,0)),"")</f>
        <v>2.7777777777777777</v>
      </c>
      <c r="L150" s="372">
        <f t="shared" si="25"/>
        <v>0</v>
      </c>
      <c r="M150" s="243"/>
      <c r="N150" s="382"/>
      <c r="O150" s="373" t="s">
        <v>452</v>
      </c>
      <c r="P150" s="371">
        <f>N150*F150/3600/Parameter!$P$6/Parameter!$P$7</f>
        <v>0</v>
      </c>
      <c r="Q150" s="14"/>
      <c r="R150" s="14"/>
      <c r="S150" s="486"/>
      <c r="T150" s="14"/>
      <c r="U150" s="14"/>
      <c r="V150" s="14"/>
      <c r="W150" s="14"/>
      <c r="X150" s="459">
        <f>P150*Parameter!W$8</f>
        <v>0</v>
      </c>
      <c r="Y150" s="459">
        <f>X150*Parameter!X$8</f>
        <v>0</v>
      </c>
      <c r="Z150" s="459">
        <f>Y150*Parameter!Y$8</f>
        <v>0</v>
      </c>
      <c r="AA150" s="459">
        <f>Z150*Parameter!Z$8</f>
        <v>0</v>
      </c>
      <c r="AB150" s="514">
        <f>VLOOKUP(O150,Parameter!$O$11:$P$22,2,0)*Process!P150</f>
        <v>0</v>
      </c>
      <c r="AC150" s="514">
        <f>VLOOKUP($O150,Parameter!$O$11:$P$22,2,0)*VLOOKUP($O150,Parameter!$O$11:$T$22,6,0)*X150</f>
        <v>0</v>
      </c>
      <c r="AD150" s="514">
        <f>VLOOKUP($O150,Parameter!$O$11:$P$22,2,0)*VLOOKUP($O150,Parameter!$O$11:$T$22,6,0)^2*Y150</f>
        <v>0</v>
      </c>
      <c r="AE150" s="514">
        <f>VLOOKUP($O150,Parameter!$O$11:$P$22,2,0)*VLOOKUP($O150,Parameter!$O$11:$T$22,6,0)^3*Z150</f>
        <v>0</v>
      </c>
      <c r="AF150" s="514">
        <f>VLOOKUP($O150,Parameter!$O$11:$P$22,2,0)*VLOOKUP($O150,Parameter!$O$11:$T$22,6,0)^4*AA150</f>
        <v>0</v>
      </c>
    </row>
    <row r="151" spans="1:32">
      <c r="A151" s="14">
        <f t="shared" si="23"/>
        <v>150</v>
      </c>
      <c r="B151" s="14" t="s">
        <v>81</v>
      </c>
      <c r="C151" s="14" t="s">
        <v>82</v>
      </c>
      <c r="D151" s="14" t="s">
        <v>530</v>
      </c>
      <c r="E151" s="14" t="s">
        <v>84</v>
      </c>
      <c r="F151" s="372">
        <v>1</v>
      </c>
      <c r="G151" s="14" t="s">
        <v>528</v>
      </c>
      <c r="H151" s="373"/>
      <c r="I151" s="381" t="str">
        <f>IFERROR(VLOOKUP(H151,Parameter!$F$44:$H$92,3,0),"")</f>
        <v/>
      </c>
      <c r="J151" s="376" t="s">
        <v>455</v>
      </c>
      <c r="K151" s="367">
        <f>IFERROR(INDEX(Parameter!$D$122:$M$122,1,MATCH(Process!$J151,Parameter!$D$121:$M$121,0)),"")</f>
        <v>1.2</v>
      </c>
      <c r="L151" s="372">
        <f t="shared" si="25"/>
        <v>0</v>
      </c>
      <c r="M151" s="243">
        <v>300</v>
      </c>
      <c r="N151" s="382">
        <f t="shared" si="26"/>
        <v>300</v>
      </c>
      <c r="O151" s="373" t="s">
        <v>85</v>
      </c>
      <c r="P151" s="371">
        <f>N151*F151/3600/Parameter!$P$6/Parameter!$P$7</f>
        <v>1.2254901960784314E-2</v>
      </c>
      <c r="Q151" s="500"/>
      <c r="R151" s="14"/>
      <c r="S151" s="486"/>
      <c r="T151" s="14"/>
      <c r="U151" s="14"/>
      <c r="V151" s="14"/>
      <c r="W151" s="14"/>
      <c r="X151" s="459">
        <f>P151*Parameter!W$8</f>
        <v>1.1887254901960782E-2</v>
      </c>
      <c r="Y151" s="459">
        <f>X151*Parameter!X$8</f>
        <v>1.0961023774509802E-2</v>
      </c>
      <c r="Z151" s="459">
        <f>Y151*Parameter!Y$8</f>
        <v>1.0410171605768971E-2</v>
      </c>
      <c r="AA151" s="459">
        <f>Z151*Parameter!Z$8</f>
        <v>1.0183612894535234E-2</v>
      </c>
      <c r="AB151" s="514">
        <f>VLOOKUP(O151,Parameter!$O$11:$P$22,2,0)*Process!P151</f>
        <v>1235.9666427546629</v>
      </c>
      <c r="AC151" s="514">
        <f>VLOOKUP($O151,Parameter!$O$11:$P$22,2,0)*VLOOKUP($O151,Parameter!$O$11:$T$22,6,0)*X151</f>
        <v>1282.8097785150644</v>
      </c>
      <c r="AD151" s="514">
        <f>VLOOKUP($O151,Parameter!$O$11:$P$22,2,0)*VLOOKUP($O151,Parameter!$O$11:$T$22,6,0)^2*Y151</f>
        <v>1265.6557126262185</v>
      </c>
      <c r="AE151" s="514">
        <f>VLOOKUP($O151,Parameter!$O$11:$P$22,2,0)*VLOOKUP($O151,Parameter!$O$11:$T$22,6,0)^3*Z151</f>
        <v>1286.1929664274901</v>
      </c>
      <c r="AF151" s="514">
        <f>VLOOKUP($O151,Parameter!$O$11:$P$22,2,0)*VLOOKUP($O151,Parameter!$O$11:$T$22,6,0)^4*AA151</f>
        <v>1346.2753735441681</v>
      </c>
    </row>
    <row r="152" spans="1:32">
      <c r="A152" s="14">
        <f t="shared" si="23"/>
        <v>151</v>
      </c>
      <c r="B152" s="14" t="s">
        <v>81</v>
      </c>
      <c r="C152" s="14" t="s">
        <v>82</v>
      </c>
      <c r="D152" s="14" t="s">
        <v>83</v>
      </c>
      <c r="E152" s="14" t="s">
        <v>86</v>
      </c>
      <c r="F152" s="372">
        <f>Parameter!R109*Parameter!R110</f>
        <v>237.04141875337362</v>
      </c>
      <c r="G152" s="14" t="s">
        <v>228</v>
      </c>
      <c r="H152" s="373"/>
      <c r="I152" s="381" t="str">
        <f>IFERROR(VLOOKUP(H152,Parameter!$F$44:$H$92,3,0),"")</f>
        <v/>
      </c>
      <c r="J152" s="376" t="s">
        <v>455</v>
      </c>
      <c r="K152" s="367">
        <f>IFERROR(INDEX(Parameter!$D$122:$M$122,1,MATCH(Process!$J152,Parameter!$D$121:$M$121,0)),"")</f>
        <v>1.2</v>
      </c>
      <c r="L152" s="372">
        <f t="shared" si="25"/>
        <v>0</v>
      </c>
      <c r="M152" s="243">
        <v>90</v>
      </c>
      <c r="N152" s="382">
        <f t="shared" si="26"/>
        <v>90</v>
      </c>
      <c r="O152" s="373" t="s">
        <v>85</v>
      </c>
      <c r="P152" s="371">
        <f>N152*F152/3600/Parameter!$P$6/Parameter!$P$7</f>
        <v>0.8714758042403441</v>
      </c>
      <c r="Q152" s="500"/>
      <c r="R152" s="14"/>
      <c r="S152" s="486"/>
      <c r="T152" s="14"/>
      <c r="U152" s="14"/>
      <c r="V152" s="14"/>
      <c r="W152" s="14"/>
      <c r="X152" s="459">
        <f>P152*Parameter!W$8</f>
        <v>0.84533153011313367</v>
      </c>
      <c r="Y152" s="459">
        <f>X152*Parameter!X$8</f>
        <v>0.77946498794977848</v>
      </c>
      <c r="Z152" s="459">
        <f>Y152*Parameter!Y$8</f>
        <v>0.74029255406926875</v>
      </c>
      <c r="AA152" s="459">
        <f>Z152*Parameter!Z$8</f>
        <v>0.72418141456673446</v>
      </c>
      <c r="AB152" s="514">
        <f>VLOOKUP(O152,Parameter!$O$11:$P$22,2,0)*Process!P152</f>
        <v>87892.585959122807</v>
      </c>
      <c r="AC152" s="514">
        <f>VLOOKUP($O152,Parameter!$O$11:$P$22,2,0)*VLOOKUP($O152,Parameter!$O$11:$T$22,6,0)*X152</f>
        <v>91223.714966973552</v>
      </c>
      <c r="AD152" s="514">
        <f>VLOOKUP($O152,Parameter!$O$11:$P$22,2,0)*VLOOKUP($O152,Parameter!$O$11:$T$22,6,0)^2*Y152</f>
        <v>90003.847732269278</v>
      </c>
      <c r="AE152" s="514">
        <f>VLOOKUP($O152,Parameter!$O$11:$P$22,2,0)*VLOOKUP($O152,Parameter!$O$11:$T$22,6,0)^3*Z152</f>
        <v>91464.30166577475</v>
      </c>
      <c r="AF152" s="514">
        <f>VLOOKUP($O152,Parameter!$O$11:$P$22,2,0)*VLOOKUP($O152,Parameter!$O$11:$T$22,6,0)^4*AA152</f>
        <v>95736.907373291295</v>
      </c>
    </row>
    <row r="153" spans="1:32">
      <c r="A153" s="14">
        <f t="shared" si="23"/>
        <v>152</v>
      </c>
      <c r="B153" s="14" t="s">
        <v>81</v>
      </c>
      <c r="C153" s="14" t="s">
        <v>82</v>
      </c>
      <c r="D153" s="14" t="s">
        <v>83</v>
      </c>
      <c r="E153" s="14" t="s">
        <v>87</v>
      </c>
      <c r="F153" s="372">
        <f>F152</f>
        <v>237.04141875337362</v>
      </c>
      <c r="G153" s="14" t="s">
        <v>228</v>
      </c>
      <c r="H153" s="373"/>
      <c r="I153" s="381" t="str">
        <f>IFERROR(VLOOKUP(H153,Parameter!$F$44:$H$92,3,0),"")</f>
        <v/>
      </c>
      <c r="J153" s="376" t="s">
        <v>455</v>
      </c>
      <c r="K153" s="367">
        <f>IFERROR(INDEX(Parameter!$D$122:$M$122,1,MATCH(Process!$J153,Parameter!$D$121:$M$121,0)),"")</f>
        <v>1.2</v>
      </c>
      <c r="L153" s="372">
        <f t="shared" si="25"/>
        <v>0</v>
      </c>
      <c r="M153" s="243">
        <v>10</v>
      </c>
      <c r="N153" s="382">
        <f t="shared" si="26"/>
        <v>10</v>
      </c>
      <c r="O153" s="373" t="s">
        <v>85</v>
      </c>
      <c r="P153" s="371">
        <f>N153*F153/3600/Parameter!$P$6/Parameter!$P$7</f>
        <v>9.6830644915593816E-2</v>
      </c>
      <c r="Q153" s="500"/>
      <c r="R153" s="14"/>
      <c r="S153" s="486"/>
      <c r="T153" s="14"/>
      <c r="U153" s="14"/>
      <c r="V153" s="14"/>
      <c r="W153" s="14"/>
      <c r="X153" s="459">
        <f>P153*Parameter!W$8</f>
        <v>9.3925725568125992E-2</v>
      </c>
      <c r="Y153" s="459">
        <f>X153*Parameter!X$8</f>
        <v>8.6607220883308744E-2</v>
      </c>
      <c r="Z153" s="459">
        <f>Y153*Parameter!Y$8</f>
        <v>8.2254728229918764E-2</v>
      </c>
      <c r="AA153" s="459">
        <f>Z153*Parameter!Z$8</f>
        <v>8.046460161852606E-2</v>
      </c>
      <c r="AB153" s="514">
        <f>VLOOKUP(O153,Parameter!$O$11:$P$22,2,0)*Process!P153</f>
        <v>9765.842884346981</v>
      </c>
      <c r="AC153" s="514">
        <f>VLOOKUP($O153,Parameter!$O$11:$P$22,2,0)*VLOOKUP($O153,Parameter!$O$11:$T$22,6,0)*X153</f>
        <v>10135.968329663732</v>
      </c>
      <c r="AD153" s="514">
        <f>VLOOKUP($O153,Parameter!$O$11:$P$22,2,0)*VLOOKUP($O153,Parameter!$O$11:$T$22,6,0)^2*Y153</f>
        <v>10000.4275258077</v>
      </c>
      <c r="AE153" s="514">
        <f>VLOOKUP($O153,Parameter!$O$11:$P$22,2,0)*VLOOKUP($O153,Parameter!$O$11:$T$22,6,0)^3*Z153</f>
        <v>10162.700185086085</v>
      </c>
      <c r="AF153" s="514">
        <f>VLOOKUP($O153,Parameter!$O$11:$P$22,2,0)*VLOOKUP($O153,Parameter!$O$11:$T$22,6,0)^4*AA153</f>
        <v>10637.434152587923</v>
      </c>
    </row>
    <row r="154" spans="1:32">
      <c r="A154" s="14">
        <f t="shared" si="23"/>
        <v>153</v>
      </c>
      <c r="B154" s="14" t="s">
        <v>81</v>
      </c>
      <c r="C154" s="14" t="s">
        <v>82</v>
      </c>
      <c r="D154" s="14" t="s">
        <v>88</v>
      </c>
      <c r="E154" s="14" t="s">
        <v>89</v>
      </c>
      <c r="F154" s="372">
        <f>Parameter!R109*Parameter!R111*Parameter!T111*Parameter!T112</f>
        <v>40.962225255972704</v>
      </c>
      <c r="G154" s="14" t="s">
        <v>228</v>
      </c>
      <c r="H154" s="373"/>
      <c r="I154" s="381" t="str">
        <f>IFERROR(VLOOKUP(H154,Parameter!$F$44:$H$92,3,0),"")</f>
        <v/>
      </c>
      <c r="J154" s="376" t="s">
        <v>564</v>
      </c>
      <c r="K154" s="367">
        <f>IFERROR(INDEX(Parameter!$D$122:$M$122,1,MATCH(Process!$J154,Parameter!$D$121:$M$121,0)),"")</f>
        <v>2.4</v>
      </c>
      <c r="L154" s="372">
        <f t="shared" si="25"/>
        <v>0</v>
      </c>
      <c r="M154" s="243">
        <v>30</v>
      </c>
      <c r="N154" s="382">
        <f t="shared" si="26"/>
        <v>30</v>
      </c>
      <c r="O154" s="373" t="s">
        <v>85</v>
      </c>
      <c r="P154" s="371">
        <f>N154*F154/3600/Parameter!$P$6/Parameter!$P$7</f>
        <v>5.0198805460750867E-2</v>
      </c>
      <c r="Q154" s="500"/>
      <c r="R154" s="14"/>
      <c r="S154" s="486"/>
      <c r="T154" s="14"/>
      <c r="U154" s="14"/>
      <c r="V154" s="14"/>
      <c r="W154" s="14"/>
      <c r="X154" s="459">
        <f>P154*Parameter!W$8</f>
        <v>4.8692841296928337E-2</v>
      </c>
      <c r="Y154" s="459">
        <f>X154*Parameter!X$8</f>
        <v>4.4898792488754273E-2</v>
      </c>
      <c r="Z154" s="459">
        <f>Y154*Parameter!Y$8</f>
        <v>4.2642379426883974E-2</v>
      </c>
      <c r="AA154" s="459">
        <f>Z154*Parameter!Z$8</f>
        <v>4.1714344530558056E-2</v>
      </c>
      <c r="AB154" s="514">
        <f>VLOOKUP(O154,Parameter!$O$11:$P$22,2,0)*Process!P154</f>
        <v>5062.7944029384853</v>
      </c>
      <c r="AC154" s="514">
        <f>VLOOKUP($O154,Parameter!$O$11:$P$22,2,0)*VLOOKUP($O154,Parameter!$O$11:$T$22,6,0)*X154</f>
        <v>5254.6743108098535</v>
      </c>
      <c r="AD154" s="514">
        <f>VLOOKUP($O154,Parameter!$O$11:$P$22,2,0)*VLOOKUP($O154,Parameter!$O$11:$T$22,6,0)^2*Y154</f>
        <v>5184.4074397103823</v>
      </c>
      <c r="AE154" s="514">
        <f>VLOOKUP($O154,Parameter!$O$11:$P$22,2,0)*VLOOKUP($O154,Parameter!$O$11:$T$22,6,0)^3*Z154</f>
        <v>5268.5326013450594</v>
      </c>
      <c r="AF154" s="514">
        <f>VLOOKUP($O154,Parameter!$O$11:$P$22,2,0)*VLOOKUP($O154,Parameter!$O$11:$T$22,6,0)^4*AA154</f>
        <v>5514.6435107685029</v>
      </c>
    </row>
    <row r="155" spans="1:32">
      <c r="A155" s="14">
        <f t="shared" si="23"/>
        <v>154</v>
      </c>
      <c r="B155" s="14" t="s">
        <v>81</v>
      </c>
      <c r="C155" s="14" t="s">
        <v>82</v>
      </c>
      <c r="D155" s="14" t="s">
        <v>88</v>
      </c>
      <c r="E155" s="14" t="s">
        <v>90</v>
      </c>
      <c r="F155" s="372">
        <f>Parameter!R109*Parameter!R111*Parameter!T111*(1-Parameter!T112)</f>
        <v>95.578525597269632</v>
      </c>
      <c r="G155" s="14" t="s">
        <v>228</v>
      </c>
      <c r="H155" s="373"/>
      <c r="I155" s="381" t="str">
        <f>IFERROR(VLOOKUP(H155,Parameter!$F$44:$H$92,3,0),"")</f>
        <v/>
      </c>
      <c r="J155" s="376" t="s">
        <v>644</v>
      </c>
      <c r="K155" s="367">
        <f>IFERROR(INDEX(Parameter!$D$122:$M$122,1,MATCH(Process!$J155,Parameter!$D$121:$M$121,0)),"")</f>
        <v>0.5</v>
      </c>
      <c r="L155" s="372">
        <f t="shared" si="25"/>
        <v>0</v>
      </c>
      <c r="M155" s="243">
        <v>60</v>
      </c>
      <c r="N155" s="382">
        <f t="shared" si="26"/>
        <v>60</v>
      </c>
      <c r="O155" s="373" t="s">
        <v>85</v>
      </c>
      <c r="P155" s="371">
        <f>N155*F155/3600/Parameter!$P$6/Parameter!$P$7</f>
        <v>0.23426109215017069</v>
      </c>
      <c r="Q155" s="500"/>
      <c r="R155" s="14"/>
      <c r="S155" s="486"/>
      <c r="T155" s="14"/>
      <c r="U155" s="14"/>
      <c r="V155" s="14"/>
      <c r="W155" s="14"/>
      <c r="X155" s="459">
        <f>P155*Parameter!W$8</f>
        <v>0.22723325938566552</v>
      </c>
      <c r="Y155" s="459">
        <f>X155*Parameter!X$8</f>
        <v>0.20952769828085321</v>
      </c>
      <c r="Z155" s="459">
        <f>Y155*Parameter!Y$8</f>
        <v>0.19899777065879182</v>
      </c>
      <c r="AA155" s="459">
        <f>Z155*Parameter!Z$8</f>
        <v>0.19466694114260419</v>
      </c>
      <c r="AB155" s="514">
        <f>VLOOKUP(O155,Parameter!$O$11:$P$22,2,0)*Process!P155</f>
        <v>23626.373880379593</v>
      </c>
      <c r="AC155" s="514">
        <f>VLOOKUP($O155,Parameter!$O$11:$P$22,2,0)*VLOOKUP($O155,Parameter!$O$11:$T$22,6,0)*X155</f>
        <v>24521.813450445978</v>
      </c>
      <c r="AD155" s="514">
        <f>VLOOKUP($O155,Parameter!$O$11:$P$22,2,0)*VLOOKUP($O155,Parameter!$O$11:$T$22,6,0)^2*Y155</f>
        <v>24193.901385315112</v>
      </c>
      <c r="AE155" s="514">
        <f>VLOOKUP($O155,Parameter!$O$11:$P$22,2,0)*VLOOKUP($O155,Parameter!$O$11:$T$22,6,0)^3*Z155</f>
        <v>24586.485472943605</v>
      </c>
      <c r="AF155" s="514">
        <f>VLOOKUP($O155,Parameter!$O$11:$P$22,2,0)*VLOOKUP($O155,Parameter!$O$11:$T$22,6,0)^4*AA155</f>
        <v>25735.003050253003</v>
      </c>
    </row>
    <row r="156" spans="1:32">
      <c r="A156" s="14">
        <f t="shared" si="23"/>
        <v>155</v>
      </c>
      <c r="B156" s="14" t="s">
        <v>81</v>
      </c>
      <c r="C156" s="14" t="s">
        <v>82</v>
      </c>
      <c r="D156" s="14" t="s">
        <v>88</v>
      </c>
      <c r="E156" s="14" t="s">
        <v>87</v>
      </c>
      <c r="F156" s="372">
        <f>F154+F155</f>
        <v>136.54075085324234</v>
      </c>
      <c r="G156" s="14" t="s">
        <v>228</v>
      </c>
      <c r="H156" s="373"/>
      <c r="I156" s="381" t="str">
        <f>IFERROR(VLOOKUP(H156,Parameter!$F$44:$H$92,3,0),"")</f>
        <v/>
      </c>
      <c r="J156" s="376" t="s">
        <v>455</v>
      </c>
      <c r="K156" s="367">
        <f>IFERROR(INDEX(Parameter!$D$122:$M$122,1,MATCH(Process!$J156,Parameter!$D$121:$M$121,0)),"")</f>
        <v>1.2</v>
      </c>
      <c r="L156" s="372">
        <f t="shared" si="25"/>
        <v>0</v>
      </c>
      <c r="M156" s="243">
        <f>M153</f>
        <v>10</v>
      </c>
      <c r="N156" s="382">
        <f t="shared" si="26"/>
        <v>10</v>
      </c>
      <c r="O156" s="373" t="s">
        <v>85</v>
      </c>
      <c r="P156" s="371">
        <f>N156*F156/3600/Parameter!$P$6/Parameter!$P$7</f>
        <v>5.5776450511945401E-2</v>
      </c>
      <c r="Q156" s="14"/>
      <c r="R156" s="14"/>
      <c r="S156" s="486"/>
      <c r="T156" s="14"/>
      <c r="U156" s="14"/>
      <c r="V156" s="14"/>
      <c r="W156" s="14"/>
      <c r="X156" s="459">
        <f>P156*Parameter!W$8</f>
        <v>5.4103156996587035E-2</v>
      </c>
      <c r="Y156" s="459">
        <f>X156*Parameter!X$8</f>
        <v>4.9887547209726962E-2</v>
      </c>
      <c r="Z156" s="459">
        <f>Y156*Parameter!Y$8</f>
        <v>4.738042158542663E-2</v>
      </c>
      <c r="AA156" s="459">
        <f>Z156*Parameter!Z$8</f>
        <v>4.6349271700620052E-2</v>
      </c>
      <c r="AB156" s="514">
        <f>VLOOKUP(O156,Parameter!$O$11:$P$22,2,0)*Process!P156</f>
        <v>5625.327114376094</v>
      </c>
      <c r="AC156" s="514">
        <f>VLOOKUP($O156,Parameter!$O$11:$P$22,2,0)*VLOOKUP($O156,Parameter!$O$11:$T$22,6,0)*X156</f>
        <v>5838.5270120109481</v>
      </c>
      <c r="AD156" s="514">
        <f>VLOOKUP($O156,Parameter!$O$11:$P$22,2,0)*VLOOKUP($O156,Parameter!$O$11:$T$22,6,0)^2*Y156</f>
        <v>5760.4527107893127</v>
      </c>
      <c r="AE156" s="514">
        <f>VLOOKUP($O156,Parameter!$O$11:$P$22,2,0)*VLOOKUP($O156,Parameter!$O$11:$T$22,6,0)^3*Z156</f>
        <v>5853.9251126056206</v>
      </c>
      <c r="AF156" s="514">
        <f>VLOOKUP($O156,Parameter!$O$11:$P$22,2,0)*VLOOKUP($O156,Parameter!$O$11:$T$22,6,0)^4*AA156</f>
        <v>6127.3816786316684</v>
      </c>
    </row>
    <row r="157" spans="1:32">
      <c r="A157" s="14">
        <f t="shared" si="23"/>
        <v>156</v>
      </c>
      <c r="B157" s="14" t="s">
        <v>81</v>
      </c>
      <c r="C157" s="14" t="s">
        <v>82</v>
      </c>
      <c r="D157" s="14" t="s">
        <v>91</v>
      </c>
      <c r="E157" s="14" t="s">
        <v>86</v>
      </c>
      <c r="F157" s="372">
        <f>Parameter!R109*Parameter!R111*(1-Parameter!T111)</f>
        <v>0</v>
      </c>
      <c r="G157" s="14" t="s">
        <v>228</v>
      </c>
      <c r="H157" s="373"/>
      <c r="I157" s="381" t="str">
        <f>IFERROR(VLOOKUP(H157,Parameter!$F$44:$H$92,3,0),"")</f>
        <v/>
      </c>
      <c r="J157" s="376" t="s">
        <v>644</v>
      </c>
      <c r="K157" s="367">
        <f>IFERROR(INDEX(Parameter!$D$122:$M$122,1,MATCH(Process!$J157,Parameter!$D$121:$M$121,0)),"")</f>
        <v>0.5</v>
      </c>
      <c r="L157" s="372">
        <f t="shared" si="25"/>
        <v>0</v>
      </c>
      <c r="M157" s="243">
        <v>15</v>
      </c>
      <c r="N157" s="382">
        <f t="shared" si="26"/>
        <v>15</v>
      </c>
      <c r="O157" s="373" t="s">
        <v>85</v>
      </c>
      <c r="P157" s="371">
        <f>N157*F157/3600/Parameter!$P$6/Parameter!$P$7</f>
        <v>0</v>
      </c>
      <c r="Q157" s="14"/>
      <c r="R157" s="14"/>
      <c r="S157" s="486"/>
      <c r="T157" s="14"/>
      <c r="U157" s="14"/>
      <c r="V157" s="14"/>
      <c r="W157" s="14"/>
      <c r="X157" s="459">
        <f>P157*Parameter!W$8</f>
        <v>0</v>
      </c>
      <c r="Y157" s="459">
        <f>X157*Parameter!X$8</f>
        <v>0</v>
      </c>
      <c r="Z157" s="459">
        <f>Y157*Parameter!Y$8</f>
        <v>0</v>
      </c>
      <c r="AA157" s="459">
        <f>Z157*Parameter!Z$8</f>
        <v>0</v>
      </c>
      <c r="AB157" s="514">
        <f>VLOOKUP(O157,Parameter!$O$11:$P$22,2,0)*Process!P157</f>
        <v>0</v>
      </c>
      <c r="AC157" s="514">
        <f>VLOOKUP($O157,Parameter!$O$11:$P$22,2,0)*VLOOKUP($O157,Parameter!$O$11:$T$22,6,0)*X157</f>
        <v>0</v>
      </c>
      <c r="AD157" s="514">
        <f>VLOOKUP($O157,Parameter!$O$11:$P$22,2,0)*VLOOKUP($O157,Parameter!$O$11:$T$22,6,0)^2*Y157</f>
        <v>0</v>
      </c>
      <c r="AE157" s="514">
        <f>VLOOKUP($O157,Parameter!$O$11:$P$22,2,0)*VLOOKUP($O157,Parameter!$O$11:$T$22,6,0)^3*Z157</f>
        <v>0</v>
      </c>
      <c r="AF157" s="514">
        <f>VLOOKUP($O157,Parameter!$O$11:$P$22,2,0)*VLOOKUP($O157,Parameter!$O$11:$T$22,6,0)^4*AA157</f>
        <v>0</v>
      </c>
    </row>
    <row r="158" spans="1:32">
      <c r="A158" s="14">
        <f t="shared" si="23"/>
        <v>157</v>
      </c>
      <c r="B158" s="14" t="s">
        <v>81</v>
      </c>
      <c r="C158" s="14" t="s">
        <v>82</v>
      </c>
      <c r="D158" s="14" t="s">
        <v>91</v>
      </c>
      <c r="E158" s="14" t="s">
        <v>87</v>
      </c>
      <c r="F158" s="372">
        <f>F157</f>
        <v>0</v>
      </c>
      <c r="G158" s="14" t="s">
        <v>228</v>
      </c>
      <c r="H158" s="373"/>
      <c r="I158" s="381" t="str">
        <f>IFERROR(VLOOKUP(H158,Parameter!$F$44:$H$92,3,0),"")</f>
        <v/>
      </c>
      <c r="J158" s="376" t="s">
        <v>644</v>
      </c>
      <c r="K158" s="367">
        <f>IFERROR(INDEX(Parameter!$D$122:$M$122,1,MATCH(Process!$J158,Parameter!$D$121:$M$121,0)),"")</f>
        <v>0.5</v>
      </c>
      <c r="L158" s="372">
        <f t="shared" si="25"/>
        <v>0</v>
      </c>
      <c r="M158" s="243">
        <f>M153</f>
        <v>10</v>
      </c>
      <c r="N158" s="382">
        <f t="shared" si="26"/>
        <v>10</v>
      </c>
      <c r="O158" s="373" t="s">
        <v>85</v>
      </c>
      <c r="P158" s="371">
        <f>N158*F158/3600/Parameter!$P$6/Parameter!$P$7</f>
        <v>0</v>
      </c>
      <c r="Q158" s="14"/>
      <c r="R158" s="14"/>
      <c r="S158" s="486"/>
      <c r="T158" s="14"/>
      <c r="U158" s="14"/>
      <c r="V158" s="14"/>
      <c r="W158" s="14"/>
      <c r="X158" s="459">
        <f>P158*Parameter!W$8</f>
        <v>0</v>
      </c>
      <c r="Y158" s="459">
        <f>X158*Parameter!X$8</f>
        <v>0</v>
      </c>
      <c r="Z158" s="459">
        <f>Y158*Parameter!Y$8</f>
        <v>0</v>
      </c>
      <c r="AA158" s="459">
        <f>Z158*Parameter!Z$8</f>
        <v>0</v>
      </c>
      <c r="AB158" s="514">
        <f>VLOOKUP(O158,Parameter!$O$11:$P$22,2,0)*Process!P158</f>
        <v>0</v>
      </c>
      <c r="AC158" s="514">
        <f>VLOOKUP($O158,Parameter!$O$11:$P$22,2,0)*VLOOKUP($O158,Parameter!$O$11:$T$22,6,0)*X158</f>
        <v>0</v>
      </c>
      <c r="AD158" s="514">
        <f>VLOOKUP($O158,Parameter!$O$11:$P$22,2,0)*VLOOKUP($O158,Parameter!$O$11:$T$22,6,0)^2*Y158</f>
        <v>0</v>
      </c>
      <c r="AE158" s="514">
        <f>VLOOKUP($O158,Parameter!$O$11:$P$22,2,0)*VLOOKUP($O158,Parameter!$O$11:$T$22,6,0)^3*Z158</f>
        <v>0</v>
      </c>
      <c r="AF158" s="514">
        <f>VLOOKUP($O158,Parameter!$O$11:$P$22,2,0)*VLOOKUP($O158,Parameter!$O$11:$T$22,6,0)^4*AA158</f>
        <v>0</v>
      </c>
    </row>
    <row r="159" spans="1:32">
      <c r="A159" s="14">
        <f t="shared" si="23"/>
        <v>158</v>
      </c>
      <c r="B159" s="14" t="s">
        <v>81</v>
      </c>
      <c r="C159" s="14" t="s">
        <v>82</v>
      </c>
      <c r="D159" s="14" t="s">
        <v>92</v>
      </c>
      <c r="E159" s="14" t="s">
        <v>86</v>
      </c>
      <c r="F159" s="372">
        <f>Parameter!R109*Parameter!R113</f>
        <v>4.0123793490598603</v>
      </c>
      <c r="G159" s="14" t="s">
        <v>228</v>
      </c>
      <c r="H159" s="373"/>
      <c r="I159" s="381" t="str">
        <f>IFERROR(VLOOKUP(H159,Parameter!$F$44:$H$92,3,0),"")</f>
        <v/>
      </c>
      <c r="J159" s="376" t="s">
        <v>464</v>
      </c>
      <c r="K159" s="367">
        <f>IFERROR(INDEX(Parameter!$D$122:$M$122,1,MATCH(Process!$J159,Parameter!$D$121:$M$121,0)),"")</f>
        <v>2.7777777777777777</v>
      </c>
      <c r="L159" s="372">
        <f t="shared" si="25"/>
        <v>0</v>
      </c>
      <c r="M159" s="243">
        <v>10</v>
      </c>
      <c r="N159" s="382">
        <f t="shared" si="26"/>
        <v>10</v>
      </c>
      <c r="O159" s="373" t="s">
        <v>85</v>
      </c>
      <c r="P159" s="371">
        <f>N159*F159/3600/Parameter!$P$6/Parameter!$P$7</f>
        <v>1.6390438517401389E-3</v>
      </c>
      <c r="Q159" s="14"/>
      <c r="R159" s="14"/>
      <c r="S159" s="486"/>
      <c r="T159" s="14"/>
      <c r="U159" s="14"/>
      <c r="V159" s="14"/>
      <c r="W159" s="14"/>
      <c r="X159" s="459">
        <f>P159*Parameter!W$8</f>
        <v>1.5898725361879345E-3</v>
      </c>
      <c r="Y159" s="459">
        <f>X159*Parameter!X$8</f>
        <v>1.465992847913243E-3</v>
      </c>
      <c r="Z159" s="459">
        <f>Y159*Parameter!Y$8</f>
        <v>1.3923185857052248E-3</v>
      </c>
      <c r="AA159" s="459">
        <f>Z159*Parameter!Z$8</f>
        <v>1.3620172692284294E-3</v>
      </c>
      <c r="AB159" s="514">
        <f>VLOOKUP(O159,Parameter!$O$11:$P$22,2,0)*Process!P159</f>
        <v>165.30556778385517</v>
      </c>
      <c r="AC159" s="514">
        <f>VLOOKUP($O159,Parameter!$O$11:$P$22,2,0)*VLOOKUP($O159,Parameter!$O$11:$T$22,6,0)*X159</f>
        <v>171.57064880286327</v>
      </c>
      <c r="AD159" s="514">
        <f>VLOOKUP($O159,Parameter!$O$11:$P$22,2,0)*VLOOKUP($O159,Parameter!$O$11:$T$22,6,0)^2*Y159</f>
        <v>169.27636147870265</v>
      </c>
      <c r="AE159" s="514">
        <f>VLOOKUP($O159,Parameter!$O$11:$P$22,2,0)*VLOOKUP($O159,Parameter!$O$11:$T$22,6,0)^3*Z159</f>
        <v>172.02313657999011</v>
      </c>
      <c r="AF159" s="514">
        <f>VLOOKUP($O159,Parameter!$O$11:$P$22,2,0)*VLOOKUP($O159,Parameter!$O$11:$T$22,6,0)^4*AA159</f>
        <v>180.058916898549</v>
      </c>
    </row>
    <row r="160" spans="1:32">
      <c r="A160" s="14">
        <f t="shared" si="23"/>
        <v>159</v>
      </c>
      <c r="B160" s="14" t="s">
        <v>81</v>
      </c>
      <c r="C160" s="14" t="s">
        <v>82</v>
      </c>
      <c r="D160" s="14" t="s">
        <v>92</v>
      </c>
      <c r="E160" s="14" t="s">
        <v>87</v>
      </c>
      <c r="F160" s="372">
        <f>F159</f>
        <v>4.0123793490598603</v>
      </c>
      <c r="G160" s="14" t="s">
        <v>228</v>
      </c>
      <c r="H160" s="373"/>
      <c r="I160" s="381" t="str">
        <f>IFERROR(VLOOKUP(H160,Parameter!$F$44:$H$92,3,0),"")</f>
        <v/>
      </c>
      <c r="J160" s="376" t="s">
        <v>464</v>
      </c>
      <c r="K160" s="367">
        <f>IFERROR(INDEX(Parameter!$D$122:$M$122,1,MATCH(Process!$J160,Parameter!$D$121:$M$121,0)),"")</f>
        <v>2.7777777777777777</v>
      </c>
      <c r="L160" s="372">
        <f t="shared" si="25"/>
        <v>0</v>
      </c>
      <c r="M160" s="243">
        <v>10</v>
      </c>
      <c r="N160" s="382">
        <f t="shared" si="26"/>
        <v>10</v>
      </c>
      <c r="O160" s="373" t="s">
        <v>85</v>
      </c>
      <c r="P160" s="371">
        <f>N160*F160/3600/Parameter!$P$6/Parameter!$P$7</f>
        <v>1.6390438517401389E-3</v>
      </c>
      <c r="Q160" s="14"/>
      <c r="R160" s="14"/>
      <c r="S160" s="486"/>
      <c r="T160" s="14"/>
      <c r="U160" s="14"/>
      <c r="V160" s="14"/>
      <c r="W160" s="14"/>
      <c r="X160" s="459">
        <f>P160*Parameter!W$8</f>
        <v>1.5898725361879345E-3</v>
      </c>
      <c r="Y160" s="459">
        <f>X160*Parameter!X$8</f>
        <v>1.465992847913243E-3</v>
      </c>
      <c r="Z160" s="459">
        <f>Y160*Parameter!Y$8</f>
        <v>1.3923185857052248E-3</v>
      </c>
      <c r="AA160" s="459">
        <f>Z160*Parameter!Z$8</f>
        <v>1.3620172692284294E-3</v>
      </c>
      <c r="AB160" s="514">
        <f>VLOOKUP(O160,Parameter!$O$11:$P$22,2,0)*Process!P160</f>
        <v>165.30556778385517</v>
      </c>
      <c r="AC160" s="514">
        <f>VLOOKUP($O160,Parameter!$O$11:$P$22,2,0)*VLOOKUP($O160,Parameter!$O$11:$T$22,6,0)*X160</f>
        <v>171.57064880286327</v>
      </c>
      <c r="AD160" s="514">
        <f>VLOOKUP($O160,Parameter!$O$11:$P$22,2,0)*VLOOKUP($O160,Parameter!$O$11:$T$22,6,0)^2*Y160</f>
        <v>169.27636147870265</v>
      </c>
      <c r="AE160" s="514">
        <f>VLOOKUP($O160,Parameter!$O$11:$P$22,2,0)*VLOOKUP($O160,Parameter!$O$11:$T$22,6,0)^3*Z160</f>
        <v>172.02313657999011</v>
      </c>
      <c r="AF160" s="514">
        <f>VLOOKUP($O160,Parameter!$O$11:$P$22,2,0)*VLOOKUP($O160,Parameter!$O$11:$T$22,6,0)^4*AA160</f>
        <v>180.058916898549</v>
      </c>
    </row>
    <row r="161" spans="1:32">
      <c r="A161" s="14">
        <f t="shared" si="23"/>
        <v>160</v>
      </c>
      <c r="B161" s="14" t="s">
        <v>81</v>
      </c>
      <c r="C161" s="14" t="s">
        <v>82</v>
      </c>
      <c r="D161" s="14" t="s">
        <v>677</v>
      </c>
      <c r="E161" s="14" t="s">
        <v>86</v>
      </c>
      <c r="F161" s="372">
        <f>Parameter!R109*Parameter!R114</f>
        <v>20.079522184300345</v>
      </c>
      <c r="G161" s="14" t="s">
        <v>228</v>
      </c>
      <c r="H161" s="373"/>
      <c r="I161" s="381" t="str">
        <f>IFERROR(VLOOKUP(H161,Parameter!$F$44:$H$92,3,0),"")</f>
        <v/>
      </c>
      <c r="J161" s="376" t="s">
        <v>639</v>
      </c>
      <c r="K161" s="367">
        <f>IFERROR(INDEX(Parameter!$D$122:$M$122,1,MATCH(Process!$J161,Parameter!$D$121:$M$121,0)),"")</f>
        <v>0.5</v>
      </c>
      <c r="L161" s="372">
        <f t="shared" ref="L161:L162" si="28">IFERROR(I161/K161,0)</f>
        <v>0</v>
      </c>
      <c r="M161" s="243">
        <v>10</v>
      </c>
      <c r="N161" s="382">
        <f t="shared" ref="N161:N162" si="29">L161+M161</f>
        <v>10</v>
      </c>
      <c r="O161" s="373" t="s">
        <v>641</v>
      </c>
      <c r="P161" s="371">
        <f>N161*F161/3600/Parameter!$P$6/Parameter!$P$7</f>
        <v>8.2024191929331476E-3</v>
      </c>
      <c r="Q161" s="14"/>
      <c r="R161" s="14"/>
      <c r="S161" s="486"/>
      <c r="T161" s="14"/>
      <c r="U161" s="14"/>
      <c r="V161" s="14"/>
      <c r="W161" s="14"/>
      <c r="X161" s="459">
        <f>P161*Parameter!W$8</f>
        <v>7.9563466171451522E-3</v>
      </c>
      <c r="Y161" s="459">
        <f>X161*Parameter!X$8</f>
        <v>7.336404001430436E-3</v>
      </c>
      <c r="Z161" s="459">
        <f>Y161*Parameter!Y$8</f>
        <v>6.9677090566803868E-3</v>
      </c>
      <c r="AA161" s="459">
        <f>Z161*Parameter!Z$8</f>
        <v>6.8160693677382428E-3</v>
      </c>
      <c r="AB161" s="514">
        <f>VLOOKUP(O161,Parameter!$O$11:$P$22,2,0)*Process!P161</f>
        <v>827.25398740824915</v>
      </c>
      <c r="AC161" s="514">
        <f>VLOOKUP($O161,Parameter!$O$11:$P$22,2,0)*VLOOKUP($O161,Parameter!$O$11:$T$22,6,0)*X161</f>
        <v>858.60691353102175</v>
      </c>
      <c r="AD161" s="514">
        <f>VLOOKUP($O161,Parameter!$O$11:$P$22,2,0)*VLOOKUP($O161,Parameter!$O$11:$T$22,6,0)^2*Y161</f>
        <v>847.12539864548728</v>
      </c>
      <c r="AE161" s="514">
        <f>VLOOKUP($O161,Parameter!$O$11:$P$22,2,0)*VLOOKUP($O161,Parameter!$O$11:$T$22,6,0)^3*Z161</f>
        <v>860.87134008906185</v>
      </c>
      <c r="AF161" s="514">
        <f>VLOOKUP($O161,Parameter!$O$11:$P$22,2,0)*VLOOKUP($O161,Parameter!$O$11:$T$22,6,0)^4*AA161</f>
        <v>901.08554097524529</v>
      </c>
    </row>
    <row r="162" spans="1:32">
      <c r="A162" s="14">
        <f t="shared" si="23"/>
        <v>161</v>
      </c>
      <c r="B162" s="14" t="s">
        <v>81</v>
      </c>
      <c r="C162" s="14" t="s">
        <v>82</v>
      </c>
      <c r="D162" s="14" t="s">
        <v>677</v>
      </c>
      <c r="E162" s="14" t="s">
        <v>87</v>
      </c>
      <c r="F162" s="372">
        <f>F161</f>
        <v>20.079522184300345</v>
      </c>
      <c r="G162" s="14" t="s">
        <v>228</v>
      </c>
      <c r="H162" s="373"/>
      <c r="I162" s="381" t="str">
        <f>IFERROR(VLOOKUP(H162,Parameter!$F$44:$H$92,3,0),"")</f>
        <v/>
      </c>
      <c r="J162" s="376" t="s">
        <v>639</v>
      </c>
      <c r="K162" s="367">
        <f>IFERROR(INDEX(Parameter!$D$122:$M$122,1,MATCH(Process!$J162,Parameter!$D$121:$M$121,0)),"")</f>
        <v>0.5</v>
      </c>
      <c r="L162" s="372">
        <f t="shared" si="28"/>
        <v>0</v>
      </c>
      <c r="M162" s="243">
        <v>10</v>
      </c>
      <c r="N162" s="382">
        <f t="shared" si="29"/>
        <v>10</v>
      </c>
      <c r="O162" s="373" t="s">
        <v>641</v>
      </c>
      <c r="P162" s="371">
        <f>N162*F162/3600/Parameter!$P$6/Parameter!$P$7</f>
        <v>8.2024191929331476E-3</v>
      </c>
      <c r="Q162" s="14"/>
      <c r="R162" s="14"/>
      <c r="S162" s="486"/>
      <c r="T162" s="14"/>
      <c r="U162" s="14"/>
      <c r="V162" s="14"/>
      <c r="W162" s="14"/>
      <c r="X162" s="459">
        <f>P162*Parameter!W$8</f>
        <v>7.9563466171451522E-3</v>
      </c>
      <c r="Y162" s="459">
        <f>X162*Parameter!X$8</f>
        <v>7.336404001430436E-3</v>
      </c>
      <c r="Z162" s="459">
        <f>Y162*Parameter!Y$8</f>
        <v>6.9677090566803868E-3</v>
      </c>
      <c r="AA162" s="459">
        <f>Z162*Parameter!Z$8</f>
        <v>6.8160693677382428E-3</v>
      </c>
      <c r="AB162" s="514">
        <f>VLOOKUP(O162,Parameter!$O$11:$P$22,2,0)*Process!P162</f>
        <v>827.25398740824915</v>
      </c>
      <c r="AC162" s="514">
        <f>VLOOKUP($O162,Parameter!$O$11:$P$22,2,0)*VLOOKUP($O162,Parameter!$O$11:$T$22,6,0)*X162</f>
        <v>858.60691353102175</v>
      </c>
      <c r="AD162" s="514">
        <f>VLOOKUP($O162,Parameter!$O$11:$P$22,2,0)*VLOOKUP($O162,Parameter!$O$11:$T$22,6,0)^2*Y162</f>
        <v>847.12539864548728</v>
      </c>
      <c r="AE162" s="514">
        <f>VLOOKUP($O162,Parameter!$O$11:$P$22,2,0)*VLOOKUP($O162,Parameter!$O$11:$T$22,6,0)^3*Z162</f>
        <v>860.87134008906185</v>
      </c>
      <c r="AF162" s="514">
        <f>VLOOKUP($O162,Parameter!$O$11:$P$22,2,0)*VLOOKUP($O162,Parameter!$O$11:$T$22,6,0)^4*AA162</f>
        <v>901.08554097524529</v>
      </c>
    </row>
    <row r="163" spans="1:32">
      <c r="A163" s="14">
        <f t="shared" si="23"/>
        <v>162</v>
      </c>
      <c r="B163" s="14" t="s">
        <v>81</v>
      </c>
      <c r="C163" s="14" t="s">
        <v>82</v>
      </c>
      <c r="D163" s="14" t="s">
        <v>679</v>
      </c>
      <c r="E163" s="14" t="s">
        <v>86</v>
      </c>
      <c r="F163" s="372">
        <f>Parameter!R109*Parameter!R115</f>
        <v>4.015904436860068</v>
      </c>
      <c r="G163" s="14" t="s">
        <v>228</v>
      </c>
      <c r="H163" s="373"/>
      <c r="I163" s="381" t="str">
        <f>IFERROR(VLOOKUP(H163,Parameter!$F$44:$H$92,3,0),"")</f>
        <v/>
      </c>
      <c r="J163" s="376" t="s">
        <v>636</v>
      </c>
      <c r="K163" s="367">
        <f>IFERROR(INDEX(Parameter!$D$122:$M$122,1,MATCH(Process!$J163,Parameter!$D$121:$M$121,0)),"")</f>
        <v>0.42</v>
      </c>
      <c r="L163" s="372">
        <f t="shared" ref="L163:L164" si="30">IFERROR(I163/K163,0)</f>
        <v>0</v>
      </c>
      <c r="M163" s="243">
        <v>10</v>
      </c>
      <c r="N163" s="382">
        <f t="shared" ref="N163:N164" si="31">L163+M163</f>
        <v>10</v>
      </c>
      <c r="O163" s="373" t="s">
        <v>85</v>
      </c>
      <c r="P163" s="371">
        <f>N163*F163/3600/Parameter!$P$6/Parameter!$P$7</f>
        <v>1.6404838385866293E-3</v>
      </c>
      <c r="Q163" s="14"/>
      <c r="R163" s="14"/>
      <c r="S163" s="486"/>
      <c r="T163" s="14"/>
      <c r="U163" s="14"/>
      <c r="V163" s="14"/>
      <c r="W163" s="14"/>
      <c r="X163" s="459">
        <f>P163*Parameter!W$8</f>
        <v>1.5912693234290301E-3</v>
      </c>
      <c r="Y163" s="459">
        <f>X163*Parameter!X$8</f>
        <v>1.4672808002860868E-3</v>
      </c>
      <c r="Z163" s="459">
        <f>Y163*Parameter!Y$8</f>
        <v>1.393541811336077E-3</v>
      </c>
      <c r="AA163" s="459">
        <f>Z163*Parameter!Z$8</f>
        <v>1.3632138735476481E-3</v>
      </c>
      <c r="AB163" s="514">
        <f>VLOOKUP(O163,Parameter!$O$11:$P$22,2,0)*Process!P163</f>
        <v>165.4507974816498</v>
      </c>
      <c r="AC163" s="514">
        <f>VLOOKUP($O163,Parameter!$O$11:$P$22,2,0)*VLOOKUP($O163,Parameter!$O$11:$T$22,6,0)*X163</f>
        <v>171.72138270620431</v>
      </c>
      <c r="AD163" s="514">
        <f>VLOOKUP($O163,Parameter!$O$11:$P$22,2,0)*VLOOKUP($O163,Parameter!$O$11:$T$22,6,0)^2*Y163</f>
        <v>169.4250797290974</v>
      </c>
      <c r="AE163" s="514">
        <f>VLOOKUP($O163,Parameter!$O$11:$P$22,2,0)*VLOOKUP($O163,Parameter!$O$11:$T$22,6,0)^3*Z163</f>
        <v>172.17426801781232</v>
      </c>
      <c r="AF163" s="514">
        <f>VLOOKUP($O163,Parameter!$O$11:$P$22,2,0)*VLOOKUP($O163,Parameter!$O$11:$T$22,6,0)^4*AA163</f>
        <v>180.21710819504901</v>
      </c>
    </row>
    <row r="164" spans="1:32">
      <c r="A164" s="14">
        <f t="shared" si="23"/>
        <v>163</v>
      </c>
      <c r="B164" s="14" t="s">
        <v>81</v>
      </c>
      <c r="C164" s="14" t="s">
        <v>82</v>
      </c>
      <c r="D164" s="14" t="s">
        <v>679</v>
      </c>
      <c r="E164" s="14" t="s">
        <v>87</v>
      </c>
      <c r="F164" s="372">
        <f>F163</f>
        <v>4.015904436860068</v>
      </c>
      <c r="G164" s="14" t="s">
        <v>228</v>
      </c>
      <c r="H164" s="373"/>
      <c r="I164" s="381" t="str">
        <f>IFERROR(VLOOKUP(H164,Parameter!$F$44:$H$92,3,0),"")</f>
        <v/>
      </c>
      <c r="J164" s="376" t="s">
        <v>636</v>
      </c>
      <c r="K164" s="367">
        <f>IFERROR(INDEX(Parameter!$D$122:$M$122,1,MATCH(Process!$J164,Parameter!$D$121:$M$121,0)),"")</f>
        <v>0.42</v>
      </c>
      <c r="L164" s="372">
        <f t="shared" si="30"/>
        <v>0</v>
      </c>
      <c r="M164" s="243">
        <v>10</v>
      </c>
      <c r="N164" s="382">
        <f t="shared" si="31"/>
        <v>10</v>
      </c>
      <c r="O164" s="373" t="s">
        <v>85</v>
      </c>
      <c r="P164" s="371">
        <f>N164*F164/3600/Parameter!$P$6/Parameter!$P$7</f>
        <v>1.6404838385866293E-3</v>
      </c>
      <c r="Q164" s="14"/>
      <c r="R164" s="14"/>
      <c r="S164" s="486"/>
      <c r="T164" s="14"/>
      <c r="U164" s="14"/>
      <c r="V164" s="14"/>
      <c r="W164" s="14"/>
      <c r="X164" s="459">
        <f>P164*Parameter!W$8</f>
        <v>1.5912693234290301E-3</v>
      </c>
      <c r="Y164" s="459">
        <f>X164*Parameter!X$8</f>
        <v>1.4672808002860868E-3</v>
      </c>
      <c r="Z164" s="459">
        <f>Y164*Parameter!Y$8</f>
        <v>1.393541811336077E-3</v>
      </c>
      <c r="AA164" s="459">
        <f>Z164*Parameter!Z$8</f>
        <v>1.3632138735476481E-3</v>
      </c>
      <c r="AB164" s="514">
        <f>VLOOKUP(O164,Parameter!$O$11:$P$22,2,0)*Process!P164</f>
        <v>165.4507974816498</v>
      </c>
      <c r="AC164" s="514">
        <f>VLOOKUP($O164,Parameter!$O$11:$P$22,2,0)*VLOOKUP($O164,Parameter!$O$11:$T$22,6,0)*X164</f>
        <v>171.72138270620431</v>
      </c>
      <c r="AD164" s="514">
        <f>VLOOKUP($O164,Parameter!$O$11:$P$22,2,0)*VLOOKUP($O164,Parameter!$O$11:$T$22,6,0)^2*Y164</f>
        <v>169.4250797290974</v>
      </c>
      <c r="AE164" s="514">
        <f>VLOOKUP($O164,Parameter!$O$11:$P$22,2,0)*VLOOKUP($O164,Parameter!$O$11:$T$22,6,0)^3*Z164</f>
        <v>172.17426801781232</v>
      </c>
      <c r="AF164" s="514">
        <f>VLOOKUP($O164,Parameter!$O$11:$P$22,2,0)*VLOOKUP($O164,Parameter!$O$11:$T$22,6,0)^4*AA164</f>
        <v>180.21710819504901</v>
      </c>
    </row>
    <row r="171" spans="1:32">
      <c r="N171" s="693"/>
    </row>
  </sheetData>
  <autoFilter ref="A1:AF164" xr:uid="{00000000-0009-0000-0000-000009000000}"/>
  <phoneticPr fontId="26" type="noConversion"/>
  <conditionalFormatting sqref="M2:M164">
    <cfRule type="expression" dxfId="15" priority="1">
      <formula>$L2&lt;&gt;0</formula>
    </cfRule>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Parameter!$F$44:$F$92</xm:f>
          </x14:formula1>
          <xm:sqref>H2:H164</xm:sqref>
        </x14:dataValidation>
        <x14:dataValidation type="list" allowBlank="1" showInputMessage="1" showErrorMessage="1" xr:uid="{00000000-0002-0000-0900-000001000000}">
          <x14:formula1>
            <xm:f>Parameter!$O$11:$O$19</xm:f>
          </x14:formula1>
          <xm:sqref>O2:O164</xm:sqref>
        </x14:dataValidation>
        <x14:dataValidation type="list" allowBlank="1" showInputMessage="1" showErrorMessage="1" xr:uid="{00000000-0002-0000-0900-000002000000}">
          <x14:formula1>
            <xm:f>Parameter!$D$121:$M$121</xm:f>
          </x14:formula1>
          <xm:sqref>J2:J164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4"/>
  <sheetViews>
    <sheetView showGridLines="0" zoomScale="85" zoomScaleNormal="85" workbookViewId="0">
      <selection activeCell="B26" sqref="B26"/>
    </sheetView>
  </sheetViews>
  <sheetFormatPr defaultColWidth="9.06640625" defaultRowHeight="13.15"/>
  <cols>
    <col min="1" max="1" width="9.06640625" style="7"/>
    <col min="2" max="2" width="20.06640625" style="7" customWidth="1"/>
    <col min="3" max="3" width="39.53125" style="7" customWidth="1"/>
    <col min="4" max="4" width="14.59765625" style="7" customWidth="1"/>
    <col min="5" max="9" width="14.06640625" style="7" customWidth="1"/>
    <col min="10" max="10" width="14.59765625" style="7" customWidth="1"/>
    <col min="11" max="15" width="14.06640625" style="7" customWidth="1"/>
    <col min="16" max="16384" width="9.06640625" style="7"/>
  </cols>
  <sheetData>
    <row r="1" spans="1:16" ht="14.65">
      <c r="C1" s="482"/>
      <c r="D1" s="482"/>
    </row>
    <row r="2" spans="1:16" s="507" customFormat="1" ht="38.25">
      <c r="A2" s="505" t="s">
        <v>761</v>
      </c>
      <c r="B2" s="505" t="s">
        <v>687</v>
      </c>
      <c r="C2" s="505" t="s">
        <v>689</v>
      </c>
      <c r="D2" s="510" t="s">
        <v>703</v>
      </c>
      <c r="E2" s="506" t="s">
        <v>22</v>
      </c>
      <c r="F2" s="506" t="s">
        <v>23</v>
      </c>
      <c r="G2" s="506" t="s">
        <v>24</v>
      </c>
      <c r="H2" s="506" t="s">
        <v>25</v>
      </c>
      <c r="I2" s="506" t="s">
        <v>26</v>
      </c>
      <c r="J2" s="511" t="s">
        <v>27</v>
      </c>
      <c r="K2" s="504" t="s">
        <v>697</v>
      </c>
      <c r="L2" s="504" t="s">
        <v>698</v>
      </c>
      <c r="M2" s="504" t="s">
        <v>699</v>
      </c>
      <c r="N2" s="504" t="s">
        <v>700</v>
      </c>
      <c r="O2" s="504" t="s">
        <v>701</v>
      </c>
    </row>
    <row r="3" spans="1:16">
      <c r="A3" s="474" t="s">
        <v>534</v>
      </c>
      <c r="B3" s="474" t="s">
        <v>755</v>
      </c>
      <c r="C3" s="483" t="s">
        <v>464</v>
      </c>
      <c r="D3" s="509">
        <v>4300</v>
      </c>
      <c r="E3" s="502">
        <f>ROUNDUP(SUMIF(Process!J:J,'MHE&amp;INV list'!C3,Process!P:P),0)</f>
        <v>4</v>
      </c>
      <c r="F3" s="502">
        <f>ROUND(E3*Parameter!$W$6,0)</f>
        <v>4</v>
      </c>
      <c r="G3" s="502">
        <f>ROUND(F3*Parameter!$X$6,0)</f>
        <v>4</v>
      </c>
      <c r="H3" s="502">
        <f>ROUND(G3*Parameter!$Y$6,0)</f>
        <v>4</v>
      </c>
      <c r="I3" s="502">
        <f>ROUND(H3*Parameter!$Z$6,0)</f>
        <v>4</v>
      </c>
      <c r="J3" s="9"/>
      <c r="K3" s="508">
        <f>IF($B3&lt;&gt;"",IF($B3="Lease/Consume",$D3*12*E3,-PMT(Parameter!$E$124,$J3,$D3*E3)))</f>
        <v>206400</v>
      </c>
      <c r="L3" s="508">
        <f>IF($B3&lt;&gt;"",IF($B3="Lease/Consume",$D3*12*F3,-PMT(Parameter!$E$124,$J3,$D3*F3)))</f>
        <v>206400</v>
      </c>
      <c r="M3" s="508">
        <f>IF($B3&lt;&gt;"",IF($B3="Lease/Consume",$D3*12*G3,-PMT(Parameter!$E$124,$J3,$D3*G3)))</f>
        <v>206400</v>
      </c>
      <c r="N3" s="508">
        <f>IF($B3&lt;&gt;"",IF($B3="Lease/Consume",$D3*12*H3,-PMT(Parameter!$E$124,$J3,$D3*H3)))</f>
        <v>206400</v>
      </c>
      <c r="O3" s="508">
        <f>IF($B3&lt;&gt;"",IF($B3="Lease/Consume",$D3*12*I3,-PMT(Parameter!$E$124,$J3,$D3*I3)))</f>
        <v>206400</v>
      </c>
    </row>
    <row r="4" spans="1:16">
      <c r="A4" s="474" t="s">
        <v>534</v>
      </c>
      <c r="B4" s="474" t="s">
        <v>755</v>
      </c>
      <c r="C4" s="483" t="s">
        <v>678</v>
      </c>
      <c r="D4" s="509">
        <v>6400</v>
      </c>
      <c r="E4" s="502">
        <f>ROUNDUP(SUMIF(Process!J:J,'MHE&amp;INV list'!C4,Process!P:P),0)</f>
        <v>3</v>
      </c>
      <c r="F4" s="502">
        <f>ROUND(E4*Parameter!$W$6,0)</f>
        <v>3</v>
      </c>
      <c r="G4" s="502">
        <f>ROUND(F4*Parameter!$X$6,0)</f>
        <v>3</v>
      </c>
      <c r="H4" s="502">
        <f>ROUND(G4*Parameter!$Y$6,0)</f>
        <v>3</v>
      </c>
      <c r="I4" s="502">
        <f>ROUND(H4*Parameter!$Z$6,0)</f>
        <v>3</v>
      </c>
      <c r="J4" s="9"/>
      <c r="K4" s="508">
        <f>IF($B4&lt;&gt;"",IF($B4="Lease/Consume",$D4*12*E4,-PMT(Parameter!$E$124,$J4,$D4*E4)))</f>
        <v>230400</v>
      </c>
      <c r="L4" s="508">
        <f>IF($B4&lt;&gt;"",IF($B4="Lease/Consume",$D4*12*F4,-PMT(Parameter!$E$124,$J4,$D4*F4)))</f>
        <v>230400</v>
      </c>
      <c r="M4" s="508">
        <f>IF($B4&lt;&gt;"",IF($B4="Lease/Consume",$D4*12*G4,-PMT(Parameter!$E$124,$J4,$D4*G4)))</f>
        <v>230400</v>
      </c>
      <c r="N4" s="508">
        <f>IF($B4&lt;&gt;"",IF($B4="Lease/Consume",$D4*12*H4,-PMT(Parameter!$E$124,$J4,$D4*H4)))</f>
        <v>230400</v>
      </c>
      <c r="O4" s="508">
        <f>IF($B4&lt;&gt;"",IF($B4="Lease/Consume",$D4*12*I4,-PMT(Parameter!$E$124,$J4,$D4*I4)))</f>
        <v>230400</v>
      </c>
    </row>
    <row r="5" spans="1:16">
      <c r="A5" s="474" t="s">
        <v>534</v>
      </c>
      <c r="B5" s="474" t="s">
        <v>755</v>
      </c>
      <c r="C5" s="483" t="s">
        <v>688</v>
      </c>
      <c r="D5" s="509">
        <v>18400</v>
      </c>
      <c r="E5" s="502">
        <f>ROUNDUP(SUMIF(Process!J:J,'MHE&amp;INV list'!C5,Process!P:P),0)</f>
        <v>0</v>
      </c>
      <c r="F5" s="502">
        <f>ROUND(E5*Parameter!$W$6,0)</f>
        <v>0</v>
      </c>
      <c r="G5" s="502">
        <f>ROUND(F5*Parameter!$X$6,0)</f>
        <v>0</v>
      </c>
      <c r="H5" s="502">
        <f>ROUND(G5*Parameter!$Y$6,0)</f>
        <v>0</v>
      </c>
      <c r="I5" s="502">
        <f>ROUND(H5*Parameter!$Z$6,0)</f>
        <v>0</v>
      </c>
      <c r="J5" s="9"/>
      <c r="K5" s="508">
        <f>IF($B5&lt;&gt;"",IF($B5="Lease/Consume",$D5*12*E5,-PMT(Parameter!$E$124,$J5,$D5*E5)))</f>
        <v>0</v>
      </c>
      <c r="L5" s="508">
        <f>IF($B5&lt;&gt;"",IF($B5="Lease/Consume",$D5*12*F5,-PMT(Parameter!$E$124,$J5,$D5*F5)))</f>
        <v>0</v>
      </c>
      <c r="M5" s="508">
        <f>IF($B5&lt;&gt;"",IF($B5="Lease/Consume",$D5*12*G5,-PMT(Parameter!$E$124,$J5,$D5*G5)))</f>
        <v>0</v>
      </c>
      <c r="N5" s="508">
        <f>IF($B5&lt;&gt;"",IF($B5="Lease/Consume",$D5*12*H5,-PMT(Parameter!$E$124,$J5,$D5*H5)))</f>
        <v>0</v>
      </c>
      <c r="O5" s="508">
        <f>IF($B5&lt;&gt;"",IF($B5="Lease/Consume",$D5*12*I5,-PMT(Parameter!$E$124,$J5,$D5*I5)))</f>
        <v>0</v>
      </c>
    </row>
    <row r="6" spans="1:16">
      <c r="A6" s="474" t="s">
        <v>534</v>
      </c>
      <c r="B6" s="474" t="s">
        <v>755</v>
      </c>
      <c r="C6" s="483" t="s">
        <v>644</v>
      </c>
      <c r="D6" s="509">
        <v>2800</v>
      </c>
      <c r="E6" s="502">
        <f>ROUNDUP(SUMIF(Process!J:J,'MHE&amp;INV list'!C6,Process!P:P),0)</f>
        <v>3</v>
      </c>
      <c r="F6" s="502">
        <f>ROUND(E6*Parameter!$W$6,0)</f>
        <v>3</v>
      </c>
      <c r="G6" s="502">
        <f>ROUND(F6*Parameter!$X$6,0)</f>
        <v>3</v>
      </c>
      <c r="H6" s="502">
        <f>ROUND(G6*Parameter!$Y$6,0)</f>
        <v>3</v>
      </c>
      <c r="I6" s="502">
        <f>ROUND(H6*Parameter!$Z$6,0)</f>
        <v>3</v>
      </c>
      <c r="J6" s="9"/>
      <c r="K6" s="508">
        <f>IF($B6&lt;&gt;"",IF($B6="Lease/Consume",$D6*12*E6,-PMT(Parameter!$E$124,$J6,$D6*E6)))</f>
        <v>100800</v>
      </c>
      <c r="L6" s="508">
        <f>IF($B6&lt;&gt;"",IF($B6="Lease/Consume",$D6*12*F6,-PMT(Parameter!$E$124,$J6,$D6*F6)))</f>
        <v>100800</v>
      </c>
      <c r="M6" s="508">
        <f>IF($B6&lt;&gt;"",IF($B6="Lease/Consume",$D6*12*G6,-PMT(Parameter!$E$124,$J6,$D6*G6)))</f>
        <v>100800</v>
      </c>
      <c r="N6" s="508">
        <f>IF($B6&lt;&gt;"",IF($B6="Lease/Consume",$D6*12*H6,-PMT(Parameter!$E$124,$J6,$D6*H6)))</f>
        <v>100800</v>
      </c>
      <c r="O6" s="508">
        <f>IF($B6&lt;&gt;"",IF($B6="Lease/Consume",$D6*12*I6,-PMT(Parameter!$E$124,$J6,$D6*I6)))</f>
        <v>100800</v>
      </c>
    </row>
    <row r="7" spans="1:16">
      <c r="A7" s="474" t="s">
        <v>534</v>
      </c>
      <c r="B7" s="474" t="s">
        <v>755</v>
      </c>
      <c r="C7" s="483" t="s">
        <v>643</v>
      </c>
      <c r="D7" s="509">
        <v>1730</v>
      </c>
      <c r="E7" s="502">
        <f>ROUNDUP(SUMIF(Process!J:J,'MHE&amp;INV list'!C7,Process!P:P),0)</f>
        <v>2</v>
      </c>
      <c r="F7" s="502">
        <f>ROUND(E7*Parameter!$W$6,0)</f>
        <v>2</v>
      </c>
      <c r="G7" s="502">
        <f>ROUND(F7*Parameter!$X$6,0)</f>
        <v>2</v>
      </c>
      <c r="H7" s="502">
        <f>ROUND(G7*Parameter!$Y$6,0)</f>
        <v>2</v>
      </c>
      <c r="I7" s="502">
        <f>ROUND(H7*Parameter!$Z$6,0)</f>
        <v>2</v>
      </c>
      <c r="J7" s="9"/>
      <c r="K7" s="508">
        <f>IF($B7&lt;&gt;"",IF($B7="Lease/Consume",$D7*12*E7,-PMT(Parameter!$E$124,$J7,$D7*E7)))</f>
        <v>41520</v>
      </c>
      <c r="L7" s="508">
        <f>IF($B7&lt;&gt;"",IF($B7="Lease/Consume",$D7*12*F7,-PMT(Parameter!$E$124,$J7,$D7*F7)))</f>
        <v>41520</v>
      </c>
      <c r="M7" s="508">
        <f>IF($B7&lt;&gt;"",IF($B7="Lease/Consume",$D7*12*G7,-PMT(Parameter!$E$124,$J7,$D7*G7)))</f>
        <v>41520</v>
      </c>
      <c r="N7" s="508">
        <f>IF($B7&lt;&gt;"",IF($B7="Lease/Consume",$D7*12*H7,-PMT(Parameter!$E$124,$J7,$D7*H7)))</f>
        <v>41520</v>
      </c>
      <c r="O7" s="508">
        <f>IF($B7&lt;&gt;"",IF($B7="Lease/Consume",$D7*12*I7,-PMT(Parameter!$E$124,$J7,$D7*I7)))</f>
        <v>41520</v>
      </c>
    </row>
    <row r="8" spans="1:16">
      <c r="A8" s="474" t="s">
        <v>534</v>
      </c>
      <c r="B8" s="474" t="s">
        <v>755</v>
      </c>
      <c r="C8" s="483" t="s">
        <v>639</v>
      </c>
      <c r="D8" s="509">
        <v>5000</v>
      </c>
      <c r="E8" s="502">
        <f>ROUNDUP(SUMIF(Process!J:J,'MHE&amp;INV list'!C8,Process!P:P),0)</f>
        <v>2</v>
      </c>
      <c r="F8" s="502">
        <f>ROUND(E8*Parameter!$W$6,0)</f>
        <v>2</v>
      </c>
      <c r="G8" s="502">
        <f>ROUND(F8*Parameter!$X$6,0)</f>
        <v>2</v>
      </c>
      <c r="H8" s="502">
        <f>ROUND(G8*Parameter!$Y$6,0)</f>
        <v>2</v>
      </c>
      <c r="I8" s="502">
        <f>ROUND(H8*Parameter!$Z$6,0)</f>
        <v>2</v>
      </c>
      <c r="J8" s="9"/>
      <c r="K8" s="508">
        <f>IF($B8&lt;&gt;"",IF($B8="Lease/Consume",$D8*12*E8,-PMT(Parameter!$E$124,$J8,$D8*E8)))</f>
        <v>120000</v>
      </c>
      <c r="L8" s="508">
        <f>IF($B8&lt;&gt;"",IF($B8="Lease/Consume",$D8*12*F8,-PMT(Parameter!$E$124,$J8,$D8*F8)))</f>
        <v>120000</v>
      </c>
      <c r="M8" s="508">
        <f>IF($B8&lt;&gt;"",IF($B8="Lease/Consume",$D8*12*G8,-PMT(Parameter!$E$124,$J8,$D8*G8)))</f>
        <v>120000</v>
      </c>
      <c r="N8" s="508">
        <f>IF($B8&lt;&gt;"",IF($B8="Lease/Consume",$D8*12*H8,-PMT(Parameter!$E$124,$J8,$D8*H8)))</f>
        <v>120000</v>
      </c>
      <c r="O8" s="508">
        <f>IF($B8&lt;&gt;"",IF($B8="Lease/Consume",$D8*12*I8,-PMT(Parameter!$E$124,$J8,$D8*I8)))</f>
        <v>120000</v>
      </c>
    </row>
    <row r="9" spans="1:16">
      <c r="A9" s="474" t="s">
        <v>534</v>
      </c>
      <c r="B9" s="474" t="s">
        <v>690</v>
      </c>
      <c r="C9" s="483" t="s">
        <v>636</v>
      </c>
      <c r="D9" s="509">
        <v>2800</v>
      </c>
      <c r="E9" s="502">
        <f>ROUNDUP(SUMIF(Process!J:J,'MHE&amp;INV list'!C9,Process!P:P),0)</f>
        <v>4</v>
      </c>
      <c r="F9" s="502">
        <f>ROUND(E9*Parameter!$W$6,0)</f>
        <v>4</v>
      </c>
      <c r="G9" s="502">
        <f>ROUND(F9*Parameter!$X$6,0)</f>
        <v>4</v>
      </c>
      <c r="H9" s="502">
        <f>ROUND(G9*Parameter!$Y$6,0)</f>
        <v>4</v>
      </c>
      <c r="I9" s="502">
        <f>ROUND(H9*Parameter!$Z$6,0)</f>
        <v>4</v>
      </c>
      <c r="J9" s="9">
        <v>3</v>
      </c>
      <c r="K9" s="508">
        <f>IF($B9&lt;&gt;"",IF($B9="Lease/Consume",$D9*12*E9,-PMT(Parameter!$E$124,$J9,$D9*E9)))</f>
        <v>4035.9036391594054</v>
      </c>
      <c r="L9" s="508">
        <f>IF($B9&lt;&gt;"",IF($B9="Lease/Consume",$D9*12*F9,-PMT(Parameter!$E$124,$J9,$D9*F9)))</f>
        <v>4035.9036391594054</v>
      </c>
      <c r="M9" s="508">
        <f>IF($B9&lt;&gt;"",IF($B9="Lease/Consume",$D9*12*G9,-PMT(Parameter!$E$124,$J9,$D9*G9)))</f>
        <v>4035.9036391594054</v>
      </c>
      <c r="N9" s="508">
        <v>0</v>
      </c>
      <c r="O9" s="508">
        <v>0</v>
      </c>
      <c r="P9" s="623" t="s">
        <v>796</v>
      </c>
    </row>
    <row r="10" spans="1:16">
      <c r="A10" s="474" t="s">
        <v>534</v>
      </c>
      <c r="B10" s="474" t="s">
        <v>755</v>
      </c>
      <c r="C10" s="483" t="s">
        <v>564</v>
      </c>
      <c r="D10" s="509">
        <v>3500</v>
      </c>
      <c r="E10" s="502">
        <f>ROUNDUP(SUMIF(Process!J:J,'MHE&amp;INV list'!C10,Process!P:P),0)</f>
        <v>3</v>
      </c>
      <c r="F10" s="502">
        <f>ROUND(E10*Parameter!$W$6,0)</f>
        <v>3</v>
      </c>
      <c r="G10" s="502">
        <f>ROUND(F10*Parameter!$X$6,0)</f>
        <v>3</v>
      </c>
      <c r="H10" s="502">
        <f>ROUND(G10*Parameter!$Y$6,0)</f>
        <v>3</v>
      </c>
      <c r="I10" s="502">
        <f>ROUND(H10*Parameter!$Z$6,0)</f>
        <v>3</v>
      </c>
      <c r="J10" s="9"/>
      <c r="K10" s="508">
        <f>IF($B10&lt;&gt;"",IF($B10="Lease/Consume",$D10*12*E10,-PMT(Parameter!$E$124,$J10,$D10*E10)))</f>
        <v>126000</v>
      </c>
      <c r="L10" s="508">
        <f>IF($B10&lt;&gt;"",IF($B10="Lease/Consume",$D10*12*F10,-PMT(Parameter!$E$124,$J10,$D10*F10)))</f>
        <v>126000</v>
      </c>
      <c r="M10" s="508">
        <f>IF($B10&lt;&gt;"",IF($B10="Lease/Consume",$D10*12*G10,-PMT(Parameter!$E$124,$J10,$D10*G10)))</f>
        <v>126000</v>
      </c>
      <c r="N10" s="508">
        <f>IF($B10&lt;&gt;"",IF($B10="Lease/Consume",$D10*12*H10,-PMT(Parameter!$E$124,$J10,$D10*H10)))</f>
        <v>126000</v>
      </c>
      <c r="O10" s="508">
        <f>IF($B10&lt;&gt;"",IF($B10="Lease/Consume",$D10*12*I10,-PMT(Parameter!$E$124,$J10,$D10*I10)))</f>
        <v>126000</v>
      </c>
    </row>
    <row r="11" spans="1:16">
      <c r="A11" s="474"/>
      <c r="B11" s="474"/>
      <c r="C11" s="497"/>
      <c r="D11" s="497"/>
      <c r="E11" s="502">
        <f>ROUNDUP(SUMIF(Process!J:J,'MHE&amp;INV list'!C11,Process!P:P),0)</f>
        <v>0</v>
      </c>
      <c r="F11" s="502">
        <f>ROUND(E11*Parameter!$W$6,0)</f>
        <v>0</v>
      </c>
      <c r="G11" s="502">
        <f>ROUND(F11*Parameter!$X$6,0)</f>
        <v>0</v>
      </c>
      <c r="H11" s="502">
        <f>ROUND(G11*Parameter!$Y$6,0)</f>
        <v>0</v>
      </c>
      <c r="I11" s="502">
        <f>ROUND(H11*Parameter!$Z$6,0)</f>
        <v>0</v>
      </c>
      <c r="J11" s="9"/>
      <c r="K11" s="508" t="b">
        <f>IF($B11&lt;&gt;"",IF($B11="Lease/Consume",$D11*12*E11,-PMT(Parameter!$E$124,$J11,$D11*E11)))</f>
        <v>0</v>
      </c>
      <c r="L11" s="508" t="b">
        <f>IF($B11&lt;&gt;"",IF($B11="Lease/Consume",$D11*12*F11,-PMT(Parameter!$E$124,$J11,$D11*F11)))</f>
        <v>0</v>
      </c>
      <c r="M11" s="508" t="b">
        <f>IF($B11&lt;&gt;"",IF($B11="Lease/Consume",$D11*12*G11,-PMT(Parameter!$E$124,$J11,$D11*G11)))</f>
        <v>0</v>
      </c>
      <c r="N11" s="508" t="b">
        <f>IF($B11&lt;&gt;"",IF($B11="Lease/Consume",$D11*12*H11,-PMT(Parameter!$E$124,$J11,$D11*H11)))</f>
        <v>0</v>
      </c>
      <c r="O11" s="508" t="b">
        <f>IF($B11&lt;&gt;"",IF($B11="Lease/Consume",$D11*12*I11,-PMT(Parameter!$E$124,$J11,$D11*I11)))</f>
        <v>0</v>
      </c>
    </row>
    <row r="12" spans="1:16">
      <c r="A12" s="474"/>
      <c r="B12" s="474"/>
      <c r="C12" s="498"/>
      <c r="D12" s="499"/>
      <c r="E12" s="502">
        <f>ROUNDUP(SUMIF(Process!J:J,'MHE&amp;INV list'!C12,Process!P:P),0)</f>
        <v>0</v>
      </c>
      <c r="F12" s="502">
        <f>ROUND(E12*Parameter!$W$6,0)</f>
        <v>0</v>
      </c>
      <c r="G12" s="502">
        <f>ROUND(F12*Parameter!$X$6,0)</f>
        <v>0</v>
      </c>
      <c r="H12" s="502">
        <f>ROUND(G12*Parameter!$Y$6,0)</f>
        <v>0</v>
      </c>
      <c r="I12" s="502">
        <f>ROUND(H12*Parameter!$Z$6,0)</f>
        <v>0</v>
      </c>
      <c r="J12" s="9"/>
      <c r="K12" s="508" t="b">
        <f>IF($B12&lt;&gt;"",IF($B12="Lease/Consume",$D12*12*E12,-PMT(Parameter!$E$124,$J12,$D12*E12)))</f>
        <v>0</v>
      </c>
      <c r="L12" s="508" t="b">
        <f>IF($B12&lt;&gt;"",IF($B12="Lease/Consume",$D12*12*F12,-PMT(Parameter!$E$124,$J12,$D12*F12)))</f>
        <v>0</v>
      </c>
      <c r="M12" s="508" t="b">
        <f>IF($B12&lt;&gt;"",IF($B12="Lease/Consume",$D12*12*G12,-PMT(Parameter!$E$124,$J12,$D12*G12)))</f>
        <v>0</v>
      </c>
      <c r="N12" s="508" t="b">
        <f>IF($B12&lt;&gt;"",IF($B12="Lease/Consume",$D12*12*H12,-PMT(Parameter!$E$124,$J12,$D12*H12)))</f>
        <v>0</v>
      </c>
      <c r="O12" s="508" t="b">
        <f>IF($B12&lt;&gt;"",IF($B12="Lease/Consume",$D12*12*I12,-PMT(Parameter!$E$124,$J12,$D12*I12)))</f>
        <v>0</v>
      </c>
    </row>
    <row r="13" spans="1:16">
      <c r="A13" s="474" t="s">
        <v>735</v>
      </c>
      <c r="B13" s="474" t="s">
        <v>690</v>
      </c>
      <c r="C13" s="501" t="str">
        <f>Process!Q1</f>
        <v>Packing Station</v>
      </c>
      <c r="D13" s="509">
        <v>3500</v>
      </c>
      <c r="E13" s="508" cm="1">
        <f t="array" ref="E13">ROUNDUP(SUMPRODUCT((Process!$Q$1:$W$1=C13)*Process!$Q$2:$W$164),0)</f>
        <v>9</v>
      </c>
      <c r="F13" s="502">
        <f>ROUND(E13*Parameter!$W$6,0)</f>
        <v>9</v>
      </c>
      <c r="G13" s="502">
        <f>ROUND(F13*Parameter!$W$6,0)</f>
        <v>9</v>
      </c>
      <c r="H13" s="502">
        <f>ROUND(G13*Parameter!$W$6,0)</f>
        <v>9</v>
      </c>
      <c r="I13" s="502">
        <f>ROUND(H13*Parameter!$W$6,0)</f>
        <v>9</v>
      </c>
      <c r="J13" s="9">
        <v>3</v>
      </c>
      <c r="K13" s="508">
        <f>IF($B13&lt;&gt;"",IF($B13="Lease/Consume",$D13*12*E13,-PMT(Parameter!$E$124,$J13,$D13*E13)))</f>
        <v>11350.978985135827</v>
      </c>
      <c r="L13" s="508">
        <f>IF($B13&lt;&gt;"",IF($B13="Lease/Consume",$D13*12*F13,-PMT(Parameter!$E$124,$J13,$D13*F13)))</f>
        <v>11350.978985135827</v>
      </c>
      <c r="M13" s="508">
        <f>IF($B13&lt;&gt;"",IF($B13="Lease/Consume",$D13*12*G13,-PMT(Parameter!$E$124,$J13,$D13*G13)))</f>
        <v>11350.978985135827</v>
      </c>
      <c r="N13" s="508">
        <v>0</v>
      </c>
      <c r="O13" s="508">
        <v>0</v>
      </c>
    </row>
    <row r="14" spans="1:16">
      <c r="A14" s="474" t="s">
        <v>735</v>
      </c>
      <c r="B14" s="474" t="s">
        <v>690</v>
      </c>
      <c r="C14" s="501" t="str">
        <f>Process!R1</f>
        <v>HPJ with Scale</v>
      </c>
      <c r="D14" s="509">
        <v>4500</v>
      </c>
      <c r="E14" s="502" cm="1">
        <f t="array" ref="E14">ROUNDUP(SUMPRODUCT((Process!$Q$1:$W$1=C14)*Process!$Q$2:$W$164),0)</f>
        <v>1</v>
      </c>
      <c r="F14" s="502">
        <f>ROUND(E14*Parameter!$W$6,0)</f>
        <v>1</v>
      </c>
      <c r="G14" s="502">
        <f>ROUND(F14*Parameter!$W$6,0)</f>
        <v>1</v>
      </c>
      <c r="H14" s="502">
        <f>ROUND(G14*Parameter!$W$6,0)</f>
        <v>1</v>
      </c>
      <c r="I14" s="502">
        <f>ROUND(H14*Parameter!$W$6,0)</f>
        <v>1</v>
      </c>
      <c r="J14" s="9">
        <v>1</v>
      </c>
      <c r="K14" s="508">
        <f>IF($B14&lt;&gt;"",IF($B14="Lease/Consume",$D14*12*E14,-PMT(Parameter!$E$124,$J14,$D14*E14)))</f>
        <v>4680</v>
      </c>
      <c r="L14" s="508">
        <v>0</v>
      </c>
      <c r="M14" s="508">
        <v>0</v>
      </c>
      <c r="N14" s="508">
        <v>0</v>
      </c>
      <c r="O14" s="508">
        <v>0</v>
      </c>
    </row>
    <row r="15" spans="1:16">
      <c r="A15" s="474"/>
      <c r="B15" s="474"/>
      <c r="C15" s="501" t="str">
        <f>Process!S1</f>
        <v>Customize 1</v>
      </c>
      <c r="D15" s="509"/>
      <c r="E15" s="526"/>
      <c r="F15" s="502">
        <f>ROUND(E15*Parameter!$W$6,0)</f>
        <v>0</v>
      </c>
      <c r="G15" s="502">
        <f>ROUND(F15*Parameter!$W$6,0)</f>
        <v>0</v>
      </c>
      <c r="H15" s="502">
        <f>ROUND(G15*Parameter!$W$6,0)</f>
        <v>0</v>
      </c>
      <c r="I15" s="502">
        <f>ROUND(H15*Parameter!$W$6,0)</f>
        <v>0</v>
      </c>
      <c r="J15" s="9"/>
      <c r="K15" s="508" t="b">
        <f>IF($B15&lt;&gt;"",IF($B15="Lease/Consume",$D15*12*E15,-PMT(Parameter!$E$124,$J15,$D15*E15)))</f>
        <v>0</v>
      </c>
      <c r="L15" s="508" t="b">
        <f>IF($B15&lt;&gt;"",IF($B15="Lease/Consume",$D15*12*F15,-PMT(Parameter!$E$124,$J15,$D15*F15)))</f>
        <v>0</v>
      </c>
      <c r="M15" s="508" t="b">
        <f>IF($B15&lt;&gt;"",IF($B15="Lease/Consume",$D15*12*G15,-PMT(Parameter!$E$124,$J15,$D15*G15)))</f>
        <v>0</v>
      </c>
      <c r="N15" s="508" t="b">
        <f>IF($B15&lt;&gt;"",IF($B15="Lease/Consume",$D15*12*H15,-PMT(Parameter!$E$124,$J15,$D15*H15)))</f>
        <v>0</v>
      </c>
      <c r="O15" s="508" t="b">
        <f>IF($B15&lt;&gt;"",IF($B15="Lease/Consume",$D15*12*I15,-PMT(Parameter!$E$124,$J15,$D15*I15)))</f>
        <v>0</v>
      </c>
    </row>
    <row r="16" spans="1:16">
      <c r="A16" s="474"/>
      <c r="B16" s="474"/>
      <c r="C16" s="501" t="str">
        <f>Process!T1</f>
        <v>Customize 2</v>
      </c>
      <c r="D16" s="509"/>
      <c r="E16" s="526"/>
      <c r="F16" s="502">
        <f>ROUND(E16*Parameter!$W$6,0)</f>
        <v>0</v>
      </c>
      <c r="G16" s="502">
        <f>ROUND(F16*Parameter!$W$6,0)</f>
        <v>0</v>
      </c>
      <c r="H16" s="502">
        <f>ROUND(G16*Parameter!$W$6,0)</f>
        <v>0</v>
      </c>
      <c r="I16" s="502">
        <f>ROUND(H16*Parameter!$W$6,0)</f>
        <v>0</v>
      </c>
      <c r="J16" s="9"/>
      <c r="K16" s="508" t="b">
        <f>IF($B16&lt;&gt;"",IF($B16="Lease/Consume",$D16*12*E16,-PMT(Parameter!$E$124,$J16,$D16*E16)))</f>
        <v>0</v>
      </c>
      <c r="L16" s="508" t="b">
        <f>IF($B16&lt;&gt;"",IF($B16="Lease/Consume",$D16*12*F16,-PMT(Parameter!$E$124,$J16,$D16*F16)))</f>
        <v>0</v>
      </c>
      <c r="M16" s="508" t="b">
        <f>IF($B16&lt;&gt;"",IF($B16="Lease/Consume",$D16*12*G16,-PMT(Parameter!$E$124,$J16,$D16*G16)))</f>
        <v>0</v>
      </c>
      <c r="N16" s="508" t="b">
        <f>IF($B16&lt;&gt;"",IF($B16="Lease/Consume",$D16*12*H16,-PMT(Parameter!$E$124,$J16,$D16*H16)))</f>
        <v>0</v>
      </c>
      <c r="O16" s="508" t="b">
        <f>IF($B16&lt;&gt;"",IF($B16="Lease/Consume",$D16*12*I16,-PMT(Parameter!$E$124,$J16,$D16*I16)))</f>
        <v>0</v>
      </c>
    </row>
    <row r="17" spans="1:15">
      <c r="A17" s="474"/>
      <c r="B17" s="474"/>
      <c r="C17" s="501" t="str">
        <f>Process!U1</f>
        <v>Customize 3</v>
      </c>
      <c r="D17" s="509"/>
      <c r="E17" s="526"/>
      <c r="F17" s="502">
        <f>ROUND(E17*Parameter!$W$6,0)</f>
        <v>0</v>
      </c>
      <c r="G17" s="502">
        <f>ROUND(F17*Parameter!$W$6,0)</f>
        <v>0</v>
      </c>
      <c r="H17" s="502">
        <f>ROUND(G17*Parameter!$W$6,0)</f>
        <v>0</v>
      </c>
      <c r="I17" s="502">
        <f>ROUND(H17*Parameter!$W$6,0)</f>
        <v>0</v>
      </c>
      <c r="J17" s="9"/>
      <c r="K17" s="508" t="b">
        <f>IF($B17&lt;&gt;"",IF($B17="Lease/Consume",$D17*12*E17,-PMT(Parameter!$E$124,$J17,$D17*E17)))</f>
        <v>0</v>
      </c>
      <c r="L17" s="508" t="b">
        <f>IF($B17&lt;&gt;"",IF($B17="Lease/Consume",$D17*12*F17,-PMT(Parameter!$E$124,$J17,$D17*F17)))</f>
        <v>0</v>
      </c>
      <c r="M17" s="508" t="b">
        <f>IF($B17&lt;&gt;"",IF($B17="Lease/Consume",$D17*12*G17,-PMT(Parameter!$E$124,$J17,$D17*G17)))</f>
        <v>0</v>
      </c>
      <c r="N17" s="508" t="b">
        <f>IF($B17&lt;&gt;"",IF($B17="Lease/Consume",$D17*12*H17,-PMT(Parameter!$E$124,$J17,$D17*H17)))</f>
        <v>0</v>
      </c>
      <c r="O17" s="508" t="b">
        <f>IF($B17&lt;&gt;"",IF($B17="Lease/Consume",$D17*12*I17,-PMT(Parameter!$E$124,$J17,$D17*I17)))</f>
        <v>0</v>
      </c>
    </row>
    <row r="18" spans="1:15">
      <c r="A18" s="474"/>
      <c r="B18" s="474"/>
      <c r="C18" s="501" t="str">
        <f>Process!V1</f>
        <v>Customize 4</v>
      </c>
      <c r="D18" s="509"/>
      <c r="E18" s="526"/>
      <c r="F18" s="502">
        <f>ROUND(E18*Parameter!$W$6,0)</f>
        <v>0</v>
      </c>
      <c r="G18" s="502">
        <f>ROUND(F18*Parameter!$W$6,0)</f>
        <v>0</v>
      </c>
      <c r="H18" s="502">
        <f>ROUND(G18*Parameter!$W$6,0)</f>
        <v>0</v>
      </c>
      <c r="I18" s="502">
        <f>ROUND(H18*Parameter!$W$6,0)</f>
        <v>0</v>
      </c>
      <c r="J18" s="9"/>
      <c r="K18" s="508" t="b">
        <f>IF($B18&lt;&gt;"",IF($B18="Lease/Consume",$D18*12*E18,-PMT(Parameter!$E$124,$J18,$D18*E18)))</f>
        <v>0</v>
      </c>
      <c r="L18" s="508" t="b">
        <f>IF($B18&lt;&gt;"",IF($B18="Lease/Consume",$D18*12*F18,-PMT(Parameter!$E$124,$J18,$D18*F18)))</f>
        <v>0</v>
      </c>
      <c r="M18" s="508" t="b">
        <f>IF($B18&lt;&gt;"",IF($B18="Lease/Consume",$D18*12*G18,-PMT(Parameter!$E$124,$J18,$D18*G18)))</f>
        <v>0</v>
      </c>
      <c r="N18" s="508" t="b">
        <f>IF($B18&lt;&gt;"",IF($B18="Lease/Consume",$D18*12*H18,-PMT(Parameter!$E$124,$J18,$D18*H18)))</f>
        <v>0</v>
      </c>
      <c r="O18" s="508" t="b">
        <f>IF($B18&lt;&gt;"",IF($B18="Lease/Consume",$D18*12*I18,-PMT(Parameter!$E$124,$J18,$D18*I18)))</f>
        <v>0</v>
      </c>
    </row>
    <row r="19" spans="1:15">
      <c r="A19" s="474"/>
      <c r="B19" s="474"/>
      <c r="C19" s="501" t="str">
        <f>Process!W1</f>
        <v>Customize 5</v>
      </c>
      <c r="D19" s="509"/>
      <c r="E19" s="526"/>
      <c r="F19" s="502">
        <f>ROUND(E19*Parameter!$W$6,0)</f>
        <v>0</v>
      </c>
      <c r="G19" s="502">
        <f>ROUND(F19*Parameter!$W$6,0)</f>
        <v>0</v>
      </c>
      <c r="H19" s="502">
        <f>ROUND(G19*Parameter!$W$6,0)</f>
        <v>0</v>
      </c>
      <c r="I19" s="502">
        <f>ROUND(H19*Parameter!$W$6,0)</f>
        <v>0</v>
      </c>
      <c r="J19" s="9"/>
      <c r="K19" s="508" t="b">
        <f>IF($B19&lt;&gt;"",IF($B19="Lease/Consume",$D19*12*E19,-PMT(Parameter!$E$124,$J19,$D19*E19)))</f>
        <v>0</v>
      </c>
      <c r="L19" s="508" t="b">
        <f>IF($B19&lt;&gt;"",IF($B19="Lease/Consume",$D19*12*F19,-PMT(Parameter!$E$124,$J19,$D19*F19)))</f>
        <v>0</v>
      </c>
      <c r="M19" s="508" t="b">
        <f>IF($B19&lt;&gt;"",IF($B19="Lease/Consume",$D19*12*G19,-PMT(Parameter!$E$124,$J19,$D19*G19)))</f>
        <v>0</v>
      </c>
      <c r="N19" s="508" t="b">
        <f>IF($B19&lt;&gt;"",IF($B19="Lease/Consume",$D19*12*H19,-PMT(Parameter!$E$124,$J19,$D19*H19)))</f>
        <v>0</v>
      </c>
      <c r="O19" s="508" t="b">
        <f>IF($B19&lt;&gt;"",IF($B19="Lease/Consume",$D19*12*I19,-PMT(Parameter!$E$124,$J19,$D19*I19)))</f>
        <v>0</v>
      </c>
    </row>
    <row r="20" spans="1:15">
      <c r="A20" s="474" t="s">
        <v>735</v>
      </c>
      <c r="B20" s="474" t="s">
        <v>690</v>
      </c>
      <c r="C20" s="483" t="s">
        <v>696</v>
      </c>
      <c r="D20" s="509">
        <v>3500</v>
      </c>
      <c r="E20" s="508">
        <v>2</v>
      </c>
      <c r="F20" s="502">
        <f>ROUND(E20*Parameter!$W$6,0)</f>
        <v>2</v>
      </c>
      <c r="G20" s="502">
        <f>ROUND(F20*Parameter!$W$6,0)</f>
        <v>2</v>
      </c>
      <c r="H20" s="502">
        <f>ROUND(G20*Parameter!$W$6,0)</f>
        <v>2</v>
      </c>
      <c r="I20" s="502">
        <f>ROUND(H20*Parameter!$W$6,0)</f>
        <v>2</v>
      </c>
      <c r="J20" s="9">
        <v>3</v>
      </c>
      <c r="K20" s="508">
        <f>IF($B20&lt;&gt;"",IF($B20="Lease/Consume",$D20*12*E20,-PMT(Parameter!$E$124,$J20,$D20*E20)))</f>
        <v>2522.4397744746284</v>
      </c>
      <c r="L20" s="508">
        <f>IF($B20&lt;&gt;"",IF($B20="Lease/Consume",$D20*12*F20,-PMT(Parameter!$E$124,$J20,$D20*F20)))</f>
        <v>2522.4397744746284</v>
      </c>
      <c r="M20" s="508">
        <f>IF($B20&lt;&gt;"",IF($B20="Lease/Consume",$D20*12*G20,-PMT(Parameter!$E$124,$J20,$D20*G20)))</f>
        <v>2522.4397744746284</v>
      </c>
      <c r="N20" s="508">
        <v>0</v>
      </c>
      <c r="O20" s="508">
        <v>0</v>
      </c>
    </row>
    <row r="21" spans="1:15">
      <c r="A21" s="474" t="s">
        <v>735</v>
      </c>
      <c r="B21" s="474" t="s">
        <v>690</v>
      </c>
      <c r="C21" s="483" t="s">
        <v>692</v>
      </c>
      <c r="D21" s="509">
        <v>7000</v>
      </c>
      <c r="E21" s="508">
        <f>ROUNDUP(E13/2,0)</f>
        <v>5</v>
      </c>
      <c r="F21" s="502">
        <f>ROUND(E21*Parameter!$W$6,0)</f>
        <v>5</v>
      </c>
      <c r="G21" s="502">
        <f>ROUND(F21*Parameter!$W$6,0)</f>
        <v>5</v>
      </c>
      <c r="H21" s="502">
        <f>ROUND(G21*Parameter!$W$6,0)</f>
        <v>5</v>
      </c>
      <c r="I21" s="502">
        <f>ROUND(H21*Parameter!$W$6,0)</f>
        <v>5</v>
      </c>
      <c r="J21" s="9">
        <v>3</v>
      </c>
      <c r="K21" s="508">
        <f>IF($B21&lt;&gt;"",IF($B21="Lease/Consume",$D21*12*E21,-PMT(Parameter!$E$124,$J21,$D21*E21)))</f>
        <v>12612.198872373141</v>
      </c>
      <c r="L21" s="508">
        <f>IF($B21&lt;&gt;"",IF($B21="Lease/Consume",$D21*12*F21,-PMT(Parameter!$E$124,$J21,$D21*F21)))</f>
        <v>12612.198872373141</v>
      </c>
      <c r="M21" s="508">
        <f>IF($B21&lt;&gt;"",IF($B21="Lease/Consume",$D21*12*G21,-PMT(Parameter!$E$124,$J21,$D21*G21)))</f>
        <v>12612.198872373141</v>
      </c>
      <c r="N21" s="508">
        <v>0</v>
      </c>
      <c r="O21" s="508">
        <v>0</v>
      </c>
    </row>
    <row r="22" spans="1:15">
      <c r="A22" s="474" t="s">
        <v>735</v>
      </c>
      <c r="B22" s="474" t="s">
        <v>690</v>
      </c>
      <c r="C22" s="483" t="s">
        <v>693</v>
      </c>
      <c r="D22" s="509">
        <v>100</v>
      </c>
      <c r="E22" s="508">
        <f>ROUNDUP(SUM(Process!P141:P146),0)</f>
        <v>4</v>
      </c>
      <c r="F22" s="502">
        <f>ROUND(E22*Parameter!$W$6,0)</f>
        <v>4</v>
      </c>
      <c r="G22" s="502">
        <f>ROUND(F22*Parameter!$W$6,0)</f>
        <v>4</v>
      </c>
      <c r="H22" s="502">
        <f>ROUND(G22*Parameter!$W$6,0)</f>
        <v>4</v>
      </c>
      <c r="I22" s="502">
        <f>ROUND(H22*Parameter!$W$6,0)</f>
        <v>4</v>
      </c>
      <c r="J22" s="9">
        <v>3</v>
      </c>
      <c r="K22" s="508">
        <f>IF($B22&lt;&gt;"",IF($B22="Lease/Consume",$D22*12*E22,-PMT(Parameter!$E$124,$J22,$D22*E22)))</f>
        <v>144.13941568426449</v>
      </c>
      <c r="L22" s="508">
        <f>IF($B22&lt;&gt;"",IF($B22="Lease/Consume",$D22*12*F22,-PMT(Parameter!$E$124,$J22,$D22*F22)))</f>
        <v>144.13941568426449</v>
      </c>
      <c r="M22" s="508">
        <f>IF($B22&lt;&gt;"",IF($B22="Lease/Consume",$D22*12*G22,-PMT(Parameter!$E$124,$J22,$D22*G22)))</f>
        <v>144.13941568426449</v>
      </c>
      <c r="N22" s="508">
        <v>0</v>
      </c>
      <c r="O22" s="508">
        <v>0</v>
      </c>
    </row>
    <row r="23" spans="1:15">
      <c r="A23" s="474" t="s">
        <v>735</v>
      </c>
      <c r="B23" s="474" t="s">
        <v>690</v>
      </c>
      <c r="C23" s="483" t="s">
        <v>694</v>
      </c>
      <c r="D23" s="509">
        <v>2000</v>
      </c>
      <c r="E23" s="508">
        <v>1</v>
      </c>
      <c r="F23" s="502">
        <f>ROUND(E23*Parameter!$W$6,0)</f>
        <v>1</v>
      </c>
      <c r="G23" s="502">
        <f>ROUND(F23*Parameter!$W$6,0)</f>
        <v>1</v>
      </c>
      <c r="H23" s="502">
        <f>ROUND(G23*Parameter!$W$6,0)</f>
        <v>1</v>
      </c>
      <c r="I23" s="502">
        <f>ROUND(H23*Parameter!$W$6,0)</f>
        <v>1</v>
      </c>
      <c r="J23" s="9">
        <v>3</v>
      </c>
      <c r="K23" s="508">
        <f>IF($B23&lt;&gt;"",IF($B23="Lease/Consume",$D23*12*E23,-PMT(Parameter!$E$124,$J23,$D23*E23)))</f>
        <v>720.69707842132243</v>
      </c>
      <c r="L23" s="508">
        <f>IF($B23&lt;&gt;"",IF($B23="Lease/Consume",$D23*12*F23,-PMT(Parameter!$E$124,$J23,$D23*F23)))</f>
        <v>720.69707842132243</v>
      </c>
      <c r="M23" s="508">
        <f>IF($B23&lt;&gt;"",IF($B23="Lease/Consume",$D23*12*G23,-PMT(Parameter!$E$124,$J23,$D23*G23)))</f>
        <v>720.69707842132243</v>
      </c>
      <c r="N23" s="508">
        <v>0</v>
      </c>
      <c r="O23" s="508">
        <v>0</v>
      </c>
    </row>
    <row r="24" spans="1:15">
      <c r="A24" s="474" t="s">
        <v>735</v>
      </c>
      <c r="B24" s="474" t="s">
        <v>690</v>
      </c>
      <c r="C24" s="483" t="s">
        <v>989</v>
      </c>
      <c r="D24" s="509">
        <v>1000</v>
      </c>
      <c r="E24" s="508">
        <f>E13</f>
        <v>9</v>
      </c>
      <c r="F24" s="502">
        <f>ROUND(E24*Parameter!$W$6,0)</f>
        <v>9</v>
      </c>
      <c r="G24" s="502">
        <f>ROUND(F24*Parameter!$W$6,0)</f>
        <v>9</v>
      </c>
      <c r="H24" s="502">
        <f>ROUND(G24*Parameter!$W$6,0)</f>
        <v>9</v>
      </c>
      <c r="I24" s="502">
        <f>ROUND(H24*Parameter!$W$6,0)</f>
        <v>9</v>
      </c>
      <c r="J24" s="9">
        <v>1</v>
      </c>
      <c r="K24" s="508">
        <f>IF($B24&lt;&gt;"",IF($B24="Lease/Consume",$D24*12*E24,-PMT(Parameter!$E$124,$J24,$D24*E24)))</f>
        <v>9360</v>
      </c>
      <c r="L24" s="508">
        <v>0</v>
      </c>
      <c r="M24" s="508">
        <v>0</v>
      </c>
      <c r="N24" s="508">
        <v>0</v>
      </c>
      <c r="O24" s="508">
        <v>0</v>
      </c>
    </row>
    <row r="25" spans="1:15">
      <c r="A25" s="474" t="s">
        <v>33</v>
      </c>
      <c r="B25" s="474" t="s">
        <v>690</v>
      </c>
      <c r="C25" s="483" t="s">
        <v>257</v>
      </c>
      <c r="D25" s="509">
        <v>2000</v>
      </c>
      <c r="E25" s="508">
        <v>6</v>
      </c>
      <c r="F25" s="502">
        <f>ROUND(E25*Parameter!$W$6,0)</f>
        <v>6</v>
      </c>
      <c r="G25" s="502">
        <f>ROUND(F25*Parameter!$W$6,0)</f>
        <v>6</v>
      </c>
      <c r="H25" s="502">
        <f>ROUND(G25*Parameter!$W$6,0)</f>
        <v>6</v>
      </c>
      <c r="I25" s="502">
        <f>ROUND(H25*Parameter!$W$6,0)</f>
        <v>6</v>
      </c>
      <c r="J25" s="9">
        <v>1</v>
      </c>
      <c r="K25" s="508">
        <f>IF($B25&lt;&gt;"",IF($B25="Lease/Consume",$D25*12*E25,-PMT(Parameter!$E$124,$J25,$D25*E25)))</f>
        <v>12480</v>
      </c>
      <c r="L25" s="508">
        <v>0</v>
      </c>
      <c r="M25" s="508">
        <v>0</v>
      </c>
      <c r="N25" s="508">
        <v>0</v>
      </c>
      <c r="O25" s="508">
        <v>0</v>
      </c>
    </row>
    <row r="26" spans="1:15">
      <c r="A26" s="704" t="s">
        <v>784</v>
      </c>
      <c r="B26" s="474" t="s">
        <v>690</v>
      </c>
      <c r="C26" s="483" t="s">
        <v>957</v>
      </c>
      <c r="D26" s="509">
        <f>161*3500</f>
        <v>563500</v>
      </c>
      <c r="E26" s="508">
        <v>1</v>
      </c>
      <c r="F26" s="502">
        <f>ROUND(E26*Parameter!$W$6,0)</f>
        <v>1</v>
      </c>
      <c r="G26" s="502">
        <f>ROUND(F26*Parameter!$W$6,0)</f>
        <v>1</v>
      </c>
      <c r="H26" s="502">
        <f>ROUND(G26*Parameter!$W$6,0)</f>
        <v>1</v>
      </c>
      <c r="I26" s="502">
        <f>ROUND(H26*Parameter!$W$6,0)</f>
        <v>1</v>
      </c>
      <c r="J26" s="9">
        <v>1</v>
      </c>
      <c r="K26" s="508">
        <f>IF($B26&lt;&gt;"",IF($B26="Lease/Consume",$D26*12*E26,-PMT(Parameter!$E$124,$J26,$D26*E26)))</f>
        <v>586040</v>
      </c>
      <c r="L26" s="508">
        <v>0</v>
      </c>
      <c r="M26" s="508">
        <v>0</v>
      </c>
      <c r="N26" s="508">
        <v>0</v>
      </c>
      <c r="O26" s="508">
        <v>0</v>
      </c>
    </row>
    <row r="27" spans="1:15">
      <c r="A27" s="474" t="s">
        <v>33</v>
      </c>
      <c r="B27" s="474" t="s">
        <v>755</v>
      </c>
      <c r="C27" s="483" t="s">
        <v>956</v>
      </c>
      <c r="D27" s="509">
        <v>5500</v>
      </c>
      <c r="E27" s="508">
        <v>1</v>
      </c>
      <c r="F27" s="502"/>
      <c r="G27" s="502"/>
      <c r="H27" s="502"/>
      <c r="I27" s="502"/>
      <c r="J27" s="9"/>
      <c r="K27" s="508"/>
      <c r="L27" s="508"/>
      <c r="M27" s="508"/>
      <c r="N27" s="508"/>
      <c r="O27" s="508"/>
    </row>
    <row r="28" spans="1:15">
      <c r="A28" s="474" t="s">
        <v>33</v>
      </c>
      <c r="B28" s="474" t="s">
        <v>690</v>
      </c>
      <c r="C28" s="483" t="s">
        <v>736</v>
      </c>
      <c r="D28" s="509">
        <v>100000</v>
      </c>
      <c r="E28" s="508">
        <v>1</v>
      </c>
      <c r="F28" s="502">
        <f>ROUND(E28*Parameter!$W$6,0)</f>
        <v>1</v>
      </c>
      <c r="G28" s="502">
        <f>ROUND(F28*Parameter!$W$6,0)</f>
        <v>1</v>
      </c>
      <c r="H28" s="502">
        <f>ROUND(G28*Parameter!$W$6,0)</f>
        <v>1</v>
      </c>
      <c r="I28" s="502">
        <f>ROUND(H28*Parameter!$W$6,0)</f>
        <v>1</v>
      </c>
      <c r="J28" s="9">
        <v>3</v>
      </c>
      <c r="K28" s="508">
        <f>IF($B28&lt;&gt;"",IF($B28="Lease/Consume",$D28*12*E28,-PMT(Parameter!$E$124,$J28,$D28*E28)))</f>
        <v>36034.853921066118</v>
      </c>
      <c r="L28" s="508">
        <f>IF($B28&lt;&gt;"",IF($B28="Lease/Consume",$D28*12*F28,-PMT(Parameter!$E$124,$J28,$D28*F28)))</f>
        <v>36034.853921066118</v>
      </c>
      <c r="M28" s="508">
        <f>IF($B28&lt;&gt;"",IF($B28="Lease/Consume",$D28*12*G28,-PMT(Parameter!$E$124,$J28,$D28*G28)))</f>
        <v>36034.853921066118</v>
      </c>
      <c r="N28" s="508">
        <v>0</v>
      </c>
      <c r="O28" s="508">
        <v>0</v>
      </c>
    </row>
    <row r="29" spans="1:15">
      <c r="A29" s="474" t="s">
        <v>33</v>
      </c>
      <c r="B29" s="474" t="s">
        <v>755</v>
      </c>
      <c r="C29" s="483" t="s">
        <v>737</v>
      </c>
      <c r="D29" s="509">
        <v>10000</v>
      </c>
      <c r="E29" s="508">
        <v>1</v>
      </c>
      <c r="F29" s="502">
        <f>ROUND(E29*Parameter!$W$6,0)</f>
        <v>1</v>
      </c>
      <c r="G29" s="502">
        <f>ROUND(F29*Parameter!$W$6,0)</f>
        <v>1</v>
      </c>
      <c r="H29" s="502">
        <f>ROUND(G29*Parameter!$W$6,0)</f>
        <v>1</v>
      </c>
      <c r="I29" s="502">
        <f>ROUND(H29*Parameter!$W$6,0)</f>
        <v>1</v>
      </c>
      <c r="J29" s="9"/>
      <c r="K29" s="508">
        <f>IF($B29&lt;&gt;"",IF($B29="Lease/Consume",$D29*12*E29,-PMT(Parameter!$E$124,$J29,$D29*E29)))</f>
        <v>120000</v>
      </c>
      <c r="L29" s="508">
        <f>IF($B29&lt;&gt;"",IF($B29="Lease/Consume",$D29*12*F29,-PMT(Parameter!$E$124,$J29,$D29*F29)))</f>
        <v>120000</v>
      </c>
      <c r="M29" s="508">
        <f>IF($B29&lt;&gt;"",IF($B29="Lease/Consume",$D29*12*G29,-PMT(Parameter!$E$124,$J29,$D29*G29)))</f>
        <v>120000</v>
      </c>
      <c r="N29" s="508">
        <f>IF($B29&lt;&gt;"",IF($B29="Lease/Consume",$D29*12*H29,-PMT(Parameter!$E$124,$J29,$D29*H29)))</f>
        <v>120000</v>
      </c>
      <c r="O29" s="508">
        <f>IF($B29&lt;&gt;"",IF($B29="Lease/Consume",$D29*12*I29,-PMT(Parameter!$E$124,$J29,$D29*I29)))</f>
        <v>120000</v>
      </c>
    </row>
    <row r="30" spans="1:15">
      <c r="A30" s="704" t="s">
        <v>784</v>
      </c>
      <c r="B30" s="474" t="s">
        <v>690</v>
      </c>
      <c r="C30" s="483" t="s">
        <v>738</v>
      </c>
      <c r="D30" s="509">
        <v>400000</v>
      </c>
      <c r="E30" s="508">
        <v>1</v>
      </c>
      <c r="F30" s="502">
        <f>ROUND(E30*Parameter!$W$6,0)</f>
        <v>1</v>
      </c>
      <c r="G30" s="502">
        <f>ROUND(F30*Parameter!$W$6,0)</f>
        <v>1</v>
      </c>
      <c r="H30" s="502">
        <f>ROUND(G30*Parameter!$W$6,0)</f>
        <v>1</v>
      </c>
      <c r="I30" s="502">
        <f>ROUND(H30*Parameter!$W$6,0)</f>
        <v>1</v>
      </c>
      <c r="J30" s="704">
        <v>1</v>
      </c>
      <c r="K30" s="508">
        <f>IF($B30&lt;&gt;"",IF($B30="Lease/Consume",$D30*12*E30,-PMT(Parameter!$E$124,$J30,$D30*E30)))</f>
        <v>416000</v>
      </c>
      <c r="L30" s="508">
        <v>0</v>
      </c>
      <c r="M30" s="508">
        <v>0</v>
      </c>
      <c r="N30" s="508">
        <v>0</v>
      </c>
      <c r="O30" s="508">
        <v>0</v>
      </c>
    </row>
    <row r="31" spans="1:15">
      <c r="A31" s="474" t="s">
        <v>33</v>
      </c>
      <c r="B31" s="474" t="s">
        <v>755</v>
      </c>
      <c r="C31" s="483" t="s">
        <v>754</v>
      </c>
      <c r="D31" s="509">
        <v>5000</v>
      </c>
      <c r="E31" s="508">
        <v>1</v>
      </c>
      <c r="F31" s="502">
        <f>ROUND(E31*Parameter!$W$6,0)</f>
        <v>1</v>
      </c>
      <c r="G31" s="502">
        <f>ROUND(F31*Parameter!$W$6,0)</f>
        <v>1</v>
      </c>
      <c r="H31" s="502">
        <f>ROUND(G31*Parameter!$W$6,0)</f>
        <v>1</v>
      </c>
      <c r="I31" s="502">
        <f>ROUND(H31*Parameter!$W$6,0)</f>
        <v>1</v>
      </c>
      <c r="J31" s="9"/>
      <c r="K31" s="508">
        <f>IF($B31&lt;&gt;"",IF($B31="Lease/Consume",$D31*12*E31,-PMT(Parameter!$E$124,$J31,$D31*E31)))</f>
        <v>60000</v>
      </c>
      <c r="L31" s="508">
        <f>IF($B31&lt;&gt;"",IF($B31="Lease/Consume",$D31*12*F31,-PMT(Parameter!$E$124,$J31,$D31*F31)))</f>
        <v>60000</v>
      </c>
      <c r="M31" s="508">
        <f>IF($B31&lt;&gt;"",IF($B31="Lease/Consume",$D31*12*G31,-PMT(Parameter!$E$124,$J31,$D31*G31)))</f>
        <v>60000</v>
      </c>
      <c r="N31" s="508">
        <f>IF($B31&lt;&gt;"",IF($B31="Lease/Consume",$D31*12*H31,-PMT(Parameter!$E$124,$J31,$D31*H31)))</f>
        <v>60000</v>
      </c>
      <c r="O31" s="508">
        <f>IF($B31&lt;&gt;"",IF($B31="Lease/Consume",$D31*12*I31,-PMT(Parameter!$E$124,$J31,$D31*I31)))</f>
        <v>60000</v>
      </c>
    </row>
    <row r="32" spans="1:15">
      <c r="A32" s="474" t="s">
        <v>33</v>
      </c>
      <c r="B32" s="474" t="s">
        <v>690</v>
      </c>
      <c r="C32" s="483" t="s">
        <v>739</v>
      </c>
      <c r="D32" s="509">
        <v>9000</v>
      </c>
      <c r="E32" s="508">
        <f>ROUNDUP(SUM(Parameter!U11:U22)/12,0)</f>
        <v>4</v>
      </c>
      <c r="F32" s="502">
        <f>ROUND(E32*Parameter!$W$6,0)</f>
        <v>4</v>
      </c>
      <c r="G32" s="502">
        <f>ROUND(F32*Parameter!$W$6,0)</f>
        <v>4</v>
      </c>
      <c r="H32" s="502">
        <f>ROUND(G32*Parameter!$W$6,0)</f>
        <v>4</v>
      </c>
      <c r="I32" s="502">
        <f>ROUND(H32*Parameter!$W$6,0)</f>
        <v>4</v>
      </c>
      <c r="J32" s="9">
        <v>3</v>
      </c>
      <c r="K32" s="508">
        <f>IF($B32&lt;&gt;"",IF($B32="Lease/Consume",$D32*12*E32,-PMT(Parameter!$E$124,$J32,$D32*E32)))</f>
        <v>12972.547411583802</v>
      </c>
      <c r="L32" s="508">
        <f>IF($B32&lt;&gt;"",IF($B32="Lease/Consume",$D32*12*F32,-PMT(Parameter!$E$124,$J32,$D32*F32)))</f>
        <v>12972.547411583802</v>
      </c>
      <c r="M32" s="508">
        <f>IF($B32&lt;&gt;"",IF($B32="Lease/Consume",$D32*12*G32,-PMT(Parameter!$E$124,$J32,$D32*G32)))</f>
        <v>12972.547411583802</v>
      </c>
      <c r="N32" s="508">
        <v>0</v>
      </c>
      <c r="O32" s="508">
        <v>0</v>
      </c>
    </row>
    <row r="33" spans="1:15">
      <c r="A33" s="474" t="s">
        <v>33</v>
      </c>
      <c r="B33" s="474" t="s">
        <v>690</v>
      </c>
      <c r="C33" s="483" t="s">
        <v>740</v>
      </c>
      <c r="D33" s="509">
        <v>50000</v>
      </c>
      <c r="E33" s="508">
        <v>1</v>
      </c>
      <c r="F33" s="502">
        <f>ROUND(E33*Parameter!$W$6,0)</f>
        <v>1</v>
      </c>
      <c r="G33" s="502">
        <f>ROUND(F33*Parameter!$W$6,0)</f>
        <v>1</v>
      </c>
      <c r="H33" s="502">
        <f>ROUND(G33*Parameter!$W$6,0)</f>
        <v>1</v>
      </c>
      <c r="I33" s="502">
        <f>ROUND(H33*Parameter!$W$6,0)</f>
        <v>1</v>
      </c>
      <c r="J33" s="9">
        <v>3</v>
      </c>
      <c r="K33" s="508">
        <f>IF($B33&lt;&gt;"",IF($B33="Lease/Consume",$D33*12*E33,-PMT(Parameter!$E$124,$J33,$D33*E33)))</f>
        <v>18017.426960533059</v>
      </c>
      <c r="L33" s="508">
        <f>IF($B33&lt;&gt;"",IF($B33="Lease/Consume",$D33*12*F33,-PMT(Parameter!$E$124,$J33,$D33*F33)))</f>
        <v>18017.426960533059</v>
      </c>
      <c r="M33" s="508">
        <f>IF($B33&lt;&gt;"",IF($B33="Lease/Consume",$D33*12*G33,-PMT(Parameter!$E$124,$J33,$D33*G33)))</f>
        <v>18017.426960533059</v>
      </c>
      <c r="N33" s="508">
        <v>0</v>
      </c>
      <c r="O33" s="508">
        <v>0</v>
      </c>
    </row>
    <row r="34" spans="1:15">
      <c r="A34" s="474" t="s">
        <v>33</v>
      </c>
      <c r="B34" s="474" t="s">
        <v>755</v>
      </c>
      <c r="C34" s="483" t="s">
        <v>741</v>
      </c>
      <c r="D34" s="509">
        <v>500</v>
      </c>
      <c r="E34" s="508">
        <v>1</v>
      </c>
      <c r="F34" s="502">
        <f>ROUND(E34*Parameter!$W$6,0)</f>
        <v>1</v>
      </c>
      <c r="G34" s="502">
        <f>ROUND(F34*Parameter!$W$6,0)</f>
        <v>1</v>
      </c>
      <c r="H34" s="502">
        <f>ROUND(G34*Parameter!$W$6,0)</f>
        <v>1</v>
      </c>
      <c r="I34" s="502">
        <f>ROUND(H34*Parameter!$W$6,0)</f>
        <v>1</v>
      </c>
      <c r="J34" s="9"/>
      <c r="K34" s="508">
        <f>IF($B34&lt;&gt;"",IF($B34="Lease/Consume",$D34*12*E34,-PMT(Parameter!$E$124,$J34,$D34*E34)))</f>
        <v>6000</v>
      </c>
      <c r="L34" s="508">
        <f>IF($B34&lt;&gt;"",IF($B34="Lease/Consume",$D34*12*F34,-PMT(Parameter!$E$124,$J34,$D34*F34)))</f>
        <v>6000</v>
      </c>
      <c r="M34" s="508">
        <f>IF($B34&lt;&gt;"",IF($B34="Lease/Consume",$D34*12*G34,-PMT(Parameter!$E$124,$J34,$D34*G34)))</f>
        <v>6000</v>
      </c>
      <c r="N34" s="508">
        <f>IF($B34&lt;&gt;"",IF($B34="Lease/Consume",$D34*12*H34,-PMT(Parameter!$E$124,$J34,$D34*H34)))</f>
        <v>6000</v>
      </c>
      <c r="O34" s="508">
        <f>IF($B34&lt;&gt;"",IF($B34="Lease/Consume",$D34*12*I34,-PMT(Parameter!$E$124,$J34,$D34*I34)))</f>
        <v>6000</v>
      </c>
    </row>
    <row r="35" spans="1:15">
      <c r="A35" s="474" t="s">
        <v>33</v>
      </c>
      <c r="B35" s="474" t="s">
        <v>690</v>
      </c>
      <c r="C35" s="483" t="s">
        <v>742</v>
      </c>
      <c r="D35" s="509">
        <v>35000</v>
      </c>
      <c r="E35" s="508">
        <v>1</v>
      </c>
      <c r="F35" s="502">
        <f>ROUND(E35*Parameter!$W$6,0)</f>
        <v>1</v>
      </c>
      <c r="G35" s="502">
        <f>ROUND(F35*Parameter!$W$6,0)</f>
        <v>1</v>
      </c>
      <c r="H35" s="502">
        <f>ROUND(G35*Parameter!$W$6,0)</f>
        <v>1</v>
      </c>
      <c r="I35" s="502">
        <f>ROUND(H35*Parameter!$W$6,0)</f>
        <v>1</v>
      </c>
      <c r="J35" s="9">
        <v>3</v>
      </c>
      <c r="K35" s="508">
        <f>IF($B35&lt;&gt;"",IF($B35="Lease/Consume",$D35*12*E35,-PMT(Parameter!$E$124,$J35,$D35*E35)))</f>
        <v>12612.198872373141</v>
      </c>
      <c r="L35" s="508">
        <f>IF($B35&lt;&gt;"",IF($B35="Lease/Consume",$D35*12*F35,-PMT(Parameter!$E$124,$J35,$D35*F35)))</f>
        <v>12612.198872373141</v>
      </c>
      <c r="M35" s="508">
        <f>IF($B35&lt;&gt;"",IF($B35="Lease/Consume",$D35*12*G35,-PMT(Parameter!$E$124,$J35,$D35*G35)))</f>
        <v>12612.198872373141</v>
      </c>
      <c r="N35" s="508">
        <v>0</v>
      </c>
      <c r="O35" s="508">
        <v>0</v>
      </c>
    </row>
    <row r="36" spans="1:15">
      <c r="A36" s="474" t="s">
        <v>33</v>
      </c>
      <c r="B36" s="474" t="s">
        <v>755</v>
      </c>
      <c r="C36" s="483" t="s">
        <v>743</v>
      </c>
      <c r="D36" s="509">
        <f>2000000*0.4%</f>
        <v>8000</v>
      </c>
      <c r="E36" s="508">
        <v>1</v>
      </c>
      <c r="F36" s="502">
        <f>ROUND(E36*Parameter!$W$6,0)</f>
        <v>1</v>
      </c>
      <c r="G36" s="502">
        <f>ROUND(F36*Parameter!$W$6,0)</f>
        <v>1</v>
      </c>
      <c r="H36" s="502">
        <f>ROUND(G36*Parameter!$W$6,0)</f>
        <v>1</v>
      </c>
      <c r="I36" s="502">
        <f>ROUND(H36*Parameter!$W$6,0)</f>
        <v>1</v>
      </c>
      <c r="J36" s="9"/>
      <c r="K36" s="508">
        <f>IF($B36&lt;&gt;"",IF($B36="Lease/Consume",$D36*12*E36,-PMT(Parameter!$E$124,$J36,$D36*E36)))</f>
        <v>96000</v>
      </c>
      <c r="L36" s="508">
        <f>IF($B36&lt;&gt;"",IF($B36="Lease/Consume",$D36*12*F36,-PMT(Parameter!$E$124,$J36,$D36*F36)))</f>
        <v>96000</v>
      </c>
      <c r="M36" s="508">
        <f>IF($B36&lt;&gt;"",IF($B36="Lease/Consume",$D36*12*G36,-PMT(Parameter!$E$124,$J36,$D36*G36)))</f>
        <v>96000</v>
      </c>
      <c r="N36" s="508">
        <f>IF($B36&lt;&gt;"",IF($B36="Lease/Consume",$D36*12*H36,-PMT(Parameter!$E$124,$J36,$D36*H36)))</f>
        <v>96000</v>
      </c>
      <c r="O36" s="508">
        <f>IF($B36&lt;&gt;"",IF($B36="Lease/Consume",$D36*12*I36,-PMT(Parameter!$E$124,$J36,$D36*I36)))</f>
        <v>96000</v>
      </c>
    </row>
    <row r="37" spans="1:15">
      <c r="A37" s="474" t="s">
        <v>33</v>
      </c>
      <c r="B37" s="474" t="s">
        <v>755</v>
      </c>
      <c r="C37" s="483" t="s">
        <v>744</v>
      </c>
      <c r="D37" s="707">
        <f>5%*SUM(K3:K10)/12</f>
        <v>3454.8162651631646</v>
      </c>
      <c r="E37" s="508">
        <v>1</v>
      </c>
      <c r="F37" s="502">
        <f>ROUND(E37*Parameter!$W$6,0)</f>
        <v>1</v>
      </c>
      <c r="G37" s="502">
        <f>ROUND(F37*Parameter!$W$6,0)</f>
        <v>1</v>
      </c>
      <c r="H37" s="502">
        <f>ROUND(G37*Parameter!$W$6,0)</f>
        <v>1</v>
      </c>
      <c r="I37" s="502">
        <f>ROUND(H37*Parameter!$W$6,0)</f>
        <v>1</v>
      </c>
      <c r="J37" s="9"/>
      <c r="K37" s="508">
        <f>IF($B37&lt;&gt;"",IF($B37="Lease/Consume",$D37*12*E37,-PMT(Parameter!$E$124,$J37,$D37*E37)))</f>
        <v>41457.795181957976</v>
      </c>
      <c r="L37" s="508">
        <f>IF($B37&lt;&gt;"",IF($B37="Lease/Consume",$D37*12*F37,-PMT(Parameter!$E$124,$J37,$D37*F37)))</f>
        <v>41457.795181957976</v>
      </c>
      <c r="M37" s="508">
        <f>IF($B37&lt;&gt;"",IF($B37="Lease/Consume",$D37*12*G37,-PMT(Parameter!$E$124,$J37,$D37*G37)))</f>
        <v>41457.795181957976</v>
      </c>
      <c r="N37" s="508">
        <f>IF($B37&lt;&gt;"",IF($B37="Lease/Consume",$D37*12*H37,-PMT(Parameter!$E$124,$J37,$D37*H37)))</f>
        <v>41457.795181957976</v>
      </c>
      <c r="O37" s="508">
        <f>IF($B37&lt;&gt;"",IF($B37="Lease/Consume",$D37*12*I37,-PMT(Parameter!$E$124,$J37,$D37*I37)))</f>
        <v>41457.795181957976</v>
      </c>
    </row>
    <row r="38" spans="1:15">
      <c r="A38" s="474" t="s">
        <v>33</v>
      </c>
      <c r="B38" s="474" t="s">
        <v>755</v>
      </c>
      <c r="C38" s="483" t="s">
        <v>745</v>
      </c>
      <c r="D38" s="841">
        <f>80000/12</f>
        <v>6666.666666666667</v>
      </c>
      <c r="E38" s="508">
        <v>1</v>
      </c>
      <c r="F38" s="502">
        <f>ROUND(E38*Parameter!$W$6,0)</f>
        <v>1</v>
      </c>
      <c r="G38" s="502">
        <f>ROUND(F38*Parameter!$W$6,0)</f>
        <v>1</v>
      </c>
      <c r="H38" s="502">
        <f>ROUND(G38*Parameter!$W$6,0)</f>
        <v>1</v>
      </c>
      <c r="I38" s="502">
        <f>ROUND(H38*Parameter!$W$6,0)</f>
        <v>1</v>
      </c>
      <c r="J38" s="9"/>
      <c r="K38" s="508">
        <f>IF($B38&lt;&gt;"",IF($B38="Lease/Consume",$D38*12*E38,-PMT(Parameter!$E$124,$J38,$D38*E38)))</f>
        <v>80000</v>
      </c>
      <c r="L38" s="508">
        <f>IF($B38&lt;&gt;"",IF($B38="Lease/Consume",$D38*12*F38,-PMT(Parameter!$E$124,$J38,$D38*F38)))</f>
        <v>80000</v>
      </c>
      <c r="M38" s="508">
        <f>IF($B38&lt;&gt;"",IF($B38="Lease/Consume",$D38*12*G38,-PMT(Parameter!$E$124,$J38,$D38*G38)))</f>
        <v>80000</v>
      </c>
      <c r="N38" s="508">
        <f>IF($B38&lt;&gt;"",IF($B38="Lease/Consume",$D38*12*H38,-PMT(Parameter!$E$124,$J38,$D38*H38)))</f>
        <v>80000</v>
      </c>
      <c r="O38" s="508">
        <f>IF($B38&lt;&gt;"",IF($B38="Lease/Consume",$D38*12*I38,-PMT(Parameter!$E$124,$J38,$D38*I38)))</f>
        <v>80000</v>
      </c>
    </row>
    <row r="39" spans="1:15" ht="12" customHeight="1">
      <c r="A39" s="474" t="s">
        <v>33</v>
      </c>
      <c r="B39" s="474" t="s">
        <v>755</v>
      </c>
      <c r="C39" s="483" t="s">
        <v>746</v>
      </c>
      <c r="D39" s="509">
        <v>3500</v>
      </c>
      <c r="E39" s="508">
        <v>1</v>
      </c>
      <c r="F39" s="502">
        <f>ROUND(E39*Parameter!$W$6,0)</f>
        <v>1</v>
      </c>
      <c r="G39" s="502">
        <f>ROUND(F39*Parameter!$W$6,0)</f>
        <v>1</v>
      </c>
      <c r="H39" s="502">
        <f>ROUND(G39*Parameter!$W$6,0)</f>
        <v>1</v>
      </c>
      <c r="I39" s="502">
        <f>ROUND(H39*Parameter!$W$6,0)</f>
        <v>1</v>
      </c>
      <c r="J39" s="9"/>
      <c r="K39" s="508">
        <f>IF($B39&lt;&gt;"",IF($B39="Lease/Consume",$D39*12*E39,-PMT(Parameter!$E$124,$J39,$D39*E39)))</f>
        <v>42000</v>
      </c>
      <c r="L39" s="508">
        <f>IF($B39&lt;&gt;"",IF($B39="Lease/Consume",$D39*12*F39,-PMT(Parameter!$E$124,$J39,$D39*F39)))</f>
        <v>42000</v>
      </c>
      <c r="M39" s="508">
        <f>IF($B39&lt;&gt;"",IF($B39="Lease/Consume",$D39*12*G39,-PMT(Parameter!$E$124,$J39,$D39*G39)))</f>
        <v>42000</v>
      </c>
      <c r="N39" s="508">
        <f>IF($B39&lt;&gt;"",IF($B39="Lease/Consume",$D39*12*H39,-PMT(Parameter!$E$124,$J39,$D39*H39)))</f>
        <v>42000</v>
      </c>
      <c r="O39" s="508">
        <f>IF($B39&lt;&gt;"",IF($B39="Lease/Consume",$D39*12*I39,-PMT(Parameter!$E$124,$J39,$D39*I39)))</f>
        <v>42000</v>
      </c>
    </row>
    <row r="40" spans="1:15">
      <c r="A40" s="474" t="s">
        <v>33</v>
      </c>
      <c r="B40" s="474" t="s">
        <v>755</v>
      </c>
      <c r="C40" s="483" t="s">
        <v>747</v>
      </c>
      <c r="D40" s="708">
        <f>25000/12</f>
        <v>2083.3333333333335</v>
      </c>
      <c r="E40" s="508">
        <v>1</v>
      </c>
      <c r="F40" s="502">
        <f>ROUND(E40*Parameter!$W$6,0)</f>
        <v>1</v>
      </c>
      <c r="G40" s="502">
        <f>ROUND(F40*Parameter!$W$6,0)</f>
        <v>1</v>
      </c>
      <c r="H40" s="502">
        <f>ROUND(G40*Parameter!$W$6,0)</f>
        <v>1</v>
      </c>
      <c r="I40" s="502">
        <f>ROUND(H40*Parameter!$W$6,0)</f>
        <v>1</v>
      </c>
      <c r="J40" s="9"/>
      <c r="K40" s="508">
        <f>IF($B40&lt;&gt;"",IF($B40="Lease/Consume",$D40*12*E40,-PMT(Parameter!$E$124,$J40,$D40*E40)))</f>
        <v>25000</v>
      </c>
      <c r="L40" s="508">
        <f>IF($B40&lt;&gt;"",IF($B40="Lease/Consume",$D40*12*F40,-PMT(Parameter!$E$124,$J40,$D40*F40)))</f>
        <v>25000</v>
      </c>
      <c r="M40" s="508">
        <f>IF($B40&lt;&gt;"",IF($B40="Lease/Consume",$D40*12*G40,-PMT(Parameter!$E$124,$J40,$D40*G40)))</f>
        <v>25000</v>
      </c>
      <c r="N40" s="508">
        <f>IF($B40&lt;&gt;"",IF($B40="Lease/Consume",$D40*12*H40,-PMT(Parameter!$E$124,$J40,$D40*H40)))</f>
        <v>25000</v>
      </c>
      <c r="O40" s="508">
        <f>IF($B40&lt;&gt;"",IF($B40="Lease/Consume",$D40*12*I40,-PMT(Parameter!$E$124,$J40,$D40*I40)))</f>
        <v>25000</v>
      </c>
    </row>
    <row r="41" spans="1:15">
      <c r="A41" s="474" t="s">
        <v>33</v>
      </c>
      <c r="B41" s="474" t="s">
        <v>755</v>
      </c>
      <c r="C41" s="483" t="s">
        <v>748</v>
      </c>
      <c r="D41" s="509">
        <v>3500</v>
      </c>
      <c r="E41" s="526">
        <v>1</v>
      </c>
      <c r="F41" s="502">
        <f>ROUND(E41*Parameter!$W$6,0)</f>
        <v>1</v>
      </c>
      <c r="G41" s="502">
        <f>ROUND(F41*Parameter!$W$6,0)</f>
        <v>1</v>
      </c>
      <c r="H41" s="502">
        <f>ROUND(G41*Parameter!$W$6,0)</f>
        <v>1</v>
      </c>
      <c r="I41" s="502">
        <f>ROUND(H41*Parameter!$W$6,0)</f>
        <v>1</v>
      </c>
      <c r="J41" s="9"/>
      <c r="K41" s="508">
        <f>IF($B41&lt;&gt;"",IF($B41="Lease/Consume",$D41*12*E41,-PMT(Parameter!$E$124,$J41,$D41*E41)))</f>
        <v>42000</v>
      </c>
      <c r="L41" s="508">
        <f>IF($B41&lt;&gt;"",IF($B41="Lease/Consume",$D41*12*F41,-PMT(Parameter!$E$124,$J41,$D41*F41)))</f>
        <v>42000</v>
      </c>
      <c r="M41" s="508">
        <f>IF($B41&lt;&gt;"",IF($B41="Lease/Consume",$D41*12*G41,-PMT(Parameter!$E$124,$J41,$D41*G41)))</f>
        <v>42000</v>
      </c>
      <c r="N41" s="508">
        <f>IF($B41&lt;&gt;"",IF($B41="Lease/Consume",$D41*12*H41,-PMT(Parameter!$E$124,$J41,$D41*H41)))</f>
        <v>42000</v>
      </c>
      <c r="O41" s="508">
        <f>IF($B41&lt;&gt;"",IF($B41="Lease/Consume",$D41*12*I41,-PMT(Parameter!$E$124,$J41,$D41*I41)))</f>
        <v>42000</v>
      </c>
    </row>
    <row r="42" spans="1:15">
      <c r="A42" s="474" t="s">
        <v>33</v>
      </c>
      <c r="B42" s="474" t="s">
        <v>755</v>
      </c>
      <c r="C42" s="483" t="s">
        <v>753</v>
      </c>
      <c r="D42" s="509">
        <v>396</v>
      </c>
      <c r="E42" s="508">
        <f>SUM(Parameter!U11:U22)</f>
        <v>40.176771275076078</v>
      </c>
      <c r="F42" s="502">
        <f>ROUND(E42*Parameter!$W$6,0)</f>
        <v>39</v>
      </c>
      <c r="G42" s="502">
        <f>ROUND(F42*Parameter!$W$6,0)</f>
        <v>38</v>
      </c>
      <c r="H42" s="502">
        <f>ROUND(G42*Parameter!$W$6,0)</f>
        <v>37</v>
      </c>
      <c r="I42" s="502">
        <f>ROUND(H42*Parameter!$W$6,0)</f>
        <v>36</v>
      </c>
      <c r="J42" s="9"/>
      <c r="K42" s="508">
        <f>IF($B42&lt;&gt;"",IF($B42="Lease/Consume",$D42*12*E42,-PMT(Parameter!$E$124,$J42,$D42*E42)))</f>
        <v>190920.01709916152</v>
      </c>
      <c r="L42" s="508">
        <f>IF($B42&lt;&gt;"",IF($B42="Lease/Consume",$D42*12*F42,-PMT(Parameter!$E$124,$J42,$D42*F42)))</f>
        <v>185328</v>
      </c>
      <c r="M42" s="508">
        <f>IF($B42&lt;&gt;"",IF($B42="Lease/Consume",$D42*12*G42,-PMT(Parameter!$E$124,$J42,$D42*G42)))</f>
        <v>180576</v>
      </c>
      <c r="N42" s="508">
        <f>IF($B42&lt;&gt;"",IF($B42="Lease/Consume",$D42*12*H42,-PMT(Parameter!$E$124,$J42,$D42*H42)))</f>
        <v>175824</v>
      </c>
      <c r="O42" s="508">
        <f>IF($B42&lt;&gt;"",IF($B42="Lease/Consume",$D42*12*I42,-PMT(Parameter!$E$124,$J42,$D42*I42)))</f>
        <v>171072</v>
      </c>
    </row>
    <row r="43" spans="1:15">
      <c r="A43" s="474" t="s">
        <v>33</v>
      </c>
      <c r="B43" s="474" t="s">
        <v>755</v>
      </c>
      <c r="C43" s="483" t="s">
        <v>749</v>
      </c>
      <c r="D43" s="509">
        <v>25</v>
      </c>
      <c r="E43" s="508">
        <f>E42</f>
        <v>40.176771275076078</v>
      </c>
      <c r="F43" s="502">
        <f>ROUND(E43*Parameter!$W$6,0)</f>
        <v>39</v>
      </c>
      <c r="G43" s="502">
        <f>ROUND(F43*Parameter!$W$6,0)</f>
        <v>38</v>
      </c>
      <c r="H43" s="502">
        <f>ROUND(G43*Parameter!$W$6,0)</f>
        <v>37</v>
      </c>
      <c r="I43" s="502">
        <f>ROUND(H43*Parameter!$W$6,0)</f>
        <v>36</v>
      </c>
      <c r="J43" s="9"/>
      <c r="K43" s="508">
        <f>IF($B43&lt;&gt;"",IF($B43="Lease/Consume",$D43*12*E43,-PMT(Parameter!$E$124,$J43,$D43*E43)))</f>
        <v>12053.031382522824</v>
      </c>
      <c r="L43" s="508">
        <f>IF($B43&lt;&gt;"",IF($B43="Lease/Consume",$D43*12*F43,-PMT(Parameter!$E$124,$J43,$D43*F43)))</f>
        <v>11700</v>
      </c>
      <c r="M43" s="508">
        <f>IF($B43&lt;&gt;"",IF($B43="Lease/Consume",$D43*12*G43,-PMT(Parameter!$E$124,$J43,$D43*G43)))</f>
        <v>11400</v>
      </c>
      <c r="N43" s="508">
        <f>IF($B43&lt;&gt;"",IF($B43="Lease/Consume",$D43*12*H43,-PMT(Parameter!$E$124,$J43,$D43*H43)))</f>
        <v>11100</v>
      </c>
      <c r="O43" s="508">
        <f>IF($B43&lt;&gt;"",IF($B43="Lease/Consume",$D43*12*I43,-PMT(Parameter!$E$124,$J43,$D43*I43)))</f>
        <v>10800</v>
      </c>
    </row>
    <row r="44" spans="1:15">
      <c r="A44" s="474" t="s">
        <v>33</v>
      </c>
      <c r="B44" s="474" t="s">
        <v>755</v>
      </c>
      <c r="C44" s="483" t="s">
        <v>750</v>
      </c>
      <c r="D44" s="509">
        <v>15</v>
      </c>
      <c r="E44" s="508">
        <f>E43</f>
        <v>40.176771275076078</v>
      </c>
      <c r="F44" s="502">
        <f>ROUND(E44*Parameter!$W$6,0)</f>
        <v>39</v>
      </c>
      <c r="G44" s="502">
        <f>ROUND(F44*Parameter!$W$6,0)</f>
        <v>38</v>
      </c>
      <c r="H44" s="502">
        <f>ROUND(G44*Parameter!$W$6,0)</f>
        <v>37</v>
      </c>
      <c r="I44" s="502">
        <f>ROUND(H44*Parameter!$W$6,0)</f>
        <v>36</v>
      </c>
      <c r="J44" s="9"/>
      <c r="K44" s="508">
        <f>IF($B44&lt;&gt;"",IF($B44="Lease/Consume",$D44*12*E44,-PMT(Parameter!$E$124,$J44,$D44*E44)))</f>
        <v>7231.8188295136943</v>
      </c>
      <c r="L44" s="508">
        <f>IF($B44&lt;&gt;"",IF($B44="Lease/Consume",$D44*12*F44,-PMT(Parameter!$E$124,$J44,$D44*F44)))</f>
        <v>7020</v>
      </c>
      <c r="M44" s="508">
        <f>IF($B44&lt;&gt;"",IF($B44="Lease/Consume",$D44*12*G44,-PMT(Parameter!$E$124,$J44,$D44*G44)))</f>
        <v>6840</v>
      </c>
      <c r="N44" s="508">
        <f>IF($B44&lt;&gt;"",IF($B44="Lease/Consume",$D44*12*H44,-PMT(Parameter!$E$124,$J44,$D44*H44)))</f>
        <v>6660</v>
      </c>
      <c r="O44" s="508">
        <f>IF($B44&lt;&gt;"",IF($B44="Lease/Consume",$D44*12*I44,-PMT(Parameter!$E$124,$J44,$D44*I44)))</f>
        <v>6480</v>
      </c>
    </row>
    <row r="45" spans="1:15">
      <c r="A45" s="474" t="s">
        <v>33</v>
      </c>
      <c r="B45" s="474" t="s">
        <v>755</v>
      </c>
      <c r="C45" s="483" t="s">
        <v>751</v>
      </c>
      <c r="D45" s="509">
        <v>1000</v>
      </c>
      <c r="E45" s="508">
        <v>1</v>
      </c>
      <c r="F45" s="502">
        <f>ROUND(E45*Parameter!$W$6,0)</f>
        <v>1</v>
      </c>
      <c r="G45" s="502">
        <f>ROUND(F45*Parameter!$W$6,0)</f>
        <v>1</v>
      </c>
      <c r="H45" s="502">
        <f>ROUND(G45*Parameter!$W$6,0)</f>
        <v>1</v>
      </c>
      <c r="I45" s="502">
        <f>ROUND(H45*Parameter!$W$6,0)</f>
        <v>1</v>
      </c>
      <c r="J45" s="9"/>
      <c r="K45" s="508">
        <f>IF($B45&lt;&gt;"",IF($B45="Lease/Consume",$D45*12*E45,-PMT(Parameter!$E$124,$J45,$D45*E45)))</f>
        <v>12000</v>
      </c>
      <c r="L45" s="508">
        <f>IF($B45&lt;&gt;"",IF($B45="Lease/Consume",$D45*12*F45,-PMT(Parameter!$E$124,$J45,$D45*F45)))</f>
        <v>12000</v>
      </c>
      <c r="M45" s="508">
        <f>IF($B45&lt;&gt;"",IF($B45="Lease/Consume",$D45*12*G45,-PMT(Parameter!$E$124,$J45,$D45*G45)))</f>
        <v>12000</v>
      </c>
      <c r="N45" s="508">
        <f>IF($B45&lt;&gt;"",IF($B45="Lease/Consume",$D45*12*H45,-PMT(Parameter!$E$124,$J45,$D45*H45)))</f>
        <v>12000</v>
      </c>
      <c r="O45" s="508">
        <f>IF($B45&lt;&gt;"",IF($B45="Lease/Consume",$D45*12*I45,-PMT(Parameter!$E$124,$J45,$D45*I45)))</f>
        <v>12000</v>
      </c>
    </row>
    <row r="46" spans="1:15">
      <c r="A46" s="474" t="s">
        <v>33</v>
      </c>
      <c r="B46" s="474" t="s">
        <v>690</v>
      </c>
      <c r="C46" s="483" t="s">
        <v>752</v>
      </c>
      <c r="D46" s="509">
        <v>350</v>
      </c>
      <c r="E46" s="508">
        <f>E42*3</f>
        <v>120.53031382522823</v>
      </c>
      <c r="F46" s="502">
        <f>ROUND(E46*Parameter!$W$6,0)</f>
        <v>117</v>
      </c>
      <c r="G46" s="502">
        <f>ROUND(F46*Parameter!$W$6,0)</f>
        <v>113</v>
      </c>
      <c r="H46" s="502">
        <f>ROUND(G46*Parameter!$W$6,0)</f>
        <v>110</v>
      </c>
      <c r="I46" s="502">
        <f>ROUND(H46*Parameter!$W$6,0)</f>
        <v>107</v>
      </c>
      <c r="J46" s="9">
        <v>3</v>
      </c>
      <c r="K46" s="508">
        <f>IF($B46&lt;&gt;"",IF($B46="Lease/Consume",$D46*12*E46,-PMT(Parameter!$E$124,$J46,$D46*E46)))</f>
        <v>15201.522881133245</v>
      </c>
      <c r="L46" s="508">
        <f>IF($B46&lt;&gt;"",IF($B46="Lease/Consume",$D46*12*F46,-PMT(Parameter!$E$124,$J46,$D46*F46)))</f>
        <v>14756.272680676575</v>
      </c>
      <c r="M46" s="508">
        <f>IF($B46&lt;&gt;"",IF($B46="Lease/Consume",$D46*12*G46,-PMT(Parameter!$E$124,$J46,$D46*G46)))</f>
        <v>14251.784725781648</v>
      </c>
      <c r="N46" s="508">
        <v>0</v>
      </c>
      <c r="O46" s="508">
        <v>0</v>
      </c>
    </row>
    <row r="47" spans="1:15">
      <c r="A47" s="474" t="s">
        <v>33</v>
      </c>
      <c r="B47" s="474" t="s">
        <v>755</v>
      </c>
      <c r="C47" s="483" t="s">
        <v>756</v>
      </c>
      <c r="D47" s="509">
        <v>1500</v>
      </c>
      <c r="E47" s="508">
        <v>1</v>
      </c>
      <c r="F47" s="502">
        <f>ROUND(E47*Parameter!$W$6,0)</f>
        <v>1</v>
      </c>
      <c r="G47" s="502">
        <f>ROUND(F47*Parameter!$W$6,0)</f>
        <v>1</v>
      </c>
      <c r="H47" s="502">
        <f>ROUND(G47*Parameter!$W$6,0)</f>
        <v>1</v>
      </c>
      <c r="I47" s="502">
        <f>ROUND(H47*Parameter!$W$6,0)</f>
        <v>1</v>
      </c>
      <c r="J47" s="9"/>
      <c r="K47" s="508">
        <f>IF($B47&lt;&gt;"",IF($B47="Lease/Consume",$D47*12*E47,-PMT(Parameter!$E$124,$J47,$D47*E47)))</f>
        <v>18000</v>
      </c>
      <c r="L47" s="508">
        <f>IF($B47&lt;&gt;"",IF($B47="Lease/Consume",$D47*12*F47,-PMT(Parameter!$E$124,$J47,$D47*F47)))</f>
        <v>18000</v>
      </c>
      <c r="M47" s="508">
        <f>IF($B47&lt;&gt;"",IF($B47="Lease/Consume",$D47*12*G47,-PMT(Parameter!$E$124,$J47,$D47*G47)))</f>
        <v>18000</v>
      </c>
      <c r="N47" s="508">
        <f>IF($B47&lt;&gt;"",IF($B47="Lease/Consume",$D47*12*H47,-PMT(Parameter!$E$124,$J47,$D47*H47)))</f>
        <v>18000</v>
      </c>
      <c r="O47" s="508">
        <f>IF($B47&lt;&gt;"",IF($B47="Lease/Consume",$D47*12*I47,-PMT(Parameter!$E$124,$J47,$D47*I47)))</f>
        <v>18000</v>
      </c>
    </row>
    <row r="48" spans="1:15">
      <c r="A48" s="474" t="s">
        <v>33</v>
      </c>
      <c r="B48" s="474" t="s">
        <v>690</v>
      </c>
      <c r="C48" s="483" t="s">
        <v>955</v>
      </c>
      <c r="D48" s="509">
        <v>1000</v>
      </c>
      <c r="E48" s="508">
        <v>1</v>
      </c>
      <c r="F48" s="502">
        <f>ROUND(E48*Parameter!$W$6,0)</f>
        <v>1</v>
      </c>
      <c r="G48" s="502">
        <f>ROUND(F48*Parameter!$W$6,0)</f>
        <v>1</v>
      </c>
      <c r="H48" s="502">
        <f>ROUND(G48*Parameter!$W$6,0)</f>
        <v>1</v>
      </c>
      <c r="I48" s="502">
        <f>ROUND(H48*Parameter!$W$6,0)</f>
        <v>1</v>
      </c>
      <c r="J48" s="9">
        <v>2</v>
      </c>
      <c r="K48" s="508">
        <f>IF($B48&lt;&gt;"",IF($B48="Lease/Consume",$D48*12*E48,-PMT(Parameter!$E$124,$J48,$D48*E48)))</f>
        <v>530.1960784313726</v>
      </c>
      <c r="L48" s="508">
        <f>IF($B48&lt;&gt;"",IF($B48="Lease/Consume",$D48*12*F48,-PMT(Parameter!$E$124,$J48,$D48*F48)))</f>
        <v>530.1960784313726</v>
      </c>
      <c r="M48" s="508">
        <v>0</v>
      </c>
      <c r="N48" s="508">
        <v>0</v>
      </c>
      <c r="O48" s="508">
        <v>0</v>
      </c>
    </row>
    <row r="49" spans="1:15">
      <c r="A49" s="474" t="s">
        <v>33</v>
      </c>
      <c r="B49" s="474" t="s">
        <v>690</v>
      </c>
      <c r="C49" s="483" t="s">
        <v>974</v>
      </c>
      <c r="D49" s="509">
        <v>3000</v>
      </c>
      <c r="E49" s="508">
        <v>2</v>
      </c>
      <c r="F49" s="502">
        <f>ROUND(E49*Parameter!$W$6,0)</f>
        <v>2</v>
      </c>
      <c r="G49" s="502">
        <f>ROUND(F49*Parameter!$W$6,0)</f>
        <v>2</v>
      </c>
      <c r="H49" s="502">
        <f>ROUND(G49*Parameter!$W$6,0)</f>
        <v>2</v>
      </c>
      <c r="I49" s="502">
        <f>ROUND(H49*Parameter!$W$6,0)</f>
        <v>2</v>
      </c>
      <c r="J49" s="9">
        <v>3</v>
      </c>
      <c r="K49" s="508">
        <f>IF($B49&lt;&gt;"",IF($B49="Lease/Consume",$D49*12*E49,-PMT(Parameter!$E$124,$J49,$D49*E49)))</f>
        <v>2162.0912352639671</v>
      </c>
      <c r="L49" s="508">
        <f>IF($B49&lt;&gt;"",IF($B49="Lease/Consume",$D49*12*F49,-PMT(Parameter!$E$124,$J49,$D49*F49)))</f>
        <v>2162.0912352639671</v>
      </c>
      <c r="M49" s="508">
        <f>IF($B49&lt;&gt;"",IF($B49="Lease/Consume",$D49*12*G49,-PMT(Parameter!$E$124,$J49,$D49*G49)))</f>
        <v>2162.0912352639671</v>
      </c>
      <c r="N49" s="508">
        <v>0</v>
      </c>
      <c r="O49" s="508">
        <v>0</v>
      </c>
    </row>
    <row r="50" spans="1:15">
      <c r="A50" s="474" t="s">
        <v>33</v>
      </c>
      <c r="B50" s="474" t="s">
        <v>690</v>
      </c>
      <c r="C50" s="483" t="s">
        <v>975</v>
      </c>
      <c r="D50" s="509">
        <v>3000</v>
      </c>
      <c r="E50" s="508">
        <v>2</v>
      </c>
      <c r="F50" s="502">
        <f>ROUND(E50*Parameter!$W$6,0)</f>
        <v>2</v>
      </c>
      <c r="G50" s="502">
        <f>ROUND(F50*Parameter!$W$6,0)</f>
        <v>2</v>
      </c>
      <c r="H50" s="502">
        <f>ROUND(G50*Parameter!$W$6,0)</f>
        <v>2</v>
      </c>
      <c r="I50" s="502">
        <f>ROUND(H50*Parameter!$W$6,0)</f>
        <v>2</v>
      </c>
      <c r="J50" s="9">
        <v>3</v>
      </c>
      <c r="K50" s="508">
        <f>IF($B50&lt;&gt;"",IF($B50="Lease/Consume",$D50*12*E50,-PMT(Parameter!$E$124,$J50,$D50*E50)))</f>
        <v>2162.0912352639671</v>
      </c>
      <c r="L50" s="508">
        <f>IF($B50&lt;&gt;"",IF($B50="Lease/Consume",$D50*12*F50,-PMT(Parameter!$E$124,$J50,$D50*F50)))</f>
        <v>2162.0912352639671</v>
      </c>
      <c r="M50" s="508">
        <f>IF($B50&lt;&gt;"",IF($B50="Lease/Consume",$D50*12*G50,-PMT(Parameter!$E$124,$J50,$D50*G50)))</f>
        <v>2162.0912352639671</v>
      </c>
      <c r="N50" s="508">
        <v>0</v>
      </c>
      <c r="O50" s="508">
        <v>0</v>
      </c>
    </row>
    <row r="51" spans="1:15">
      <c r="A51" s="474" t="s">
        <v>33</v>
      </c>
      <c r="B51" s="474" t="s">
        <v>690</v>
      </c>
      <c r="C51" s="483" t="s">
        <v>976</v>
      </c>
      <c r="D51" s="509">
        <v>3000</v>
      </c>
      <c r="E51" s="508">
        <v>4</v>
      </c>
      <c r="F51" s="502">
        <f>ROUND(E51*Parameter!$W$6,0)</f>
        <v>4</v>
      </c>
      <c r="G51" s="502">
        <f>ROUND(F51*Parameter!$W$6,0)</f>
        <v>4</v>
      </c>
      <c r="H51" s="502">
        <f>ROUND(G51*Parameter!$W$6,0)</f>
        <v>4</v>
      </c>
      <c r="I51" s="502">
        <f>ROUND(H51*Parameter!$W$6,0)</f>
        <v>4</v>
      </c>
      <c r="J51" s="9">
        <v>3</v>
      </c>
      <c r="K51" s="508">
        <f>IF($B51&lt;&gt;"",IF($B51="Lease/Consume",$D51*12*E51,-PMT(Parameter!$E$124,$J51,$D51*E51)))</f>
        <v>4324.1824705279341</v>
      </c>
      <c r="L51" s="508">
        <f>IF($B51&lt;&gt;"",IF($B51="Lease/Consume",$D51*12*F51,-PMT(Parameter!$E$124,$J51,$D51*F51)))</f>
        <v>4324.1824705279341</v>
      </c>
      <c r="M51" s="508">
        <f>IF($B51&lt;&gt;"",IF($B51="Lease/Consume",$D51*12*G51,-PMT(Parameter!$E$124,$J51,$D51*G51)))</f>
        <v>4324.1824705279341</v>
      </c>
      <c r="N51" s="508">
        <v>0</v>
      </c>
      <c r="O51" s="508">
        <v>0</v>
      </c>
    </row>
    <row r="52" spans="1:15">
      <c r="A52" s="474"/>
      <c r="B52" s="474"/>
      <c r="C52" s="483"/>
      <c r="D52" s="509"/>
      <c r="E52" s="508"/>
      <c r="F52" s="502">
        <f>ROUND(E52*Parameter!$W$6,0)</f>
        <v>0</v>
      </c>
      <c r="G52" s="502">
        <f>ROUND(F52*Parameter!$W$6,0)</f>
        <v>0</v>
      </c>
      <c r="H52" s="502">
        <f>ROUND(G52*Parameter!$W$6,0)</f>
        <v>0</v>
      </c>
      <c r="I52" s="502">
        <f>ROUND(H52*Parameter!$W$6,0)</f>
        <v>0</v>
      </c>
      <c r="J52" s="9"/>
      <c r="K52" s="508" t="b">
        <f>IF($B52&lt;&gt;"",IF($B52="Lease/Consume",$D52*12*E52,-PMT(Parameter!$E$124,$J52,$D52*E52)))</f>
        <v>0</v>
      </c>
      <c r="L52" s="508" t="b">
        <f>IF($B52&lt;&gt;"",IF($B52="Lease/Consume",$D52*12*F52,-PMT(Parameter!$E$124,$J52,$D52*F52)))</f>
        <v>0</v>
      </c>
      <c r="M52" s="508" t="b">
        <f>IF($B52&lt;&gt;"",IF($B52="Lease/Consume",$D52*12*G52,-PMT(Parameter!$E$124,$J52,$D52*G52)))</f>
        <v>0</v>
      </c>
      <c r="N52" s="508" t="b">
        <f>IF($B52&lt;&gt;"",IF($B52="Lease/Consume",$D52*12*H52,-PMT(Parameter!$E$124,$J52,$D52*H52)))</f>
        <v>0</v>
      </c>
      <c r="O52" s="508" t="b">
        <f>IF($B52&lt;&gt;"",IF($B52="Lease/Consume",$D52*12*I52,-PMT(Parameter!$E$124,$J52,$D52*I52)))</f>
        <v>0</v>
      </c>
    </row>
    <row r="53" spans="1:15">
      <c r="A53" s="474"/>
      <c r="B53" s="474"/>
      <c r="C53" s="483"/>
      <c r="D53" s="509"/>
      <c r="E53" s="526"/>
      <c r="F53" s="502">
        <f>ROUND(E53*Parameter!$W$6,0)</f>
        <v>0</v>
      </c>
      <c r="G53" s="502">
        <f>ROUND(F53*Parameter!$W$6,0)</f>
        <v>0</v>
      </c>
      <c r="H53" s="502">
        <f>ROUND(G53*Parameter!$W$6,0)</f>
        <v>0</v>
      </c>
      <c r="I53" s="502">
        <f>ROUND(H53*Parameter!$W$6,0)</f>
        <v>0</v>
      </c>
      <c r="J53" s="9"/>
      <c r="K53" s="508" t="b">
        <f>IF($B53&lt;&gt;"",IF($B53="Lease/Consume",$D53*12*E53,-PMT(Parameter!$E$124,$J53,$D53*E53)))</f>
        <v>0</v>
      </c>
      <c r="L53" s="508" t="b">
        <f>IF($B53&lt;&gt;"",IF($B53="Lease/Consume",$D53*12*F53,-PMT(Parameter!$E$124,$J53,$D53*F53)))</f>
        <v>0</v>
      </c>
      <c r="M53" s="508" t="b">
        <f>IF($B53&lt;&gt;"",IF($B53="Lease/Consume",$D53*12*G53,-PMT(Parameter!$E$124,$J53,$D53*G53)))</f>
        <v>0</v>
      </c>
      <c r="N53" s="508" t="b">
        <f>IF($B53&lt;&gt;"",IF($B53="Lease/Consume",$D53*12*H53,-PMT(Parameter!$E$124,$J53,$D53*H53)))</f>
        <v>0</v>
      </c>
      <c r="O53" s="508" t="b">
        <f>IF($B53&lt;&gt;"",IF($B53="Lease/Consume",$D53*12*I53,-PMT(Parameter!$E$124,$J53,$D53*I53)))</f>
        <v>0</v>
      </c>
    </row>
    <row r="54" spans="1:15">
      <c r="K54" s="527"/>
    </row>
  </sheetData>
  <phoneticPr fontId="26" type="noConversion"/>
  <conditionalFormatting sqref="J3:O53">
    <cfRule type="expression" dxfId="14" priority="2">
      <formula>$B3="Lease/Consume"</formula>
    </cfRule>
  </conditionalFormatting>
  <dataValidations count="1">
    <dataValidation type="list" allowBlank="1" showInputMessage="1" showErrorMessage="1" sqref="B3:B53" xr:uid="{00000000-0002-0000-0A00-000000000000}">
      <formula1>"Lease/Consume, Purchase"</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1000000}">
          <x14:formula1>
            <xm:f>Parameter!$D$121:$M$121</xm:f>
          </x14:formula1>
          <xm:sqref>C3:C12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9F5F-99A5-4A6E-82C8-CF5C7B8FA3D0}">
  <dimension ref="B2:H42"/>
  <sheetViews>
    <sheetView showGridLines="0" topLeftCell="A24" workbookViewId="0">
      <selection activeCell="D32" sqref="D32"/>
    </sheetView>
  </sheetViews>
  <sheetFormatPr defaultRowHeight="12.75"/>
  <cols>
    <col min="2" max="2" width="20.46484375" customWidth="1"/>
    <col min="3" max="3" width="21.06640625" customWidth="1"/>
    <col min="4" max="4" width="14.46484375" customWidth="1"/>
    <col min="5" max="5" width="12.33203125" bestFit="1" customWidth="1"/>
    <col min="6" max="6" width="13.1328125" customWidth="1"/>
    <col min="7" max="7" width="14.46484375" customWidth="1"/>
  </cols>
  <sheetData>
    <row r="2" spans="2:4" ht="13.15">
      <c r="B2" s="521" t="s">
        <v>990</v>
      </c>
      <c r="D2" s="525">
        <f>SUM(D5:D16)*(1+'Cost Allocation'!B4)</f>
        <v>58704.605487804889</v>
      </c>
    </row>
    <row r="4" spans="2:4" ht="13.15">
      <c r="B4" s="699" t="s">
        <v>536</v>
      </c>
      <c r="C4" s="699" t="s">
        <v>991</v>
      </c>
      <c r="D4" s="700" t="s">
        <v>992</v>
      </c>
    </row>
    <row r="5" spans="2:4">
      <c r="B5" s="624" t="str">
        <f>Parameter!O11</f>
        <v>Documentation</v>
      </c>
      <c r="C5" s="695">
        <v>5</v>
      </c>
      <c r="D5" s="523">
        <f>C5/(365-104-11)*Parameter!P11</f>
        <v>2528.2317073170734</v>
      </c>
    </row>
    <row r="6" spans="2:4">
      <c r="B6" s="624" t="str">
        <f>Parameter!O12</f>
        <v>IB Planner</v>
      </c>
      <c r="C6" s="695">
        <v>5</v>
      </c>
      <c r="D6" s="523">
        <f>C6/(365-104-11)*Parameter!P12</f>
        <v>2521.3719512195125</v>
      </c>
    </row>
    <row r="7" spans="2:4">
      <c r="B7" s="624" t="str">
        <f>Parameter!O13</f>
        <v>Inv. Operator</v>
      </c>
      <c r="C7" s="695">
        <v>5</v>
      </c>
      <c r="D7" s="523">
        <f>C7/(365-104-11)*Parameter!P13</f>
        <v>2017.0975609756099</v>
      </c>
    </row>
    <row r="8" spans="2:4">
      <c r="B8" s="624" t="str">
        <f>Parameter!O14</f>
        <v>MHE Driver</v>
      </c>
      <c r="C8" s="695">
        <v>5</v>
      </c>
      <c r="D8" s="523">
        <f>C8/(365-104-11)*Parameter!P14</f>
        <v>2017.0975609756099</v>
      </c>
    </row>
    <row r="9" spans="2:4">
      <c r="B9" s="624" t="str">
        <f>Parameter!O15</f>
        <v>Operator</v>
      </c>
      <c r="C9" s="695">
        <v>5</v>
      </c>
      <c r="D9" s="523">
        <f>C9/(365-104-11)*Parameter!P15</f>
        <v>1680.9146341463415</v>
      </c>
    </row>
    <row r="10" spans="2:4">
      <c r="B10" s="624" t="str">
        <f>Parameter!O16</f>
        <v>Packer</v>
      </c>
      <c r="C10" s="695">
        <v>5</v>
      </c>
      <c r="D10" s="523">
        <f>C10/(365-104-11)*Parameter!P16</f>
        <v>1680.9146341463415</v>
      </c>
    </row>
    <row r="11" spans="2:4">
      <c r="B11" s="624" t="str">
        <f>Parameter!O17</f>
        <v>DG operator</v>
      </c>
      <c r="C11" s="695">
        <v>5</v>
      </c>
      <c r="D11" s="523">
        <f>C11/(365-104-11)*Parameter!P17</f>
        <v>2017.0975609756099</v>
      </c>
    </row>
    <row r="12" spans="2:4">
      <c r="B12" s="624" t="str">
        <f>Parameter!O18</f>
        <v>Special handling</v>
      </c>
      <c r="C12" s="695">
        <v>5</v>
      </c>
      <c r="D12" s="523">
        <f>C12/(365-104-11)*Parameter!P18</f>
        <v>2017.0975609756099</v>
      </c>
    </row>
    <row r="13" spans="2:4">
      <c r="B13" s="624" t="str">
        <f>Parameter!O19</f>
        <v>DC manager</v>
      </c>
      <c r="C13" s="695">
        <v>10</v>
      </c>
      <c r="D13" s="523">
        <f>C13/(365-104-11)*Parameter!P19</f>
        <v>17400</v>
      </c>
    </row>
    <row r="14" spans="2:4">
      <c r="B14" s="624" t="str">
        <f>Parameter!O20</f>
        <v>Supervisor</v>
      </c>
      <c r="C14" s="695">
        <v>10</v>
      </c>
      <c r="D14" s="523">
        <f>C14/(365-104-11)*Parameter!P20</f>
        <v>12528</v>
      </c>
    </row>
    <row r="15" spans="2:4">
      <c r="B15" s="624" t="str">
        <f>Parameter!O21</f>
        <v>Team leader</v>
      </c>
      <c r="C15" s="695">
        <v>10</v>
      </c>
      <c r="D15" s="523">
        <f>C15/(365-104-11)*Parameter!P21</f>
        <v>6960</v>
      </c>
    </row>
    <row r="16" spans="2:4">
      <c r="B16" s="624">
        <f>Parameter!O22</f>
        <v>0</v>
      </c>
      <c r="C16" s="695"/>
      <c r="D16" s="523">
        <f>C16/(365-104-11)*Parameter!P22</f>
        <v>0</v>
      </c>
    </row>
    <row r="18" spans="2:8" ht="13.15">
      <c r="B18" s="521" t="s">
        <v>993</v>
      </c>
      <c r="D18" s="525">
        <f>SUM(H22:H30)*(1+D19)*(1+'Cost Allocation'!B4)</f>
        <v>53478.96671186891</v>
      </c>
    </row>
    <row r="19" spans="2:8" ht="13.15">
      <c r="B19" s="694" t="s">
        <v>1005</v>
      </c>
      <c r="D19" s="698">
        <v>0.1</v>
      </c>
    </row>
    <row r="21" spans="2:8" ht="13.15">
      <c r="B21" s="700" t="s">
        <v>687</v>
      </c>
      <c r="C21" s="700" t="s">
        <v>994</v>
      </c>
      <c r="D21" s="700" t="s">
        <v>997</v>
      </c>
      <c r="E21" s="700" t="s">
        <v>999</v>
      </c>
      <c r="F21" s="700" t="s">
        <v>32</v>
      </c>
      <c r="G21" s="700" t="s">
        <v>536</v>
      </c>
      <c r="H21" s="700" t="s">
        <v>992</v>
      </c>
    </row>
    <row r="22" spans="2:8">
      <c r="B22" s="522" t="s">
        <v>995</v>
      </c>
      <c r="C22" s="523">
        <v>22863</v>
      </c>
      <c r="D22" s="697">
        <f>3600/(Process!M152+Process!M153)</f>
        <v>36</v>
      </c>
      <c r="E22" s="695">
        <v>1</v>
      </c>
      <c r="F22" s="697">
        <f>C22/D22/E22/Parameter!$P$6*Parameter!$P$7</f>
        <v>67.477604166666666</v>
      </c>
      <c r="G22" s="694" t="s">
        <v>998</v>
      </c>
      <c r="H22" s="697">
        <f>E22*F22/(365-104-11)*VLOOKUP(Startup!G22,Parameter!$O$11:$P$22,2,0)</f>
        <v>27221.782157012196</v>
      </c>
    </row>
    <row r="23" spans="2:8">
      <c r="B23" s="522" t="s">
        <v>1000</v>
      </c>
      <c r="C23" s="523">
        <f>8505*Parameter!T112</f>
        <v>2551.5</v>
      </c>
      <c r="D23" s="697">
        <f>3600/(Process!M154+Process!M156)</f>
        <v>90</v>
      </c>
      <c r="E23" s="695">
        <v>1</v>
      </c>
      <c r="F23" s="697">
        <f>C23/D23/E23/Parameter!$P$6*Parameter!$P$7</f>
        <v>3.0121875</v>
      </c>
      <c r="G23" s="694" t="s">
        <v>998</v>
      </c>
      <c r="H23" s="697">
        <f>E23*F23/(365-104-11)*VLOOKUP(Startup!G23,Parameter!$O$11:$P$22,2,0)</f>
        <v>1215.1752118902439</v>
      </c>
    </row>
    <row r="24" spans="2:8">
      <c r="B24" s="522" t="s">
        <v>1001</v>
      </c>
      <c r="C24" s="523">
        <f>8505-C23</f>
        <v>5953.5</v>
      </c>
      <c r="D24" s="697">
        <f>3600/(Process!M155+Process!M156)</f>
        <v>51.428571428571431</v>
      </c>
      <c r="E24" s="695">
        <v>1</v>
      </c>
      <c r="F24" s="697">
        <f>C24/D24/E24/Parameter!$P$6*Parameter!$P$7</f>
        <v>12.299765624999999</v>
      </c>
      <c r="G24" s="694" t="s">
        <v>1002</v>
      </c>
      <c r="H24" s="697">
        <f>E24*F24/(365-104-11)*VLOOKUP(Startup!G24,Parameter!$O$11:$P$22,2,0)</f>
        <v>4961.9654485518286</v>
      </c>
    </row>
    <row r="25" spans="2:8">
      <c r="B25" s="522" t="s">
        <v>1003</v>
      </c>
      <c r="C25" s="523">
        <f>6979*Parameter!T112</f>
        <v>2093.6999999999998</v>
      </c>
      <c r="D25" s="697">
        <f>D23</f>
        <v>90</v>
      </c>
      <c r="E25" s="695">
        <v>1</v>
      </c>
      <c r="F25" s="697">
        <f>C25/D25/E25/Parameter!$P$6*Parameter!$P$7</f>
        <v>2.4717291666666665</v>
      </c>
      <c r="G25" s="694" t="s">
        <v>998</v>
      </c>
      <c r="H25" s="697">
        <f>E25*F25/(365-104-11)*VLOOKUP(Startup!G25,Parameter!$O$11:$P$22,2,0)</f>
        <v>997.14377469512181</v>
      </c>
    </row>
    <row r="26" spans="2:8">
      <c r="B26" s="522" t="s">
        <v>1004</v>
      </c>
      <c r="C26" s="523">
        <f>6979-C25</f>
        <v>4885.3</v>
      </c>
      <c r="D26" s="697">
        <f>D24</f>
        <v>51.428571428571431</v>
      </c>
      <c r="E26" s="695">
        <v>1</v>
      </c>
      <c r="F26" s="697">
        <f>C26/D26/E26/Parameter!$P$6*Parameter!$P$7</f>
        <v>10.092894097222223</v>
      </c>
      <c r="G26" s="694" t="s">
        <v>1002</v>
      </c>
      <c r="H26" s="697">
        <f>E26*F26/(365-104-11)*VLOOKUP(Startup!G26,Parameter!$O$11:$P$22,2,0)</f>
        <v>4071.6704133384151</v>
      </c>
    </row>
    <row r="27" spans="2:8">
      <c r="B27" s="522" t="s">
        <v>996</v>
      </c>
      <c r="C27" s="523">
        <v>387</v>
      </c>
      <c r="D27" s="697">
        <f>3600/(Process!M159+Process!M160)</f>
        <v>180</v>
      </c>
      <c r="E27" s="695">
        <v>1</v>
      </c>
      <c r="F27" s="696">
        <f>C27/D27/E27/Parameter!$P$6*Parameter!$P$7</f>
        <v>0.22843749999999999</v>
      </c>
      <c r="G27" s="694" t="s">
        <v>1002</v>
      </c>
      <c r="H27" s="697">
        <f>E27*F27/(365-104-11)*VLOOKUP(Startup!G27,Parameter!$O$11:$P$22,2,0)</f>
        <v>92.156144817073169</v>
      </c>
    </row>
    <row r="28" spans="2:8">
      <c r="E28" s="695">
        <v>1</v>
      </c>
      <c r="F28" s="695">
        <f>Parameter!U19</f>
        <v>1</v>
      </c>
      <c r="G28" t="str">
        <f>B13</f>
        <v>DC manager</v>
      </c>
      <c r="H28" s="697">
        <f>E28*F28/(365-104-11)*VLOOKUP(Startup!G28,Parameter!$O$11:$P$22,2,0)</f>
        <v>1740</v>
      </c>
    </row>
    <row r="29" spans="2:8">
      <c r="E29" s="695">
        <v>1</v>
      </c>
      <c r="F29" s="695">
        <f>Parameter!U20</f>
        <v>2</v>
      </c>
      <c r="G29" t="str">
        <f>B14</f>
        <v>Supervisor</v>
      </c>
      <c r="H29" s="697">
        <f>E29*F29/(365-104-11)*VLOOKUP(Startup!G29,Parameter!$O$11:$P$22,2,0)</f>
        <v>2505.6</v>
      </c>
    </row>
    <row r="30" spans="2:8">
      <c r="E30" s="695">
        <v>1</v>
      </c>
      <c r="F30" s="695">
        <f>Parameter!U21</f>
        <v>2</v>
      </c>
      <c r="G30" t="str">
        <f>B15</f>
        <v>Team leader</v>
      </c>
      <c r="H30" s="697">
        <f>E30*F30/(365-104-11)*VLOOKUP(Startup!G30,Parameter!$O$11:$P$22,2,0)</f>
        <v>1392</v>
      </c>
    </row>
    <row r="32" spans="2:8" ht="13.15">
      <c r="B32" s="521" t="s">
        <v>1006</v>
      </c>
      <c r="D32" s="525">
        <f>SUM(E37:E42)</f>
        <v>275176.86277443683</v>
      </c>
    </row>
    <row r="33" spans="2:6">
      <c r="B33" s="701" t="s">
        <v>1017</v>
      </c>
      <c r="C33" s="701"/>
      <c r="D33" s="702">
        <f>SUM(Parameter!U11:U18)+Parameter!U21</f>
        <v>37.176771275076078</v>
      </c>
      <c r="E33" s="701"/>
      <c r="F33" s="701"/>
    </row>
    <row r="34" spans="2:6">
      <c r="B34" s="701" t="s">
        <v>1018</v>
      </c>
      <c r="C34" s="701"/>
      <c r="D34" s="702">
        <f>(GETPIVOTDATA("FTE cost (Y1)",'Cost Allocation'!$A$6)+Parameter!V21)/12</f>
        <v>305648.834735727</v>
      </c>
      <c r="E34" s="703" t="s">
        <v>1019</v>
      </c>
      <c r="F34" s="701"/>
    </row>
    <row r="36" spans="2:6" ht="13.15">
      <c r="B36" s="699" t="s">
        <v>1008</v>
      </c>
      <c r="C36" s="699" t="s">
        <v>1009</v>
      </c>
      <c r="D36" s="699" t="s">
        <v>1015</v>
      </c>
      <c r="E36" s="699" t="s">
        <v>1016</v>
      </c>
    </row>
    <row r="37" spans="2:6">
      <c r="B37" s="694" t="s">
        <v>1007</v>
      </c>
      <c r="C37" s="520">
        <v>0.7</v>
      </c>
      <c r="D37" s="697">
        <f>$D$33*(1/C37-1)</f>
        <v>15.932901975032607</v>
      </c>
      <c r="E37" s="697">
        <f>$D$34*(1/C37-1)</f>
        <v>130992.35774388301</v>
      </c>
    </row>
    <row r="38" spans="2:6">
      <c r="B38" s="694" t="s">
        <v>1010</v>
      </c>
      <c r="C38" s="520">
        <v>0.85</v>
      </c>
      <c r="D38" s="697">
        <f t="shared" ref="D38:D42" si="0">$D$33*(1/C38-1)</f>
        <v>6.5606066956016624</v>
      </c>
      <c r="E38" s="697">
        <f t="shared" ref="E38:E42" si="1">$D$34*(1/C38-1)</f>
        <v>53938.029659245949</v>
      </c>
    </row>
    <row r="39" spans="2:6">
      <c r="B39" s="694" t="s">
        <v>1011</v>
      </c>
      <c r="C39" s="520">
        <v>0.9</v>
      </c>
      <c r="D39" s="697">
        <f t="shared" si="0"/>
        <v>4.1307523638973436</v>
      </c>
      <c r="E39" s="697">
        <f t="shared" si="1"/>
        <v>33960.981637303012</v>
      </c>
    </row>
    <row r="40" spans="2:6">
      <c r="B40" s="694" t="s">
        <v>1012</v>
      </c>
      <c r="C40" s="520">
        <v>0.9</v>
      </c>
      <c r="D40" s="697">
        <f t="shared" si="0"/>
        <v>4.1307523638973436</v>
      </c>
      <c r="E40" s="697">
        <f t="shared" si="1"/>
        <v>33960.981637303012</v>
      </c>
    </row>
    <row r="41" spans="2:6">
      <c r="B41" s="694" t="s">
        <v>1013</v>
      </c>
      <c r="C41" s="520">
        <v>0.95</v>
      </c>
      <c r="D41" s="697">
        <f t="shared" si="0"/>
        <v>1.956672172372423</v>
      </c>
      <c r="E41" s="697">
        <f t="shared" si="1"/>
        <v>16086.780775564561</v>
      </c>
    </row>
    <row r="42" spans="2:6">
      <c r="B42" s="694" t="s">
        <v>1014</v>
      </c>
      <c r="C42" s="520">
        <v>0.98</v>
      </c>
      <c r="D42" s="697">
        <f t="shared" si="0"/>
        <v>0.75870961785869628</v>
      </c>
      <c r="E42" s="697">
        <f t="shared" si="1"/>
        <v>6237.731321137293</v>
      </c>
    </row>
  </sheetData>
  <phoneticPr fontId="2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3">
    <tabColor rgb="FF00B050"/>
  </sheetPr>
  <dimension ref="A1:BJ92"/>
  <sheetViews>
    <sheetView topLeftCell="A37" zoomScale="60" zoomScaleNormal="60" workbookViewId="0">
      <selection activeCell="B30" sqref="B30"/>
    </sheetView>
  </sheetViews>
  <sheetFormatPr defaultColWidth="10.796875" defaultRowHeight="13.5"/>
  <cols>
    <col min="1" max="1" width="5.46484375" style="18" customWidth="1"/>
    <col min="2" max="2" width="21.53125" style="18" customWidth="1"/>
    <col min="3" max="3" width="16.53125" style="18" customWidth="1"/>
    <col min="4" max="4" width="10.796875" style="18"/>
    <col min="5" max="6" width="12.19921875" style="18" customWidth="1"/>
    <col min="7" max="10" width="10.796875" style="18"/>
    <col min="11" max="11" width="26.19921875" style="18" customWidth="1"/>
    <col min="12" max="12" width="11.59765625" style="18" bestFit="1" customWidth="1"/>
    <col min="13" max="13" width="14.796875" style="18" bestFit="1" customWidth="1"/>
    <col min="14" max="15" width="10.796875" style="18"/>
    <col min="16" max="16" width="18.46484375" style="18" customWidth="1"/>
    <col min="17" max="17" width="23.73046875" style="18" customWidth="1"/>
    <col min="18" max="18" width="11.73046875" style="18" bestFit="1" customWidth="1"/>
    <col min="19" max="19" width="11.19921875" style="18" bestFit="1" customWidth="1"/>
    <col min="20" max="20" width="14" style="18" bestFit="1" customWidth="1"/>
    <col min="21" max="22" width="10.796875" style="18"/>
    <col min="23" max="23" width="21.46484375" style="18" customWidth="1"/>
    <col min="24" max="24" width="11.796875" style="18" customWidth="1"/>
    <col min="25" max="25" width="17.265625" style="18" customWidth="1"/>
    <col min="26" max="26" width="18.73046875" style="18" customWidth="1"/>
    <col min="27" max="28" width="11.19921875" style="18" bestFit="1" customWidth="1"/>
    <col min="29" max="29" width="18.73046875" style="18" customWidth="1"/>
    <col min="30" max="30" width="15.73046875" style="18" customWidth="1"/>
    <col min="31" max="31" width="8.73046875" style="18" customWidth="1"/>
    <col min="32" max="32" width="18.73046875" style="18" customWidth="1"/>
    <col min="33" max="33" width="16" style="18" bestFit="1" customWidth="1"/>
    <col min="34" max="34" width="8.73046875" style="18" customWidth="1"/>
    <col min="35" max="35" width="18.73046875" style="18" customWidth="1"/>
    <col min="36" max="36" width="16.73046875" style="18" customWidth="1"/>
    <col min="37" max="37" width="8.73046875" style="18" customWidth="1"/>
    <col min="38" max="38" width="18.73046875" style="18" customWidth="1"/>
    <col min="39" max="39" width="14.53125" style="18" customWidth="1"/>
    <col min="40" max="40" width="8.73046875" style="18" customWidth="1"/>
    <col min="41" max="41" width="11.73046875" style="18" bestFit="1" customWidth="1"/>
    <col min="42" max="42" width="10.796875" style="18"/>
    <col min="43" max="43" width="8" style="18" customWidth="1"/>
    <col min="44" max="44" width="5.46484375" style="18" customWidth="1"/>
    <col min="45" max="45" width="16.265625" style="18" customWidth="1"/>
    <col min="46" max="46" width="15.19921875" style="18" customWidth="1"/>
    <col min="47" max="47" width="11.46484375" style="18" customWidth="1"/>
    <col min="48" max="48" width="11" style="18" bestFit="1" customWidth="1"/>
    <col min="49" max="49" width="10.53125" style="18" customWidth="1"/>
    <col min="50" max="50" width="21.19921875" style="18" customWidth="1"/>
    <col min="51" max="51" width="5.19921875" style="18" customWidth="1"/>
    <col min="52" max="52" width="16.53125" style="18" customWidth="1"/>
    <col min="53" max="53" width="10.796875" style="18" customWidth="1"/>
    <col min="54" max="54" width="15.796875" style="18" customWidth="1"/>
    <col min="55" max="55" width="10.796875" style="18" customWidth="1"/>
    <col min="56" max="60" width="10.796875" style="18"/>
    <col min="61" max="61" width="34.796875" style="18" customWidth="1"/>
    <col min="62" max="62" width="22.53125" style="18" customWidth="1"/>
    <col min="63" max="16384" width="10.796875" style="18"/>
  </cols>
  <sheetData>
    <row r="1" spans="1:62" s="16" customFormat="1" ht="37.049999999999997" customHeight="1">
      <c r="A1" s="831" t="s">
        <v>129</v>
      </c>
      <c r="B1" s="831"/>
      <c r="C1" s="831"/>
      <c r="D1" s="831"/>
      <c r="E1" s="831"/>
      <c r="F1" s="831"/>
      <c r="G1" s="831"/>
      <c r="H1" s="831"/>
      <c r="I1" s="831"/>
      <c r="J1" s="831"/>
      <c r="K1" s="831"/>
      <c r="L1" s="15"/>
      <c r="M1" s="15"/>
      <c r="N1" s="832"/>
      <c r="O1" s="832"/>
    </row>
    <row r="2" spans="1:62" s="16" customFormat="1" ht="37.049999999999997" customHeight="1">
      <c r="A2" s="831"/>
      <c r="B2" s="831"/>
      <c r="C2" s="831"/>
      <c r="D2" s="831"/>
      <c r="E2" s="831"/>
      <c r="F2" s="831"/>
      <c r="G2" s="831"/>
      <c r="H2" s="831"/>
      <c r="I2" s="831"/>
      <c r="J2" s="831"/>
      <c r="K2" s="831"/>
      <c r="L2" s="15"/>
      <c r="M2" s="15"/>
      <c r="N2" s="832"/>
      <c r="O2" s="832"/>
    </row>
    <row r="3" spans="1:62" s="16" customFormat="1" ht="37.049999999999997" customHeight="1">
      <c r="A3" s="831"/>
      <c r="B3" s="831"/>
      <c r="C3" s="831"/>
      <c r="D3" s="831"/>
      <c r="E3" s="831"/>
      <c r="F3" s="831"/>
      <c r="G3" s="831"/>
      <c r="H3" s="831"/>
      <c r="I3" s="831"/>
      <c r="J3" s="831"/>
      <c r="K3" s="831"/>
      <c r="L3" s="15"/>
      <c r="M3" s="15"/>
    </row>
    <row r="4" spans="1:62" ht="14.25" customHeight="1">
      <c r="A4" s="17"/>
      <c r="B4" s="17"/>
      <c r="C4" s="17"/>
      <c r="D4" s="17"/>
      <c r="E4" s="17"/>
      <c r="F4" s="17"/>
      <c r="G4" s="17"/>
      <c r="H4" s="17"/>
      <c r="I4" s="17"/>
      <c r="J4" s="17"/>
      <c r="K4" s="17"/>
      <c r="L4" s="17"/>
      <c r="M4" s="17"/>
    </row>
    <row r="5" spans="1:62" ht="14.25" customHeight="1">
      <c r="A5" s="17"/>
      <c r="B5" s="19" t="s">
        <v>130</v>
      </c>
      <c r="C5" s="17"/>
      <c r="D5" s="17"/>
      <c r="E5" s="17"/>
      <c r="F5" s="17"/>
      <c r="G5" s="17"/>
      <c r="H5" s="17"/>
      <c r="I5" s="17"/>
      <c r="J5" s="17"/>
      <c r="K5" s="17"/>
      <c r="L5" s="17"/>
      <c r="M5" s="17"/>
    </row>
    <row r="6" spans="1:62" ht="13.9" thickBot="1"/>
    <row r="7" spans="1:62" ht="32.549999999999997" customHeight="1" thickBot="1">
      <c r="B7" s="20" t="s">
        <v>131</v>
      </c>
      <c r="C7" s="21">
        <v>2026</v>
      </c>
    </row>
    <row r="8" spans="1:62" ht="14.55" customHeight="1" thickBot="1">
      <c r="B8" s="833" t="s">
        <v>132</v>
      </c>
      <c r="C8" s="22"/>
    </row>
    <row r="9" spans="1:62" ht="14.55" customHeight="1">
      <c r="B9" s="833"/>
      <c r="C9" s="835">
        <f>365-52-11</f>
        <v>302</v>
      </c>
      <c r="J9" s="23"/>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5"/>
      <c r="BI9" s="26" t="s">
        <v>133</v>
      </c>
      <c r="BJ9" s="27"/>
    </row>
    <row r="10" spans="1:62" ht="15" customHeight="1" thickBot="1">
      <c r="B10" s="834"/>
      <c r="C10" s="836"/>
      <c r="D10" s="28"/>
      <c r="J10" s="29"/>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1"/>
      <c r="BI10" s="32" t="s">
        <v>134</v>
      </c>
      <c r="BJ10" s="33"/>
    </row>
    <row r="11" spans="1:62" ht="23.25" customHeight="1">
      <c r="D11" s="28"/>
      <c r="J11" s="29"/>
      <c r="K11" s="837" t="s">
        <v>135</v>
      </c>
      <c r="L11" s="839" t="s">
        <v>136</v>
      </c>
      <c r="M11" s="840"/>
      <c r="N11" s="30"/>
      <c r="O11" s="30"/>
      <c r="P11" s="30"/>
      <c r="Q11" s="34" t="s">
        <v>137</v>
      </c>
      <c r="R11" s="35"/>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7" t="s">
        <v>136</v>
      </c>
      <c r="BB11" s="38"/>
      <c r="BC11" s="31"/>
      <c r="BI11" s="32" t="s">
        <v>138</v>
      </c>
      <c r="BJ11" s="39"/>
    </row>
    <row r="12" spans="1:62" ht="15" customHeight="1">
      <c r="D12" s="40" t="s">
        <v>139</v>
      </c>
      <c r="J12" s="29"/>
      <c r="K12" s="838"/>
      <c r="L12" s="41" t="s">
        <v>140</v>
      </c>
      <c r="M12" s="42">
        <v>106</v>
      </c>
      <c r="N12" s="30"/>
      <c r="O12" s="30"/>
      <c r="P12" s="30"/>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43" t="s">
        <v>140</v>
      </c>
      <c r="BB12" s="44">
        <v>106</v>
      </c>
      <c r="BC12" s="31"/>
      <c r="BI12" s="32" t="s">
        <v>141</v>
      </c>
      <c r="BJ12" s="45"/>
    </row>
    <row r="13" spans="1:62" ht="15" customHeight="1" thickBot="1">
      <c r="D13" s="40" t="s">
        <v>142</v>
      </c>
      <c r="J13" s="29"/>
      <c r="K13" s="838"/>
      <c r="L13" s="41" t="s">
        <v>143</v>
      </c>
      <c r="M13" s="46">
        <f>M12*$C$9</f>
        <v>32012</v>
      </c>
      <c r="N13" s="30"/>
      <c r="O13" s="30"/>
      <c r="P13" s="30"/>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43" t="s">
        <v>143</v>
      </c>
      <c r="BB13" s="47">
        <f>BB12*$C$9</f>
        <v>32012</v>
      </c>
      <c r="BC13" s="31"/>
      <c r="BI13" s="32" t="s">
        <v>144</v>
      </c>
      <c r="BJ13" s="48"/>
    </row>
    <row r="14" spans="1:62" ht="36" customHeight="1">
      <c r="E14" s="804" t="s">
        <v>145</v>
      </c>
      <c r="F14" s="805"/>
      <c r="J14" s="29"/>
      <c r="K14" s="838"/>
      <c r="L14" s="49"/>
      <c r="M14" s="50"/>
      <c r="N14" s="30"/>
      <c r="O14" s="30"/>
      <c r="P14" s="30"/>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1"/>
      <c r="BE14" s="804" t="s">
        <v>311</v>
      </c>
      <c r="BF14" s="805"/>
      <c r="BI14" s="32" t="s">
        <v>146</v>
      </c>
      <c r="BJ14" s="51"/>
    </row>
    <row r="15" spans="1:62" ht="38.549999999999997" customHeight="1" thickBot="1">
      <c r="B15" s="52" t="s">
        <v>147</v>
      </c>
      <c r="E15" s="806"/>
      <c r="F15" s="807"/>
      <c r="J15" s="29"/>
      <c r="K15" s="53"/>
      <c r="L15" s="49"/>
      <c r="M15" s="5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1"/>
      <c r="BE15" s="806"/>
      <c r="BF15" s="807"/>
      <c r="BI15" s="54" t="s">
        <v>148</v>
      </c>
      <c r="BJ15" s="55"/>
    </row>
    <row r="16" spans="1:62" ht="14.55" customHeight="1">
      <c r="B16" s="810" t="s">
        <v>149</v>
      </c>
      <c r="C16" s="810"/>
      <c r="E16" s="806"/>
      <c r="F16" s="807"/>
      <c r="J16" s="29"/>
      <c r="K16" s="53"/>
      <c r="L16" s="49"/>
      <c r="M16" s="5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1"/>
      <c r="BE16" s="806"/>
      <c r="BF16" s="807"/>
    </row>
    <row r="17" spans="2:58" ht="14.55" customHeight="1">
      <c r="B17" s="810"/>
      <c r="C17" s="810"/>
      <c r="E17" s="806"/>
      <c r="F17" s="807"/>
      <c r="J17" s="29"/>
      <c r="K17" s="53"/>
      <c r="L17" s="49"/>
      <c r="M17" s="5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1"/>
      <c r="BE17" s="806"/>
      <c r="BF17" s="807"/>
    </row>
    <row r="18" spans="2:58" ht="14.55" customHeight="1">
      <c r="E18" s="806"/>
      <c r="F18" s="807"/>
      <c r="J18" s="29"/>
      <c r="K18" s="53"/>
      <c r="L18" s="49"/>
      <c r="M18" s="5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1"/>
      <c r="BE18" s="806"/>
      <c r="BF18" s="807"/>
    </row>
    <row r="19" spans="2:58" ht="14.55" customHeight="1">
      <c r="B19" s="56">
        <v>8.3926653085623248E-2</v>
      </c>
      <c r="E19" s="806"/>
      <c r="F19" s="807"/>
      <c r="J19" s="29"/>
      <c r="K19" s="53"/>
      <c r="L19" s="49"/>
      <c r="M19" s="5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1"/>
      <c r="BE19" s="806"/>
      <c r="BF19" s="807"/>
    </row>
    <row r="20" spans="2:58" ht="15" customHeight="1" thickBot="1">
      <c r="E20" s="806"/>
      <c r="F20" s="807"/>
      <c r="J20" s="29"/>
      <c r="K20" s="53"/>
      <c r="L20" s="49"/>
      <c r="M20" s="5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1"/>
      <c r="BE20" s="806"/>
      <c r="BF20" s="807"/>
    </row>
    <row r="21" spans="2:58" ht="32.549999999999997" customHeight="1">
      <c r="E21" s="806"/>
      <c r="F21" s="807"/>
      <c r="J21" s="29"/>
      <c r="K21" s="53"/>
      <c r="L21" s="49"/>
      <c r="M21" s="50"/>
      <c r="N21" s="30"/>
      <c r="O21" s="241"/>
      <c r="P21" s="30"/>
      <c r="Q21" s="811" t="s">
        <v>150</v>
      </c>
      <c r="R21" s="812"/>
      <c r="S21" s="57" t="s">
        <v>136</v>
      </c>
      <c r="T21" s="58"/>
      <c r="U21" s="30"/>
      <c r="V21" s="30"/>
      <c r="W21" s="811" t="s">
        <v>151</v>
      </c>
      <c r="X21" s="812"/>
      <c r="Y21" s="812"/>
      <c r="Z21" s="59"/>
      <c r="AA21" s="59"/>
      <c r="AB21" s="59"/>
      <c r="AC21" s="59"/>
      <c r="AD21" s="59"/>
      <c r="AE21" s="59"/>
      <c r="AF21" s="59"/>
      <c r="AG21" s="59"/>
      <c r="AH21" s="59"/>
      <c r="AI21" s="59"/>
      <c r="AJ21" s="59"/>
      <c r="AK21" s="59"/>
      <c r="AL21" s="59"/>
      <c r="AM21" s="59"/>
      <c r="AN21" s="57" t="s">
        <v>136</v>
      </c>
      <c r="AO21" s="58"/>
      <c r="AP21" s="60"/>
      <c r="AQ21" s="30"/>
      <c r="AR21" s="815" t="s">
        <v>152</v>
      </c>
      <c r="AS21" s="816"/>
      <c r="AT21" s="816"/>
      <c r="AU21" s="61"/>
      <c r="AV21" s="57" t="s">
        <v>136</v>
      </c>
      <c r="AW21" s="58"/>
      <c r="AX21" s="30"/>
      <c r="AY21" s="819" t="s">
        <v>153</v>
      </c>
      <c r="AZ21" s="820"/>
      <c r="BA21" s="820"/>
      <c r="BB21" s="821"/>
      <c r="BC21" s="31"/>
      <c r="BE21" s="806"/>
      <c r="BF21" s="807"/>
    </row>
    <row r="22" spans="2:58" ht="18" customHeight="1">
      <c r="E22" s="806"/>
      <c r="F22" s="807"/>
      <c r="J22" s="29"/>
      <c r="K22" s="53"/>
      <c r="L22" s="49"/>
      <c r="M22" s="50"/>
      <c r="N22" s="30"/>
      <c r="O22" s="30"/>
      <c r="P22" s="30"/>
      <c r="Q22" s="62"/>
      <c r="R22" s="63"/>
      <c r="S22" s="64" t="s">
        <v>140</v>
      </c>
      <c r="T22" s="65">
        <v>200</v>
      </c>
      <c r="U22" s="30"/>
      <c r="V22" s="30"/>
      <c r="W22" s="813"/>
      <c r="X22" s="814"/>
      <c r="Y22" s="814"/>
      <c r="Z22" s="66"/>
      <c r="AA22" s="66" t="s">
        <v>154</v>
      </c>
      <c r="AB22" s="66" t="s">
        <v>155</v>
      </c>
      <c r="AC22" s="66"/>
      <c r="AD22" s="66"/>
      <c r="AE22" s="66"/>
      <c r="AF22" s="66"/>
      <c r="AG22" s="66"/>
      <c r="AH22" s="66"/>
      <c r="AI22" s="66"/>
      <c r="AJ22" s="66"/>
      <c r="AK22" s="66"/>
      <c r="AL22" s="66"/>
      <c r="AM22" s="66"/>
      <c r="AN22" s="41" t="s">
        <v>140</v>
      </c>
      <c r="AO22" s="67">
        <v>50</v>
      </c>
      <c r="AP22" s="60"/>
      <c r="AQ22" s="30"/>
      <c r="AR22" s="817"/>
      <c r="AS22" s="818"/>
      <c r="AT22" s="818"/>
      <c r="AU22" s="63"/>
      <c r="AV22" s="41" t="s">
        <v>140</v>
      </c>
      <c r="AW22" s="42">
        <v>90</v>
      </c>
      <c r="AX22" s="30"/>
      <c r="AY22" s="822"/>
      <c r="AZ22" s="823"/>
      <c r="BA22" s="823"/>
      <c r="BB22" s="824"/>
      <c r="BC22" s="31"/>
      <c r="BE22" s="806"/>
      <c r="BF22" s="807"/>
    </row>
    <row r="23" spans="2:58" ht="18" customHeight="1">
      <c r="E23" s="806"/>
      <c r="F23" s="807"/>
      <c r="J23" s="29"/>
      <c r="K23" s="53"/>
      <c r="L23" s="49"/>
      <c r="M23" s="50"/>
      <c r="N23" s="30"/>
      <c r="O23" s="30"/>
      <c r="P23" s="30"/>
      <c r="Q23" s="68"/>
      <c r="R23" s="49"/>
      <c r="S23" s="64" t="s">
        <v>143</v>
      </c>
      <c r="T23" s="46">
        <f>T22*$C$9</f>
        <v>60400</v>
      </c>
      <c r="U23" s="30"/>
      <c r="V23" s="30"/>
      <c r="W23" s="69"/>
      <c r="X23" s="793" t="s">
        <v>156</v>
      </c>
      <c r="Y23" s="793"/>
      <c r="Z23" s="794">
        <f>SUM(Z24:AA26)</f>
        <v>1334.3166552895511</v>
      </c>
      <c r="AA23" s="794"/>
      <c r="AB23" s="70">
        <f>$R$26/Z23</f>
        <v>0.98179930497795764</v>
      </c>
      <c r="AC23" s="66"/>
      <c r="AD23" s="66"/>
      <c r="AE23" s="66"/>
      <c r="AF23" s="66"/>
      <c r="AG23" s="66"/>
      <c r="AH23" s="66"/>
      <c r="AI23" s="66"/>
      <c r="AJ23" s="66"/>
      <c r="AK23" s="66"/>
      <c r="AL23" s="66"/>
      <c r="AM23" s="66"/>
      <c r="AN23" s="41" t="s">
        <v>143</v>
      </c>
      <c r="AO23" s="46">
        <f>AO22*$C$9</f>
        <v>15100</v>
      </c>
      <c r="AP23" s="60"/>
      <c r="AQ23" s="30"/>
      <c r="AR23" s="71"/>
      <c r="AS23" s="72"/>
      <c r="AT23" s="72"/>
      <c r="AU23" s="63"/>
      <c r="AV23" s="41" t="s">
        <v>143</v>
      </c>
      <c r="AW23" s="46">
        <f>AW22*$C$9</f>
        <v>27180</v>
      </c>
      <c r="AX23" s="30"/>
      <c r="AY23" s="822"/>
      <c r="AZ23" s="823"/>
      <c r="BA23" s="823"/>
      <c r="BB23" s="824"/>
      <c r="BC23" s="31"/>
      <c r="BE23" s="806"/>
      <c r="BF23" s="807"/>
    </row>
    <row r="24" spans="2:58" ht="27" customHeight="1">
      <c r="E24" s="806"/>
      <c r="F24" s="807"/>
      <c r="J24" s="29"/>
      <c r="K24" s="53"/>
      <c r="L24" s="49"/>
      <c r="M24" s="50"/>
      <c r="N24" s="30"/>
      <c r="O24" s="30"/>
      <c r="P24" s="30"/>
      <c r="Q24" s="53"/>
      <c r="R24" s="73"/>
      <c r="S24" s="825" t="s">
        <v>157</v>
      </c>
      <c r="T24" s="50"/>
      <c r="U24" s="30"/>
      <c r="V24" s="30"/>
      <c r="W24" s="74"/>
      <c r="X24" s="827" t="s">
        <v>158</v>
      </c>
      <c r="Y24" s="827"/>
      <c r="Z24" s="799">
        <f>R26-Z52</f>
        <v>1094.0316178004487</v>
      </c>
      <c r="AA24" s="799"/>
      <c r="AB24" s="75">
        <f>Z24/$R$26</f>
        <v>0.83511877214081853</v>
      </c>
      <c r="AC24" s="66"/>
      <c r="AD24" s="66"/>
      <c r="AE24" s="66"/>
      <c r="AF24" s="66"/>
      <c r="AG24" s="66"/>
      <c r="AH24" s="66"/>
      <c r="AI24" s="66"/>
      <c r="AJ24" s="66"/>
      <c r="AK24" s="66"/>
      <c r="AL24" s="66"/>
      <c r="AM24" s="66"/>
      <c r="AN24" s="66"/>
      <c r="AO24" s="76"/>
      <c r="AP24" s="60"/>
      <c r="AQ24" s="30"/>
      <c r="AR24" s="71"/>
      <c r="AS24" s="72"/>
      <c r="AT24" s="72"/>
      <c r="AU24" s="63"/>
      <c r="AV24" s="63"/>
      <c r="AW24" s="77"/>
      <c r="AX24" s="30"/>
      <c r="AY24" s="822"/>
      <c r="AZ24" s="823"/>
      <c r="BA24" s="823"/>
      <c r="BB24" s="824"/>
      <c r="BC24" s="31"/>
      <c r="BE24" s="806"/>
      <c r="BF24" s="807"/>
    </row>
    <row r="25" spans="2:58" ht="14.55" customHeight="1">
      <c r="E25" s="806"/>
      <c r="F25" s="807"/>
      <c r="J25" s="29"/>
      <c r="K25" s="53"/>
      <c r="L25" s="49"/>
      <c r="M25" s="50"/>
      <c r="N25" s="30"/>
      <c r="O25" s="30"/>
      <c r="P25" s="30"/>
      <c r="Q25" s="53" t="s">
        <v>159</v>
      </c>
      <c r="R25" s="73" t="s">
        <v>154</v>
      </c>
      <c r="S25" s="826"/>
      <c r="T25" s="50"/>
      <c r="U25" s="30"/>
      <c r="V25" s="30"/>
      <c r="W25" s="78"/>
      <c r="X25" s="827" t="s">
        <v>160</v>
      </c>
      <c r="Y25" s="827"/>
      <c r="Z25" s="79"/>
      <c r="AA25" s="80">
        <f>Z52</f>
        <v>215.99954698334568</v>
      </c>
      <c r="AB25" s="66"/>
      <c r="AC25" s="66"/>
      <c r="AD25" s="66"/>
      <c r="AE25" s="66"/>
      <c r="AF25" s="66"/>
      <c r="AG25" s="66"/>
      <c r="AH25" s="66"/>
      <c r="AI25" s="66"/>
      <c r="AJ25" s="66"/>
      <c r="AK25" s="66"/>
      <c r="AL25" s="66"/>
      <c r="AM25" s="66"/>
      <c r="AN25" s="66"/>
      <c r="AO25" s="81"/>
      <c r="AP25" s="82"/>
      <c r="AQ25" s="30"/>
      <c r="AR25" s="53"/>
      <c r="AS25" s="66"/>
      <c r="AT25" s="66"/>
      <c r="AU25" s="66"/>
      <c r="AV25" s="66"/>
      <c r="AW25" s="50"/>
      <c r="AX25" s="30"/>
      <c r="AY25" s="53"/>
      <c r="AZ25" s="49"/>
      <c r="BA25" s="83" t="s">
        <v>154</v>
      </c>
      <c r="BB25" s="84" t="s">
        <v>161</v>
      </c>
      <c r="BC25" s="31"/>
      <c r="BE25" s="806"/>
      <c r="BF25" s="807"/>
    </row>
    <row r="26" spans="2:58" ht="14.25" customHeight="1">
      <c r="E26" s="806"/>
      <c r="F26" s="807"/>
      <c r="J26" s="29"/>
      <c r="K26" s="53"/>
      <c r="L26" s="85" t="s">
        <v>154</v>
      </c>
      <c r="M26" s="86" t="s">
        <v>161</v>
      </c>
      <c r="N26" s="30"/>
      <c r="O26" s="30"/>
      <c r="P26" s="30"/>
      <c r="Q26" s="87" t="s">
        <v>162</v>
      </c>
      <c r="R26" s="88">
        <f>373650/C9/17*18</f>
        <v>1310.0311647837943</v>
      </c>
      <c r="S26" s="89">
        <f>R26/L27</f>
        <v>0.90871284528169738</v>
      </c>
      <c r="T26" s="50"/>
      <c r="U26" s="30"/>
      <c r="V26" s="30"/>
      <c r="W26" s="53"/>
      <c r="X26" s="827" t="s">
        <v>163</v>
      </c>
      <c r="Y26" s="827"/>
      <c r="Z26" s="828">
        <f>AE54+AH54</f>
        <v>24.28549050575673</v>
      </c>
      <c r="AA26" s="828"/>
      <c r="AB26" s="49"/>
      <c r="AC26" s="66"/>
      <c r="AD26" s="66"/>
      <c r="AE26" s="66"/>
      <c r="AF26" s="66"/>
      <c r="AG26" s="66"/>
      <c r="AH26" s="66"/>
      <c r="AI26" s="66"/>
      <c r="AJ26" s="66"/>
      <c r="AK26" s="66"/>
      <c r="AL26" s="66"/>
      <c r="AM26" s="66"/>
      <c r="AN26" s="66"/>
      <c r="AO26" s="50"/>
      <c r="AP26" s="30"/>
      <c r="AQ26" s="30"/>
      <c r="AR26" s="53"/>
      <c r="AS26" s="66"/>
      <c r="AT26" s="66"/>
      <c r="AU26" s="66"/>
      <c r="AV26" s="66"/>
      <c r="AW26" s="50"/>
      <c r="AX26" s="30"/>
      <c r="AY26" s="53"/>
      <c r="AZ26" s="90" t="s">
        <v>164</v>
      </c>
      <c r="BA26" s="91">
        <f>AT32</f>
        <v>9900.9657083604307</v>
      </c>
      <c r="BB26" s="92">
        <f>BA26*$C$9</f>
        <v>2990091.64392485</v>
      </c>
      <c r="BC26" s="31"/>
      <c r="BE26" s="806"/>
      <c r="BF26" s="807"/>
    </row>
    <row r="27" spans="2:58" ht="13.9">
      <c r="E27" s="806"/>
      <c r="F27" s="807"/>
      <c r="J27" s="29"/>
      <c r="K27" s="93" t="s">
        <v>165</v>
      </c>
      <c r="L27" s="94">
        <f>R26+R55</f>
        <v>1441.6338137904168</v>
      </c>
      <c r="M27" s="92">
        <f>L27*$C$9</f>
        <v>435373.41176470584</v>
      </c>
      <c r="N27" s="30"/>
      <c r="O27" s="30"/>
      <c r="P27" s="30"/>
      <c r="Q27" s="53"/>
      <c r="R27" s="49"/>
      <c r="S27" s="49"/>
      <c r="T27" s="50"/>
      <c r="U27" s="30"/>
      <c r="V27" s="30"/>
      <c r="W27" s="53"/>
      <c r="X27" s="49"/>
      <c r="Y27" s="49"/>
      <c r="Z27" s="49"/>
      <c r="AA27" s="49"/>
      <c r="AB27" s="49"/>
      <c r="AC27" s="66"/>
      <c r="AD27" s="66"/>
      <c r="AE27" s="66"/>
      <c r="AF27" s="66"/>
      <c r="AG27" s="66"/>
      <c r="AH27" s="66"/>
      <c r="AI27" s="66"/>
      <c r="AJ27" s="66"/>
      <c r="AK27" s="66"/>
      <c r="AL27" s="66"/>
      <c r="AM27" s="66"/>
      <c r="AN27" s="66"/>
      <c r="AO27" s="50"/>
      <c r="AP27" s="30"/>
      <c r="AQ27" s="30"/>
      <c r="AR27" s="53"/>
      <c r="AS27" s="66"/>
      <c r="AT27" s="66"/>
      <c r="AU27" s="66"/>
      <c r="AV27" s="66"/>
      <c r="AW27" s="76"/>
      <c r="AX27" s="30"/>
      <c r="AY27" s="53"/>
      <c r="AZ27" s="95"/>
      <c r="BA27" s="96"/>
      <c r="BB27" s="97"/>
      <c r="BC27" s="98"/>
      <c r="BE27" s="806"/>
      <c r="BF27" s="807"/>
    </row>
    <row r="28" spans="2:58" ht="14.55" customHeight="1">
      <c r="E28" s="806"/>
      <c r="F28" s="807"/>
      <c r="J28" s="29"/>
      <c r="K28" s="99" t="s">
        <v>166</v>
      </c>
      <c r="L28" s="100">
        <f>4574/C9*((1+B19)^4)/17*18</f>
        <v>22.136674685797388</v>
      </c>
      <c r="M28" s="101">
        <f>L28*$C$9</f>
        <v>6685.2757551108116</v>
      </c>
      <c r="N28" s="30"/>
      <c r="O28" s="30"/>
      <c r="P28" s="30"/>
      <c r="Q28" s="102"/>
      <c r="R28" s="103" t="s">
        <v>154</v>
      </c>
      <c r="S28" s="103" t="s">
        <v>167</v>
      </c>
      <c r="T28" s="50"/>
      <c r="U28" s="30"/>
      <c r="V28" s="30"/>
      <c r="W28" s="789" t="s">
        <v>11</v>
      </c>
      <c r="X28" s="782"/>
      <c r="Y28" s="104"/>
      <c r="Z28" s="781" t="s">
        <v>168</v>
      </c>
      <c r="AA28" s="782"/>
      <c r="AB28" s="104"/>
      <c r="AC28" s="800" t="s">
        <v>10</v>
      </c>
      <c r="AD28" s="800"/>
      <c r="AE28" s="104"/>
      <c r="AF28" s="800" t="s">
        <v>12</v>
      </c>
      <c r="AG28" s="800"/>
      <c r="AH28" s="104"/>
      <c r="AI28" s="801" t="s">
        <v>169</v>
      </c>
      <c r="AJ28" s="801"/>
      <c r="AK28" s="104"/>
      <c r="AL28" s="801"/>
      <c r="AM28" s="801"/>
      <c r="AN28" s="66"/>
      <c r="AO28" s="50"/>
      <c r="AP28" s="30"/>
      <c r="AQ28" s="30"/>
      <c r="AR28" s="53"/>
      <c r="AS28" s="802" t="s">
        <v>170</v>
      </c>
      <c r="AT28" s="803"/>
      <c r="AU28" s="803"/>
      <c r="AV28" s="803"/>
      <c r="AW28" s="50"/>
      <c r="AX28" s="30"/>
      <c r="AY28" s="53"/>
      <c r="AZ28" s="66"/>
      <c r="BA28" s="105"/>
      <c r="BB28" s="106"/>
      <c r="BC28" s="98"/>
      <c r="BE28" s="806"/>
      <c r="BF28" s="807"/>
    </row>
    <row r="29" spans="2:58" ht="13.9">
      <c r="E29" s="806"/>
      <c r="F29" s="807"/>
      <c r="J29" s="29"/>
      <c r="K29" s="99" t="s">
        <v>171</v>
      </c>
      <c r="L29" s="100">
        <v>25</v>
      </c>
      <c r="M29" s="101">
        <f>L29*$C$9</f>
        <v>7550</v>
      </c>
      <c r="N29" s="30"/>
      <c r="O29" s="30"/>
      <c r="P29" s="30"/>
      <c r="Q29" s="107" t="s">
        <v>172</v>
      </c>
      <c r="R29" s="108">
        <f>L28*L29*0.9</f>
        <v>498.07518043044126</v>
      </c>
      <c r="S29" s="109">
        <f>R29/SUM($R$29:$R$30)</f>
        <v>0.9</v>
      </c>
      <c r="T29" s="76"/>
      <c r="U29" s="30"/>
      <c r="V29" s="30"/>
      <c r="W29" s="110" t="s">
        <v>173</v>
      </c>
      <c r="X29" s="111">
        <f>X30/$Z$23</f>
        <v>0.3812896896775923</v>
      </c>
      <c r="Y29" s="112"/>
      <c r="Z29" s="113" t="s">
        <v>173</v>
      </c>
      <c r="AA29" s="111">
        <f>AA30/$Z$23</f>
        <v>0.29177331798687783</v>
      </c>
      <c r="AB29" s="112"/>
      <c r="AC29" s="113" t="s">
        <v>173</v>
      </c>
      <c r="AD29" s="111">
        <f>AD30/$Z$23</f>
        <v>0.14662648100812317</v>
      </c>
      <c r="AE29" s="112"/>
      <c r="AF29" s="113" t="s">
        <v>173</v>
      </c>
      <c r="AG29" s="111">
        <f>AG30/$Z$23</f>
        <v>1.6583016668150187E-2</v>
      </c>
      <c r="AH29" s="112"/>
      <c r="AI29" s="113" t="s">
        <v>173</v>
      </c>
      <c r="AJ29" s="111">
        <f>AJ30/$Z$23</f>
        <v>1.9067567503163938E-2</v>
      </c>
      <c r="AK29" s="112"/>
      <c r="AL29" s="113" t="s">
        <v>173</v>
      </c>
      <c r="AM29" s="111">
        <f>AM30/$Z$23</f>
        <v>0</v>
      </c>
      <c r="AN29" s="66"/>
      <c r="AO29" s="81"/>
      <c r="AP29" s="82"/>
      <c r="AQ29" s="30"/>
      <c r="AR29" s="53"/>
      <c r="AS29" s="803"/>
      <c r="AT29" s="803"/>
      <c r="AU29" s="803"/>
      <c r="AV29" s="803"/>
      <c r="AW29" s="50"/>
      <c r="AX29" s="30"/>
      <c r="AY29" s="53"/>
      <c r="AZ29" s="49"/>
      <c r="BA29" s="49"/>
      <c r="BB29" s="50"/>
      <c r="BC29" s="31"/>
      <c r="BE29" s="806"/>
      <c r="BF29" s="807"/>
    </row>
    <row r="30" spans="2:58" ht="14.55" customHeight="1">
      <c r="E30" s="806"/>
      <c r="F30" s="807"/>
      <c r="J30" s="29"/>
      <c r="K30" s="53"/>
      <c r="L30" s="49"/>
      <c r="M30" s="50"/>
      <c r="N30" s="30"/>
      <c r="O30" s="30"/>
      <c r="P30" s="30"/>
      <c r="Q30" s="107" t="s">
        <v>174</v>
      </c>
      <c r="R30" s="108">
        <f>L28*L29*0.1</f>
        <v>55.341686714493477</v>
      </c>
      <c r="S30" s="109">
        <f>R30/SUM($R$29:$R$30)</f>
        <v>0.1</v>
      </c>
      <c r="T30" s="76"/>
      <c r="U30" s="30"/>
      <c r="V30" s="30"/>
      <c r="W30" s="107" t="s">
        <v>175</v>
      </c>
      <c r="X30" s="114">
        <f>105123/C9*((1+B19)^4)/17*18</f>
        <v>508.76118342699584</v>
      </c>
      <c r="Y30" s="66"/>
      <c r="Z30" s="115" t="s">
        <v>175</v>
      </c>
      <c r="AA30" s="114">
        <f>80443/C9*((1+B19)^4)/17*18</f>
        <v>389.31799775898548</v>
      </c>
      <c r="AB30" s="66"/>
      <c r="AC30" s="115" t="s">
        <v>175</v>
      </c>
      <c r="AD30" s="114">
        <f>77029/C9/((1+B19)^4)/17*18</f>
        <v>195.64615571563581</v>
      </c>
      <c r="AE30" s="66"/>
      <c r="AF30" s="115" t="s">
        <v>175</v>
      </c>
      <c r="AG30" s="114">
        <f>4572/C9*((1+B19)^4)/17*18</f>
        <v>22.126995335257032</v>
      </c>
      <c r="AH30" s="66"/>
      <c r="AI30" s="115" t="s">
        <v>175</v>
      </c>
      <c r="AJ30" s="114">
        <f>5257/C9*((1+B19)^4)/17*18</f>
        <v>25.442172895329442</v>
      </c>
      <c r="AK30" s="66"/>
      <c r="AL30" s="115" t="s">
        <v>175</v>
      </c>
      <c r="AM30" s="114"/>
      <c r="AN30" s="66"/>
      <c r="AO30" s="81"/>
      <c r="AP30" s="82"/>
      <c r="AQ30" s="30"/>
      <c r="AR30" s="53"/>
      <c r="AS30" s="829" t="s">
        <v>176</v>
      </c>
      <c r="AT30" s="795" t="s">
        <v>177</v>
      </c>
      <c r="AU30" s="797" t="s">
        <v>178</v>
      </c>
      <c r="AV30" s="797" t="s">
        <v>179</v>
      </c>
      <c r="AW30" s="50"/>
      <c r="AX30" s="30"/>
      <c r="AY30" s="53"/>
      <c r="AZ30" s="49"/>
      <c r="BA30" s="49"/>
      <c r="BB30" s="50"/>
      <c r="BC30" s="31"/>
      <c r="BE30" s="806"/>
      <c r="BF30" s="807"/>
    </row>
    <row r="31" spans="2:58" ht="13.9">
      <c r="E31" s="806"/>
      <c r="F31" s="807"/>
      <c r="J31" s="29"/>
      <c r="K31" s="53" t="s">
        <v>180</v>
      </c>
      <c r="L31" s="49"/>
      <c r="M31" s="50"/>
      <c r="N31" s="30"/>
      <c r="O31" s="30"/>
      <c r="P31" s="30"/>
      <c r="Q31" s="78"/>
      <c r="R31" s="66"/>
      <c r="S31" s="66"/>
      <c r="T31" s="50"/>
      <c r="U31" s="30"/>
      <c r="V31" s="30"/>
      <c r="W31" s="108" t="s">
        <v>181</v>
      </c>
      <c r="X31" s="100">
        <f>25050*X29*((1+$B$19)^4)/17*18</f>
        <v>13960.017334452796</v>
      </c>
      <c r="Y31" s="116"/>
      <c r="Z31" s="108" t="s">
        <v>181</v>
      </c>
      <c r="AA31" s="100">
        <f>25050*AA29*((1+$B$19)^4)/17*18</f>
        <v>10682.587772755593</v>
      </c>
      <c r="AB31" s="66"/>
      <c r="AC31" s="108" t="s">
        <v>181</v>
      </c>
      <c r="AD31" s="100">
        <f>25050*AD29*((1+$B$19)^4)/17*18</f>
        <v>5368.3807141337093</v>
      </c>
      <c r="AE31" s="66"/>
      <c r="AF31" s="108" t="s">
        <v>181</v>
      </c>
      <c r="AG31" s="100">
        <f>25050*AG29*((1+$B$19)^4)/17*18</f>
        <v>607.14781021392264</v>
      </c>
      <c r="AH31" s="66"/>
      <c r="AI31" s="108" t="s">
        <v>181</v>
      </c>
      <c r="AJ31" s="100">
        <f>25050*AJ29*((1+$B$19)^4)/17*18</f>
        <v>698.11374415892192</v>
      </c>
      <c r="AK31" s="66"/>
      <c r="AL31" s="115" t="s">
        <v>181</v>
      </c>
      <c r="AM31" s="117"/>
      <c r="AN31" s="66"/>
      <c r="AO31" s="81"/>
      <c r="AP31" s="82"/>
      <c r="AQ31" s="30"/>
      <c r="AR31" s="53"/>
      <c r="AS31" s="830"/>
      <c r="AT31" s="796"/>
      <c r="AU31" s="798"/>
      <c r="AV31" s="798"/>
      <c r="AW31" s="76"/>
      <c r="AX31" s="30"/>
      <c r="AY31" s="53"/>
      <c r="AZ31" s="49"/>
      <c r="BA31" s="49"/>
      <c r="BB31" s="50"/>
      <c r="BC31" s="31"/>
      <c r="BE31" s="806"/>
      <c r="BF31" s="807"/>
    </row>
    <row r="32" spans="2:58" ht="13.9">
      <c r="E32" s="806"/>
      <c r="F32" s="807"/>
      <c r="J32" s="29"/>
      <c r="K32" s="53"/>
      <c r="L32" s="49"/>
      <c r="M32" s="50"/>
      <c r="N32" s="30"/>
      <c r="O32" s="30"/>
      <c r="P32" s="30"/>
      <c r="Q32" s="78"/>
      <c r="R32" s="66"/>
      <c r="S32" s="66"/>
      <c r="T32" s="50"/>
      <c r="U32" s="30"/>
      <c r="V32" s="30"/>
      <c r="W32" s="118" t="s">
        <v>182</v>
      </c>
      <c r="X32" s="119">
        <f>X31/X30</f>
        <v>27.439234338631444</v>
      </c>
      <c r="Y32" s="116"/>
      <c r="Z32" s="120" t="s">
        <v>182</v>
      </c>
      <c r="AA32" s="119">
        <f>AA31/AA30</f>
        <v>27.43923433863144</v>
      </c>
      <c r="AB32" s="66"/>
      <c r="AC32" s="120" t="s">
        <v>182</v>
      </c>
      <c r="AD32" s="119">
        <f>AD31/AD30</f>
        <v>27.439234338631447</v>
      </c>
      <c r="AE32" s="66"/>
      <c r="AF32" s="120" t="s">
        <v>182</v>
      </c>
      <c r="AG32" s="119">
        <f>AG31/AG30</f>
        <v>27.439234338631447</v>
      </c>
      <c r="AH32" s="66"/>
      <c r="AI32" s="120" t="s">
        <v>182</v>
      </c>
      <c r="AJ32" s="119">
        <f>AJ31/AJ30</f>
        <v>27.439234338631447</v>
      </c>
      <c r="AK32" s="66"/>
      <c r="AL32" s="120" t="s">
        <v>182</v>
      </c>
      <c r="AM32" s="121" t="e">
        <f>AM31/AM30</f>
        <v>#DIV/0!</v>
      </c>
      <c r="AN32" s="66"/>
      <c r="AO32" s="81"/>
      <c r="AP32" s="82"/>
      <c r="AQ32" s="30"/>
      <c r="AR32" s="53"/>
      <c r="AS32" s="122">
        <f>2707589/C9/17*18</f>
        <v>9492.9104012465923</v>
      </c>
      <c r="AT32" s="123">
        <f>$Z$36+$AT$66</f>
        <v>9900.9657083604307</v>
      </c>
      <c r="AU32" s="124">
        <f>AS32-AT32</f>
        <v>-408.05530711383835</v>
      </c>
      <c r="AV32" s="109">
        <f>AU32/AT32</f>
        <v>-4.1213687546586913E-2</v>
      </c>
      <c r="AW32" s="76"/>
      <c r="AX32" s="30"/>
      <c r="AY32" s="53"/>
      <c r="AZ32" s="49"/>
      <c r="BA32" s="49"/>
      <c r="BB32" s="50"/>
      <c r="BC32" s="31"/>
      <c r="BE32" s="806"/>
      <c r="BF32" s="807"/>
    </row>
    <row r="33" spans="2:58" ht="14.25" customHeight="1">
      <c r="E33" s="806"/>
      <c r="F33" s="807"/>
      <c r="J33" s="29"/>
      <c r="K33" s="53"/>
      <c r="L33" s="49"/>
      <c r="M33" s="50"/>
      <c r="N33" s="30"/>
      <c r="O33" s="30"/>
      <c r="P33" s="30"/>
      <c r="Q33" s="125" t="s">
        <v>183</v>
      </c>
      <c r="R33" s="126"/>
      <c r="S33" s="790"/>
      <c r="T33" s="791"/>
      <c r="U33" s="30"/>
      <c r="V33" s="30"/>
      <c r="W33" s="53"/>
      <c r="X33" s="49"/>
      <c r="Y33" s="66"/>
      <c r="Z33" s="49"/>
      <c r="AA33" s="49"/>
      <c r="AB33" s="49"/>
      <c r="AC33" s="49"/>
      <c r="AD33" s="49"/>
      <c r="AE33" s="49"/>
      <c r="AF33" s="49"/>
      <c r="AG33" s="49"/>
      <c r="AH33" s="49"/>
      <c r="AI33" s="49"/>
      <c r="AJ33" s="49"/>
      <c r="AK33" s="49"/>
      <c r="AL33" s="49"/>
      <c r="AM33" s="49"/>
      <c r="AN33" s="66"/>
      <c r="AO33" s="81"/>
      <c r="AP33" s="82"/>
      <c r="AQ33" s="30"/>
      <c r="AR33" s="53"/>
      <c r="AS33" s="129"/>
      <c r="AT33" s="130"/>
      <c r="AU33" s="131"/>
      <c r="AV33" s="132"/>
      <c r="AW33" s="76"/>
      <c r="AX33" s="30"/>
      <c r="AY33" s="53"/>
      <c r="AZ33" s="49"/>
      <c r="BA33" s="49"/>
      <c r="BB33" s="50"/>
      <c r="BC33" s="31"/>
      <c r="BE33" s="806"/>
      <c r="BF33" s="807"/>
    </row>
    <row r="34" spans="2:58" ht="14.25" customHeight="1">
      <c r="E34" s="806"/>
      <c r="F34" s="807"/>
      <c r="J34" s="29"/>
      <c r="K34" s="53"/>
      <c r="L34" s="49"/>
      <c r="M34" s="50"/>
      <c r="N34" s="30"/>
      <c r="O34" s="30"/>
      <c r="P34" s="30"/>
      <c r="Q34" s="133" t="s">
        <v>184</v>
      </c>
      <c r="R34" s="134">
        <f>R26*9.63%/R30</f>
        <v>2.2795835952654531</v>
      </c>
      <c r="S34" s="792"/>
      <c r="T34" s="791"/>
      <c r="U34" s="30"/>
      <c r="V34" s="30"/>
      <c r="W34" s="53"/>
      <c r="X34" s="49"/>
      <c r="Y34" s="66"/>
      <c r="Z34" s="49"/>
      <c r="AA34" s="49"/>
      <c r="AB34" s="49"/>
      <c r="AC34" s="49"/>
      <c r="AD34" s="49"/>
      <c r="AE34" s="49"/>
      <c r="AF34" s="49"/>
      <c r="AG34" s="49"/>
      <c r="AH34" s="49"/>
      <c r="AI34" s="49"/>
      <c r="AJ34" s="49"/>
      <c r="AK34" s="49"/>
      <c r="AL34" s="49"/>
      <c r="AM34" s="49"/>
      <c r="AN34" s="49"/>
      <c r="AO34" s="50"/>
      <c r="AP34" s="30"/>
      <c r="AQ34" s="30"/>
      <c r="AR34" s="53"/>
      <c r="AS34" s="66"/>
      <c r="AT34" s="66"/>
      <c r="AU34" s="66"/>
      <c r="AV34" s="66"/>
      <c r="AW34" s="76"/>
      <c r="AX34" s="30"/>
      <c r="AY34" s="53"/>
      <c r="AZ34" s="49"/>
      <c r="BA34" s="49"/>
      <c r="BB34" s="50"/>
      <c r="BC34" s="31"/>
      <c r="BE34" s="806"/>
      <c r="BF34" s="807"/>
    </row>
    <row r="35" spans="2:58" ht="14.25" customHeight="1">
      <c r="E35" s="806"/>
      <c r="F35" s="807"/>
      <c r="J35" s="29"/>
      <c r="K35" s="53"/>
      <c r="L35" s="49"/>
      <c r="M35" s="50"/>
      <c r="N35" s="30"/>
      <c r="O35" s="30"/>
      <c r="P35" s="30"/>
      <c r="Q35" s="133" t="s">
        <v>185</v>
      </c>
      <c r="R35" s="134" t="s">
        <v>186</v>
      </c>
      <c r="S35" s="792"/>
      <c r="T35" s="791"/>
      <c r="U35" s="30"/>
      <c r="V35" s="30"/>
      <c r="W35" s="53"/>
      <c r="X35" s="49"/>
      <c r="Y35" s="66"/>
      <c r="Z35" s="49"/>
      <c r="AA35" s="49"/>
      <c r="AB35" s="49"/>
      <c r="AC35" s="49"/>
      <c r="AD35" s="49"/>
      <c r="AE35" s="49"/>
      <c r="AF35" s="49"/>
      <c r="AG35" s="49"/>
      <c r="AH35" s="49"/>
      <c r="AI35" s="49"/>
      <c r="AJ35" s="49"/>
      <c r="AK35" s="49"/>
      <c r="AL35" s="49"/>
      <c r="AM35" s="49"/>
      <c r="AN35" s="49"/>
      <c r="AO35" s="50"/>
      <c r="AP35" s="30"/>
      <c r="AQ35" s="30"/>
      <c r="AR35" s="53"/>
      <c r="AS35" s="66"/>
      <c r="AT35" s="66"/>
      <c r="AU35" s="66"/>
      <c r="AV35" s="66"/>
      <c r="AW35" s="76"/>
      <c r="AX35" s="30"/>
      <c r="AY35" s="53"/>
      <c r="AZ35" s="49"/>
      <c r="BA35" s="49"/>
      <c r="BB35" s="50"/>
      <c r="BC35" s="31"/>
      <c r="BE35" s="806"/>
      <c r="BF35" s="807"/>
    </row>
    <row r="36" spans="2:58" ht="18" customHeight="1">
      <c r="E36" s="806"/>
      <c r="F36" s="807"/>
      <c r="J36" s="29"/>
      <c r="K36" s="53"/>
      <c r="L36" s="49"/>
      <c r="M36" s="50"/>
      <c r="N36" s="30"/>
      <c r="O36" s="30"/>
      <c r="P36" s="30"/>
      <c r="Q36" s="53"/>
      <c r="R36" s="49"/>
      <c r="S36" s="127"/>
      <c r="T36" s="128"/>
      <c r="U36" s="30"/>
      <c r="V36" s="30"/>
      <c r="W36" s="53"/>
      <c r="X36" s="793" t="s">
        <v>187</v>
      </c>
      <c r="Y36" s="793"/>
      <c r="Z36" s="794">
        <f>SUM(X41:AM41)</f>
        <v>9769.3630593538073</v>
      </c>
      <c r="AA36" s="794"/>
      <c r="AB36" s="49"/>
      <c r="AC36" s="49"/>
      <c r="AD36" s="49"/>
      <c r="AE36" s="49"/>
      <c r="AF36" s="49"/>
      <c r="AG36" s="49"/>
      <c r="AH36" s="49"/>
      <c r="AI36" s="49"/>
      <c r="AJ36" s="49"/>
      <c r="AK36" s="49"/>
      <c r="AL36" s="49"/>
      <c r="AM36" s="49"/>
      <c r="AN36" s="49"/>
      <c r="AO36" s="50"/>
      <c r="AP36" s="30"/>
      <c r="AQ36" s="30"/>
      <c r="AR36" s="53"/>
      <c r="AS36" s="66"/>
      <c r="AT36" s="66"/>
      <c r="AU36" s="66"/>
      <c r="AV36" s="66"/>
      <c r="AW36" s="76"/>
      <c r="AX36" s="30"/>
      <c r="AY36" s="53"/>
      <c r="AZ36" s="49"/>
      <c r="BA36" s="49"/>
      <c r="BB36" s="50"/>
      <c r="BC36" s="31"/>
      <c r="BE36" s="806"/>
      <c r="BF36" s="807"/>
    </row>
    <row r="37" spans="2:58" ht="14.25" customHeight="1">
      <c r="E37" s="806"/>
      <c r="F37" s="807"/>
      <c r="J37" s="29"/>
      <c r="K37" s="53"/>
      <c r="L37" s="49"/>
      <c r="M37" s="50"/>
      <c r="N37" s="30"/>
      <c r="O37" s="30"/>
      <c r="P37" s="30"/>
      <c r="Q37" s="53"/>
      <c r="R37" s="49"/>
      <c r="S37" s="135"/>
      <c r="T37" s="136"/>
      <c r="U37" s="30"/>
      <c r="V37" s="30"/>
      <c r="W37" s="53"/>
      <c r="X37" s="49"/>
      <c r="Y37" s="66"/>
      <c r="Z37" s="49"/>
      <c r="AA37" s="49"/>
      <c r="AB37" s="49"/>
      <c r="AC37" s="49"/>
      <c r="AD37" s="49"/>
      <c r="AE37" s="49"/>
      <c r="AF37" s="49"/>
      <c r="AG37" s="49"/>
      <c r="AH37" s="49"/>
      <c r="AI37" s="49"/>
      <c r="AJ37" s="49"/>
      <c r="AK37" s="49"/>
      <c r="AL37" s="49"/>
      <c r="AM37" s="49"/>
      <c r="AN37" s="49"/>
      <c r="AO37" s="50"/>
      <c r="AP37" s="30"/>
      <c r="AQ37" s="30"/>
      <c r="AR37" s="53"/>
      <c r="AS37" s="66"/>
      <c r="AT37" s="66"/>
      <c r="AU37" s="66"/>
      <c r="AV37" s="66"/>
      <c r="AW37" s="76"/>
      <c r="AX37" s="30"/>
      <c r="AY37" s="53"/>
      <c r="AZ37" s="49"/>
      <c r="BA37" s="49"/>
      <c r="BB37" s="50"/>
      <c r="BC37" s="31"/>
      <c r="BE37" s="806"/>
      <c r="BF37" s="807"/>
    </row>
    <row r="38" spans="2:58" ht="14.25" customHeight="1">
      <c r="E38" s="806"/>
      <c r="F38" s="807"/>
      <c r="J38" s="29"/>
      <c r="K38" s="53"/>
      <c r="L38" s="49"/>
      <c r="M38" s="50"/>
      <c r="N38" s="30"/>
      <c r="O38" s="30"/>
      <c r="P38" s="30"/>
      <c r="Q38" s="53"/>
      <c r="R38" s="49"/>
      <c r="S38" s="135"/>
      <c r="T38" s="136"/>
      <c r="U38" s="30"/>
      <c r="V38" s="30"/>
      <c r="W38" s="53"/>
      <c r="X38" s="49"/>
      <c r="Y38" s="66"/>
      <c r="Z38" s="49"/>
      <c r="AA38" s="49"/>
      <c r="AB38" s="49"/>
      <c r="AC38" s="49"/>
      <c r="AD38" s="49"/>
      <c r="AE38" s="49"/>
      <c r="AF38" s="49"/>
      <c r="AG38" s="49"/>
      <c r="AH38" s="49"/>
      <c r="AI38" s="49"/>
      <c r="AJ38" s="49"/>
      <c r="AK38" s="49"/>
      <c r="AL38" s="49"/>
      <c r="AM38" s="49"/>
      <c r="AN38" s="49"/>
      <c r="AO38" s="50"/>
      <c r="AP38" s="30"/>
      <c r="AQ38" s="30"/>
      <c r="AR38" s="53"/>
      <c r="AS38" s="66"/>
      <c r="AT38" s="66"/>
      <c r="AU38" s="66"/>
      <c r="AV38" s="66"/>
      <c r="AW38" s="76"/>
      <c r="AX38" s="30"/>
      <c r="AY38" s="53"/>
      <c r="AZ38" s="49"/>
      <c r="BA38" s="49"/>
      <c r="BB38" s="50"/>
      <c r="BC38" s="31"/>
      <c r="BE38" s="806"/>
      <c r="BF38" s="807"/>
    </row>
    <row r="39" spans="2:58" ht="16.05" customHeight="1">
      <c r="E39" s="806"/>
      <c r="F39" s="807"/>
      <c r="J39" s="29"/>
      <c r="K39" s="53"/>
      <c r="L39" s="49"/>
      <c r="M39" s="50"/>
      <c r="N39" s="30"/>
      <c r="O39" s="30"/>
      <c r="P39" s="30"/>
      <c r="Q39" s="53"/>
      <c r="R39" s="49"/>
      <c r="S39" s="49"/>
      <c r="T39" s="50"/>
      <c r="U39" s="30"/>
      <c r="V39" s="30"/>
      <c r="W39" s="789" t="s">
        <v>11</v>
      </c>
      <c r="X39" s="782"/>
      <c r="Y39" s="104"/>
      <c r="Z39" s="781" t="s">
        <v>168</v>
      </c>
      <c r="AA39" s="782"/>
      <c r="AB39" s="104"/>
      <c r="AC39" s="781" t="s">
        <v>10</v>
      </c>
      <c r="AD39" s="782"/>
      <c r="AE39" s="104"/>
      <c r="AF39" s="781" t="s">
        <v>12</v>
      </c>
      <c r="AG39" s="782"/>
      <c r="AH39" s="104"/>
      <c r="AI39" s="783" t="s">
        <v>169</v>
      </c>
      <c r="AJ39" s="784"/>
      <c r="AK39" s="104"/>
      <c r="AL39" s="783"/>
      <c r="AM39" s="784"/>
      <c r="AN39" s="49"/>
      <c r="AO39" s="50"/>
      <c r="AP39" s="30"/>
      <c r="AQ39" s="30"/>
      <c r="AR39" s="53"/>
      <c r="AS39" s="49"/>
      <c r="AT39" s="49"/>
      <c r="AU39" s="49"/>
      <c r="AV39" s="66"/>
      <c r="AW39" s="50"/>
      <c r="AX39" s="30"/>
      <c r="AY39" s="53"/>
      <c r="AZ39" s="49"/>
      <c r="BA39" s="49"/>
      <c r="BB39" s="50"/>
      <c r="BC39" s="31"/>
      <c r="BE39" s="806"/>
      <c r="BF39" s="807"/>
    </row>
    <row r="40" spans="2:58" ht="16.05" customHeight="1">
      <c r="E40" s="806"/>
      <c r="F40" s="807"/>
      <c r="J40" s="29"/>
      <c r="K40" s="53"/>
      <c r="L40" s="49"/>
      <c r="M40" s="50"/>
      <c r="N40" s="30"/>
      <c r="O40" s="30"/>
      <c r="P40" s="30"/>
      <c r="Q40" s="53"/>
      <c r="R40" s="49"/>
      <c r="S40" s="49"/>
      <c r="T40" s="50"/>
      <c r="U40" s="30"/>
      <c r="V40" s="30"/>
      <c r="W40" s="110" t="s">
        <v>111</v>
      </c>
      <c r="X40" s="137">
        <f>X41/$Z$36</f>
        <v>8.8333547661462897E-2</v>
      </c>
      <c r="Y40" s="66"/>
      <c r="Z40" s="113" t="s">
        <v>111</v>
      </c>
      <c r="AA40" s="137">
        <f>AA41/$Z$36</f>
        <v>0.50740888262010919</v>
      </c>
      <c r="AB40" s="66"/>
      <c r="AC40" s="113" t="s">
        <v>111</v>
      </c>
      <c r="AD40" s="137">
        <f>AD41/$Z$36</f>
        <v>0.36540989339833785</v>
      </c>
      <c r="AE40" s="66"/>
      <c r="AF40" s="113" t="s">
        <v>111</v>
      </c>
      <c r="AG40" s="137">
        <f>AG41/$Z$36</f>
        <v>1.9335688961777574E-2</v>
      </c>
      <c r="AH40" s="66"/>
      <c r="AI40" s="113" t="s">
        <v>111</v>
      </c>
      <c r="AJ40" s="137">
        <f>AJ41/$Z$36</f>
        <v>1.9511987358312624E-2</v>
      </c>
      <c r="AK40" s="66"/>
      <c r="AL40" s="113" t="s">
        <v>111</v>
      </c>
      <c r="AM40" s="137">
        <f>AM41/$Z$36</f>
        <v>0</v>
      </c>
      <c r="AN40" s="49"/>
      <c r="AO40" s="50"/>
      <c r="AP40" s="30"/>
      <c r="AQ40" s="30"/>
      <c r="AR40" s="53"/>
      <c r="AS40" s="49"/>
      <c r="AT40" s="49"/>
      <c r="AU40" s="49"/>
      <c r="AV40" s="66"/>
      <c r="AW40" s="50"/>
      <c r="AX40" s="30"/>
      <c r="AY40" s="53"/>
      <c r="AZ40" s="49"/>
      <c r="BA40" s="49"/>
      <c r="BB40" s="50"/>
      <c r="BC40" s="31"/>
      <c r="BE40" s="806"/>
      <c r="BF40" s="807"/>
    </row>
    <row r="41" spans="2:58">
      <c r="E41" s="806"/>
      <c r="F41" s="807"/>
      <c r="J41" s="29"/>
      <c r="K41" s="53"/>
      <c r="L41" s="49"/>
      <c r="M41" s="50"/>
      <c r="N41" s="30"/>
      <c r="O41" s="30"/>
      <c r="P41" s="30"/>
      <c r="Q41" s="138" t="s">
        <v>188</v>
      </c>
      <c r="R41" s="49"/>
      <c r="S41" s="49"/>
      <c r="T41" s="50"/>
      <c r="U41" s="30"/>
      <c r="V41" s="30"/>
      <c r="W41" s="107" t="s">
        <v>189</v>
      </c>
      <c r="X41" s="114">
        <f>178310/C9*((1+B19)^4)/17*18</f>
        <v>862.96249742556449</v>
      </c>
      <c r="Y41" s="66"/>
      <c r="Z41" s="115" t="s">
        <v>189</v>
      </c>
      <c r="AA41" s="114">
        <f>1024255/C9*((1+B19)^4)/17*18</f>
        <v>4957.0615938568872</v>
      </c>
      <c r="AB41" s="66"/>
      <c r="AC41" s="115" t="s">
        <v>189</v>
      </c>
      <c r="AD41" s="114">
        <f>737616/C9*((1+B19)^4)/17*18</f>
        <v>3569.8219140881342</v>
      </c>
      <c r="AE41" s="66"/>
      <c r="AF41" s="115" t="s">
        <v>189</v>
      </c>
      <c r="AG41" s="114">
        <f>39031/C9*((1+B19)^4)/17*18</f>
        <v>188.89736547034499</v>
      </c>
      <c r="AH41" s="66"/>
      <c r="AI41" s="115" t="s">
        <v>189</v>
      </c>
      <c r="AJ41" s="114">
        <f>75050/C9/((1+B19)^4)/17*18</f>
        <v>190.61968851287784</v>
      </c>
      <c r="AK41" s="66"/>
      <c r="AL41" s="115" t="s">
        <v>189</v>
      </c>
      <c r="AM41" s="114"/>
      <c r="AN41" s="49"/>
      <c r="AO41" s="50"/>
      <c r="AP41" s="30"/>
      <c r="AQ41" s="30"/>
      <c r="AR41" s="53"/>
      <c r="AS41" s="49"/>
      <c r="AT41" s="49"/>
      <c r="AU41" s="49"/>
      <c r="AV41" s="66"/>
      <c r="AW41" s="50"/>
      <c r="AX41" s="30"/>
      <c r="AY41" s="53"/>
      <c r="AZ41" s="49"/>
      <c r="BA41" s="49"/>
      <c r="BB41" s="50"/>
      <c r="BC41" s="31"/>
      <c r="BE41" s="806"/>
      <c r="BF41" s="807"/>
    </row>
    <row r="42" spans="2:58">
      <c r="D42" s="40"/>
      <c r="E42" s="806"/>
      <c r="F42" s="807"/>
      <c r="J42" s="29"/>
      <c r="K42" s="53"/>
      <c r="L42" s="49"/>
      <c r="M42" s="50"/>
      <c r="N42" s="30"/>
      <c r="O42" s="30"/>
      <c r="P42" s="30"/>
      <c r="Q42" s="138" t="s">
        <v>190</v>
      </c>
      <c r="R42" s="49"/>
      <c r="S42" s="49"/>
      <c r="T42" s="50"/>
      <c r="U42" s="30"/>
      <c r="V42" s="30"/>
      <c r="W42" s="108" t="s">
        <v>181</v>
      </c>
      <c r="X42" s="100">
        <f>174041*X40*((1+$B$19)^4)/17*18</f>
        <v>22469.862170918292</v>
      </c>
      <c r="Y42" s="49"/>
      <c r="Z42" s="108" t="s">
        <v>181</v>
      </c>
      <c r="AA42" s="100">
        <f>174041*AA40*((1+$B$19)^4)/17*18</f>
        <v>129072.22633544901</v>
      </c>
      <c r="AB42" s="49"/>
      <c r="AC42" s="108" t="s">
        <v>181</v>
      </c>
      <c r="AD42" s="100">
        <f>174041*AD40*((1+$B$19)^4)/17*18</f>
        <v>92951.207756514326</v>
      </c>
      <c r="AE42" s="66"/>
      <c r="AF42" s="108" t="s">
        <v>181</v>
      </c>
      <c r="AG42" s="100">
        <f>174041*AG40*((1+$B$19)^4)/17*18</f>
        <v>4918.5193785716583</v>
      </c>
      <c r="AH42" s="66"/>
      <c r="AI42" s="108" t="s">
        <v>181</v>
      </c>
      <c r="AJ42" s="100">
        <f>174041*AJ40*((1+$B$19)^4)/17*18</f>
        <v>4963.3653150926093</v>
      </c>
      <c r="AK42" s="66"/>
      <c r="AL42" s="107" t="s">
        <v>181</v>
      </c>
      <c r="AM42" s="117"/>
      <c r="AN42" s="49"/>
      <c r="AO42" s="50"/>
      <c r="AP42" s="30"/>
      <c r="AQ42" s="30"/>
      <c r="AR42" s="53"/>
      <c r="AS42" s="49"/>
      <c r="AT42" s="49"/>
      <c r="AU42" s="49"/>
      <c r="AV42" s="66"/>
      <c r="AW42" s="50"/>
      <c r="AX42" s="30"/>
      <c r="AY42" s="53"/>
      <c r="AZ42" s="49"/>
      <c r="BA42" s="49"/>
      <c r="BB42" s="50"/>
      <c r="BC42" s="31"/>
      <c r="BE42" s="806"/>
      <c r="BF42" s="807"/>
    </row>
    <row r="43" spans="2:58" ht="13.9" thickBot="1">
      <c r="D43" s="40"/>
      <c r="E43" s="806"/>
      <c r="F43" s="807"/>
      <c r="J43" s="29"/>
      <c r="K43" s="53"/>
      <c r="L43" s="49"/>
      <c r="M43" s="50"/>
      <c r="N43" s="30"/>
      <c r="O43" s="30"/>
      <c r="P43" s="30"/>
      <c r="Q43" s="139"/>
      <c r="R43" s="140"/>
      <c r="S43" s="140"/>
      <c r="T43" s="141"/>
      <c r="U43" s="30"/>
      <c r="V43" s="30"/>
      <c r="W43" s="142" t="s">
        <v>182</v>
      </c>
      <c r="X43" s="143">
        <f>X42/X41</f>
        <v>26.038051755379378</v>
      </c>
      <c r="Y43" s="140"/>
      <c r="Z43" s="144" t="s">
        <v>182</v>
      </c>
      <c r="AA43" s="143">
        <f>AA42/AA41</f>
        <v>26.038051755379378</v>
      </c>
      <c r="AB43" s="140"/>
      <c r="AC43" s="144" t="s">
        <v>182</v>
      </c>
      <c r="AD43" s="143">
        <f>AD42/AD41</f>
        <v>26.038051755379382</v>
      </c>
      <c r="AE43" s="145"/>
      <c r="AF43" s="144" t="s">
        <v>182</v>
      </c>
      <c r="AG43" s="143">
        <f>AG42/AG41</f>
        <v>26.038051755379389</v>
      </c>
      <c r="AH43" s="145"/>
      <c r="AI43" s="144" t="s">
        <v>182</v>
      </c>
      <c r="AJ43" s="143">
        <f>AJ42/AJ41</f>
        <v>26.038051755379378</v>
      </c>
      <c r="AK43" s="145"/>
      <c r="AL43" s="144" t="s">
        <v>182</v>
      </c>
      <c r="AM43" s="146" t="e">
        <f>AM42/AM41</f>
        <v>#DIV/0!</v>
      </c>
      <c r="AN43" s="140"/>
      <c r="AO43" s="141"/>
      <c r="AP43" s="30"/>
      <c r="AQ43" s="30"/>
      <c r="AR43" s="53"/>
      <c r="AS43" s="49"/>
      <c r="AT43" s="49"/>
      <c r="AU43" s="49"/>
      <c r="AV43" s="66"/>
      <c r="AW43" s="50"/>
      <c r="AX43" s="30"/>
      <c r="AY43" s="53"/>
      <c r="AZ43" s="49"/>
      <c r="BA43" s="49"/>
      <c r="BB43" s="50"/>
      <c r="BC43" s="31"/>
      <c r="BE43" s="806"/>
      <c r="BF43" s="807"/>
    </row>
    <row r="44" spans="2:58">
      <c r="B44" s="40"/>
      <c r="C44" s="40"/>
      <c r="D44" s="40"/>
      <c r="E44" s="806"/>
      <c r="F44" s="807"/>
      <c r="J44" s="29"/>
      <c r="K44" s="53"/>
      <c r="L44" s="49"/>
      <c r="M44" s="5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53"/>
      <c r="AS44" s="66"/>
      <c r="AT44" s="66"/>
      <c r="AU44" s="66"/>
      <c r="AV44" s="66"/>
      <c r="AW44" s="50"/>
      <c r="AX44" s="30"/>
      <c r="AY44" s="53"/>
      <c r="AZ44" s="49"/>
      <c r="BA44" s="49"/>
      <c r="BB44" s="50"/>
      <c r="BC44" s="31"/>
      <c r="BE44" s="806"/>
      <c r="BF44" s="807"/>
    </row>
    <row r="45" spans="2:58">
      <c r="B45" s="40" t="s">
        <v>191</v>
      </c>
      <c r="C45" s="40">
        <v>0</v>
      </c>
      <c r="D45" s="40"/>
      <c r="E45" s="806"/>
      <c r="F45" s="807"/>
      <c r="J45" s="29"/>
      <c r="K45" s="53"/>
      <c r="L45" s="49"/>
      <c r="M45" s="5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53"/>
      <c r="AS45" s="66"/>
      <c r="AT45" s="66"/>
      <c r="AU45" s="66"/>
      <c r="AV45" s="66"/>
      <c r="AW45" s="50"/>
      <c r="AX45" s="30"/>
      <c r="AY45" s="53"/>
      <c r="AZ45" s="49"/>
      <c r="BA45" s="49"/>
      <c r="BB45" s="50"/>
      <c r="BC45" s="31"/>
      <c r="BE45" s="806"/>
      <c r="BF45" s="807"/>
    </row>
    <row r="46" spans="2:58" ht="13.9" thickBot="1">
      <c r="B46" s="40" t="s">
        <v>192</v>
      </c>
      <c r="C46" s="40">
        <v>1</v>
      </c>
      <c r="D46" s="40"/>
      <c r="E46" s="806"/>
      <c r="F46" s="807"/>
      <c r="J46" s="29"/>
      <c r="K46" s="53"/>
      <c r="L46" s="49"/>
      <c r="M46" s="5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53"/>
      <c r="AS46" s="66"/>
      <c r="AT46" s="66"/>
      <c r="AU46" s="66"/>
      <c r="AV46" s="66"/>
      <c r="AW46" s="50"/>
      <c r="AX46" s="30"/>
      <c r="AY46" s="53"/>
      <c r="AZ46" s="49"/>
      <c r="BA46" s="49"/>
      <c r="BB46" s="50"/>
      <c r="BC46" s="31"/>
      <c r="BE46" s="806"/>
      <c r="BF46" s="807"/>
    </row>
    <row r="47" spans="2:58" ht="22.9" thickBot="1">
      <c r="B47" s="40" t="s">
        <v>193</v>
      </c>
      <c r="C47" s="40">
        <v>0</v>
      </c>
      <c r="D47" s="40"/>
      <c r="E47" s="806"/>
      <c r="F47" s="807"/>
      <c r="J47" s="29"/>
      <c r="K47" s="53"/>
      <c r="L47" s="49"/>
      <c r="M47" s="50"/>
      <c r="N47" s="30"/>
      <c r="O47" s="30"/>
      <c r="P47" s="30"/>
      <c r="Q47" s="30"/>
      <c r="R47" s="30"/>
      <c r="S47" s="30"/>
      <c r="T47" s="30"/>
      <c r="U47" s="30"/>
      <c r="V47" s="30"/>
      <c r="W47" s="147" t="s">
        <v>194</v>
      </c>
      <c r="X47" s="148"/>
      <c r="Y47" s="148"/>
      <c r="Z47" s="148"/>
      <c r="AA47" s="148"/>
      <c r="AB47" s="148"/>
      <c r="AC47" s="149"/>
      <c r="AD47" s="149" t="s">
        <v>195</v>
      </c>
      <c r="AE47" s="148"/>
      <c r="AF47" s="148"/>
      <c r="AG47" s="148"/>
      <c r="AH47" s="148"/>
      <c r="AI47" s="148"/>
      <c r="AJ47" s="148"/>
      <c r="AK47" s="148"/>
      <c r="AL47" s="148"/>
      <c r="AM47" s="148"/>
      <c r="AN47" s="148"/>
      <c r="AO47" s="150"/>
      <c r="AP47" s="30"/>
      <c r="AQ47" s="30"/>
      <c r="AR47" s="53"/>
      <c r="AS47" s="66"/>
      <c r="AT47" s="66"/>
      <c r="AU47" s="66"/>
      <c r="AV47" s="66"/>
      <c r="AW47" s="50"/>
      <c r="AX47" s="30"/>
      <c r="AY47" s="53"/>
      <c r="AZ47" s="49"/>
      <c r="BA47" s="49"/>
      <c r="BB47" s="50"/>
      <c r="BC47" s="31"/>
      <c r="BE47" s="806"/>
      <c r="BF47" s="807"/>
    </row>
    <row r="48" spans="2:58">
      <c r="B48" s="40"/>
      <c r="C48" s="40"/>
      <c r="D48" s="40"/>
      <c r="E48" s="806"/>
      <c r="F48" s="807"/>
      <c r="J48" s="29"/>
      <c r="K48" s="53"/>
      <c r="L48" s="49"/>
      <c r="M48" s="50"/>
      <c r="N48" s="30"/>
      <c r="O48" s="30"/>
      <c r="P48" s="30"/>
      <c r="Q48" s="30"/>
      <c r="R48" s="30"/>
      <c r="S48" s="30"/>
      <c r="T48" s="30"/>
      <c r="U48" s="30"/>
      <c r="V48" s="30"/>
      <c r="W48" s="53"/>
      <c r="X48" s="49"/>
      <c r="Y48" s="49"/>
      <c r="Z48" s="49"/>
      <c r="AA48" s="49"/>
      <c r="AB48" s="49"/>
      <c r="AC48" s="49"/>
      <c r="AD48" s="151"/>
      <c r="AE48" s="152"/>
      <c r="AF48" s="152"/>
      <c r="AG48" s="152"/>
      <c r="AH48" s="152"/>
      <c r="AI48" s="152"/>
      <c r="AJ48" s="152"/>
      <c r="AK48" s="152"/>
      <c r="AL48" s="152"/>
      <c r="AM48" s="152"/>
      <c r="AN48" s="153"/>
      <c r="AO48" s="50"/>
      <c r="AP48" s="30"/>
      <c r="AQ48" s="30"/>
      <c r="AR48" s="53"/>
      <c r="AS48" s="66"/>
      <c r="AT48" s="66"/>
      <c r="AU48" s="66"/>
      <c r="AV48" s="66"/>
      <c r="AW48" s="50"/>
      <c r="AX48" s="30"/>
      <c r="AY48" s="53"/>
      <c r="AZ48" s="49"/>
      <c r="BA48" s="49"/>
      <c r="BB48" s="50"/>
      <c r="BC48" s="31"/>
      <c r="BE48" s="806"/>
      <c r="BF48" s="807"/>
    </row>
    <row r="49" spans="2:58" ht="13.9">
      <c r="B49" s="40"/>
      <c r="C49" s="40"/>
      <c r="D49" s="40"/>
      <c r="E49" s="806"/>
      <c r="F49" s="807"/>
      <c r="J49" s="29"/>
      <c r="K49" s="53"/>
      <c r="L49" s="49"/>
      <c r="M49" s="50"/>
      <c r="N49" s="30"/>
      <c r="O49" s="30"/>
      <c r="P49" s="30"/>
      <c r="Q49" s="30"/>
      <c r="R49" s="30"/>
      <c r="S49" s="30"/>
      <c r="T49" s="30"/>
      <c r="U49" s="30"/>
      <c r="V49" s="30"/>
      <c r="W49" s="53"/>
      <c r="X49" s="49"/>
      <c r="Y49" s="49"/>
      <c r="Z49" s="49"/>
      <c r="AA49" s="49"/>
      <c r="AB49" s="49"/>
      <c r="AC49" s="49"/>
      <c r="AD49" s="154"/>
      <c r="AE49" s="49"/>
      <c r="AF49" s="49"/>
      <c r="AG49" s="49"/>
      <c r="AH49" s="49"/>
      <c r="AI49" s="49"/>
      <c r="AJ49" s="49"/>
      <c r="AK49" s="49"/>
      <c r="AL49" s="49"/>
      <c r="AM49" s="155" t="s">
        <v>196</v>
      </c>
      <c r="AN49" s="156"/>
      <c r="AO49" s="50"/>
      <c r="AP49" s="30"/>
      <c r="AQ49" s="30"/>
      <c r="AR49" s="53"/>
      <c r="AS49" s="66"/>
      <c r="AT49" s="66"/>
      <c r="AU49" s="66"/>
      <c r="AV49" s="66"/>
      <c r="AW49" s="50"/>
      <c r="AX49" s="30"/>
      <c r="AY49" s="53"/>
      <c r="AZ49" s="49"/>
      <c r="BA49" s="49"/>
      <c r="BB49" s="50"/>
      <c r="BC49" s="31"/>
      <c r="BE49" s="806"/>
      <c r="BF49" s="807"/>
    </row>
    <row r="50" spans="2:58" ht="14.25" thickBot="1">
      <c r="B50" s="40"/>
      <c r="C50" s="40"/>
      <c r="D50" s="40"/>
      <c r="E50" s="806"/>
      <c r="F50" s="807"/>
      <c r="J50" s="29"/>
      <c r="K50" s="53"/>
      <c r="L50" s="49"/>
      <c r="M50" s="50"/>
      <c r="N50" s="30"/>
      <c r="O50" s="30"/>
      <c r="P50" s="30"/>
      <c r="Q50" s="30"/>
      <c r="R50" s="30"/>
      <c r="S50" s="30"/>
      <c r="T50" s="30"/>
      <c r="U50" s="30"/>
      <c r="V50" s="30"/>
      <c r="W50" s="53"/>
      <c r="X50" s="49"/>
      <c r="Y50" s="49"/>
      <c r="Z50" s="49"/>
      <c r="AA50" s="49"/>
      <c r="AB50" s="49"/>
      <c r="AC50" s="49"/>
      <c r="AD50" s="154"/>
      <c r="AE50" s="49"/>
      <c r="AF50" s="49" t="s">
        <v>154</v>
      </c>
      <c r="AG50" s="49" t="s">
        <v>161</v>
      </c>
      <c r="AH50" s="49"/>
      <c r="AI50" s="49"/>
      <c r="AJ50" s="49"/>
      <c r="AK50" s="49"/>
      <c r="AL50" s="49"/>
      <c r="AM50" s="41" t="s">
        <v>140</v>
      </c>
      <c r="AN50" s="157">
        <v>1</v>
      </c>
      <c r="AO50" s="50"/>
      <c r="AP50" s="30"/>
      <c r="AQ50" s="30"/>
      <c r="AR50" s="53"/>
      <c r="AS50" s="66"/>
      <c r="AT50" s="66"/>
      <c r="AU50" s="66"/>
      <c r="AV50" s="66"/>
      <c r="AW50" s="50"/>
      <c r="AX50" s="30"/>
      <c r="AY50" s="53"/>
      <c r="AZ50" s="49"/>
      <c r="BA50" s="49"/>
      <c r="BB50" s="50"/>
      <c r="BC50" s="31"/>
      <c r="BE50" s="806"/>
      <c r="BF50" s="807"/>
    </row>
    <row r="51" spans="2:58" ht="27" customHeight="1" thickBot="1">
      <c r="B51" s="40"/>
      <c r="C51" s="40"/>
      <c r="D51" s="40"/>
      <c r="E51" s="806"/>
      <c r="F51" s="807"/>
      <c r="H51" s="158"/>
      <c r="J51" s="29"/>
      <c r="K51" s="53"/>
      <c r="L51" s="49"/>
      <c r="M51" s="50"/>
      <c r="N51" s="30"/>
      <c r="O51" s="30"/>
      <c r="P51" s="30"/>
      <c r="Q51" s="147" t="s">
        <v>192</v>
      </c>
      <c r="R51" s="148"/>
      <c r="S51" s="148"/>
      <c r="T51" s="150"/>
      <c r="U51" s="30"/>
      <c r="V51" s="30"/>
      <c r="W51" s="53"/>
      <c r="X51" s="49"/>
      <c r="Y51" s="49"/>
      <c r="Z51" s="159" t="s">
        <v>154</v>
      </c>
      <c r="AA51" s="135" t="s">
        <v>155</v>
      </c>
      <c r="AB51" s="49"/>
      <c r="AC51" s="49"/>
      <c r="AD51" s="90" t="s">
        <v>165</v>
      </c>
      <c r="AE51" s="160"/>
      <c r="AF51" s="161">
        <f>AE54+AH54</f>
        <v>24.28549050575673</v>
      </c>
      <c r="AG51" s="162">
        <f>M72</f>
        <v>5556.9345039202672</v>
      </c>
      <c r="AH51" s="49"/>
      <c r="AI51" s="49"/>
      <c r="AJ51" s="49"/>
      <c r="AK51" s="49"/>
      <c r="AL51" s="49"/>
      <c r="AM51" s="41"/>
      <c r="AN51" s="163"/>
      <c r="AO51" s="50"/>
      <c r="AP51" s="30"/>
      <c r="AQ51" s="30"/>
      <c r="AR51" s="53"/>
      <c r="AS51" s="66"/>
      <c r="AT51" s="49"/>
      <c r="AU51" s="49"/>
      <c r="AV51" s="66"/>
      <c r="AW51" s="50"/>
      <c r="AX51" s="30"/>
      <c r="AY51" s="53"/>
      <c r="AZ51" s="49"/>
      <c r="BA51" s="49"/>
      <c r="BB51" s="50"/>
      <c r="BC51" s="31"/>
      <c r="BE51" s="806"/>
      <c r="BF51" s="807"/>
    </row>
    <row r="52" spans="2:58" ht="21.75" customHeight="1" thickBot="1">
      <c r="B52" s="40"/>
      <c r="C52" s="40"/>
      <c r="E52" s="806"/>
      <c r="F52" s="807"/>
      <c r="J52" s="29"/>
      <c r="K52" s="53"/>
      <c r="L52" s="49"/>
      <c r="M52" s="50"/>
      <c r="N52" s="30"/>
      <c r="O52" s="30"/>
      <c r="P52" s="30"/>
      <c r="Q52" s="164" t="s">
        <v>197</v>
      </c>
      <c r="R52" s="49"/>
      <c r="S52" s="49"/>
      <c r="T52" s="50"/>
      <c r="U52" s="30"/>
      <c r="V52" s="30"/>
      <c r="W52" s="785" t="s">
        <v>162</v>
      </c>
      <c r="X52" s="786"/>
      <c r="Y52" s="165"/>
      <c r="Z52" s="166">
        <f>Z55+Z56</f>
        <v>215.99954698334568</v>
      </c>
      <c r="AA52" s="167">
        <f>Z52/R26</f>
        <v>0.16488122785918147</v>
      </c>
      <c r="AB52" s="49"/>
      <c r="AC52" s="49"/>
      <c r="AD52" s="154"/>
      <c r="AE52" s="49"/>
      <c r="AF52" s="49"/>
      <c r="AG52" s="49"/>
      <c r="AH52" s="49"/>
      <c r="AI52" s="49"/>
      <c r="AJ52" s="49"/>
      <c r="AK52" s="49"/>
      <c r="AL52" s="49"/>
      <c r="AM52" s="49"/>
      <c r="AN52" s="168"/>
      <c r="AO52" s="50"/>
      <c r="AP52" s="30"/>
      <c r="AQ52" s="30"/>
      <c r="AR52" s="53"/>
      <c r="AS52" s="66"/>
      <c r="AT52" s="49"/>
      <c r="AU52" s="49"/>
      <c r="AV52" s="66"/>
      <c r="AW52" s="50"/>
      <c r="AX52" s="30"/>
      <c r="AY52" s="53"/>
      <c r="AZ52" s="49"/>
      <c r="BA52" s="49"/>
      <c r="BB52" s="50"/>
      <c r="BC52" s="31"/>
      <c r="BE52" s="806"/>
      <c r="BF52" s="807"/>
    </row>
    <row r="53" spans="2:58" ht="18.75" customHeight="1">
      <c r="E53" s="806"/>
      <c r="F53" s="807"/>
      <c r="J53" s="29"/>
      <c r="K53" s="53"/>
      <c r="L53" s="49"/>
      <c r="M53" s="50"/>
      <c r="N53" s="30"/>
      <c r="O53" s="30"/>
      <c r="P53" s="30"/>
      <c r="Q53" s="53"/>
      <c r="R53" s="49"/>
      <c r="S53" s="780" t="s">
        <v>157</v>
      </c>
      <c r="T53" s="50"/>
      <c r="U53" s="30"/>
      <c r="V53" s="30"/>
      <c r="W53" s="787" t="s">
        <v>181</v>
      </c>
      <c r="X53" s="788"/>
      <c r="Y53" s="169"/>
      <c r="Z53" s="170">
        <f>25050*(Z52/R26)*((1+B19)^4)/17*18</f>
        <v>6036.734958625093</v>
      </c>
      <c r="AA53" s="49"/>
      <c r="AB53" s="49"/>
      <c r="AC53" s="49"/>
      <c r="AD53" s="171" t="s">
        <v>198</v>
      </c>
      <c r="AE53" s="172">
        <f>AE54/$AF$51</f>
        <v>0.75767237943403742</v>
      </c>
      <c r="AF53" s="49"/>
      <c r="AG53" s="173" t="s">
        <v>199</v>
      </c>
      <c r="AH53" s="172">
        <f>AH54/$AF$51</f>
        <v>0.24232762056596258</v>
      </c>
      <c r="AI53" s="49"/>
      <c r="AJ53" s="174"/>
      <c r="AK53" s="175"/>
      <c r="AL53" s="49"/>
      <c r="AM53" s="174"/>
      <c r="AN53" s="176"/>
      <c r="AO53" s="50"/>
      <c r="AP53" s="30"/>
      <c r="AQ53" s="30"/>
      <c r="AR53" s="53"/>
      <c r="AS53" s="66"/>
      <c r="AT53" s="49"/>
      <c r="AU53" s="66"/>
      <c r="AV53" s="66"/>
      <c r="AW53" s="50"/>
      <c r="AX53" s="30"/>
      <c r="AY53" s="53"/>
      <c r="AZ53" s="49"/>
      <c r="BA53" s="49"/>
      <c r="BB53" s="50"/>
      <c r="BC53" s="31"/>
      <c r="BE53" s="806"/>
      <c r="BF53" s="807"/>
    </row>
    <row r="54" spans="2:58" ht="21" customHeight="1" thickBot="1">
      <c r="E54" s="806"/>
      <c r="F54" s="807"/>
      <c r="J54" s="29"/>
      <c r="K54" s="53"/>
      <c r="L54" s="49"/>
      <c r="M54" s="50"/>
      <c r="N54" s="30"/>
      <c r="O54" s="30"/>
      <c r="P54" s="30"/>
      <c r="Q54" s="53" t="s">
        <v>200</v>
      </c>
      <c r="R54" s="177" t="s">
        <v>154</v>
      </c>
      <c r="S54" s="780"/>
      <c r="T54" s="50"/>
      <c r="U54" s="30"/>
      <c r="V54" s="30"/>
      <c r="W54" s="787" t="s">
        <v>182</v>
      </c>
      <c r="X54" s="788"/>
      <c r="Y54" s="169"/>
      <c r="Z54" s="178">
        <f>Z53/Z52</f>
        <v>27.947905645795387</v>
      </c>
      <c r="AA54" s="135"/>
      <c r="AB54" s="135"/>
      <c r="AC54" s="49"/>
      <c r="AD54" s="179" t="s">
        <v>201</v>
      </c>
      <c r="AE54" s="170">
        <f>3802/C9*((1+B19)^4)/17*18</f>
        <v>18.400445377219427</v>
      </c>
      <c r="AF54" s="49"/>
      <c r="AG54" s="180" t="s">
        <v>201</v>
      </c>
      <c r="AH54" s="170">
        <f>1216/C9*((1+B19)^4)/17*18</f>
        <v>5.8850451285373033</v>
      </c>
      <c r="AI54" s="49"/>
      <c r="AJ54" s="49"/>
      <c r="AK54" s="181"/>
      <c r="AL54" s="49"/>
      <c r="AM54" s="49"/>
      <c r="AN54" s="182"/>
      <c r="AO54" s="50"/>
      <c r="AP54" s="30"/>
      <c r="AQ54" s="30"/>
      <c r="AR54" s="53"/>
      <c r="AS54" s="66"/>
      <c r="AT54" s="66"/>
      <c r="AU54" s="66"/>
      <c r="AV54" s="66"/>
      <c r="AW54" s="50"/>
      <c r="AX54" s="30"/>
      <c r="AY54" s="53"/>
      <c r="AZ54" s="49"/>
      <c r="BA54" s="49"/>
      <c r="BB54" s="50"/>
      <c r="BC54" s="31"/>
      <c r="BE54" s="806"/>
      <c r="BF54" s="807"/>
    </row>
    <row r="55" spans="2:58" ht="14.25" thickBot="1">
      <c r="E55" s="806"/>
      <c r="F55" s="807"/>
      <c r="J55" s="29"/>
      <c r="K55" s="53"/>
      <c r="L55" s="49"/>
      <c r="M55" s="50"/>
      <c r="N55" s="30"/>
      <c r="O55" s="30"/>
      <c r="P55" s="30"/>
      <c r="Q55" s="183" t="s">
        <v>202</v>
      </c>
      <c r="R55" s="184">
        <f>37536/C9/17*18</f>
        <v>131.60264900662253</v>
      </c>
      <c r="S55" s="89">
        <f>R55/L27</f>
        <v>9.1287154718302677E-2</v>
      </c>
      <c r="T55" s="50"/>
      <c r="U55" s="30"/>
      <c r="V55" s="30"/>
      <c r="W55" s="185" t="s">
        <v>203</v>
      </c>
      <c r="X55" s="186"/>
      <c r="Y55" s="115"/>
      <c r="Z55" s="100">
        <f>1749/C9*((1+B19)^4)/17*18</f>
        <v>8.4645920475425527</v>
      </c>
      <c r="AA55" s="187">
        <f>Z55/$Z$52</f>
        <v>3.9188008335013784E-2</v>
      </c>
      <c r="AB55" s="779" t="s">
        <v>204</v>
      </c>
      <c r="AC55" s="49"/>
      <c r="AD55" s="188" t="s">
        <v>181</v>
      </c>
      <c r="AE55" s="170">
        <f>25050*(AE54/R26)*((1+B19)^4)/17*18</f>
        <v>514.25391124314046</v>
      </c>
      <c r="AF55" s="49"/>
      <c r="AG55" s="189" t="s">
        <v>181</v>
      </c>
      <c r="AH55" s="170">
        <f>25050*(AH54/R26)*((1+B19)^4)/17*18</f>
        <v>164.4746859736083</v>
      </c>
      <c r="AI55" s="49"/>
      <c r="AJ55" s="190"/>
      <c r="AK55" s="181"/>
      <c r="AL55" s="49"/>
      <c r="AM55" s="190"/>
      <c r="AN55" s="182"/>
      <c r="AO55" s="50"/>
      <c r="AP55" s="30"/>
      <c r="AQ55" s="30"/>
      <c r="AR55" s="53"/>
      <c r="AS55" s="66"/>
      <c r="AT55" s="66"/>
      <c r="AU55" s="66"/>
      <c r="AV55" s="66"/>
      <c r="AW55" s="50"/>
      <c r="AX55" s="30"/>
      <c r="AY55" s="53"/>
      <c r="AZ55" s="49"/>
      <c r="BA55" s="49"/>
      <c r="BB55" s="50"/>
      <c r="BC55" s="31"/>
      <c r="BE55" s="806"/>
      <c r="BF55" s="807"/>
    </row>
    <row r="56" spans="2:58" ht="14.25" thickBot="1">
      <c r="E56" s="806"/>
      <c r="F56" s="807"/>
      <c r="J56" s="29"/>
      <c r="K56" s="53"/>
      <c r="L56" s="49"/>
      <c r="M56" s="50"/>
      <c r="N56" s="30"/>
      <c r="O56" s="30"/>
      <c r="P56" s="30"/>
      <c r="Q56" s="53"/>
      <c r="R56" s="49"/>
      <c r="S56" s="49"/>
      <c r="T56" s="50"/>
      <c r="U56" s="30"/>
      <c r="V56" s="30"/>
      <c r="W56" s="191" t="s">
        <v>205</v>
      </c>
      <c r="X56" s="169"/>
      <c r="Y56" s="115"/>
      <c r="Z56" s="100">
        <f>42882/C9*((1+B19)^4)/17*18</f>
        <v>207.53495493580314</v>
      </c>
      <c r="AA56" s="187">
        <f>Z56/$Z$52</f>
        <v>0.96081199166498632</v>
      </c>
      <c r="AB56" s="779"/>
      <c r="AC56" s="49"/>
      <c r="AD56" s="192" t="s">
        <v>182</v>
      </c>
      <c r="AE56" s="178">
        <f>AE55/AE54</f>
        <v>27.947905645795387</v>
      </c>
      <c r="AF56" s="49"/>
      <c r="AG56" s="193" t="s">
        <v>182</v>
      </c>
      <c r="AH56" s="178">
        <f>AH55/AH54</f>
        <v>27.94790564579538</v>
      </c>
      <c r="AI56" s="49"/>
      <c r="AJ56" s="190"/>
      <c r="AK56" s="194"/>
      <c r="AL56" s="49"/>
      <c r="AM56" s="190"/>
      <c r="AN56" s="195"/>
      <c r="AO56" s="50"/>
      <c r="AP56" s="30"/>
      <c r="AQ56" s="30"/>
      <c r="AR56" s="53"/>
      <c r="AS56" s="66"/>
      <c r="AT56" s="66"/>
      <c r="AU56" s="66"/>
      <c r="AV56" s="66"/>
      <c r="AW56" s="50"/>
      <c r="AX56" s="30"/>
      <c r="AY56" s="53"/>
      <c r="AZ56" s="49"/>
      <c r="BA56" s="49"/>
      <c r="BB56" s="50"/>
      <c r="BC56" s="31"/>
      <c r="BE56" s="806"/>
      <c r="BF56" s="807"/>
    </row>
    <row r="57" spans="2:58" ht="13.9" thickBot="1">
      <c r="E57" s="806"/>
      <c r="F57" s="807"/>
      <c r="J57" s="29"/>
      <c r="K57" s="139"/>
      <c r="L57" s="140"/>
      <c r="M57" s="141"/>
      <c r="N57" s="30"/>
      <c r="O57" s="30"/>
      <c r="P57" s="30"/>
      <c r="Q57" s="53"/>
      <c r="R57" s="49"/>
      <c r="S57" s="780"/>
      <c r="T57" s="50"/>
      <c r="U57" s="30"/>
      <c r="V57" s="30"/>
      <c r="W57" s="139"/>
      <c r="X57" s="140"/>
      <c r="Y57" s="140"/>
      <c r="Z57" s="140"/>
      <c r="AA57" s="140"/>
      <c r="AB57" s="140"/>
      <c r="AC57" s="140"/>
      <c r="AD57" s="196"/>
      <c r="AE57" s="140"/>
      <c r="AF57" s="140"/>
      <c r="AG57" s="140"/>
      <c r="AH57" s="140"/>
      <c r="AI57" s="140"/>
      <c r="AJ57" s="140"/>
      <c r="AK57" s="140"/>
      <c r="AL57" s="140"/>
      <c r="AM57" s="140"/>
      <c r="AN57" s="197"/>
      <c r="AO57" s="141"/>
      <c r="AP57" s="30"/>
      <c r="AQ57" s="30"/>
      <c r="AR57" s="139"/>
      <c r="AS57" s="145"/>
      <c r="AT57" s="145"/>
      <c r="AU57" s="145"/>
      <c r="AV57" s="145"/>
      <c r="AW57" s="141"/>
      <c r="AX57" s="30"/>
      <c r="AY57" s="53"/>
      <c r="AZ57" s="49"/>
      <c r="BA57" s="49"/>
      <c r="BB57" s="50"/>
      <c r="BC57" s="31"/>
      <c r="BE57" s="806"/>
      <c r="BF57" s="807"/>
    </row>
    <row r="58" spans="2:58" ht="14.55" customHeight="1">
      <c r="E58" s="806"/>
      <c r="F58" s="807"/>
      <c r="J58" s="29"/>
      <c r="K58" s="30"/>
      <c r="L58" s="30"/>
      <c r="M58" s="30"/>
      <c r="N58" s="30"/>
      <c r="O58" s="30"/>
      <c r="P58" s="30"/>
      <c r="Q58" s="53"/>
      <c r="R58" s="177"/>
      <c r="S58" s="780"/>
      <c r="T58" s="5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53"/>
      <c r="AZ58" s="49"/>
      <c r="BA58" s="49"/>
      <c r="BB58" s="50"/>
      <c r="BC58" s="31"/>
      <c r="BE58" s="806"/>
      <c r="BF58" s="807"/>
    </row>
    <row r="59" spans="2:58" ht="14.55" customHeight="1">
      <c r="E59" s="806"/>
      <c r="F59" s="807"/>
      <c r="J59" s="29"/>
      <c r="K59" s="30"/>
      <c r="L59" s="30"/>
      <c r="M59" s="30"/>
      <c r="N59" s="30"/>
      <c r="O59" s="30"/>
      <c r="P59" s="30"/>
      <c r="Q59" s="198"/>
      <c r="R59" s="199"/>
      <c r="S59" s="200"/>
      <c r="T59" s="5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53"/>
      <c r="AZ59" s="49"/>
      <c r="BA59" s="49"/>
      <c r="BB59" s="50"/>
      <c r="BC59" s="31"/>
      <c r="BE59" s="806"/>
      <c r="BF59" s="807"/>
    </row>
    <row r="60" spans="2:58" ht="15" customHeight="1">
      <c r="E60" s="806"/>
      <c r="F60" s="807"/>
      <c r="J60" s="29"/>
      <c r="K60" s="30"/>
      <c r="L60" s="30"/>
      <c r="M60" s="30"/>
      <c r="N60" s="30"/>
      <c r="O60" s="30"/>
      <c r="P60" s="30"/>
      <c r="Q60" s="53"/>
      <c r="R60" s="49"/>
      <c r="S60" s="49"/>
      <c r="T60" s="5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53"/>
      <c r="AZ60" s="49"/>
      <c r="BA60" s="49"/>
      <c r="BB60" s="50"/>
      <c r="BC60" s="31"/>
      <c r="BE60" s="806"/>
      <c r="BF60" s="807"/>
    </row>
    <row r="61" spans="2:58" ht="22.9" thickBot="1">
      <c r="E61" s="806"/>
      <c r="F61" s="807"/>
      <c r="J61" s="29"/>
      <c r="K61" s="201" t="s">
        <v>206</v>
      </c>
      <c r="L61" s="202"/>
      <c r="M61" s="202"/>
      <c r="N61" s="30"/>
      <c r="O61" s="30"/>
      <c r="P61" s="30"/>
      <c r="Q61" s="139"/>
      <c r="R61" s="140"/>
      <c r="S61" s="140"/>
      <c r="T61" s="141"/>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53"/>
      <c r="AZ61" s="49"/>
      <c r="BA61" s="49"/>
      <c r="BB61" s="50"/>
      <c r="BC61" s="31"/>
      <c r="BE61" s="806"/>
      <c r="BF61" s="807"/>
    </row>
    <row r="62" spans="2:58" ht="13.9">
      <c r="E62" s="806"/>
      <c r="F62" s="807"/>
      <c r="J62" s="29"/>
      <c r="K62" s="202"/>
      <c r="L62" s="203" t="s">
        <v>154</v>
      </c>
      <c r="M62" s="202" t="s">
        <v>161</v>
      </c>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204" t="s">
        <v>207</v>
      </c>
      <c r="AS62" s="205"/>
      <c r="AT62" s="205"/>
      <c r="AU62" s="205"/>
      <c r="AV62" s="205"/>
      <c r="AW62" s="206"/>
      <c r="AX62" s="30"/>
      <c r="AY62" s="53"/>
      <c r="AZ62" s="49"/>
      <c r="BA62" s="49"/>
      <c r="BB62" s="50"/>
      <c r="BC62" s="31"/>
      <c r="BE62" s="806"/>
      <c r="BF62" s="807"/>
    </row>
    <row r="63" spans="2:58" ht="13.9">
      <c r="E63" s="806"/>
      <c r="F63" s="807"/>
      <c r="J63" s="29"/>
      <c r="K63" s="207" t="s">
        <v>208</v>
      </c>
      <c r="L63" s="208">
        <v>100</v>
      </c>
      <c r="M63" s="209">
        <f>L63*$C$9</f>
        <v>30200</v>
      </c>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210"/>
      <c r="AS63" s="49"/>
      <c r="AT63" s="49"/>
      <c r="AU63" s="49"/>
      <c r="AV63" s="49"/>
      <c r="AW63" s="211"/>
      <c r="AX63" s="30"/>
      <c r="AY63" s="53"/>
      <c r="AZ63" s="49"/>
      <c r="BA63" s="49"/>
      <c r="BB63" s="50"/>
      <c r="BC63" s="31"/>
      <c r="BE63" s="806"/>
      <c r="BF63" s="807"/>
    </row>
    <row r="64" spans="2:58" ht="14.25" customHeight="1">
      <c r="E64" s="806"/>
      <c r="F64" s="807"/>
      <c r="J64" s="29"/>
      <c r="K64" s="212" t="s">
        <v>209</v>
      </c>
      <c r="L64" s="213"/>
      <c r="M64" s="202"/>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210"/>
      <c r="AS64" s="49"/>
      <c r="AT64" s="49"/>
      <c r="AU64" s="780" t="s">
        <v>157</v>
      </c>
      <c r="AV64" s="49"/>
      <c r="AW64" s="211"/>
      <c r="AX64" s="30"/>
      <c r="AY64" s="53"/>
      <c r="AZ64" s="49"/>
      <c r="BA64" s="49"/>
      <c r="BB64" s="50"/>
      <c r="BC64" s="31"/>
      <c r="BE64" s="806"/>
      <c r="BF64" s="807"/>
    </row>
    <row r="65" spans="5:58">
      <c r="E65" s="806"/>
      <c r="F65" s="807"/>
      <c r="J65" s="29"/>
      <c r="K65" s="203"/>
      <c r="L65" s="203"/>
      <c r="M65" s="202"/>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210"/>
      <c r="AS65" s="49" t="s">
        <v>200</v>
      </c>
      <c r="AT65" s="177" t="s">
        <v>154</v>
      </c>
      <c r="AU65" s="780"/>
      <c r="AV65" s="49"/>
      <c r="AW65" s="211"/>
      <c r="AX65" s="30"/>
      <c r="AY65" s="53"/>
      <c r="AZ65" s="49"/>
      <c r="BA65" s="49"/>
      <c r="BB65" s="50"/>
      <c r="BC65" s="31"/>
      <c r="BE65" s="806"/>
      <c r="BF65" s="807"/>
    </row>
    <row r="66" spans="5:58" ht="13.9">
      <c r="E66" s="806"/>
      <c r="F66" s="807"/>
      <c r="J66" s="29"/>
      <c r="K66" s="214" t="s">
        <v>210</v>
      </c>
      <c r="L66" s="208"/>
      <c r="M66" s="202"/>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126"/>
      <c r="AS66" s="183" t="s">
        <v>202</v>
      </c>
      <c r="AT66" s="215">
        <f>$R$55</f>
        <v>131.60264900662253</v>
      </c>
      <c r="AU66" s="89">
        <f>$S$55</f>
        <v>9.1287154718302677E-2</v>
      </c>
      <c r="AV66" s="216"/>
      <c r="AW66" s="217"/>
      <c r="AX66" s="30"/>
      <c r="AY66" s="53"/>
      <c r="AZ66" s="49"/>
      <c r="BA66" s="49"/>
      <c r="BB66" s="50"/>
      <c r="BC66" s="31"/>
      <c r="BE66" s="806"/>
      <c r="BF66" s="807"/>
    </row>
    <row r="67" spans="5:58" ht="13.9" thickBot="1">
      <c r="E67" s="808"/>
      <c r="F67" s="809"/>
      <c r="J67" s="29"/>
      <c r="K67" s="218" t="s">
        <v>211</v>
      </c>
      <c r="L67" s="213"/>
      <c r="M67" s="202"/>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139"/>
      <c r="AZ67" s="140"/>
      <c r="BA67" s="140"/>
      <c r="BB67" s="141"/>
      <c r="BC67" s="31"/>
      <c r="BE67" s="808"/>
      <c r="BF67" s="809"/>
    </row>
    <row r="68" spans="5:58">
      <c r="J68" s="29"/>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1"/>
    </row>
    <row r="69" spans="5:58" ht="13.9" thickBot="1">
      <c r="J69" s="29"/>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1"/>
    </row>
    <row r="70" spans="5:58" ht="22.5">
      <c r="J70" s="29"/>
      <c r="K70" s="147" t="s">
        <v>212</v>
      </c>
      <c r="L70" s="148"/>
      <c r="M70" s="148"/>
      <c r="N70" s="148"/>
      <c r="O70" s="148"/>
      <c r="P70" s="15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1"/>
    </row>
    <row r="71" spans="5:58">
      <c r="J71" s="29"/>
      <c r="K71" s="53"/>
      <c r="L71" s="49"/>
      <c r="M71" s="49" t="s">
        <v>161</v>
      </c>
      <c r="N71" s="49"/>
      <c r="O71" s="49"/>
      <c r="P71" s="5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1"/>
    </row>
    <row r="72" spans="5:58" ht="13.9">
      <c r="J72" s="29"/>
      <c r="K72" s="219" t="s">
        <v>165</v>
      </c>
      <c r="L72" s="220">
        <f>AE54+AH54</f>
        <v>24.28549050575673</v>
      </c>
      <c r="M72" s="221">
        <f>AE54*$C$9</f>
        <v>5556.9345039202672</v>
      </c>
      <c r="N72" s="49" t="s">
        <v>213</v>
      </c>
      <c r="O72" s="49"/>
      <c r="P72" s="5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1"/>
    </row>
    <row r="73" spans="5:58">
      <c r="J73" s="29"/>
      <c r="K73" s="222" t="s">
        <v>181</v>
      </c>
      <c r="L73" s="223">
        <f>AE55+AH55</f>
        <v>678.72859721674877</v>
      </c>
      <c r="M73" s="49"/>
      <c r="N73" s="49"/>
      <c r="O73" s="49"/>
      <c r="P73" s="5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1"/>
    </row>
    <row r="74" spans="5:58" ht="13.9" thickBot="1">
      <c r="J74" s="29"/>
      <c r="K74" s="139"/>
      <c r="L74" s="140"/>
      <c r="M74" s="140"/>
      <c r="N74" s="140"/>
      <c r="O74" s="140"/>
      <c r="P74" s="141"/>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1"/>
    </row>
    <row r="75" spans="5:58">
      <c r="J75" s="224"/>
      <c r="K75" s="225"/>
      <c r="L75" s="225"/>
      <c r="M75" s="225"/>
      <c r="N75" s="225"/>
      <c r="O75" s="225"/>
      <c r="P75" s="225"/>
      <c r="Q75" s="225"/>
      <c r="R75" s="225"/>
      <c r="S75" s="225"/>
      <c r="T75" s="225"/>
      <c r="U75" s="225"/>
      <c r="V75" s="225"/>
      <c r="W75" s="225"/>
      <c r="X75" s="225"/>
      <c r="Y75" s="225"/>
      <c r="Z75" s="225"/>
      <c r="AA75" s="225"/>
      <c r="AB75" s="225"/>
      <c r="AC75" s="225"/>
      <c r="AD75" s="225"/>
      <c r="AE75" s="225"/>
      <c r="AF75" s="225"/>
      <c r="AG75" s="225"/>
      <c r="AH75" s="225"/>
      <c r="AI75" s="225"/>
      <c r="AJ75" s="225"/>
      <c r="AK75" s="225"/>
      <c r="AL75" s="225"/>
      <c r="AM75" s="225"/>
      <c r="AN75" s="225"/>
      <c r="AO75" s="225"/>
      <c r="AP75" s="225"/>
      <c r="AQ75" s="225"/>
      <c r="AR75" s="225"/>
      <c r="AS75" s="225"/>
      <c r="AT75" s="225"/>
      <c r="AU75" s="225"/>
      <c r="AV75" s="225"/>
      <c r="AW75" s="225"/>
      <c r="AX75" s="225"/>
      <c r="AY75" s="225"/>
      <c r="AZ75" s="225"/>
      <c r="BA75" s="225"/>
      <c r="BB75" s="225"/>
      <c r="BC75" s="226"/>
    </row>
    <row r="86" spans="11:13" ht="22.5">
      <c r="K86" s="227"/>
    </row>
    <row r="87" spans="11:13">
      <c r="L87" s="228"/>
    </row>
    <row r="88" spans="11:13" ht="13.9">
      <c r="K88" s="229"/>
      <c r="L88" s="230"/>
      <c r="M88" s="231"/>
    </row>
    <row r="89" spans="11:13">
      <c r="K89" s="232"/>
      <c r="L89" s="233"/>
    </row>
    <row r="90" spans="11:13">
      <c r="K90" s="228"/>
      <c r="L90" s="228"/>
    </row>
    <row r="91" spans="11:13" ht="13.9">
      <c r="K91" s="234"/>
      <c r="L91" s="230"/>
    </row>
    <row r="92" spans="11:13">
      <c r="K92" s="235"/>
      <c r="L92" s="233"/>
    </row>
  </sheetData>
  <sheetProtection selectLockedCells="1"/>
  <mergeCells count="50">
    <mergeCell ref="A1:K3"/>
    <mergeCell ref="N1:O2"/>
    <mergeCell ref="B8:B10"/>
    <mergeCell ref="C9:C10"/>
    <mergeCell ref="K11:K14"/>
    <mergeCell ref="L11:M11"/>
    <mergeCell ref="E14:F67"/>
    <mergeCell ref="BE14:BF67"/>
    <mergeCell ref="B16:C17"/>
    <mergeCell ref="Q21:R21"/>
    <mergeCell ref="W21:Y22"/>
    <mergeCell ref="AR21:AT22"/>
    <mergeCell ref="AY21:BB24"/>
    <mergeCell ref="X23:Y23"/>
    <mergeCell ref="Z23:AA23"/>
    <mergeCell ref="S24:S25"/>
    <mergeCell ref="X24:Y24"/>
    <mergeCell ref="X25:Y25"/>
    <mergeCell ref="X26:Y26"/>
    <mergeCell ref="Z26:AA26"/>
    <mergeCell ref="W28:X28"/>
    <mergeCell ref="Z28:AA28"/>
    <mergeCell ref="AS30:AS31"/>
    <mergeCell ref="AT30:AT31"/>
    <mergeCell ref="AU30:AU31"/>
    <mergeCell ref="AV30:AV31"/>
    <mergeCell ref="Z24:AA24"/>
    <mergeCell ref="AC28:AD28"/>
    <mergeCell ref="AF28:AG28"/>
    <mergeCell ref="AI28:AJ28"/>
    <mergeCell ref="AL28:AM28"/>
    <mergeCell ref="AS28:AV29"/>
    <mergeCell ref="S33:T33"/>
    <mergeCell ref="S34:T34"/>
    <mergeCell ref="S35:T35"/>
    <mergeCell ref="X36:Y36"/>
    <mergeCell ref="Z36:AA36"/>
    <mergeCell ref="AB55:AB56"/>
    <mergeCell ref="S57:S58"/>
    <mergeCell ref="AU64:AU65"/>
    <mergeCell ref="AC39:AD39"/>
    <mergeCell ref="AF39:AG39"/>
    <mergeCell ref="AI39:AJ39"/>
    <mergeCell ref="AL39:AM39"/>
    <mergeCell ref="W52:X52"/>
    <mergeCell ref="S53:S54"/>
    <mergeCell ref="W53:X53"/>
    <mergeCell ref="W54:X54"/>
    <mergeCell ref="W39:X39"/>
    <mergeCell ref="Z39:AA39"/>
  </mergeCells>
  <phoneticPr fontId="26" type="noConversion"/>
  <conditionalFormatting sqref="I22">
    <cfRule type="iconSet" priority="2">
      <iconSet iconSet="3Arrows">
        <cfvo type="percent" val="0"/>
        <cfvo type="percent" val="33"/>
        <cfvo type="percent" val="67"/>
      </iconSet>
    </cfRule>
  </conditionalFormatting>
  <conditionalFormatting sqref="I34">
    <cfRule type="iconSet" priority="1">
      <iconSet iconSet="3Arrows">
        <cfvo type="percent" val="0"/>
        <cfvo type="percent" val="33"/>
        <cfvo type="percent" val="67"/>
      </iconSet>
    </cfRule>
  </conditionalFormatting>
  <pageMargins left="0.7" right="0.7" top="0.78740157499999996" bottom="0.78740157499999996"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Sheet</vt:lpstr>
      <vt:lpstr>问题清单</vt:lpstr>
      <vt:lpstr>Prod check</vt:lpstr>
      <vt:lpstr>Rate sheet</vt:lpstr>
      <vt:lpstr>P&amp;L Sheet</vt:lpstr>
      <vt:lpstr>Cost Allocation</vt:lpstr>
      <vt:lpstr>Volume</vt:lpstr>
      <vt:lpstr>第二轮数据</vt:lpstr>
      <vt:lpstr>Layout </vt:lpstr>
      <vt:lpstr>Parameter</vt:lpstr>
      <vt:lpstr>Process</vt:lpstr>
      <vt:lpstr>MHE&amp;INV list</vt:lpstr>
      <vt:lpstr>Startup</vt:lpstr>
      <vt:lpstr>Sankey Flowchart</vt:lpstr>
    </vt:vector>
  </TitlesOfParts>
  <Company>BMW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q145214</dc:creator>
  <cp:lastModifiedBy>Kishi Lu</cp:lastModifiedBy>
  <cp:lastPrinted>2014-03-26T08:40:28Z</cp:lastPrinted>
  <dcterms:created xsi:type="dcterms:W3CDTF">2003-09-24T17:01:19Z</dcterms:created>
  <dcterms:modified xsi:type="dcterms:W3CDTF">2026-02-20T10:45:52Z</dcterms:modified>
</cp:coreProperties>
</file>