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7"/>
  </bookViews>
  <sheets>
    <sheet name="资产负债表-低价股F" sheetId="14" r:id="rId1"/>
    <sheet name="估值方法" sheetId="23" r:id="rId2"/>
    <sheet name="损益表分析-收益股G" sheetId="15" r:id="rId3"/>
    <sheet name="成长股十五原则" sheetId="17" r:id="rId4"/>
    <sheet name="公司分析" sheetId="22" r:id="rId5"/>
    <sheet name="债券" sheetId="16" r:id="rId6"/>
    <sheet name="保守型投资要素" sheetId="21" r:id="rId7"/>
    <sheet name="报表调整" sheetId="28" r:id="rId8"/>
    <sheet name="公司比较" sheetId="24" r:id="rId9"/>
    <sheet name="市场现状观察" sheetId="25" r:id="rId10"/>
  </sheets>
  <externalReferences>
    <externalReference r:id="rId11"/>
    <externalReference r:id="rId12"/>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3" i="28" l="1"/>
  <c r="E55" i="28"/>
  <c r="E48" i="28"/>
  <c r="E52" i="28"/>
  <c r="E51" i="28"/>
  <c r="E47" i="28"/>
  <c r="E45" i="28"/>
  <c r="E46" i="28"/>
  <c r="E36" i="28"/>
  <c r="E43" i="28"/>
  <c r="E39" i="28"/>
  <c r="E37" i="28"/>
  <c r="E41" i="28"/>
  <c r="G11" i="28"/>
  <c r="D31" i="28"/>
  <c r="G26" i="28"/>
  <c r="D13" i="28"/>
  <c r="D30" i="28"/>
  <c r="D14" i="28" l="1"/>
  <c r="F34" i="28" s="1"/>
  <c r="D76" i="16"/>
  <c r="B57" i="24" l="1"/>
  <c r="B56" i="24"/>
  <c r="B44" i="24"/>
  <c r="B43" i="24"/>
  <c r="C59" i="24"/>
  <c r="C57" i="24"/>
  <c r="C56" i="24"/>
  <c r="C54" i="24"/>
  <c r="C52" i="24"/>
  <c r="C51" i="24"/>
  <c r="C49" i="24"/>
  <c r="C44" i="24"/>
  <c r="C43" i="24"/>
  <c r="C38" i="24"/>
  <c r="B60" i="24"/>
  <c r="B59" i="24"/>
  <c r="B54" i="24"/>
  <c r="B52" i="24"/>
  <c r="B51" i="24"/>
  <c r="B49" i="24"/>
  <c r="B39" i="24"/>
  <c r="B38" i="24"/>
  <c r="I28" i="24" l="1"/>
  <c r="I27" i="24"/>
  <c r="K24" i="24" l="1"/>
  <c r="K20" i="24"/>
  <c r="K19" i="24"/>
  <c r="K18" i="24"/>
  <c r="K17" i="24"/>
  <c r="K6" i="24"/>
  <c r="J6" i="24"/>
  <c r="J25" i="24"/>
  <c r="J24" i="24"/>
  <c r="J20" i="24"/>
  <c r="J19" i="24"/>
  <c r="J18" i="24"/>
  <c r="J17" i="24"/>
  <c r="G25" i="24"/>
  <c r="I25" i="24"/>
  <c r="I24" i="24"/>
  <c r="I20" i="24"/>
  <c r="I19" i="24"/>
  <c r="I18" i="24"/>
  <c r="I17" i="24"/>
  <c r="I6" i="24"/>
  <c r="G24" i="24" l="1"/>
  <c r="G20" i="24"/>
  <c r="G19" i="24"/>
  <c r="G18" i="24"/>
  <c r="G17" i="24"/>
  <c r="G6" i="24"/>
  <c r="F24" i="24"/>
  <c r="F20" i="24"/>
  <c r="F19" i="24"/>
  <c r="F18" i="24"/>
  <c r="F17" i="24"/>
  <c r="F6" i="24"/>
  <c r="C6" i="24"/>
  <c r="B6" i="24"/>
  <c r="C25" i="24" l="1"/>
  <c r="C24" i="24"/>
  <c r="C20" i="24"/>
  <c r="C19" i="24"/>
  <c r="C18" i="24"/>
  <c r="C17" i="24"/>
  <c r="B25" i="24"/>
  <c r="B24" i="24"/>
  <c r="B20" i="24"/>
  <c r="B19" i="24"/>
  <c r="B18" i="24"/>
  <c r="B17" i="24"/>
  <c r="T16" i="14" l="1"/>
  <c r="S16" i="14"/>
  <c r="O16" i="14"/>
  <c r="H16" i="14"/>
  <c r="G16" i="14"/>
  <c r="B16" i="14"/>
  <c r="P6" i="23" l="1"/>
  <c r="W6" i="23" l="1"/>
  <c r="S6" i="23"/>
  <c r="R6" i="23"/>
  <c r="R5" i="23" l="1"/>
  <c r="S5" i="23" l="1"/>
  <c r="W5" i="23" s="1"/>
  <c r="G9" i="14" l="1"/>
  <c r="G13" i="14" l="1"/>
  <c r="F9" i="14"/>
  <c r="F13" i="14"/>
  <c r="B15" i="14" l="1"/>
  <c r="T15" i="14" l="1"/>
  <c r="S15" i="14"/>
  <c r="O15" i="14"/>
  <c r="P5" i="21" l="1"/>
  <c r="J6" i="15" l="1"/>
  <c r="B5" i="15" l="1"/>
  <c r="T14" i="14"/>
  <c r="S14" i="14"/>
  <c r="O14" i="14"/>
  <c r="B14" i="14"/>
  <c r="T13" i="14" l="1"/>
  <c r="S13" i="14"/>
  <c r="O13" i="14"/>
  <c r="B13" i="14"/>
  <c r="M4" i="17" l="1"/>
  <c r="L4" i="17"/>
  <c r="K4" i="17"/>
  <c r="T12" i="14" l="1"/>
  <c r="S12" i="14"/>
  <c r="O12" i="14"/>
  <c r="B12" i="14"/>
  <c r="T11" i="14" l="1"/>
  <c r="S11" i="14"/>
  <c r="O11" i="14"/>
  <c r="B11" i="14"/>
  <c r="L6" i="17" l="1"/>
  <c r="L5" i="17"/>
  <c r="K6" i="17" l="1"/>
  <c r="K5" i="17"/>
  <c r="M6" i="17" l="1"/>
  <c r="M5" i="17" l="1"/>
  <c r="H5" i="17"/>
  <c r="G5" i="17"/>
  <c r="E5" i="17"/>
  <c r="T10" i="14" l="1"/>
  <c r="S10" i="14"/>
  <c r="B10" i="14" l="1"/>
  <c r="T9" i="14" l="1"/>
  <c r="S9" i="14"/>
  <c r="O9" i="14"/>
  <c r="B9" i="14" l="1"/>
  <c r="T7" i="14" l="1"/>
  <c r="S7" i="14"/>
  <c r="T5" i="14" l="1"/>
  <c r="S5" i="14"/>
  <c r="C8" i="14" l="1"/>
  <c r="B8" i="14"/>
  <c r="O7" i="14" l="1"/>
  <c r="C7" i="14"/>
  <c r="B7" i="14"/>
  <c r="O6" i="14"/>
  <c r="C6" i="14"/>
  <c r="B6" i="14"/>
  <c r="O5" i="14"/>
  <c r="C5" i="14"/>
  <c r="B5" i="14"/>
  <c r="C4" i="14" l="1"/>
</calcChain>
</file>

<file path=xl/sharedStrings.xml><?xml version="1.0" encoding="utf-8"?>
<sst xmlns="http://schemas.openxmlformats.org/spreadsheetml/2006/main" count="609" uniqueCount="561">
  <si>
    <t>股价</t>
    <phoneticPr fontId="2" type="noConversion"/>
  </si>
  <si>
    <t>华懋科技</t>
  </si>
  <si>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</si>
  <si>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</si>
  <si>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</si>
  <si>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</si>
  <si>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</si>
  <si>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</si>
  <si>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</si>
  <si>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</si>
  <si>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</si>
  <si>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</si>
  <si>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</si>
  <si>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</si>
  <si>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</si>
  <si>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</si>
  <si>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</si>
  <si>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</si>
  <si>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</si>
  <si>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</si>
  <si>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</si>
  <si>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</si>
  <si>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</si>
  <si>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</si>
  <si>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</si>
  <si>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</si>
  <si>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</si>
  <si>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</si>
  <si>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</si>
  <si>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</si>
  <si>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</si>
  <si>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</si>
  <si>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</si>
  <si>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</si>
  <si>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</si>
  <si>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</si>
  <si>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</si>
  <si>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</si>
  <si>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</si>
  <si>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</si>
  <si>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</si>
  <si>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</si>
  <si>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</si>
  <si>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</si>
  <si>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</si>
  <si>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</si>
  <si>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</si>
  <si>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</si>
  <si>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</si>
  <si>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</si>
  <si>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</si>
  <si>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</si>
  <si>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</si>
  <si>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</si>
  <si>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</si>
  <si>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</si>
  <si>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</si>
  <si>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</si>
  <si>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</si>
  <si>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</si>
  <si>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</si>
  <si>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</si>
  <si>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</si>
  <si>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</si>
  <si>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</si>
  <si>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</si>
  <si>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</si>
  <si>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</si>
  <si>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</si>
  <si>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</si>
  <si>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</si>
  <si>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</si>
  <si>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</si>
  <si>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</si>
  <si>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</si>
  <si>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</si>
  <si>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</si>
  <si>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</si>
  <si>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</si>
  <si>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</si>
  <si>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</si>
  <si>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</si>
  <si>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</si>
  <si>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</si>
  <si>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</si>
  <si>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</si>
  <si>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</si>
  <si>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</si>
  <si>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</si>
  <si>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</si>
  <si>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</si>
  <si>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</si>
  <si>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</si>
  <si>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</si>
  <si>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</si>
  <si>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</si>
  <si>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</si>
  <si>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</si>
  <si>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</si>
  <si>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</si>
  <si>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</si>
  <si>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</si>
  <si>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</si>
  <si>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</si>
  <si>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</si>
  <si>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</si>
  <si>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</si>
  <si>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</si>
  <si>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</si>
  <si>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</si>
  <si>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</si>
  <si>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</si>
  <si>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</si>
  <si>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</si>
  <si>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</si>
  <si>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</si>
  <si>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</si>
  <si>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</si>
  <si>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1资本投入</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</si>
  <si>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</si>
  <si>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</si>
  <si>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</si>
  <si>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</si>
  <si>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</si>
  <si>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</si>
  <si>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</si>
  <si>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</si>
  <si>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</si>
  <si>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</si>
  <si>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</si>
  <si>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</si>
  <si>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</si>
  <si>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</si>
  <si>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</si>
  <si>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</si>
  <si>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</si>
  <si>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</si>
  <si>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</si>
  <si>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</si>
  <si>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</si>
  <si>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</si>
  <si>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</si>
  <si>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</si>
  <si>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</si>
  <si>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</si>
  <si>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</si>
  <si>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</si>
  <si>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</si>
  <si>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</si>
  <si>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</si>
  <si>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</si>
  <si>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</si>
  <si>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</si>
  <si>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</si>
  <si>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</si>
  <si>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</si>
  <si>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</si>
  <si>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</si>
  <si>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</si>
  <si>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</si>
  <si>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</si>
  <si>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</si>
  <si>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</si>
  <si>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</si>
  <si>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</si>
  <si>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</si>
  <si>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</si>
  <si>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</si>
  <si>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</si>
  <si>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</si>
  <si>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</si>
  <si>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</si>
  <si>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</si>
  <si>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</si>
  <si>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</si>
  <si>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</si>
  <si>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</si>
  <si>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</si>
  <si>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</si>
  <si>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</si>
  <si>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</si>
  <si>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</si>
  <si>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</si>
  <si>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</si>
  <si>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</si>
  <si>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</si>
  <si>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</si>
  <si>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</si>
  <si>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</si>
  <si>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</si>
  <si>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</si>
  <si>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</si>
  <si>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</si>
  <si>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</si>
  <si>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</si>
  <si>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</si>
  <si>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</si>
  <si>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</si>
  <si>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</si>
  <si>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</si>
  <si>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</si>
  <si>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</si>
  <si>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</si>
  <si>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</si>
  <si>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</si>
  <si>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</si>
  <si>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</si>
  <si>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</si>
  <si>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</si>
  <si>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</si>
  <si>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</si>
  <si>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</si>
  <si>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</si>
  <si>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</si>
  <si>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</si>
  <si>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</si>
  <si>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</si>
  <si>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</si>
  <si>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</si>
  <si>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</si>
  <si>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</si>
  <si>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</si>
  <si>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</si>
  <si>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</si>
  <si>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</si>
  <si>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</si>
  <si>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</si>
  <si>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</si>
  <si>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</si>
  <si>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</si>
  <si>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</si>
  <si>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</si>
  <si>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</si>
  <si>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</si>
  <si>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</si>
  <si>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</si>
  <si>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</si>
  <si>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</si>
  <si>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</si>
  <si>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</si>
  <si>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</si>
  <si>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</si>
  <si>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</si>
  <si>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</si>
  <si>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</si>
  <si>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</si>
  <si>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</si>
  <si>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</si>
  <si>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</si>
  <si>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</si>
  <si>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</si>
  <si>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</si>
  <si>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</si>
  <si>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</si>
  <si>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</si>
  <si>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</si>
  <si>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</si>
  <si>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</si>
  <si>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</si>
  <si>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</si>
  <si>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</si>
  <si>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</si>
  <si>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</si>
  <si>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</si>
  <si>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</si>
  <si>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</si>
  <si>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</si>
  <si>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</si>
  <si>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</si>
  <si>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</si>
  <si>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</si>
  <si>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</si>
  <si>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</si>
  <si>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</si>
  <si>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</si>
  <si>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</si>
  <si>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</si>
  <si>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</si>
  <si>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</si>
  <si>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</si>
  <si>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</si>
  <si>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</si>
  <si>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</si>
  <si>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</si>
  <si>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</si>
  <si>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</si>
  <si>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</si>
  <si>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</si>
  <si>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</si>
  <si>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</si>
  <si>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</si>
  <si>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</si>
  <si>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</si>
  <si>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</si>
  <si>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</si>
  <si>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</si>
  <si>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</si>
  <si>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</si>
  <si>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</si>
  <si>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</si>
  <si>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</si>
  <si>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</si>
  <si>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</si>
  <si>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</si>
  <si>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</si>
  <si>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</si>
  <si>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</si>
  <si>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</si>
  <si>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</si>
  <si>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</si>
  <si>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</si>
  <si>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</si>
  <si>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</si>
  <si>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</si>
  <si>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</si>
  <si>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</si>
  <si>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</si>
  <si>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</si>
  <si>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</si>
  <si>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</si>
  <si>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</si>
  <si>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</si>
  <si>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</si>
  <si>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</si>
  <si>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</si>
  <si>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</si>
  <si>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</si>
  <si>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</si>
  <si>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</si>
  <si>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</si>
  <si>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</si>
  <si>
    <t>WACC(加权平均资本成本)</t>
    <phoneticPr fontId="2" type="noConversion"/>
  </si>
  <si>
    <t>CAPM（资产定价模型)</t>
    <phoneticPr fontId="2" type="noConversion"/>
  </si>
  <si>
    <t>长期国债</t>
    <phoneticPr fontId="2" type="noConversion"/>
  </si>
  <si>
    <t xml:space="preserve">参照标准，资本市场上其他参与者为风险类似的
企业融资项目会给投资者多少股权回报，以
吸引股权投资
例如，高风险投资项目股权成本，可以咨询类似企业给
风险投资开出的回报条件。风险较低的企业，可将二次
发行股票的蓝筹企业作为参照
</t>
    <phoneticPr fontId="2" type="noConversion"/>
  </si>
  <si>
    <t>风险溢价乘以beta</t>
    <phoneticPr fontId="2" type="noConversion"/>
  </si>
  <si>
    <t>折现率</t>
    <phoneticPr fontId="2" type="noConversion"/>
  </si>
  <si>
    <t>参照盈余估值</t>
    <phoneticPr fontId="2" type="noConversion"/>
  </si>
  <si>
    <t>折现率</t>
    <phoneticPr fontId="2" type="noConversion"/>
  </si>
  <si>
    <t>宁波精达</t>
    <phoneticPr fontId="2" type="noConversion"/>
  </si>
  <si>
    <t>估值</t>
    <phoneticPr fontId="2" type="noConversion"/>
  </si>
  <si>
    <t>永安药业</t>
    <phoneticPr fontId="2" type="noConversion"/>
  </si>
  <si>
    <t>济川药业</t>
    <phoneticPr fontId="2" type="noConversion"/>
  </si>
  <si>
    <t>流动资产
流动资产减所有负债和优先级高于该证券的权益</t>
    <phoneticPr fontId="2" type="noConversion"/>
  </si>
  <si>
    <t>成长估值</t>
    <phoneticPr fontId="2" type="noConversion"/>
  </si>
  <si>
    <t>管理效率</t>
    <phoneticPr fontId="2" type="noConversion"/>
  </si>
  <si>
    <t>偿付比率</t>
    <phoneticPr fontId="2" type="noConversion"/>
  </si>
  <si>
    <t>净利润/利息</t>
    <phoneticPr fontId="2" type="noConversion"/>
  </si>
  <si>
    <t>库存周转率（销售成本/平均库存）</t>
    <phoneticPr fontId="2" type="noConversion"/>
  </si>
  <si>
    <t>应收款周转率（赊销销售额/平均应收账款）</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</si>
  <si>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
v = D1*(8.5+2*g)</t>
    </r>
    <phoneticPr fontId="2" type="noConversion"/>
  </si>
  <si>
    <t>普通股股份数</t>
    <phoneticPr fontId="2" type="noConversion"/>
  </si>
  <si>
    <t>普通股市值</t>
    <phoneticPr fontId="2" type="noConversion"/>
  </si>
  <si>
    <t>债务</t>
    <phoneticPr fontId="2" type="noConversion"/>
  </si>
  <si>
    <t>资本总市值</t>
    <phoneticPr fontId="2" type="noConversion"/>
  </si>
  <si>
    <t>每股账面值</t>
    <phoneticPr fontId="2" type="noConversion"/>
  </si>
  <si>
    <t>销售额</t>
    <phoneticPr fontId="2" type="noConversion"/>
  </si>
  <si>
    <t>净收入</t>
    <phoneticPr fontId="2" type="noConversion"/>
  </si>
  <si>
    <t>当期股息</t>
    <phoneticPr fontId="2" type="noConversion"/>
  </si>
  <si>
    <t>首次支付股息的时间</t>
    <phoneticPr fontId="2" type="noConversion"/>
  </si>
  <si>
    <t>比率</t>
    <phoneticPr fontId="2" type="noConversion"/>
  </si>
  <si>
    <t>市盈率</t>
    <phoneticPr fontId="2" type="noConversion"/>
  </si>
  <si>
    <t>股价/账面值</t>
    <phoneticPr fontId="2" type="noConversion"/>
  </si>
  <si>
    <t>股息收益率</t>
    <phoneticPr fontId="2" type="noConversion"/>
  </si>
  <si>
    <t>净收入/销售额</t>
    <phoneticPr fontId="2" type="noConversion"/>
  </si>
  <si>
    <t>利润/账面值</t>
    <phoneticPr fontId="2" type="noConversion"/>
  </si>
  <si>
    <t>流动资产/流动负债</t>
    <phoneticPr fontId="2" type="noConversion"/>
  </si>
  <si>
    <t>营运资本/债务</t>
    <phoneticPr fontId="2" type="noConversion"/>
  </si>
  <si>
    <t>每股收益增长</t>
    <phoneticPr fontId="2" type="noConversion"/>
  </si>
  <si>
    <t>单位(亿)</t>
    <phoneticPr fontId="2" type="noConversion"/>
  </si>
  <si>
    <t>2018年每股收益</t>
    <phoneticPr fontId="2" type="noConversion"/>
  </si>
  <si>
    <t>2013年每股收益</t>
    <phoneticPr fontId="2" type="noConversion"/>
  </si>
  <si>
    <t>2008年每股收益</t>
    <phoneticPr fontId="2" type="noConversion"/>
  </si>
  <si>
    <t>2011年</t>
    <phoneticPr fontId="2" type="noConversion"/>
  </si>
  <si>
    <t>6.23倍</t>
    <phoneticPr fontId="2" type="noConversion"/>
  </si>
  <si>
    <t>2.62倍</t>
    <phoneticPr fontId="2" type="noConversion"/>
  </si>
  <si>
    <t>2018年比2013年</t>
    <phoneticPr fontId="2" type="noConversion"/>
  </si>
  <si>
    <t>2018年比2008年</t>
    <phoneticPr fontId="2" type="noConversion"/>
  </si>
  <si>
    <t>美盈森(2018.3季度)</t>
    <phoneticPr fontId="2" type="noConversion"/>
  </si>
  <si>
    <t>双星新材（2018年全年）</t>
    <phoneticPr fontId="2" type="noConversion"/>
  </si>
  <si>
    <t>2.76倍</t>
    <phoneticPr fontId="2" type="noConversion"/>
  </si>
  <si>
    <t>1.21倍</t>
    <phoneticPr fontId="2" type="noConversion"/>
  </si>
  <si>
    <t>长飞光纤(2018)</t>
    <phoneticPr fontId="2" type="noConversion"/>
  </si>
  <si>
    <t>中天科技(2018)</t>
    <phoneticPr fontId="2" type="noConversion"/>
  </si>
  <si>
    <t>0.96(2014)</t>
    <phoneticPr fontId="2" type="noConversion"/>
  </si>
  <si>
    <t>2018年</t>
    <phoneticPr fontId="2" type="noConversion"/>
  </si>
  <si>
    <t>0.1(2018)</t>
    <phoneticPr fontId="2" type="noConversion"/>
  </si>
  <si>
    <t>2012年</t>
    <phoneticPr fontId="2" type="noConversion"/>
  </si>
  <si>
    <t>0.462(2017年)</t>
    <phoneticPr fontId="2" type="noConversion"/>
  </si>
  <si>
    <t>0.564(2012年)</t>
    <phoneticPr fontId="2" type="noConversion"/>
  </si>
  <si>
    <t>0.538(2008年)</t>
    <phoneticPr fontId="2" type="noConversion"/>
  </si>
  <si>
    <t>55.44(2018年三季度）</t>
    <phoneticPr fontId="2" type="noConversion"/>
  </si>
  <si>
    <t>1.43（2017）</t>
    <phoneticPr fontId="2" type="noConversion"/>
  </si>
  <si>
    <t>0.43（2012）</t>
    <phoneticPr fontId="2" type="noConversion"/>
  </si>
  <si>
    <t>0.0763（2008）</t>
    <phoneticPr fontId="2" type="noConversion"/>
  </si>
  <si>
    <t>2002年</t>
    <phoneticPr fontId="2" type="noConversion"/>
  </si>
  <si>
    <t>济川药业（2018年三季度)</t>
    <phoneticPr fontId="2" type="noConversion"/>
  </si>
  <si>
    <t>康弘药业（2018年三季度)</t>
    <phoneticPr fontId="2" type="noConversion"/>
  </si>
  <si>
    <t>0.94(2017)</t>
    <phoneticPr fontId="2" type="noConversion"/>
  </si>
  <si>
    <t>0.44(2012)</t>
    <phoneticPr fontId="2" type="noConversion"/>
  </si>
  <si>
    <t>2016年</t>
    <phoneticPr fontId="2" type="noConversion"/>
  </si>
  <si>
    <t>0.25(2009)</t>
    <phoneticPr fontId="2" type="noConversion"/>
  </si>
  <si>
    <t>步长制药（2018年三季度)</t>
    <phoneticPr fontId="2" type="noConversion"/>
  </si>
  <si>
    <t>2.13(2017)</t>
    <phoneticPr fontId="2" type="noConversion"/>
  </si>
  <si>
    <t>1.79(2012)</t>
    <phoneticPr fontId="2" type="noConversion"/>
  </si>
  <si>
    <t>2017年</t>
    <phoneticPr fontId="2" type="noConversion"/>
  </si>
  <si>
    <t>股价增长</t>
    <phoneticPr fontId="2" type="noConversion"/>
  </si>
  <si>
    <t>2017年比2012年</t>
    <phoneticPr fontId="2" type="noConversion"/>
  </si>
  <si>
    <t>2017年比2008年</t>
    <phoneticPr fontId="2" type="noConversion"/>
  </si>
  <si>
    <t>经济</t>
    <phoneticPr fontId="2" type="noConversion"/>
  </si>
  <si>
    <t>如果标记大部分在左侧栏里，就要看紧自己的钱包</t>
    <phoneticPr fontId="2" type="noConversion"/>
  </si>
  <si>
    <t>前景</t>
    <phoneticPr fontId="2" type="noConversion"/>
  </si>
  <si>
    <t>活跃</t>
    <phoneticPr fontId="2" type="noConversion"/>
  </si>
  <si>
    <t>呆滞</t>
    <phoneticPr fontId="2" type="noConversion"/>
  </si>
  <si>
    <t>积极</t>
    <phoneticPr fontId="2" type="noConversion"/>
  </si>
  <si>
    <t>消极</t>
    <phoneticPr fontId="2" type="noConversion"/>
  </si>
  <si>
    <t>贷款人</t>
    <phoneticPr fontId="2" type="noConversion"/>
  </si>
  <si>
    <t>急切</t>
    <phoneticPr fontId="2" type="noConversion"/>
  </si>
  <si>
    <t>谨慎</t>
    <phoneticPr fontId="2" type="noConversion"/>
  </si>
  <si>
    <t>资本市场</t>
    <phoneticPr fontId="2" type="noConversion"/>
  </si>
  <si>
    <t>宽松</t>
    <phoneticPr fontId="2" type="noConversion"/>
  </si>
  <si>
    <t>紧缩</t>
    <phoneticPr fontId="2" type="noConversion"/>
  </si>
  <si>
    <t>资本</t>
    <phoneticPr fontId="2" type="noConversion"/>
  </si>
  <si>
    <t>充足</t>
    <phoneticPr fontId="2" type="noConversion"/>
  </si>
  <si>
    <t>短缺</t>
    <phoneticPr fontId="2" type="noConversion"/>
  </si>
  <si>
    <t>条款</t>
    <phoneticPr fontId="2" type="noConversion"/>
  </si>
  <si>
    <t>严格</t>
    <phoneticPr fontId="2" type="noConversion"/>
  </si>
  <si>
    <t>利率</t>
    <phoneticPr fontId="2" type="noConversion"/>
  </si>
  <si>
    <t>低</t>
    <phoneticPr fontId="2" type="noConversion"/>
  </si>
  <si>
    <t>高</t>
    <phoneticPr fontId="2" type="noConversion"/>
  </si>
  <si>
    <t>利差</t>
    <phoneticPr fontId="2" type="noConversion"/>
  </si>
  <si>
    <t>窄</t>
    <phoneticPr fontId="2" type="noConversion"/>
  </si>
  <si>
    <t>宽</t>
    <phoneticPr fontId="2" type="noConversion"/>
  </si>
  <si>
    <t>投资者</t>
    <phoneticPr fontId="2" type="noConversion"/>
  </si>
  <si>
    <t>乐观/自信/渴望买入</t>
    <phoneticPr fontId="2" type="noConversion"/>
  </si>
  <si>
    <t>悲观/担忧/丧失兴趣</t>
    <phoneticPr fontId="2" type="noConversion"/>
  </si>
  <si>
    <t>资产持有人</t>
    <phoneticPr fontId="2" type="noConversion"/>
  </si>
  <si>
    <t>乐于持有</t>
    <phoneticPr fontId="2" type="noConversion"/>
  </si>
  <si>
    <t>急于出手</t>
    <phoneticPr fontId="2" type="noConversion"/>
  </si>
  <si>
    <t>卖家</t>
    <phoneticPr fontId="2" type="noConversion"/>
  </si>
  <si>
    <t>少</t>
    <phoneticPr fontId="2" type="noConversion"/>
  </si>
  <si>
    <t>多</t>
    <phoneticPr fontId="2" type="noConversion"/>
  </si>
  <si>
    <t>市场</t>
    <phoneticPr fontId="2" type="noConversion"/>
  </si>
  <si>
    <t>拥挤</t>
    <phoneticPr fontId="2" type="noConversion"/>
  </si>
  <si>
    <t>急需关注</t>
    <phoneticPr fontId="2" type="noConversion"/>
  </si>
  <si>
    <t>基金</t>
    <phoneticPr fontId="2" type="noConversion"/>
  </si>
  <si>
    <t>申购门槛高/每天都有新基金/普通合伙人全权管控</t>
    <phoneticPr fontId="2" type="noConversion"/>
  </si>
  <si>
    <t>对所有人开放/只有最好的才能募集到资金/有限合伙人有议价能力</t>
    <phoneticPr fontId="2" type="noConversion"/>
  </si>
  <si>
    <t>近期表现</t>
    <phoneticPr fontId="2" type="noConversion"/>
  </si>
  <si>
    <t>强</t>
    <phoneticPr fontId="2" type="noConversion"/>
  </si>
  <si>
    <t>弱</t>
    <phoneticPr fontId="2" type="noConversion"/>
  </si>
  <si>
    <t>资产价格</t>
    <phoneticPr fontId="2" type="noConversion"/>
  </si>
  <si>
    <t>预期的回报</t>
    <phoneticPr fontId="2" type="noConversion"/>
  </si>
  <si>
    <t>风险</t>
    <phoneticPr fontId="2" type="noConversion"/>
  </si>
  <si>
    <t>人群特征</t>
    <phoneticPr fontId="2" type="noConversion"/>
  </si>
  <si>
    <t>积极进取/广泛投资</t>
    <phoneticPr fontId="2" type="noConversion"/>
  </si>
  <si>
    <t>谨慎守纪/有选择的投资</t>
    <phoneticPr fontId="2" type="noConversion"/>
  </si>
  <si>
    <t>众泰汽车(2018年三季度)</t>
    <phoneticPr fontId="2" type="noConversion"/>
  </si>
  <si>
    <t>比亚迪(2018年 )</t>
    <phoneticPr fontId="2" type="noConversion"/>
  </si>
  <si>
    <t>5年平均每股收益</t>
    <phoneticPr fontId="2" type="noConversion"/>
  </si>
  <si>
    <t>10年平均每股收益</t>
    <phoneticPr fontId="2" type="noConversion"/>
  </si>
  <si>
    <t>到期收益率</t>
    <phoneticPr fontId="2" type="noConversion"/>
  </si>
  <si>
    <t>名称</t>
    <phoneticPr fontId="2" type="noConversion"/>
  </si>
  <si>
    <t>21国债(7)010107</t>
    <phoneticPr fontId="2" type="noConversion"/>
  </si>
  <si>
    <t>结算日</t>
    <phoneticPr fontId="2" type="noConversion"/>
  </si>
  <si>
    <t>到期日</t>
    <phoneticPr fontId="2" type="noConversion"/>
  </si>
  <si>
    <t>息票利率</t>
    <phoneticPr fontId="2" type="noConversion"/>
  </si>
  <si>
    <t>价格</t>
    <phoneticPr fontId="2" type="noConversion"/>
  </si>
  <si>
    <t>清偿价值</t>
    <phoneticPr fontId="2" type="noConversion"/>
  </si>
  <si>
    <t>按半年期支付（请参见上面的信息）</t>
    <phoneticPr fontId="2" type="noConversion"/>
  </si>
  <si>
    <t>以 30/360 为日计数基准（请参见上面的信息）</t>
    <phoneticPr fontId="2" type="noConversion"/>
  </si>
  <si>
    <t>11海航02 122071</t>
    <phoneticPr fontId="2" type="noConversion"/>
  </si>
  <si>
    <t>YIELD</t>
    <phoneticPr fontId="2" type="noConversion"/>
  </si>
  <si>
    <t>调整资产负债表</t>
    <phoneticPr fontId="2" type="noConversion"/>
  </si>
  <si>
    <t>货币资金</t>
  </si>
  <si>
    <t>金融资产</t>
    <phoneticPr fontId="2" type="noConversion"/>
  </si>
  <si>
    <t>金融负债</t>
    <phoneticPr fontId="2" type="noConversion"/>
  </si>
  <si>
    <t>应收票据</t>
    <phoneticPr fontId="2" type="noConversion"/>
  </si>
  <si>
    <t>一年内到期的非流动资产</t>
  </si>
  <si>
    <t>可供出售金融资产</t>
  </si>
  <si>
    <t>长期股权投资</t>
  </si>
  <si>
    <t>短期借款</t>
  </si>
  <si>
    <t>应付票据</t>
  </si>
  <si>
    <t>应付短期债券</t>
  </si>
  <si>
    <t>一年内到期的非流动负债</t>
  </si>
  <si>
    <t>应付债券</t>
  </si>
  <si>
    <t>经营资产</t>
    <phoneticPr fontId="2" type="noConversion"/>
  </si>
  <si>
    <t>应收利息</t>
  </si>
  <si>
    <t>应收股利</t>
  </si>
  <si>
    <t>预付款项</t>
    <phoneticPr fontId="2" type="noConversion"/>
  </si>
  <si>
    <t>应收账款（减坏账准备)</t>
    <phoneticPr fontId="2" type="noConversion"/>
  </si>
  <si>
    <t>其他应收款(减坏账准备)</t>
    <phoneticPr fontId="2" type="noConversion"/>
  </si>
  <si>
    <t>存货</t>
  </si>
  <si>
    <t>持有待售的资产</t>
  </si>
  <si>
    <t>其他流动资产</t>
  </si>
  <si>
    <t>长期应收款</t>
  </si>
  <si>
    <t>投资性房地产</t>
  </si>
  <si>
    <t>固定资产</t>
  </si>
  <si>
    <t>在建工程</t>
  </si>
  <si>
    <t>无形资产</t>
  </si>
  <si>
    <t>商誉</t>
  </si>
  <si>
    <t>长期待摊费用</t>
  </si>
  <si>
    <t>递延所得税资产</t>
  </si>
  <si>
    <t>其他非流动资产</t>
  </si>
  <si>
    <t>经营负债</t>
    <phoneticPr fontId="2" type="noConversion"/>
  </si>
  <si>
    <t>应付账款</t>
  </si>
  <si>
    <t>预收款项</t>
  </si>
  <si>
    <t>应付职工薪酬</t>
  </si>
  <si>
    <t>应交税费</t>
  </si>
  <si>
    <t>应付利息</t>
  </si>
  <si>
    <t>其他流动负债</t>
  </si>
  <si>
    <t>长期借款</t>
  </si>
  <si>
    <t>长期应付款</t>
  </si>
  <si>
    <t>递延收益</t>
  </si>
  <si>
    <t>其他非流动负债</t>
  </si>
  <si>
    <t>少数股东权益</t>
    <phoneticPr fontId="2" type="noConversion"/>
  </si>
  <si>
    <t>归属于母公司所有者权益合计</t>
    <phoneticPr fontId="2" type="noConversion"/>
  </si>
  <si>
    <t>NOA</t>
    <phoneticPr fontId="2" type="noConversion"/>
  </si>
  <si>
    <t>FA</t>
    <phoneticPr fontId="2" type="noConversion"/>
  </si>
  <si>
    <t>FO</t>
    <phoneticPr fontId="2" type="noConversion"/>
  </si>
  <si>
    <t>NFO</t>
    <phoneticPr fontId="2" type="noConversion"/>
  </si>
  <si>
    <t>OA</t>
    <phoneticPr fontId="2" type="noConversion"/>
  </si>
  <si>
    <t>OL</t>
    <phoneticPr fontId="2" type="noConversion"/>
  </si>
  <si>
    <t>CSE</t>
    <phoneticPr fontId="2" type="noConversion"/>
  </si>
  <si>
    <t>以公允价值计量且其变动计入当期损益的金融资产</t>
  </si>
  <si>
    <t>其他应付款</t>
    <phoneticPr fontId="2" type="noConversion"/>
  </si>
  <si>
    <t>损益表调整</t>
    <phoneticPr fontId="2" type="noConversion"/>
  </si>
  <si>
    <t>经营费用</t>
    <phoneticPr fontId="2" type="noConversion"/>
  </si>
  <si>
    <t>报告的主营业务收入，减去包括在其中的所有利息收益</t>
    <phoneticPr fontId="2" type="noConversion"/>
  </si>
  <si>
    <t>营业总成本-财务费用</t>
    <phoneticPr fontId="2" type="noConversion"/>
  </si>
  <si>
    <t>孚日股份（2017）</t>
    <phoneticPr fontId="2" type="noConversion"/>
  </si>
  <si>
    <t>投资收益</t>
  </si>
  <si>
    <t>股权投资收益，即在子公司收益中所分享的份额</t>
    <phoneticPr fontId="2" type="noConversion"/>
  </si>
  <si>
    <t>+</t>
    <phoneticPr fontId="2" type="noConversion"/>
  </si>
  <si>
    <t>非持续经营项目</t>
    <phoneticPr fontId="2" type="noConversion"/>
  </si>
  <si>
    <t>会计变更的累积影响</t>
    <phoneticPr fontId="2" type="noConversion"/>
  </si>
  <si>
    <t>经营中的非正常利得和损失</t>
    <phoneticPr fontId="2" type="noConversion"/>
  </si>
  <si>
    <t>非净盈余经营项目</t>
    <phoneticPr fontId="2" type="noConversion"/>
  </si>
  <si>
    <t>加：营业外收入-减：营业外支出</t>
    <phoneticPr fontId="2" type="noConversion"/>
  </si>
  <si>
    <t>税前经营收益</t>
    <phoneticPr fontId="2" type="noConversion"/>
  </si>
  <si>
    <t>其他收益+资产处置收益</t>
    <phoneticPr fontId="2" type="noConversion"/>
  </si>
  <si>
    <t>-</t>
    <phoneticPr fontId="2" type="noConversion"/>
  </si>
  <si>
    <t>传统报表中的所得税</t>
    <phoneticPr fontId="2" type="noConversion"/>
  </si>
  <si>
    <t>营业收入-利息收入</t>
    <phoneticPr fontId="2" type="noConversion"/>
  </si>
  <si>
    <t>来自净利息费用的税收收益</t>
    <phoneticPr fontId="2" type="noConversion"/>
  </si>
  <si>
    <t>传统报表所得税/利润总额</t>
    <phoneticPr fontId="2" type="noConversion"/>
  </si>
  <si>
    <t>净利息费用*税率</t>
    <phoneticPr fontId="2" type="noConversion"/>
  </si>
  <si>
    <t>税后经营收益</t>
    <phoneticPr fontId="2" type="noConversion"/>
  </si>
  <si>
    <t>税后净金融费用</t>
    <phoneticPr fontId="2" type="noConversion"/>
  </si>
  <si>
    <t>利息费用</t>
    <phoneticPr fontId="2" type="noConversion"/>
  </si>
  <si>
    <t>利息收入</t>
    <phoneticPr fontId="2" type="noConversion"/>
  </si>
  <si>
    <t>税前净利息费用</t>
    <phoneticPr fontId="2" type="noConversion"/>
  </si>
  <si>
    <t>税后净利息费用</t>
    <phoneticPr fontId="2" type="noConversion"/>
  </si>
  <si>
    <t>计算税率</t>
    <phoneticPr fontId="2" type="noConversion"/>
  </si>
  <si>
    <t>税前净利息费用*计算税率</t>
    <phoneticPr fontId="2" type="noConversion"/>
  </si>
  <si>
    <t>债务重组利得和损失</t>
    <phoneticPr fontId="2" type="noConversion"/>
  </si>
  <si>
    <t>金融资产已实现利得和损失</t>
    <phoneticPr fontId="2" type="noConversion"/>
  </si>
  <si>
    <t>非净盈余金融项目（包括优先股股利)</t>
    <phoneticPr fontId="2" type="noConversion"/>
  </si>
  <si>
    <t>汇兑损益+其他</t>
    <phoneticPr fontId="2" type="noConversion"/>
  </si>
  <si>
    <t>净利息费用*（1-税率）</t>
    <phoneticPr fontId="2" type="noConversion"/>
  </si>
  <si>
    <t>综合收益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</si>
</sst>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 "/>
    <numFmt numFmtId="177" formatCode="0.00_);[Red]\(0.00\)"/>
    <numFmt numFmtId="178" formatCode="0.000_ "/>
    <numFmt numFmtId="179" formatCode="#,##0.00_ "/>
    <numFmt numFmtId="180" formatCode="#,##0.00_ ;[Red]\-#,##0.00\ "/>
    <numFmt numFmtId="186" formatCode="#,##0.000000_ "/>
  </numFmts>
  <fonts count="13"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
      <sz val="12"/>
      <color rgb="FF2F2F2F"/>
      <name val="Segoe UI"/>
      <family val="2"/>
    </font>
    <font>
      <sz val="11"/>
      <color rgb="FFFF0000"/>
      <name val="宋体"/>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1">
    <xf numFmtId="0" fontId="0" fillId="0" borderId="0" xfId="0"/>
    <xf numFmtId="0" fontId="1" fillId="0" borderId="0" xfId="0" applyFont="1"/>
    <xf numFmtId="10" fontId="0" fillId="0" borderId="0" xfId="0" applyNumberFormat="1"/>
    <xf numFmtId="176" fontId="0" fillId="0" borderId="0" xfId="0" applyNumberFormat="1"/>
    <xf numFmtId="0" fontId="0" fillId="2" borderId="0" xfId="0" applyFill="1"/>
    <xf numFmtId="10" fontId="0" fillId="2" borderId="0" xfId="0" applyNumberFormat="1" applyFill="1"/>
    <xf numFmtId="176" fontId="0" fillId="2" borderId="0" xfId="0" applyNumberFormat="1" applyFill="1"/>
    <xf numFmtId="9" fontId="0" fillId="0" borderId="0" xfId="0" applyNumberFormat="1"/>
    <xf numFmtId="177" fontId="1" fillId="0" borderId="0" xfId="0" applyNumberFormat="1" applyFont="1" applyAlignment="1">
      <alignment wrapText="1"/>
    </xf>
    <xf numFmtId="177" fontId="0" fillId="2" borderId="0" xfId="0" applyNumberFormat="1" applyFill="1"/>
    <xf numFmtId="177" fontId="0" fillId="0" borderId="0" xfId="0" applyNumberFormat="1"/>
    <xf numFmtId="0" fontId="1" fillId="0" borderId="0" xfId="0" applyFont="1" applyAlignment="1">
      <alignment horizontal="center"/>
    </xf>
    <xf numFmtId="0" fontId="1" fillId="0" borderId="0" xfId="0" applyFont="1" applyAlignment="1">
      <alignment wrapText="1"/>
    </xf>
    <xf numFmtId="0" fontId="6" fillId="0" borderId="0" xfId="0" applyFont="1"/>
    <xf numFmtId="14" fontId="6" fillId="0" borderId="0" xfId="0" applyNumberFormat="1" applyFont="1"/>
    <xf numFmtId="0" fontId="4"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4" fillId="0" borderId="0" xfId="1" applyNumberFormat="1" applyAlignment="1">
      <alignment horizontal="center" wrapText="1"/>
    </xf>
    <xf numFmtId="177" fontId="0" fillId="0" borderId="0" xfId="0" applyNumberFormat="1" applyAlignment="1">
      <alignment wrapText="1"/>
    </xf>
    <xf numFmtId="0" fontId="5"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8" fillId="0" borderId="0" xfId="0" applyFont="1"/>
    <xf numFmtId="0" fontId="9" fillId="0" borderId="0" xfId="0" applyFont="1"/>
    <xf numFmtId="0" fontId="8" fillId="0" borderId="0" xfId="0" applyFont="1" applyAlignment="1">
      <alignment wrapText="1"/>
    </xf>
    <xf numFmtId="0" fontId="0" fillId="0" borderId="0" xfId="0" applyAlignment="1">
      <alignment horizontal="center"/>
    </xf>
    <xf numFmtId="0" fontId="0" fillId="0" borderId="0" xfId="0" applyAlignment="1">
      <alignment horizontal="center"/>
    </xf>
    <xf numFmtId="0" fontId="7" fillId="0" borderId="0" xfId="0" applyFont="1" applyAlignment="1">
      <alignment wrapText="1"/>
    </xf>
    <xf numFmtId="0" fontId="7"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0" fillId="0" borderId="0" xfId="0" quotePrefix="1" applyAlignment="1">
      <alignment vertical="center"/>
    </xf>
    <xf numFmtId="179" fontId="0" fillId="0" borderId="0" xfId="0" applyNumberFormat="1"/>
    <xf numFmtId="14" fontId="0" fillId="0" borderId="0" xfId="0" applyNumberFormat="1"/>
    <xf numFmtId="14" fontId="11" fillId="0" borderId="0" xfId="0" applyNumberFormat="1" applyFont="1"/>
    <xf numFmtId="180" fontId="0" fillId="0" borderId="0" xfId="0" applyNumberFormat="1"/>
    <xf numFmtId="0" fontId="1" fillId="0" borderId="0" xfId="0" applyFont="1" applyAlignment="1">
      <alignment horizontal="center" wrapText="1"/>
    </xf>
    <xf numFmtId="0" fontId="1" fillId="0" borderId="0" xfId="0" applyFont="1" applyAlignment="1">
      <alignment horizontal="center"/>
    </xf>
    <xf numFmtId="0" fontId="10" fillId="0" borderId="0" xfId="0" applyFont="1" applyAlignment="1">
      <alignment horizontal="center"/>
    </xf>
    <xf numFmtId="0" fontId="7" fillId="0" borderId="0" xfId="0" applyFont="1" applyAlignment="1">
      <alignment horizontal="center" wrapText="1"/>
    </xf>
    <xf numFmtId="0" fontId="0" fillId="0" borderId="0" xfId="0" applyAlignment="1">
      <alignment horizontal="center"/>
    </xf>
    <xf numFmtId="0" fontId="9" fillId="0" borderId="0" xfId="0" applyFont="1" applyAlignment="1">
      <alignment horizontal="center"/>
    </xf>
    <xf numFmtId="0" fontId="0" fillId="0" borderId="0" xfId="0" applyAlignment="1">
      <alignment horizontal="center" vertical="center"/>
    </xf>
    <xf numFmtId="180" fontId="1" fillId="0" borderId="0" xfId="0" applyNumberFormat="1" applyFont="1"/>
    <xf numFmtId="4" fontId="0" fillId="0" borderId="0" xfId="0" applyNumberFormat="1"/>
    <xf numFmtId="0" fontId="12" fillId="0" borderId="0" xfId="0" applyFont="1" applyAlignment="1">
      <alignment horizontal="center"/>
    </xf>
    <xf numFmtId="0" fontId="3" fillId="0" borderId="0" xfId="0" applyFont="1" applyAlignment="1">
      <alignment horizontal="center"/>
    </xf>
    <xf numFmtId="186" fontId="0" fillId="0" borderId="0" xfId="0" applyNumberForma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5499392"/>
        <c:axId val="155503872"/>
      </c:lineChart>
      <c:catAx>
        <c:axId val="1554993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5503872"/>
        <c:crosses val="autoZero"/>
        <c:auto val="1"/>
        <c:lblAlgn val="ctr"/>
        <c:lblOffset val="100"/>
        <c:noMultiLvlLbl val="0"/>
      </c:catAx>
      <c:valAx>
        <c:axId val="15550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549939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55475104"/>
        <c:axId val="155429000"/>
      </c:lineChart>
      <c:catAx>
        <c:axId val="15547510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5429000"/>
        <c:crosses val="autoZero"/>
        <c:auto val="1"/>
        <c:lblAlgn val="ctr"/>
        <c:lblOffset val="100"/>
        <c:noMultiLvlLbl val="0"/>
      </c:catAx>
      <c:valAx>
        <c:axId val="155429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54751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zoomScaleNormal="100" workbookViewId="0">
      <selection activeCell="B16" sqref="B16"/>
    </sheetView>
  </sheetViews>
  <sheetFormatPr defaultRowHeight="13.5" x14ac:dyDescent="0.15"/>
  <cols>
    <col min="1" max="1" width="10.75" customWidth="1"/>
    <col min="2" max="2" width="24.75" style="10" customWidth="1"/>
    <col min="3" max="4" width="24.75" customWidth="1"/>
    <col min="5" max="6" width="27.125" customWidth="1"/>
    <col min="7" max="8" width="26.375" customWidth="1"/>
    <col min="9" max="10" width="14" customWidth="1"/>
    <col min="11" max="11" width="12.5" customWidth="1"/>
    <col min="19" max="19" width="15.25" customWidth="1"/>
    <col min="20" max="20" width="15.5" customWidth="1"/>
    <col min="21" max="21" width="24.125" customWidth="1"/>
    <col min="22" max="22" width="22.625" customWidth="1"/>
    <col min="23" max="23" width="24.5" customWidth="1"/>
    <col min="24" max="24" width="26.625" customWidth="1"/>
    <col min="25" max="26" width="21" customWidth="1"/>
  </cols>
  <sheetData>
    <row r="1" spans="1:28" ht="13.5" customHeight="1" x14ac:dyDescent="0.15">
      <c r="B1" s="49" t="s">
        <v>118</v>
      </c>
      <c r="C1" s="49"/>
      <c r="D1" s="49"/>
      <c r="E1" s="50" t="s">
        <v>6</v>
      </c>
      <c r="F1" s="50"/>
      <c r="G1" s="50"/>
      <c r="H1" s="50"/>
      <c r="I1" s="50"/>
      <c r="J1" s="50" t="s">
        <v>5</v>
      </c>
      <c r="K1" s="50"/>
      <c r="L1" s="50"/>
      <c r="M1" s="50"/>
      <c r="N1" s="50"/>
      <c r="O1" s="50"/>
      <c r="P1" s="50"/>
      <c r="Q1" s="50"/>
      <c r="R1" s="50" t="s">
        <v>127</v>
      </c>
      <c r="S1" s="50"/>
      <c r="T1" s="50"/>
      <c r="U1" s="50"/>
      <c r="V1" s="50" t="s">
        <v>128</v>
      </c>
      <c r="W1" s="50"/>
      <c r="X1" s="50"/>
      <c r="Y1" s="50" t="s">
        <v>116</v>
      </c>
      <c r="Z1" s="50"/>
    </row>
    <row r="2" spans="1:28" ht="120" customHeight="1" x14ac:dyDescent="0.15">
      <c r="A2" s="1" t="s">
        <v>2</v>
      </c>
      <c r="B2" s="8" t="s">
        <v>119</v>
      </c>
      <c r="C2" s="12" t="s">
        <v>343</v>
      </c>
      <c r="D2" s="12" t="s">
        <v>117</v>
      </c>
      <c r="E2" s="1" t="s">
        <v>3</v>
      </c>
      <c r="F2" s="50" t="s">
        <v>263</v>
      </c>
      <c r="G2" s="50"/>
      <c r="H2" s="50"/>
      <c r="I2" s="1" t="s">
        <v>4</v>
      </c>
      <c r="J2" s="12" t="s">
        <v>141</v>
      </c>
      <c r="K2" s="12" t="s">
        <v>140</v>
      </c>
      <c r="L2" s="1" t="s">
        <v>7</v>
      </c>
      <c r="M2" s="11" t="s">
        <v>8</v>
      </c>
      <c r="N2" s="1" t="s">
        <v>9</v>
      </c>
      <c r="O2" s="1" t="s">
        <v>10</v>
      </c>
      <c r="P2" s="50" t="s">
        <v>345</v>
      </c>
      <c r="Q2" s="50"/>
      <c r="R2" s="43" t="s">
        <v>346</v>
      </c>
      <c r="S2" s="1" t="s">
        <v>21</v>
      </c>
      <c r="T2" s="1" t="s">
        <v>20</v>
      </c>
      <c r="U2" s="12" t="s">
        <v>129</v>
      </c>
      <c r="V2" s="1" t="s">
        <v>22</v>
      </c>
      <c r="W2" s="1" t="s">
        <v>23</v>
      </c>
      <c r="X2" s="12" t="s">
        <v>132</v>
      </c>
      <c r="Y2" s="12" t="s">
        <v>121</v>
      </c>
      <c r="Z2" s="1"/>
      <c r="AA2" s="1"/>
      <c r="AB2" s="1"/>
    </row>
    <row r="3" spans="1:28" ht="81" customHeight="1" x14ac:dyDescent="0.15">
      <c r="B3" s="8" t="s">
        <v>123</v>
      </c>
      <c r="C3" s="49" t="s">
        <v>120</v>
      </c>
      <c r="D3" s="49"/>
      <c r="F3" s="12" t="s">
        <v>318</v>
      </c>
      <c r="G3" s="12" t="s">
        <v>330</v>
      </c>
      <c r="H3" s="12" t="s">
        <v>344</v>
      </c>
      <c r="K3" s="49" t="s">
        <v>122</v>
      </c>
      <c r="L3" s="49"/>
      <c r="M3" s="49"/>
      <c r="N3" s="49"/>
      <c r="O3" s="49"/>
      <c r="P3" s="42" t="s">
        <v>348</v>
      </c>
      <c r="Q3" s="42" t="s">
        <v>349</v>
      </c>
      <c r="R3" s="42" t="s">
        <v>347</v>
      </c>
      <c r="S3" s="49" t="s">
        <v>130</v>
      </c>
      <c r="T3" s="50"/>
      <c r="U3" s="50"/>
      <c r="Y3" s="2"/>
      <c r="Z3" s="2"/>
      <c r="AA3" s="2"/>
      <c r="AB3" s="2"/>
    </row>
    <row r="4" spans="1:28" x14ac:dyDescent="0.15">
      <c r="A4" t="s">
        <v>19</v>
      </c>
      <c r="B4" s="10">
        <v>9.31</v>
      </c>
      <c r="C4" s="3">
        <f>(36-14)/3.7</f>
        <v>5.9459459459459456</v>
      </c>
      <c r="D4">
        <v>6.25</v>
      </c>
    </row>
    <row r="5" spans="1:28" s="4" customFormat="1" ht="12.75" customHeight="1" x14ac:dyDescent="0.15">
      <c r="A5" s="4" t="s">
        <v>124</v>
      </c>
      <c r="B5" s="9">
        <f>(12.3-0.76)/2.43</f>
        <v>4.7489711934156382</v>
      </c>
      <c r="C5" s="6">
        <f>(33.29-24.4)/2.43</f>
        <v>3.6584362139917697</v>
      </c>
      <c r="J5" s="5">
        <v>1.17E-2</v>
      </c>
      <c r="K5" s="5"/>
      <c r="O5" s="9">
        <f>208/17</f>
        <v>12.235294117647058</v>
      </c>
      <c r="P5" s="9"/>
      <c r="Q5" s="9"/>
      <c r="R5" s="9"/>
      <c r="S5" s="6">
        <f>33.29/23.89</f>
        <v>1.393470071159481</v>
      </c>
      <c r="T5" s="6">
        <f>(33.28-4.05)/23.89</f>
        <v>1.2235244872331519</v>
      </c>
      <c r="U5" s="4" t="s">
        <v>133</v>
      </c>
      <c r="V5" s="15" t="s">
        <v>134</v>
      </c>
      <c r="W5" s="15" t="s">
        <v>134</v>
      </c>
      <c r="X5" s="15" t="s">
        <v>134</v>
      </c>
    </row>
    <row r="6" spans="1:28" x14ac:dyDescent="0.15">
      <c r="A6" t="s">
        <v>125</v>
      </c>
      <c r="B6" s="10">
        <f>(64.19-8.12-1.98)/10.75</f>
        <v>5.0316279069767447</v>
      </c>
      <c r="C6" s="3">
        <f>(38.43-16.02)/10.75</f>
        <v>2.0846511627906978</v>
      </c>
      <c r="J6" s="2">
        <v>6.3E-3</v>
      </c>
      <c r="K6" s="2"/>
      <c r="O6" s="10">
        <f>736/17</f>
        <v>43.294117647058826</v>
      </c>
      <c r="P6" s="10"/>
      <c r="Q6" s="10"/>
      <c r="R6" s="10"/>
    </row>
    <row r="7" spans="1:28" s="4" customFormat="1" x14ac:dyDescent="0.15">
      <c r="A7" s="4" t="s">
        <v>126</v>
      </c>
      <c r="B7" s="9">
        <f>(39.49-7.59)/11.61</f>
        <v>2.7476313522825153</v>
      </c>
      <c r="C7" s="6">
        <f>(28.47-3.13)/11.61</f>
        <v>2.1826012058570199</v>
      </c>
      <c r="J7" s="5">
        <v>1.6999999999999999E-3</v>
      </c>
      <c r="K7" s="5"/>
      <c r="O7" s="9">
        <f>557/15</f>
        <v>37.133333333333333</v>
      </c>
      <c r="P7" s="9"/>
      <c r="Q7" s="9"/>
      <c r="R7" s="9"/>
      <c r="S7" s="6">
        <f>248655/31297</f>
        <v>7.9450107039013327</v>
      </c>
      <c r="T7" s="6">
        <f>(248655-10356)/31297</f>
        <v>7.6141163689810529</v>
      </c>
    </row>
    <row r="8" spans="1:28" x14ac:dyDescent="0.15">
      <c r="A8" t="s">
        <v>131</v>
      </c>
      <c r="B8" s="10">
        <f>(30.56-2.27)/22.78</f>
        <v>1.2418788410886741</v>
      </c>
      <c r="C8" s="3">
        <f>(41.16-16.75)/22.78</f>
        <v>1.071553994732221</v>
      </c>
      <c r="O8" s="10"/>
      <c r="P8" s="10"/>
      <c r="Q8" s="10"/>
      <c r="R8" s="10"/>
    </row>
    <row r="9" spans="1:28" s="4" customFormat="1" x14ac:dyDescent="0.15">
      <c r="A9" s="4" t="s">
        <v>135</v>
      </c>
      <c r="B9" s="9">
        <f>(51122-7348)/11200</f>
        <v>3.9083928571428572</v>
      </c>
      <c r="E9" s="4">
        <v>0.34</v>
      </c>
      <c r="F9" s="6">
        <f>NPV(5%,0.39,0.39,0.39,0.39,0.39)/1.1</f>
        <v>1.5349962741327448</v>
      </c>
      <c r="G9" s="6">
        <f>5.57/1.1</f>
        <v>5.0636363636363635</v>
      </c>
      <c r="H9" s="6"/>
      <c r="J9" s="5">
        <v>7.3000000000000001E-3</v>
      </c>
      <c r="K9" s="5"/>
      <c r="O9" s="9">
        <f>304/18</f>
        <v>16.888888888888889</v>
      </c>
      <c r="P9" s="9"/>
      <c r="Q9" s="9"/>
      <c r="R9" s="9"/>
      <c r="S9" s="6">
        <f>52367/28725</f>
        <v>1.8230461270670149</v>
      </c>
      <c r="T9" s="6">
        <f>(52367-26519)/28725</f>
        <v>0.89984334203655347</v>
      </c>
    </row>
    <row r="10" spans="1:28" ht="12.75" customHeight="1" x14ac:dyDescent="0.15">
      <c r="A10" t="s">
        <v>139</v>
      </c>
      <c r="B10" s="10">
        <f>(140755-37289-28391)/40362</f>
        <v>1.8600416233090531</v>
      </c>
      <c r="E10">
        <v>0.97</v>
      </c>
      <c r="J10" s="2">
        <v>2.7000000000000001E-3</v>
      </c>
      <c r="K10" s="2">
        <v>0.41399999999999998</v>
      </c>
      <c r="O10" s="10">
        <v>37.799999999999997</v>
      </c>
      <c r="P10" s="10"/>
      <c r="Q10" s="10"/>
      <c r="R10" s="10"/>
      <c r="S10" s="3">
        <f>181671/111350</f>
        <v>1.6315312079030084</v>
      </c>
      <c r="T10" s="3">
        <f>(181671-846)/111350</f>
        <v>1.6239335428828019</v>
      </c>
      <c r="U10" t="s">
        <v>142</v>
      </c>
    </row>
    <row r="11" spans="1:28" s="4" customFormat="1" x14ac:dyDescent="0.15">
      <c r="A11" s="4" t="s">
        <v>191</v>
      </c>
      <c r="B11" s="9">
        <f>(33.63-4.18)/9.08</f>
        <v>3.2433920704845818</v>
      </c>
      <c r="E11" s="4">
        <v>0.2</v>
      </c>
      <c r="J11" s="5">
        <v>5.4199999999999998E-2</v>
      </c>
      <c r="K11" s="5">
        <v>0.66410000000000002</v>
      </c>
      <c r="O11" s="9">
        <f>407/12</f>
        <v>33.916666666666664</v>
      </c>
      <c r="P11" s="9"/>
      <c r="Q11" s="9"/>
      <c r="R11" s="9"/>
      <c r="S11" s="6">
        <f>35.64/34.01</f>
        <v>1.0479270802705087</v>
      </c>
      <c r="T11" s="6">
        <f>(35.64-19.6)/34.01</f>
        <v>0.47162599235518965</v>
      </c>
    </row>
    <row r="12" spans="1:28" x14ac:dyDescent="0.15">
      <c r="A12" t="s">
        <v>192</v>
      </c>
      <c r="B12" s="10">
        <f>(113.17-4.6)/11.687</f>
        <v>9.2898091896979569</v>
      </c>
      <c r="E12">
        <v>0.64</v>
      </c>
      <c r="J12" s="5">
        <v>1.26E-2</v>
      </c>
      <c r="K12" s="2">
        <v>0.49509999999999998</v>
      </c>
      <c r="O12" s="10">
        <f>936/32</f>
        <v>29.25</v>
      </c>
      <c r="P12" s="10"/>
      <c r="Q12" s="10"/>
      <c r="R12" s="10"/>
      <c r="S12" s="3">
        <f>246.35/174.58</f>
        <v>1.4111009279413449</v>
      </c>
      <c r="T12" s="3">
        <f>(246.35-104.48)/174.58</f>
        <v>0.81263604078359486</v>
      </c>
    </row>
    <row r="13" spans="1:28" s="4" customFormat="1" x14ac:dyDescent="0.15">
      <c r="A13" s="4" t="s">
        <v>204</v>
      </c>
      <c r="B13" s="9">
        <f>(15.54-0.89)/2.95</f>
        <v>4.9661016949152534</v>
      </c>
      <c r="E13" s="4">
        <v>0.23</v>
      </c>
      <c r="F13" s="6">
        <f>NPV(5%,1.8,1.8,1.8,1.8,1.8)/2.95</f>
        <v>2.6417145786899914</v>
      </c>
      <c r="G13" s="6">
        <f>NPV(7%,2.13*1.1,2.13*1.1^2,2.13*1.1^3,2.13*1.1^4,2.13*1.1^5)/2.95</f>
        <v>3.925421744735921</v>
      </c>
      <c r="H13" s="6"/>
      <c r="J13" s="5">
        <v>3.7000000000000002E-3</v>
      </c>
      <c r="K13" s="5">
        <v>0.14749999999999999</v>
      </c>
      <c r="O13" s="9">
        <f>1389/17</f>
        <v>81.705882352941174</v>
      </c>
      <c r="P13" s="9"/>
      <c r="Q13" s="9"/>
      <c r="R13" s="9"/>
      <c r="S13" s="6">
        <f>7.37/2.66</f>
        <v>2.7706766917293231</v>
      </c>
      <c r="T13" s="6">
        <f>(7.37-0.85)/2.66</f>
        <v>2.4511278195488724</v>
      </c>
    </row>
    <row r="14" spans="1:28" x14ac:dyDescent="0.15">
      <c r="A14" t="s">
        <v>210</v>
      </c>
      <c r="B14" s="3">
        <f>(22.44-0.39)/3.13</f>
        <v>7.0447284345047931</v>
      </c>
      <c r="J14" s="2">
        <v>2.0899999999999998E-2</v>
      </c>
      <c r="K14" s="2">
        <v>0.42470000000000002</v>
      </c>
      <c r="O14">
        <f>711/12</f>
        <v>59.25</v>
      </c>
      <c r="S14" s="3">
        <f>18.06/2.39</f>
        <v>7.556485355648535</v>
      </c>
      <c r="T14" s="3">
        <f>(18.06-1.07)/2.39</f>
        <v>7.1087866108786599</v>
      </c>
    </row>
    <row r="15" spans="1:28" x14ac:dyDescent="0.15">
      <c r="A15" s="4" t="s">
        <v>262</v>
      </c>
      <c r="B15" s="10">
        <f>(197.69-21.02)/40.78</f>
        <v>4.3322707209416373</v>
      </c>
      <c r="E15" s="3"/>
      <c r="F15" s="3"/>
      <c r="J15" s="2">
        <v>1.1599999999999999E-2</v>
      </c>
      <c r="K15" s="2">
        <v>0.32219999999999999</v>
      </c>
      <c r="L15" s="2">
        <v>6.0000000000000001E-3</v>
      </c>
      <c r="O15">
        <f>975/20</f>
        <v>48.75</v>
      </c>
      <c r="S15" s="3">
        <f>115/16</f>
        <v>7.1875</v>
      </c>
      <c r="T15" s="3">
        <f>(115-18)/16</f>
        <v>6.0625</v>
      </c>
    </row>
    <row r="16" spans="1:28" x14ac:dyDescent="0.15">
      <c r="A16" t="s">
        <v>342</v>
      </c>
      <c r="B16" s="10">
        <f>84.79/8.1481</f>
        <v>10.406106945177404</v>
      </c>
      <c r="E16" s="31"/>
      <c r="F16" s="31"/>
      <c r="G16">
        <f>16.16/(0.018*0.33+0.03289*0.67)</f>
        <v>577.63178118621829</v>
      </c>
      <c r="H16">
        <f>16.16*(8.5+2*10)</f>
        <v>460.56</v>
      </c>
      <c r="J16" s="2">
        <v>1.8499999999999999E-2</v>
      </c>
      <c r="K16" s="2">
        <v>0.66180000000000005</v>
      </c>
      <c r="O16" s="3">
        <f>1139/15</f>
        <v>75.933333333333337</v>
      </c>
      <c r="P16" s="3">
        <v>3.57</v>
      </c>
      <c r="Q16" s="3">
        <v>2.78</v>
      </c>
      <c r="R16" s="3"/>
      <c r="S16" s="3">
        <f>42.89/18.45</f>
        <v>2.3246612466124663</v>
      </c>
      <c r="T16" s="3">
        <f>(42.89-2.37)/18.44</f>
        <v>2.1973969631236443</v>
      </c>
    </row>
    <row r="17" spans="5:7" x14ac:dyDescent="0.15">
      <c r="E17" s="3"/>
      <c r="F17" s="3"/>
    </row>
    <row r="18" spans="5:7" x14ac:dyDescent="0.15">
      <c r="E18" s="3"/>
      <c r="F18" s="3"/>
    </row>
    <row r="19" spans="5:7" x14ac:dyDescent="0.15">
      <c r="E19" s="3"/>
      <c r="F19" s="3"/>
    </row>
    <row r="20" spans="5:7" x14ac:dyDescent="0.15">
      <c r="E20" s="3"/>
      <c r="F20" s="3"/>
    </row>
    <row r="22" spans="5:7" x14ac:dyDescent="0.15">
      <c r="G22" t="s">
        <v>14</v>
      </c>
    </row>
  </sheetData>
  <mergeCells count="11">
    <mergeCell ref="B1:D1"/>
    <mergeCell ref="C3:D3"/>
    <mergeCell ref="Y1:Z1"/>
    <mergeCell ref="V1:X1"/>
    <mergeCell ref="E1:I1"/>
    <mergeCell ref="K3:O3"/>
    <mergeCell ref="S3:U3"/>
    <mergeCell ref="F2:H2"/>
    <mergeCell ref="J1:Q1"/>
    <mergeCell ref="P2:Q2"/>
    <mergeCell ref="R1:U1"/>
  </mergeCells>
  <phoneticPr fontId="2" type="noConversion"/>
  <hyperlinks>
    <hyperlink ref="V5" r:id="rId1"/>
    <hyperlink ref="W5" r:id="rId2"/>
    <hyperlink ref="X5" r:id="rId3"/>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N18" sqref="N18:N19"/>
    </sheetView>
  </sheetViews>
  <sheetFormatPr defaultRowHeight="13.5" x14ac:dyDescent="0.15"/>
  <cols>
    <col min="3" max="3" width="28.75" customWidth="1"/>
  </cols>
  <sheetData>
    <row r="1" spans="1:3" x14ac:dyDescent="0.15">
      <c r="A1" s="53" t="s">
        <v>410</v>
      </c>
      <c r="B1" s="53"/>
      <c r="C1" s="53"/>
    </row>
    <row r="2" spans="1:3" x14ac:dyDescent="0.15">
      <c r="A2" t="s">
        <v>409</v>
      </c>
      <c r="B2" t="s">
        <v>412</v>
      </c>
      <c r="C2" t="s">
        <v>413</v>
      </c>
    </row>
    <row r="3" spans="1:3" x14ac:dyDescent="0.15">
      <c r="A3" t="s">
        <v>411</v>
      </c>
      <c r="B3" t="s">
        <v>414</v>
      </c>
      <c r="C3" t="s">
        <v>415</v>
      </c>
    </row>
    <row r="4" spans="1:3" x14ac:dyDescent="0.15">
      <c r="A4" t="s">
        <v>416</v>
      </c>
      <c r="B4" t="s">
        <v>417</v>
      </c>
      <c r="C4" t="s">
        <v>418</v>
      </c>
    </row>
    <row r="5" spans="1:3" x14ac:dyDescent="0.15">
      <c r="A5" t="s">
        <v>419</v>
      </c>
      <c r="B5" t="s">
        <v>420</v>
      </c>
      <c r="C5" t="s">
        <v>421</v>
      </c>
    </row>
    <row r="6" spans="1:3" x14ac:dyDescent="0.15">
      <c r="A6" t="s">
        <v>422</v>
      </c>
      <c r="B6" t="s">
        <v>423</v>
      </c>
      <c r="C6" t="s">
        <v>424</v>
      </c>
    </row>
    <row r="7" spans="1:3" x14ac:dyDescent="0.15">
      <c r="A7" t="s">
        <v>425</v>
      </c>
      <c r="B7" t="s">
        <v>420</v>
      </c>
      <c r="C7" t="s">
        <v>426</v>
      </c>
    </row>
    <row r="8" spans="1:3" x14ac:dyDescent="0.15">
      <c r="A8" t="s">
        <v>427</v>
      </c>
      <c r="B8" t="s">
        <v>428</v>
      </c>
      <c r="C8" t="s">
        <v>429</v>
      </c>
    </row>
    <row r="9" spans="1:3" x14ac:dyDescent="0.15">
      <c r="A9" t="s">
        <v>430</v>
      </c>
      <c r="B9" t="s">
        <v>431</v>
      </c>
      <c r="C9" t="s">
        <v>432</v>
      </c>
    </row>
    <row r="10" spans="1:3" x14ac:dyDescent="0.15">
      <c r="A10" t="s">
        <v>433</v>
      </c>
      <c r="B10" t="s">
        <v>434</v>
      </c>
      <c r="C10" t="s">
        <v>435</v>
      </c>
    </row>
    <row r="11" spans="1:3" x14ac:dyDescent="0.15">
      <c r="A11" t="s">
        <v>436</v>
      </c>
      <c r="B11" t="s">
        <v>437</v>
      </c>
      <c r="C11" t="s">
        <v>438</v>
      </c>
    </row>
    <row r="12" spans="1:3" x14ac:dyDescent="0.15">
      <c r="A12" t="s">
        <v>439</v>
      </c>
      <c r="B12" t="s">
        <v>440</v>
      </c>
      <c r="C12" t="s">
        <v>441</v>
      </c>
    </row>
    <row r="13" spans="1:3" x14ac:dyDescent="0.15">
      <c r="A13" t="s">
        <v>442</v>
      </c>
      <c r="B13" t="s">
        <v>443</v>
      </c>
      <c r="C13" t="s">
        <v>444</v>
      </c>
    </row>
    <row r="14" spans="1:3" x14ac:dyDescent="0.15">
      <c r="A14" t="s">
        <v>445</v>
      </c>
      <c r="B14" t="s">
        <v>446</v>
      </c>
      <c r="C14" t="s">
        <v>447</v>
      </c>
    </row>
    <row r="15" spans="1:3" x14ac:dyDescent="0.15">
      <c r="A15" t="s">
        <v>448</v>
      </c>
      <c r="B15" t="s">
        <v>449</v>
      </c>
      <c r="C15" t="s">
        <v>450</v>
      </c>
    </row>
    <row r="16" spans="1:3" x14ac:dyDescent="0.15">
      <c r="A16" t="s">
        <v>451</v>
      </c>
      <c r="B16" t="s">
        <v>429</v>
      </c>
      <c r="C16" t="s">
        <v>428</v>
      </c>
    </row>
    <row r="17" spans="1:3" x14ac:dyDescent="0.15">
      <c r="A17" t="s">
        <v>452</v>
      </c>
      <c r="B17" t="s">
        <v>428</v>
      </c>
      <c r="C17" t="s">
        <v>429</v>
      </c>
    </row>
    <row r="18" spans="1:3" x14ac:dyDescent="0.15">
      <c r="A18" t="s">
        <v>453</v>
      </c>
      <c r="B18" t="s">
        <v>429</v>
      </c>
      <c r="C18" t="s">
        <v>428</v>
      </c>
    </row>
    <row r="19" spans="1:3" x14ac:dyDescent="0.15">
      <c r="A19" t="s">
        <v>454</v>
      </c>
      <c r="B19" t="s">
        <v>455</v>
      </c>
      <c r="C19" t="s">
        <v>456</v>
      </c>
    </row>
  </sheetData>
  <mergeCells count="1">
    <mergeCell ref="A1:C1"/>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
  <sheetViews>
    <sheetView topLeftCell="Q1" workbookViewId="0">
      <selection activeCell="T2" sqref="T2"/>
    </sheetView>
  </sheetViews>
  <sheetFormatPr defaultRowHeight="13.5" x14ac:dyDescent="0.15"/>
  <cols>
    <col min="2" max="2" width="19.125" customWidth="1"/>
    <col min="8" max="8" width="24.25" customWidth="1"/>
    <col min="9" max="9" width="26.125" customWidth="1"/>
    <col min="12" max="12" width="11" customWidth="1"/>
    <col min="15" max="15" width="16" customWidth="1"/>
    <col min="16" max="16" width="22.5" customWidth="1"/>
    <col min="18" max="18" width="37.625" customWidth="1"/>
    <col min="19" max="19" width="7.75" customWidth="1"/>
    <col min="21" max="21" width="18.875" customWidth="1"/>
    <col min="22" max="22" width="7.625" customWidth="1"/>
    <col min="24" max="24" width="20.125" customWidth="1"/>
    <col min="25" max="25" width="17.375" customWidth="1"/>
    <col min="26" max="26" width="15.5" customWidth="1"/>
    <col min="27" max="27" width="21.5" customWidth="1"/>
    <col min="30" max="30" width="11.125" customWidth="1"/>
    <col min="31" max="31" width="15.625" customWidth="1"/>
  </cols>
  <sheetData>
    <row r="1" spans="1:31" ht="97.5" customHeight="1" x14ac:dyDescent="0.25">
      <c r="B1" s="52" t="s">
        <v>293</v>
      </c>
      <c r="C1" s="52"/>
      <c r="D1" s="52"/>
      <c r="E1" s="52"/>
      <c r="F1" s="52"/>
      <c r="G1" s="52"/>
      <c r="H1" s="52"/>
      <c r="I1" s="52"/>
      <c r="J1" s="52"/>
      <c r="K1" s="52"/>
      <c r="L1" s="52"/>
      <c r="M1" s="52"/>
      <c r="N1" s="52"/>
      <c r="O1" s="52"/>
      <c r="P1" s="52" t="s">
        <v>314</v>
      </c>
      <c r="Q1" s="52"/>
      <c r="R1" s="52"/>
      <c r="S1" s="52"/>
      <c r="T1" s="52"/>
      <c r="U1" s="52"/>
      <c r="V1" s="52"/>
      <c r="W1" s="52"/>
      <c r="X1" s="40" t="s">
        <v>350</v>
      </c>
      <c r="Y1" s="51" t="s">
        <v>318</v>
      </c>
      <c r="Z1" s="51"/>
      <c r="AA1" s="51"/>
      <c r="AB1" s="51"/>
      <c r="AC1" s="51"/>
      <c r="AD1" s="51"/>
      <c r="AE1" s="51"/>
    </row>
    <row r="2" spans="1:31" ht="12.75" customHeight="1" x14ac:dyDescent="0.15">
      <c r="B2" s="52" t="s">
        <v>298</v>
      </c>
      <c r="C2" s="52"/>
      <c r="D2" s="52"/>
      <c r="E2" s="52"/>
      <c r="F2" t="s">
        <v>302</v>
      </c>
      <c r="G2" t="s">
        <v>301</v>
      </c>
      <c r="H2" s="53" t="s">
        <v>303</v>
      </c>
      <c r="I2" s="53"/>
      <c r="J2" s="53"/>
      <c r="K2" s="53"/>
      <c r="L2" s="53"/>
      <c r="M2" s="53"/>
      <c r="N2" s="53"/>
      <c r="O2" t="s">
        <v>307</v>
      </c>
      <c r="Q2" t="s">
        <v>333</v>
      </c>
      <c r="R2" s="17" t="s">
        <v>334</v>
      </c>
      <c r="S2" s="17"/>
      <c r="T2" t="s">
        <v>333</v>
      </c>
      <c r="U2" t="s">
        <v>335</v>
      </c>
      <c r="Y2" s="53" t="s">
        <v>319</v>
      </c>
      <c r="Z2" s="53"/>
      <c r="AA2" s="38"/>
      <c r="AB2" s="53" t="s">
        <v>324</v>
      </c>
      <c r="AC2" s="53"/>
      <c r="AD2" s="53"/>
      <c r="AE2" s="39" t="s">
        <v>336</v>
      </c>
    </row>
    <row r="3" spans="1:31" ht="12.75" customHeight="1" x14ac:dyDescent="0.15">
      <c r="B3" s="41"/>
      <c r="C3" s="41"/>
      <c r="D3" s="41"/>
      <c r="E3" s="41"/>
      <c r="H3" s="34" t="s">
        <v>312</v>
      </c>
      <c r="I3" s="34" t="s">
        <v>313</v>
      </c>
      <c r="J3" s="38"/>
      <c r="K3" s="38"/>
      <c r="L3" s="38"/>
      <c r="M3" s="38"/>
      <c r="N3" s="38"/>
      <c r="Q3" s="53" t="s">
        <v>331</v>
      </c>
      <c r="R3" s="53"/>
      <c r="S3" s="39"/>
      <c r="T3" s="53" t="s">
        <v>332</v>
      </c>
      <c r="U3" s="53"/>
      <c r="V3" s="39"/>
      <c r="Y3" t="s">
        <v>322</v>
      </c>
      <c r="Z3" t="s">
        <v>323</v>
      </c>
      <c r="AA3" s="17" t="s">
        <v>329</v>
      </c>
      <c r="AE3" t="s">
        <v>337</v>
      </c>
    </row>
    <row r="4" spans="1:31" x14ac:dyDescent="0.15">
      <c r="B4" t="s">
        <v>294</v>
      </c>
      <c r="C4" t="s">
        <v>295</v>
      </c>
      <c r="D4" t="s">
        <v>296</v>
      </c>
      <c r="E4" t="s">
        <v>297</v>
      </c>
      <c r="F4" t="s">
        <v>299</v>
      </c>
      <c r="G4" t="s">
        <v>300</v>
      </c>
      <c r="H4" t="s">
        <v>304</v>
      </c>
      <c r="I4" t="s">
        <v>305</v>
      </c>
      <c r="J4" t="s">
        <v>214</v>
      </c>
      <c r="K4" t="s">
        <v>308</v>
      </c>
      <c r="L4" t="s">
        <v>309</v>
      </c>
      <c r="M4" t="s">
        <v>311</v>
      </c>
      <c r="N4" t="s">
        <v>310</v>
      </c>
      <c r="O4" t="s">
        <v>306</v>
      </c>
      <c r="P4" t="s">
        <v>315</v>
      </c>
      <c r="Q4" t="s">
        <v>316</v>
      </c>
      <c r="R4" t="s">
        <v>317</v>
      </c>
      <c r="S4" s="17" t="s">
        <v>338</v>
      </c>
      <c r="T4" t="s">
        <v>316</v>
      </c>
      <c r="U4" t="s">
        <v>317</v>
      </c>
      <c r="V4" t="s">
        <v>338</v>
      </c>
      <c r="W4" t="s">
        <v>340</v>
      </c>
      <c r="Y4" t="s">
        <v>320</v>
      </c>
      <c r="Z4" t="s">
        <v>321</v>
      </c>
      <c r="AA4" t="s">
        <v>328</v>
      </c>
      <c r="AB4" t="s">
        <v>325</v>
      </c>
      <c r="AC4" t="s">
        <v>326</v>
      </c>
      <c r="AD4" t="s">
        <v>327</v>
      </c>
    </row>
    <row r="5" spans="1:31" x14ac:dyDescent="0.15">
      <c r="A5" t="s">
        <v>339</v>
      </c>
      <c r="P5">
        <v>0.39</v>
      </c>
      <c r="Q5" s="2">
        <v>3.7249999999999998E-2</v>
      </c>
      <c r="R5" s="7">
        <f>0.1+0.02</f>
        <v>0.12000000000000001</v>
      </c>
      <c r="S5" s="2">
        <f>Q5*0.37+R5*0.63</f>
        <v>8.9382500000000004E-2</v>
      </c>
      <c r="W5" s="3">
        <f>P5/S5</f>
        <v>4.3632702150868461</v>
      </c>
    </row>
    <row r="6" spans="1:31" x14ac:dyDescent="0.15">
      <c r="A6" t="s">
        <v>341</v>
      </c>
      <c r="P6" s="3">
        <f>1.96+0.653-0.1239+0.0779+0.045</f>
        <v>2.6120000000000001</v>
      </c>
      <c r="Q6" s="2">
        <v>3.7249999999999998E-2</v>
      </c>
      <c r="R6" s="7">
        <f>(5%+8%)/2</f>
        <v>6.5000000000000002E-2</v>
      </c>
      <c r="S6" s="2">
        <f>Q6*0.15+R6*0.85</f>
        <v>6.0837500000000003E-2</v>
      </c>
      <c r="W6" s="3">
        <f>P6/S6</f>
        <v>42.934045613314154</v>
      </c>
      <c r="Z6">
        <v>1.97</v>
      </c>
    </row>
  </sheetData>
  <mergeCells count="9">
    <mergeCell ref="Y1:AE1"/>
    <mergeCell ref="P1:W1"/>
    <mergeCell ref="Q3:R3"/>
    <mergeCell ref="T3:U3"/>
    <mergeCell ref="B2:E2"/>
    <mergeCell ref="H2:N2"/>
    <mergeCell ref="B1:O1"/>
    <mergeCell ref="AB2:AD2"/>
    <mergeCell ref="Y2:Z2"/>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C13" sqref="C13"/>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50" t="s">
        <v>12</v>
      </c>
      <c r="C1" s="50"/>
      <c r="D1" s="50"/>
      <c r="E1" s="50"/>
      <c r="F1" s="50" t="s">
        <v>15</v>
      </c>
      <c r="G1" s="50"/>
      <c r="H1" s="50"/>
      <c r="I1" s="50" t="s">
        <v>18</v>
      </c>
      <c r="J1" s="50"/>
      <c r="K1" s="50"/>
    </row>
    <row r="2" spans="1:12" ht="13.5" customHeight="1" x14ac:dyDescent="0.15">
      <c r="A2" s="1" t="s">
        <v>2</v>
      </c>
      <c r="B2" s="12" t="s">
        <v>13</v>
      </c>
      <c r="C2" s="12" t="s">
        <v>115</v>
      </c>
      <c r="D2" s="12" t="s">
        <v>211</v>
      </c>
      <c r="E2" s="12" t="s">
        <v>199</v>
      </c>
      <c r="F2" s="12" t="s">
        <v>253</v>
      </c>
      <c r="G2" s="12" t="s">
        <v>16</v>
      </c>
      <c r="H2" s="12" t="s">
        <v>17</v>
      </c>
      <c r="I2" s="12" t="s">
        <v>37</v>
      </c>
      <c r="J2" s="49" t="s">
        <v>38</v>
      </c>
      <c r="K2" s="49"/>
      <c r="L2" s="12" t="s">
        <v>39</v>
      </c>
    </row>
    <row r="3" spans="1:12" ht="13.5" customHeight="1" x14ac:dyDescent="0.15">
      <c r="A3" s="1"/>
      <c r="B3" s="12"/>
      <c r="C3" s="12"/>
      <c r="D3" s="12"/>
      <c r="E3" s="12"/>
      <c r="F3" s="12"/>
      <c r="G3" s="12"/>
      <c r="H3" s="12"/>
      <c r="I3" s="12"/>
      <c r="J3" s="25" t="s">
        <v>202</v>
      </c>
      <c r="K3" s="30" t="s">
        <v>203</v>
      </c>
    </row>
    <row r="4" spans="1:12" ht="107.25" customHeight="1" x14ac:dyDescent="0.15">
      <c r="A4" t="s">
        <v>198</v>
      </c>
      <c r="B4">
        <v>237</v>
      </c>
      <c r="C4">
        <v>0</v>
      </c>
      <c r="D4">
        <v>132</v>
      </c>
      <c r="E4">
        <v>0</v>
      </c>
      <c r="F4">
        <v>2912</v>
      </c>
      <c r="H4" s="17" t="s">
        <v>200</v>
      </c>
      <c r="I4" s="17" t="s">
        <v>201</v>
      </c>
      <c r="J4" s="2">
        <v>0.36759999999999998</v>
      </c>
    </row>
    <row r="5" spans="1:12" x14ac:dyDescent="0.15">
      <c r="A5" t="s">
        <v>1</v>
      </c>
      <c r="B5">
        <f>27805-27085</f>
        <v>720</v>
      </c>
      <c r="C5">
        <v>0</v>
      </c>
    </row>
    <row r="6" spans="1:12" ht="96.75" customHeight="1" x14ac:dyDescent="0.15">
      <c r="A6" t="s">
        <v>252</v>
      </c>
      <c r="B6">
        <v>746</v>
      </c>
      <c r="C6">
        <v>0</v>
      </c>
      <c r="D6">
        <v>7579</v>
      </c>
      <c r="E6">
        <v>0</v>
      </c>
      <c r="F6">
        <v>5719</v>
      </c>
      <c r="H6" s="17" t="s">
        <v>254</v>
      </c>
      <c r="I6">
        <v>24</v>
      </c>
      <c r="J6" s="2">
        <f>(15.8-13.45)/15.8</f>
        <v>0.14873417721518994</v>
      </c>
    </row>
    <row r="39" spans="10:10" x14ac:dyDescent="0.15">
      <c r="J39" t="s">
        <v>11</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opLeftCell="O1" workbookViewId="0">
      <selection activeCell="C4" sqref="C4"/>
    </sheetView>
  </sheetViews>
  <sheetFormatPr defaultRowHeight="13.5" x14ac:dyDescent="0.15"/>
  <cols>
    <col min="1" max="1" width="9" style="26"/>
    <col min="2" max="2" width="35.75" customWidth="1"/>
    <col min="3" max="3" width="34.625" customWidth="1"/>
    <col min="4" max="4" width="32.125" customWidth="1"/>
    <col min="5" max="5" width="13.125" customWidth="1"/>
    <col min="9" max="9" width="14" customWidth="1"/>
    <col min="10" max="10" width="23.875" customWidth="1"/>
    <col min="11" max="11" width="23.875" style="2" customWidth="1"/>
    <col min="12" max="12" width="23.875" style="10" customWidth="1"/>
    <col min="13" max="13" width="22.625" style="3"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25" t="s">
        <v>137</v>
      </c>
      <c r="B1" s="16" t="s">
        <v>136</v>
      </c>
      <c r="C1" s="18" t="s">
        <v>171</v>
      </c>
      <c r="D1" s="49" t="s">
        <v>145</v>
      </c>
      <c r="E1" s="49"/>
      <c r="F1" s="49"/>
      <c r="G1" s="49"/>
      <c r="H1" s="49"/>
      <c r="I1" s="49"/>
      <c r="J1" s="49" t="s">
        <v>152</v>
      </c>
      <c r="K1" s="49"/>
      <c r="L1" s="49"/>
      <c r="M1" s="49" t="s">
        <v>154</v>
      </c>
      <c r="N1" s="49"/>
      <c r="O1" s="19" t="s">
        <v>157</v>
      </c>
      <c r="P1" s="49" t="s">
        <v>159</v>
      </c>
      <c r="Q1" s="49"/>
      <c r="R1" s="19" t="s">
        <v>162</v>
      </c>
      <c r="S1" s="19" t="s">
        <v>164</v>
      </c>
      <c r="T1" s="21" t="s">
        <v>179</v>
      </c>
      <c r="U1" s="21" t="s">
        <v>190</v>
      </c>
      <c r="V1" s="21" t="s">
        <v>182</v>
      </c>
      <c r="W1" s="21" t="s">
        <v>184</v>
      </c>
      <c r="X1" s="21" t="s">
        <v>186</v>
      </c>
      <c r="Y1" s="24" t="s">
        <v>188</v>
      </c>
    </row>
    <row r="2" spans="1:25" ht="13.5" customHeight="1" x14ac:dyDescent="0.15">
      <c r="B2" t="s">
        <v>138</v>
      </c>
      <c r="J2" t="s">
        <v>155</v>
      </c>
    </row>
    <row r="3" spans="1:25" ht="150" customHeight="1" x14ac:dyDescent="0.15">
      <c r="A3" s="27" t="s">
        <v>195</v>
      </c>
      <c r="B3" s="17" t="s">
        <v>143</v>
      </c>
      <c r="C3" s="17" t="s">
        <v>144</v>
      </c>
      <c r="D3" s="17" t="s">
        <v>146</v>
      </c>
      <c r="E3" s="17" t="s">
        <v>147</v>
      </c>
      <c r="F3" s="17" t="s">
        <v>148</v>
      </c>
      <c r="G3" s="17" t="s">
        <v>149</v>
      </c>
      <c r="H3" s="17" t="s">
        <v>150</v>
      </c>
      <c r="I3" s="17" t="s">
        <v>151</v>
      </c>
      <c r="J3" s="17" t="s">
        <v>153</v>
      </c>
      <c r="K3" s="28" t="s">
        <v>177</v>
      </c>
      <c r="L3" s="22" t="s">
        <v>178</v>
      </c>
      <c r="M3" s="29" t="s">
        <v>197</v>
      </c>
      <c r="N3" s="17" t="s">
        <v>156</v>
      </c>
      <c r="O3" s="17" t="s">
        <v>158</v>
      </c>
      <c r="P3" s="17" t="s">
        <v>161</v>
      </c>
      <c r="Q3" s="17" t="s">
        <v>160</v>
      </c>
      <c r="R3" s="17" t="s">
        <v>163</v>
      </c>
      <c r="S3" s="17" t="s">
        <v>165</v>
      </c>
      <c r="T3" s="17" t="s">
        <v>180</v>
      </c>
      <c r="U3" s="17" t="s">
        <v>181</v>
      </c>
      <c r="V3" s="17" t="s">
        <v>183</v>
      </c>
      <c r="W3" s="17" t="s">
        <v>185</v>
      </c>
      <c r="X3" s="17" t="s">
        <v>187</v>
      </c>
      <c r="Y3" s="17" t="s">
        <v>189</v>
      </c>
    </row>
    <row r="4" spans="1:25" ht="126.75" customHeight="1" x14ac:dyDescent="0.15">
      <c r="A4" s="26" t="s">
        <v>193</v>
      </c>
      <c r="B4" s="17" t="s">
        <v>194</v>
      </c>
      <c r="C4" t="s">
        <v>205</v>
      </c>
      <c r="E4">
        <v>3.14</v>
      </c>
      <c r="G4">
        <v>2928</v>
      </c>
      <c r="H4">
        <v>127</v>
      </c>
      <c r="I4" s="17" t="s">
        <v>196</v>
      </c>
      <c r="J4" t="s">
        <v>206</v>
      </c>
      <c r="K4" s="2">
        <f>5484/93277</f>
        <v>5.879262840786046E-2</v>
      </c>
      <c r="L4" s="10">
        <f>59347/(5471+3458)/2</f>
        <v>3.32327248292082</v>
      </c>
      <c r="M4" s="3">
        <f>1.33/9.33</f>
        <v>0.14255091103965703</v>
      </c>
      <c r="O4" s="17" t="s">
        <v>207</v>
      </c>
      <c r="Q4">
        <v>0</v>
      </c>
      <c r="U4" t="s">
        <v>208</v>
      </c>
      <c r="Y4" t="s">
        <v>209</v>
      </c>
    </row>
    <row r="5" spans="1:25" ht="120.75" customHeight="1" x14ac:dyDescent="0.15">
      <c r="A5" s="26" t="s">
        <v>166</v>
      </c>
      <c r="B5" t="s">
        <v>167</v>
      </c>
      <c r="C5" t="s">
        <v>168</v>
      </c>
      <c r="D5" s="17"/>
      <c r="E5" s="3">
        <f>(12.42+17.3+18.81)/3</f>
        <v>16.176666666666666</v>
      </c>
      <c r="G5">
        <f>(14439+14665+11576)/3</f>
        <v>13560</v>
      </c>
      <c r="H5">
        <f>2442-208</f>
        <v>2234</v>
      </c>
      <c r="J5" t="s">
        <v>169</v>
      </c>
      <c r="K5" s="20">
        <f>4645/116233</f>
        <v>3.9962833274543377E-2</v>
      </c>
      <c r="L5" s="23">
        <f>19425/(22255+18429)/2</f>
        <v>0.23873021335168618</v>
      </c>
      <c r="M5" s="3">
        <f>(6814/116232+10687/84790+10923/61546)/3</f>
        <v>0.12071398227118028</v>
      </c>
      <c r="N5">
        <v>3</v>
      </c>
      <c r="O5">
        <v>2</v>
      </c>
      <c r="Q5" t="s">
        <v>170</v>
      </c>
    </row>
    <row r="6" spans="1:25" ht="81" x14ac:dyDescent="0.15">
      <c r="A6" s="26" t="s">
        <v>172</v>
      </c>
      <c r="B6" s="17" t="s">
        <v>173</v>
      </c>
      <c r="C6" s="17" t="s">
        <v>174</v>
      </c>
      <c r="E6">
        <v>4.32</v>
      </c>
      <c r="G6">
        <v>1330</v>
      </c>
      <c r="H6">
        <v>208</v>
      </c>
      <c r="J6" s="17" t="s">
        <v>175</v>
      </c>
      <c r="K6" s="20">
        <f>2618/30796</f>
        <v>8.5011040394856477E-2</v>
      </c>
      <c r="L6" s="23">
        <f>112664/(846+1671)/2</f>
        <v>22.380611839491458</v>
      </c>
      <c r="M6" s="3">
        <f>2618/30796</f>
        <v>8.5011040394856477E-2</v>
      </c>
      <c r="O6" s="17"/>
      <c r="Q6" t="s">
        <v>176</v>
      </c>
      <c r="R6" t="s">
        <v>176</v>
      </c>
    </row>
    <row r="7" spans="1:25" x14ac:dyDescent="0.15">
      <c r="A7" s="44">
        <v>1</v>
      </c>
      <c r="B7" s="17"/>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F15" sqref="F15"/>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36" t="s">
        <v>264</v>
      </c>
      <c r="B1" s="36"/>
      <c r="C1" s="36"/>
    </row>
    <row r="2" spans="1:22" ht="14.25" x14ac:dyDescent="0.15">
      <c r="A2" s="54" t="s">
        <v>265</v>
      </c>
      <c r="B2" s="54"/>
      <c r="C2" s="54"/>
    </row>
    <row r="3" spans="1:22" s="1" customFormat="1" x14ac:dyDescent="0.15">
      <c r="A3" s="50" t="s">
        <v>266</v>
      </c>
      <c r="B3" s="50"/>
      <c r="C3" s="50"/>
      <c r="D3" s="50"/>
      <c r="E3" s="50"/>
      <c r="F3" s="50"/>
      <c r="G3" s="50" t="s">
        <v>267</v>
      </c>
      <c r="H3" s="50"/>
      <c r="I3" s="50"/>
      <c r="J3" s="50" t="s">
        <v>268</v>
      </c>
      <c r="K3" s="50"/>
      <c r="L3" s="50"/>
      <c r="M3" s="50"/>
      <c r="N3" s="50"/>
      <c r="O3" s="50"/>
      <c r="P3" s="50"/>
      <c r="Q3" s="50" t="s">
        <v>285</v>
      </c>
      <c r="R3" s="50"/>
      <c r="S3" s="50"/>
      <c r="T3" s="50"/>
      <c r="U3" s="50"/>
      <c r="V3" s="50"/>
    </row>
    <row r="4" spans="1:22" s="35" customFormat="1" ht="36" x14ac:dyDescent="0.15">
      <c r="A4" s="35" t="s">
        <v>269</v>
      </c>
      <c r="B4" s="35" t="s">
        <v>270</v>
      </c>
      <c r="C4" s="35" t="s">
        <v>271</v>
      </c>
      <c r="D4" s="35" t="s">
        <v>272</v>
      </c>
      <c r="E4" s="37" t="s">
        <v>274</v>
      </c>
      <c r="F4" s="37" t="s">
        <v>273</v>
      </c>
      <c r="G4" s="35" t="s">
        <v>275</v>
      </c>
      <c r="H4" s="35" t="s">
        <v>276</v>
      </c>
      <c r="I4" s="35" t="s">
        <v>277</v>
      </c>
      <c r="J4" s="35" t="s">
        <v>279</v>
      </c>
      <c r="K4" s="35" t="s">
        <v>280</v>
      </c>
      <c r="L4" s="37" t="s">
        <v>292</v>
      </c>
      <c r="M4" s="35" t="s">
        <v>281</v>
      </c>
      <c r="N4" s="35" t="s">
        <v>282</v>
      </c>
      <c r="O4" s="35" t="s">
        <v>283</v>
      </c>
      <c r="P4" s="35" t="s">
        <v>284</v>
      </c>
      <c r="Q4" s="35" t="s">
        <v>286</v>
      </c>
      <c r="R4" s="35" t="s">
        <v>287</v>
      </c>
      <c r="S4" s="35" t="s">
        <v>288</v>
      </c>
      <c r="T4" s="35" t="s">
        <v>289</v>
      </c>
      <c r="U4" s="35" t="s">
        <v>290</v>
      </c>
      <c r="V4" s="35" t="s">
        <v>291</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workbookViewId="0">
      <selection activeCell="E77" sqref="E77"/>
    </sheetView>
  </sheetViews>
  <sheetFormatPr defaultRowHeight="13.5" x14ac:dyDescent="0.15"/>
  <cols>
    <col min="1" max="2" width="45.25" customWidth="1"/>
    <col min="3" max="3" width="24.125" customWidth="1"/>
    <col min="4" max="4" width="83.125" customWidth="1"/>
    <col min="8" max="8" width="12.125" bestFit="1" customWidth="1"/>
  </cols>
  <sheetData>
    <row r="1" spans="4:7" x14ac:dyDescent="0.15">
      <c r="D1" s="1" t="s">
        <v>24</v>
      </c>
    </row>
    <row r="2" spans="4:7" x14ac:dyDescent="0.15">
      <c r="D2" s="1"/>
      <c r="E2" s="1" t="s">
        <v>29</v>
      </c>
    </row>
    <row r="3" spans="4:7" x14ac:dyDescent="0.15">
      <c r="D3" s="1"/>
      <c r="E3" s="1" t="s">
        <v>30</v>
      </c>
    </row>
    <row r="4" spans="4:7" x14ac:dyDescent="0.15">
      <c r="E4" s="1" t="s">
        <v>32</v>
      </c>
    </row>
    <row r="5" spans="4:7" x14ac:dyDescent="0.15">
      <c r="D5" s="1" t="s">
        <v>25</v>
      </c>
    </row>
    <row r="6" spans="4:7" x14ac:dyDescent="0.15">
      <c r="D6" s="1"/>
      <c r="E6" s="1" t="s">
        <v>33</v>
      </c>
    </row>
    <row r="7" spans="4:7" x14ac:dyDescent="0.15">
      <c r="D7" s="1"/>
      <c r="E7" s="1" t="s">
        <v>34</v>
      </c>
    </row>
    <row r="8" spans="4:7" x14ac:dyDescent="0.15">
      <c r="D8" s="1"/>
      <c r="E8" s="1" t="s">
        <v>35</v>
      </c>
    </row>
    <row r="9" spans="4:7" x14ac:dyDescent="0.15">
      <c r="D9" s="1" t="s">
        <v>27</v>
      </c>
    </row>
    <row r="10" spans="4:7" x14ac:dyDescent="0.15">
      <c r="D10" s="1"/>
      <c r="E10" s="1" t="s">
        <v>36</v>
      </c>
    </row>
    <row r="11" spans="4:7" x14ac:dyDescent="0.15">
      <c r="D11" s="1" t="s">
        <v>26</v>
      </c>
    </row>
    <row r="12" spans="4:7" x14ac:dyDescent="0.15">
      <c r="E12" s="1" t="s">
        <v>43</v>
      </c>
      <c r="F12" t="s">
        <v>28</v>
      </c>
    </row>
    <row r="13" spans="4:7" x14ac:dyDescent="0.15">
      <c r="E13" s="1" t="s">
        <v>44</v>
      </c>
    </row>
    <row r="14" spans="4:7" x14ac:dyDescent="0.15">
      <c r="D14" t="s">
        <v>31</v>
      </c>
      <c r="E14" s="1" t="s">
        <v>45</v>
      </c>
    </row>
    <row r="15" spans="4:7" x14ac:dyDescent="0.15">
      <c r="E15" s="1" t="s">
        <v>46</v>
      </c>
    </row>
    <row r="16" spans="4:7" x14ac:dyDescent="0.15">
      <c r="F16" t="s">
        <v>40</v>
      </c>
      <c r="G16">
        <v>1.75</v>
      </c>
    </row>
    <row r="17" spans="5:9" x14ac:dyDescent="0.15">
      <c r="F17" t="s">
        <v>41</v>
      </c>
      <c r="G17">
        <v>2</v>
      </c>
    </row>
    <row r="18" spans="5:9" x14ac:dyDescent="0.15">
      <c r="F18" t="s">
        <v>42</v>
      </c>
      <c r="G18">
        <v>3</v>
      </c>
    </row>
    <row r="19" spans="5:9" x14ac:dyDescent="0.15">
      <c r="F19" t="s">
        <v>47</v>
      </c>
    </row>
    <row r="20" spans="5:9" x14ac:dyDescent="0.15">
      <c r="F20" t="s">
        <v>48</v>
      </c>
    </row>
    <row r="21" spans="5:9" x14ac:dyDescent="0.15">
      <c r="F21" t="s">
        <v>49</v>
      </c>
    </row>
    <row r="22" spans="5:9" x14ac:dyDescent="0.15">
      <c r="E22" s="1" t="s">
        <v>50</v>
      </c>
    </row>
    <row r="23" spans="5:9" x14ac:dyDescent="0.15">
      <c r="E23" s="1" t="s">
        <v>54</v>
      </c>
    </row>
    <row r="24" spans="5:9" x14ac:dyDescent="0.15">
      <c r="F24" t="s">
        <v>51</v>
      </c>
    </row>
    <row r="25" spans="5:9" x14ac:dyDescent="0.15">
      <c r="F25" t="s">
        <v>52</v>
      </c>
    </row>
    <row r="26" spans="5:9" x14ac:dyDescent="0.15">
      <c r="F26" t="s">
        <v>53</v>
      </c>
    </row>
    <row r="27" spans="5:9" x14ac:dyDescent="0.15">
      <c r="E27" s="1" t="s">
        <v>59</v>
      </c>
    </row>
    <row r="28" spans="5:9" x14ac:dyDescent="0.15">
      <c r="F28" t="s">
        <v>55</v>
      </c>
    </row>
    <row r="29" spans="5:9" x14ac:dyDescent="0.15">
      <c r="F29" t="s">
        <v>56</v>
      </c>
    </row>
    <row r="30" spans="5:9" x14ac:dyDescent="0.15">
      <c r="F30" t="s">
        <v>57</v>
      </c>
    </row>
    <row r="31" spans="5:9" x14ac:dyDescent="0.15">
      <c r="F31" t="s">
        <v>58</v>
      </c>
    </row>
    <row r="32" spans="5:9" x14ac:dyDescent="0.15">
      <c r="G32" t="s">
        <v>60</v>
      </c>
      <c r="H32" t="s">
        <v>61</v>
      </c>
      <c r="I32" t="s">
        <v>62</v>
      </c>
    </row>
    <row r="33" spans="6:11" x14ac:dyDescent="0.15">
      <c r="G33" t="s">
        <v>63</v>
      </c>
      <c r="H33">
        <v>1.75</v>
      </c>
      <c r="I33" t="s">
        <v>67</v>
      </c>
    </row>
    <row r="34" spans="6:11" x14ac:dyDescent="0.15">
      <c r="G34" t="s">
        <v>64</v>
      </c>
      <c r="H34">
        <v>2</v>
      </c>
      <c r="I34" t="s">
        <v>68</v>
      </c>
    </row>
    <row r="35" spans="6:11" x14ac:dyDescent="0.15">
      <c r="G35" t="s">
        <v>65</v>
      </c>
      <c r="H35">
        <v>3</v>
      </c>
      <c r="I35" t="s">
        <v>66</v>
      </c>
    </row>
    <row r="36" spans="6:11" x14ac:dyDescent="0.15">
      <c r="F36" s="13" t="s">
        <v>69</v>
      </c>
      <c r="G36" s="13"/>
      <c r="H36" s="13"/>
      <c r="I36" s="13"/>
      <c r="J36" s="13"/>
      <c r="K36" s="13"/>
    </row>
    <row r="37" spans="6:11" x14ac:dyDescent="0.15">
      <c r="F37" s="13"/>
      <c r="G37" s="13" t="s">
        <v>70</v>
      </c>
      <c r="H37" s="13" t="s">
        <v>71</v>
      </c>
      <c r="I37" s="13"/>
      <c r="J37" s="13"/>
      <c r="K37" s="13"/>
    </row>
    <row r="38" spans="6:11" x14ac:dyDescent="0.15">
      <c r="F38" s="13"/>
      <c r="G38" s="13" t="s">
        <v>72</v>
      </c>
      <c r="H38" s="14">
        <v>14245</v>
      </c>
      <c r="I38" s="13"/>
      <c r="J38" s="13"/>
      <c r="K38" s="13"/>
    </row>
    <row r="39" spans="6:11" x14ac:dyDescent="0.15">
      <c r="F39" s="13"/>
      <c r="G39" s="13" t="s">
        <v>73</v>
      </c>
      <c r="H39" s="13">
        <v>37663000</v>
      </c>
      <c r="I39" s="13"/>
      <c r="J39" s="13"/>
      <c r="K39" s="13"/>
    </row>
    <row r="40" spans="6:11" x14ac:dyDescent="0.15">
      <c r="F40" s="13"/>
      <c r="G40" s="13" t="s">
        <v>74</v>
      </c>
      <c r="H40" s="13">
        <v>22554000</v>
      </c>
      <c r="I40" s="13"/>
      <c r="J40" s="13"/>
      <c r="K40" s="13"/>
    </row>
    <row r="41" spans="6:11" x14ac:dyDescent="0.15">
      <c r="F41" s="13"/>
      <c r="G41" s="13" t="s">
        <v>75</v>
      </c>
      <c r="H41" s="13" t="s">
        <v>86</v>
      </c>
      <c r="I41" s="13"/>
      <c r="J41" s="13"/>
      <c r="K41" s="13"/>
    </row>
    <row r="42" spans="6:11" x14ac:dyDescent="0.15">
      <c r="F42" s="13"/>
      <c r="G42" s="13" t="s">
        <v>76</v>
      </c>
      <c r="H42" s="13">
        <v>15109000</v>
      </c>
      <c r="I42" s="13"/>
      <c r="J42" s="13"/>
      <c r="K42" s="13"/>
    </row>
    <row r="43" spans="6:11" x14ac:dyDescent="0.15">
      <c r="F43" s="13"/>
      <c r="G43" s="13" t="s">
        <v>77</v>
      </c>
      <c r="H43" s="13">
        <v>1819000</v>
      </c>
      <c r="I43" s="13"/>
      <c r="J43" s="13"/>
      <c r="K43" s="13"/>
    </row>
    <row r="44" spans="6:11" x14ac:dyDescent="0.15">
      <c r="F44" s="13"/>
      <c r="G44" s="13" t="s">
        <v>78</v>
      </c>
      <c r="H44" s="13">
        <v>13290000</v>
      </c>
      <c r="I44" s="13"/>
      <c r="J44" s="13"/>
      <c r="K44" s="13"/>
    </row>
    <row r="45" spans="6:11" x14ac:dyDescent="0.15">
      <c r="F45" s="13"/>
      <c r="G45" s="13" t="s">
        <v>79</v>
      </c>
      <c r="H45" s="13">
        <v>1.55</v>
      </c>
      <c r="I45" s="13"/>
      <c r="J45" s="13"/>
      <c r="K45" s="13"/>
    </row>
    <row r="46" spans="6:11" x14ac:dyDescent="0.15">
      <c r="F46" s="13"/>
      <c r="G46" s="13" t="s">
        <v>80</v>
      </c>
      <c r="H46" s="13">
        <v>1.53</v>
      </c>
      <c r="I46" s="13"/>
      <c r="J46" s="13"/>
      <c r="K46" s="13"/>
    </row>
    <row r="47" spans="6:11" x14ac:dyDescent="0.15">
      <c r="F47" s="13"/>
      <c r="G47" s="13" t="s">
        <v>81</v>
      </c>
      <c r="H47" s="13">
        <v>438000000</v>
      </c>
      <c r="I47" s="13"/>
      <c r="J47" s="13"/>
      <c r="K47" s="13"/>
    </row>
    <row r="48" spans="6:11" x14ac:dyDescent="0.15">
      <c r="F48" s="13"/>
      <c r="G48" s="13" t="s">
        <v>82</v>
      </c>
      <c r="H48" s="13" t="s">
        <v>87</v>
      </c>
      <c r="I48" s="13"/>
      <c r="J48" s="13"/>
      <c r="K48" s="13"/>
    </row>
    <row r="49" spans="6:11" x14ac:dyDescent="0.15">
      <c r="F49" s="13"/>
      <c r="G49" s="13" t="s">
        <v>83</v>
      </c>
      <c r="H49" s="13" t="s">
        <v>88</v>
      </c>
      <c r="I49" s="13"/>
      <c r="J49" s="13"/>
      <c r="K49" s="13"/>
    </row>
    <row r="50" spans="6:11" x14ac:dyDescent="0.15">
      <c r="F50" s="13"/>
      <c r="G50" s="13" t="s">
        <v>84</v>
      </c>
      <c r="H50" s="13">
        <v>221000000</v>
      </c>
      <c r="I50" s="13"/>
      <c r="J50" s="13"/>
      <c r="K50" s="13"/>
    </row>
    <row r="51" spans="6:11" x14ac:dyDescent="0.15">
      <c r="F51" s="13"/>
      <c r="G51" s="13" t="s">
        <v>85</v>
      </c>
      <c r="H51" s="13" t="s">
        <v>89</v>
      </c>
      <c r="I51" s="13"/>
      <c r="J51" s="13"/>
      <c r="K51" s="13"/>
    </row>
    <row r="52" spans="6:11" x14ac:dyDescent="0.15">
      <c r="F52" t="s">
        <v>90</v>
      </c>
    </row>
    <row r="53" spans="6:11" x14ac:dyDescent="0.15">
      <c r="F53" t="s">
        <v>91</v>
      </c>
    </row>
    <row r="54" spans="6:11" x14ac:dyDescent="0.15">
      <c r="F54" t="s">
        <v>92</v>
      </c>
    </row>
    <row r="55" spans="6:11" x14ac:dyDescent="0.15">
      <c r="F55" t="s">
        <v>93</v>
      </c>
    </row>
    <row r="56" spans="6:11" x14ac:dyDescent="0.15">
      <c r="G56" t="s">
        <v>94</v>
      </c>
    </row>
    <row r="57" spans="6:11" x14ac:dyDescent="0.15">
      <c r="G57" t="s">
        <v>95</v>
      </c>
      <c r="H57">
        <v>10000</v>
      </c>
    </row>
    <row r="58" spans="6:11" x14ac:dyDescent="0.15">
      <c r="G58" t="s">
        <v>96</v>
      </c>
      <c r="H58">
        <v>2000000</v>
      </c>
    </row>
    <row r="59" spans="6:11" x14ac:dyDescent="0.15">
      <c r="G59" t="s">
        <v>97</v>
      </c>
      <c r="H59">
        <v>3000000</v>
      </c>
    </row>
    <row r="60" spans="6:11" x14ac:dyDescent="0.15">
      <c r="G60" t="s">
        <v>98</v>
      </c>
      <c r="H60">
        <v>5000000</v>
      </c>
    </row>
    <row r="61" spans="6:11" x14ac:dyDescent="0.15">
      <c r="G61" t="s">
        <v>99</v>
      </c>
    </row>
    <row r="62" spans="6:11" x14ac:dyDescent="0.15">
      <c r="G62" t="s">
        <v>101</v>
      </c>
      <c r="H62">
        <v>1.75</v>
      </c>
    </row>
    <row r="63" spans="6:11" x14ac:dyDescent="0.15">
      <c r="G63" t="s">
        <v>100</v>
      </c>
      <c r="H63">
        <v>2</v>
      </c>
    </row>
    <row r="64" spans="6:11" x14ac:dyDescent="0.15">
      <c r="G64" t="s">
        <v>102</v>
      </c>
      <c r="H64">
        <v>3</v>
      </c>
    </row>
    <row r="65" spans="1:8" x14ac:dyDescent="0.15">
      <c r="G65" t="s">
        <v>103</v>
      </c>
      <c r="H65">
        <v>2</v>
      </c>
    </row>
    <row r="66" spans="1:8" x14ac:dyDescent="0.15">
      <c r="G66" t="s">
        <v>104</v>
      </c>
    </row>
    <row r="67" spans="1:8" x14ac:dyDescent="0.15">
      <c r="G67" t="s">
        <v>113</v>
      </c>
      <c r="H67" t="s">
        <v>114</v>
      </c>
    </row>
    <row r="68" spans="1:8" x14ac:dyDescent="0.15">
      <c r="G68" t="s">
        <v>105</v>
      </c>
      <c r="H68" t="s">
        <v>106</v>
      </c>
    </row>
    <row r="69" spans="1:8" x14ac:dyDescent="0.15">
      <c r="G69" t="s">
        <v>107</v>
      </c>
    </row>
    <row r="70" spans="1:8" x14ac:dyDescent="0.15">
      <c r="G70" t="s">
        <v>63</v>
      </c>
      <c r="H70" t="s">
        <v>108</v>
      </c>
    </row>
    <row r="71" spans="1:8" x14ac:dyDescent="0.15">
      <c r="G71" t="s">
        <v>109</v>
      </c>
      <c r="H71" t="s">
        <v>110</v>
      </c>
    </row>
    <row r="72" spans="1:8" x14ac:dyDescent="0.15">
      <c r="G72" t="s">
        <v>111</v>
      </c>
      <c r="H72" t="s">
        <v>112</v>
      </c>
    </row>
    <row r="74" spans="1:8" x14ac:dyDescent="0.15">
      <c r="C74" t="s">
        <v>462</v>
      </c>
      <c r="D74" s="12" t="s">
        <v>472</v>
      </c>
      <c r="E74" t="s">
        <v>461</v>
      </c>
    </row>
    <row r="75" spans="1:8" x14ac:dyDescent="0.15">
      <c r="C75" t="s">
        <v>463</v>
      </c>
      <c r="D75" s="10">
        <v>0.03</v>
      </c>
    </row>
    <row r="76" spans="1:8" x14ac:dyDescent="0.15">
      <c r="A76" t="s">
        <v>464</v>
      </c>
      <c r="B76" s="46">
        <v>43558</v>
      </c>
      <c r="C76" s="46" t="s">
        <v>471</v>
      </c>
      <c r="D76" s="10">
        <f>YIELD(B76,B77,B78,B79,B80,B81,B82)</f>
        <v>9.9734873431878215E-2</v>
      </c>
      <c r="E76">
        <v>7.2863999999999998E-2</v>
      </c>
    </row>
    <row r="77" spans="1:8" x14ac:dyDescent="0.15">
      <c r="A77" t="s">
        <v>465</v>
      </c>
      <c r="B77" s="46">
        <v>44340</v>
      </c>
      <c r="C77" s="46"/>
    </row>
    <row r="78" spans="1:8" ht="17.25" x14ac:dyDescent="0.3">
      <c r="A78" t="s">
        <v>466</v>
      </c>
      <c r="B78" s="2">
        <v>6.2E-2</v>
      </c>
      <c r="C78" s="2"/>
      <c r="D78" s="47"/>
    </row>
    <row r="79" spans="1:8" ht="17.25" x14ac:dyDescent="0.3">
      <c r="A79" t="s">
        <v>467</v>
      </c>
      <c r="B79">
        <v>93</v>
      </c>
      <c r="D79" s="47"/>
    </row>
    <row r="80" spans="1:8" x14ac:dyDescent="0.15">
      <c r="A80" t="s">
        <v>468</v>
      </c>
      <c r="B80">
        <v>100</v>
      </c>
    </row>
    <row r="81" spans="1:2" x14ac:dyDescent="0.15">
      <c r="A81" t="s">
        <v>469</v>
      </c>
      <c r="B81">
        <v>1</v>
      </c>
    </row>
    <row r="82" spans="1:2" x14ac:dyDescent="0.15">
      <c r="A82" t="s">
        <v>470</v>
      </c>
      <c r="B82">
        <v>3</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topLeftCell="N1" zoomScaleNormal="100" workbookViewId="0">
      <selection activeCell="S11" sqref="S11"/>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256</v>
      </c>
      <c r="B1" s="50" t="s">
        <v>233</v>
      </c>
      <c r="C1" s="50"/>
      <c r="D1" s="50"/>
      <c r="E1" s="50"/>
      <c r="F1" s="50"/>
      <c r="G1" s="50"/>
      <c r="H1" s="50"/>
      <c r="I1" s="50"/>
      <c r="J1" s="50"/>
      <c r="K1" s="50"/>
      <c r="L1" s="50"/>
      <c r="M1" s="50" t="s">
        <v>248</v>
      </c>
      <c r="N1" s="50"/>
      <c r="O1" s="50"/>
      <c r="P1" s="49" t="s">
        <v>221</v>
      </c>
      <c r="Q1" s="49"/>
      <c r="R1" s="49"/>
      <c r="S1" s="49"/>
      <c r="T1" s="49"/>
      <c r="U1" s="49" t="s">
        <v>223</v>
      </c>
      <c r="V1" s="49"/>
      <c r="W1" s="49"/>
      <c r="X1" s="49"/>
      <c r="Y1" s="49"/>
      <c r="Z1" s="49"/>
    </row>
    <row r="2" spans="1:27" x14ac:dyDescent="0.15">
      <c r="B2" s="53" t="s">
        <v>232</v>
      </c>
      <c r="C2" s="53"/>
      <c r="D2" s="53"/>
      <c r="E2" s="53" t="s">
        <v>235</v>
      </c>
      <c r="F2" s="53"/>
      <c r="G2" s="53"/>
      <c r="H2" s="53" t="s">
        <v>241</v>
      </c>
      <c r="I2" s="53"/>
      <c r="J2" s="53" t="s">
        <v>244</v>
      </c>
      <c r="K2" s="53"/>
      <c r="L2" s="53"/>
      <c r="M2" s="33"/>
      <c r="N2" s="34"/>
      <c r="O2" s="33"/>
      <c r="P2" s="53" t="s">
        <v>212</v>
      </c>
      <c r="Q2" s="53"/>
      <c r="R2" s="32" t="s">
        <v>216</v>
      </c>
      <c r="S2" s="53" t="s">
        <v>217</v>
      </c>
      <c r="T2" s="53"/>
      <c r="U2" s="53" t="s">
        <v>230</v>
      </c>
      <c r="V2" s="53"/>
      <c r="W2" s="53" t="s">
        <v>224</v>
      </c>
      <c r="X2" s="53"/>
      <c r="Y2" s="53"/>
      <c r="Z2" s="53" t="s">
        <v>225</v>
      </c>
      <c r="AA2" s="53"/>
    </row>
    <row r="3" spans="1:27" ht="189" x14ac:dyDescent="0.15">
      <c r="B3" s="17" t="s">
        <v>236</v>
      </c>
      <c r="C3" s="17" t="s">
        <v>237</v>
      </c>
      <c r="D3" s="17" t="s">
        <v>234</v>
      </c>
      <c r="E3" s="17" t="s">
        <v>238</v>
      </c>
      <c r="F3" s="17" t="s">
        <v>239</v>
      </c>
      <c r="G3" s="17" t="s">
        <v>240</v>
      </c>
      <c r="H3" s="17" t="s">
        <v>242</v>
      </c>
      <c r="I3" s="17" t="s">
        <v>243</v>
      </c>
      <c r="J3" s="17" t="s">
        <v>245</v>
      </c>
      <c r="K3" s="17" t="s">
        <v>247</v>
      </c>
      <c r="L3" s="17" t="s">
        <v>246</v>
      </c>
      <c r="M3" s="17" t="s">
        <v>251</v>
      </c>
      <c r="N3" s="17" t="s">
        <v>249</v>
      </c>
      <c r="O3" s="17" t="s">
        <v>250</v>
      </c>
      <c r="P3" t="s">
        <v>213</v>
      </c>
      <c r="Q3" t="s">
        <v>214</v>
      </c>
      <c r="R3" s="17" t="s">
        <v>215</v>
      </c>
      <c r="S3" s="17" t="s">
        <v>218</v>
      </c>
      <c r="T3" s="17" t="s">
        <v>219</v>
      </c>
      <c r="U3" s="17" t="s">
        <v>222</v>
      </c>
      <c r="V3" s="17" t="s">
        <v>231</v>
      </c>
      <c r="W3" s="17" t="s">
        <v>278</v>
      </c>
      <c r="X3" s="17" t="s">
        <v>228</v>
      </c>
      <c r="Y3" s="17" t="s">
        <v>229</v>
      </c>
      <c r="Z3" s="17" t="s">
        <v>226</v>
      </c>
      <c r="AA3" s="17" t="s">
        <v>227</v>
      </c>
    </row>
    <row r="4" spans="1:27" x14ac:dyDescent="0.15">
      <c r="A4" t="s">
        <v>255</v>
      </c>
      <c r="B4" t="s">
        <v>258</v>
      </c>
      <c r="C4" t="s">
        <v>259</v>
      </c>
      <c r="H4">
        <v>2</v>
      </c>
      <c r="J4" t="s">
        <v>258</v>
      </c>
      <c r="P4" s="55" t="s">
        <v>220</v>
      </c>
      <c r="Q4" s="55"/>
      <c r="R4" s="55"/>
      <c r="S4" s="55"/>
      <c r="T4" s="55"/>
    </row>
    <row r="5" spans="1:27" x14ac:dyDescent="0.15">
      <c r="P5" s="2">
        <f>3.4/(3.4+1.5+0.8+0.4)</f>
        <v>0.55737704918032782</v>
      </c>
      <c r="R5" t="s">
        <v>257</v>
      </c>
      <c r="S5">
        <v>234</v>
      </c>
      <c r="T5" s="7" t="s">
        <v>260</v>
      </c>
      <c r="V5" t="s">
        <v>261</v>
      </c>
    </row>
  </sheetData>
  <mergeCells count="14">
    <mergeCell ref="B1:L1"/>
    <mergeCell ref="P4:T4"/>
    <mergeCell ref="U2:V2"/>
    <mergeCell ref="B2:D2"/>
    <mergeCell ref="E2:G2"/>
    <mergeCell ref="H2:I2"/>
    <mergeCell ref="J2:L2"/>
    <mergeCell ref="M1:O1"/>
    <mergeCell ref="W2:Y2"/>
    <mergeCell ref="U1:Z1"/>
    <mergeCell ref="Z2:AA2"/>
    <mergeCell ref="P2:Q2"/>
    <mergeCell ref="P1:T1"/>
    <mergeCell ref="S2:T2"/>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abSelected="1" topLeftCell="A31" workbookViewId="0">
      <selection activeCell="E48" sqref="E48"/>
    </sheetView>
  </sheetViews>
  <sheetFormatPr defaultRowHeight="13.5" x14ac:dyDescent="0.15"/>
  <cols>
    <col min="1" max="2" width="19" customWidth="1"/>
    <col min="3" max="3" width="46.5" customWidth="1"/>
    <col min="4" max="4" width="28.625" customWidth="1"/>
    <col min="5" max="5" width="31" customWidth="1"/>
    <col min="6" max="6" width="23.875" customWidth="1"/>
    <col min="7" max="7" width="24.625" customWidth="1"/>
    <col min="8" max="8" width="18.375" bestFit="1" customWidth="1"/>
  </cols>
  <sheetData>
    <row r="1" spans="1:8" x14ac:dyDescent="0.15">
      <c r="A1" s="58" t="s">
        <v>530</v>
      </c>
      <c r="B1" s="59"/>
      <c r="C1" s="59"/>
      <c r="D1" s="59"/>
      <c r="E1" s="59"/>
      <c r="F1" s="59"/>
      <c r="G1" s="59"/>
    </row>
    <row r="2" spans="1:8" x14ac:dyDescent="0.15">
      <c r="A2" s="56" t="s">
        <v>473</v>
      </c>
      <c r="B2" s="56"/>
    </row>
    <row r="3" spans="1:8" x14ac:dyDescent="0.15">
      <c r="A3" s="56"/>
      <c r="B3" s="56" t="s">
        <v>475</v>
      </c>
      <c r="E3" s="56" t="s">
        <v>476</v>
      </c>
    </row>
    <row r="4" spans="1:8" x14ac:dyDescent="0.15">
      <c r="C4" t="s">
        <v>474</v>
      </c>
      <c r="D4" s="57">
        <v>565877218.20000005</v>
      </c>
      <c r="F4" t="s">
        <v>481</v>
      </c>
      <c r="G4" s="57">
        <v>1617766025.99</v>
      </c>
    </row>
    <row r="5" spans="1:8" x14ac:dyDescent="0.15">
      <c r="C5" t="s">
        <v>524</v>
      </c>
      <c r="D5" s="57"/>
      <c r="F5" t="s">
        <v>483</v>
      </c>
      <c r="G5" s="57">
        <v>307253250.00999999</v>
      </c>
    </row>
    <row r="6" spans="1:8" x14ac:dyDescent="0.15">
      <c r="C6" t="s">
        <v>477</v>
      </c>
      <c r="D6" s="57">
        <v>20085570</v>
      </c>
      <c r="F6" t="s">
        <v>482</v>
      </c>
      <c r="G6" s="57">
        <v>100000000</v>
      </c>
    </row>
    <row r="7" spans="1:8" x14ac:dyDescent="0.15">
      <c r="C7" t="s">
        <v>487</v>
      </c>
      <c r="D7" s="57">
        <v>1285323.54</v>
      </c>
      <c r="E7" s="57"/>
      <c r="G7" s="57"/>
    </row>
    <row r="8" spans="1:8" x14ac:dyDescent="0.15">
      <c r="C8" t="s">
        <v>488</v>
      </c>
      <c r="D8" s="57"/>
      <c r="F8" t="s">
        <v>484</v>
      </c>
      <c r="G8" s="57">
        <v>411560067.05000001</v>
      </c>
    </row>
    <row r="9" spans="1:8" x14ac:dyDescent="0.15">
      <c r="C9" t="s">
        <v>493</v>
      </c>
      <c r="D9" s="57">
        <v>13020.42</v>
      </c>
      <c r="F9" t="s">
        <v>511</v>
      </c>
      <c r="G9" s="57"/>
      <c r="H9" s="57"/>
    </row>
    <row r="10" spans="1:8" ht="12.75" customHeight="1" x14ac:dyDescent="0.15">
      <c r="C10" t="s">
        <v>478</v>
      </c>
      <c r="D10" s="57">
        <v>100000000</v>
      </c>
      <c r="F10" t="s">
        <v>485</v>
      </c>
      <c r="G10" s="57">
        <v>497642363.63999999</v>
      </c>
    </row>
    <row r="11" spans="1:8" ht="12.75" customHeight="1" x14ac:dyDescent="0.15">
      <c r="C11" t="s">
        <v>479</v>
      </c>
      <c r="D11" s="57">
        <v>289400000</v>
      </c>
      <c r="F11" t="s">
        <v>519</v>
      </c>
      <c r="G11" s="57">
        <f>SUM(G4:G10)</f>
        <v>2934221706.6900001</v>
      </c>
    </row>
    <row r="12" spans="1:8" ht="12.75" customHeight="1" x14ac:dyDescent="0.15">
      <c r="C12" t="s">
        <v>496</v>
      </c>
      <c r="D12" s="57">
        <v>14995291.25</v>
      </c>
      <c r="G12" s="57"/>
    </row>
    <row r="13" spans="1:8" x14ac:dyDescent="0.15">
      <c r="C13" t="s">
        <v>518</v>
      </c>
      <c r="D13" s="57">
        <f>SUM(D4:D12)</f>
        <v>991656423.40999997</v>
      </c>
      <c r="G13" s="57"/>
    </row>
    <row r="14" spans="1:8" x14ac:dyDescent="0.15">
      <c r="C14" t="s">
        <v>520</v>
      </c>
      <c r="D14" s="57">
        <f>G11-D13</f>
        <v>1942565283.2800002</v>
      </c>
      <c r="G14" s="57"/>
    </row>
    <row r="15" spans="1:8" x14ac:dyDescent="0.15">
      <c r="B15" s="56" t="s">
        <v>486</v>
      </c>
      <c r="E15" s="56" t="s">
        <v>504</v>
      </c>
    </row>
    <row r="16" spans="1:8" x14ac:dyDescent="0.15">
      <c r="C16" t="s">
        <v>490</v>
      </c>
      <c r="D16" s="57">
        <v>478150320.69</v>
      </c>
      <c r="F16" t="s">
        <v>505</v>
      </c>
      <c r="G16" s="57">
        <v>537135244.74000001</v>
      </c>
    </row>
    <row r="17" spans="1:7" x14ac:dyDescent="0.15">
      <c r="C17" t="s">
        <v>489</v>
      </c>
      <c r="D17" s="57">
        <v>74110405.450000003</v>
      </c>
      <c r="F17" t="s">
        <v>506</v>
      </c>
      <c r="G17" s="57">
        <v>276096316.60000002</v>
      </c>
    </row>
    <row r="18" spans="1:7" x14ac:dyDescent="0.15">
      <c r="C18" t="s">
        <v>491</v>
      </c>
      <c r="D18" s="57">
        <v>76478267.040000007</v>
      </c>
      <c r="F18" t="s">
        <v>507</v>
      </c>
      <c r="G18" s="57">
        <v>114102202.48999999</v>
      </c>
    </row>
    <row r="19" spans="1:7" x14ac:dyDescent="0.15">
      <c r="C19" t="s">
        <v>492</v>
      </c>
      <c r="D19" s="57">
        <v>2066416989.02</v>
      </c>
      <c r="F19" t="s">
        <v>508</v>
      </c>
      <c r="G19" s="57">
        <v>39071070.329999998</v>
      </c>
    </row>
    <row r="20" spans="1:7" x14ac:dyDescent="0.15">
      <c r="A20" s="48"/>
      <c r="B20" s="48"/>
      <c r="C20" t="s">
        <v>494</v>
      </c>
      <c r="D20" s="57">
        <v>31555890.039999999</v>
      </c>
      <c r="F20" t="s">
        <v>509</v>
      </c>
      <c r="G20" s="57">
        <v>14579229.77</v>
      </c>
    </row>
    <row r="21" spans="1:7" x14ac:dyDescent="0.15">
      <c r="A21" s="48"/>
      <c r="B21" s="48"/>
      <c r="C21" t="s">
        <v>495</v>
      </c>
      <c r="D21" s="57">
        <v>206000000</v>
      </c>
      <c r="F21" t="s">
        <v>525</v>
      </c>
      <c r="G21" s="57">
        <v>25936723.309999999</v>
      </c>
    </row>
    <row r="22" spans="1:7" x14ac:dyDescent="0.15">
      <c r="C22" t="s">
        <v>480</v>
      </c>
      <c r="D22" s="57">
        <v>1322140.3400000001</v>
      </c>
      <c r="F22" t="s">
        <v>510</v>
      </c>
      <c r="G22" s="57">
        <v>19268787.18</v>
      </c>
    </row>
    <row r="23" spans="1:7" x14ac:dyDescent="0.15">
      <c r="C23" t="s">
        <v>497</v>
      </c>
      <c r="D23" s="57">
        <v>2845891941.6999998</v>
      </c>
      <c r="F23" t="s">
        <v>512</v>
      </c>
      <c r="G23" s="57">
        <v>1816081.9</v>
      </c>
    </row>
    <row r="24" spans="1:7" x14ac:dyDescent="0.15">
      <c r="C24" t="s">
        <v>498</v>
      </c>
      <c r="D24" s="57">
        <v>49714874.829999998</v>
      </c>
      <c r="F24" t="s">
        <v>513</v>
      </c>
      <c r="G24" s="57">
        <v>46809332.100000001</v>
      </c>
    </row>
    <row r="25" spans="1:7" x14ac:dyDescent="0.15">
      <c r="C25" t="s">
        <v>499</v>
      </c>
      <c r="D25" s="57">
        <v>421065054.44999999</v>
      </c>
      <c r="F25" t="s">
        <v>514</v>
      </c>
      <c r="G25" s="57">
        <v>71849676.299999997</v>
      </c>
    </row>
    <row r="26" spans="1:7" x14ac:dyDescent="0.15">
      <c r="C26" t="s">
        <v>500</v>
      </c>
      <c r="D26" s="57">
        <v>6436043.2800000003</v>
      </c>
      <c r="F26" t="s">
        <v>522</v>
      </c>
      <c r="G26" s="57">
        <f>SUM(G16:G25)</f>
        <v>1146664664.7199998</v>
      </c>
    </row>
    <row r="27" spans="1:7" x14ac:dyDescent="0.15">
      <c r="C27" t="s">
        <v>501</v>
      </c>
      <c r="D27" s="57">
        <v>3912319.82</v>
      </c>
    </row>
    <row r="28" spans="1:7" x14ac:dyDescent="0.15">
      <c r="C28" t="s">
        <v>502</v>
      </c>
      <c r="D28" s="57">
        <v>40250511.670000002</v>
      </c>
    </row>
    <row r="29" spans="1:7" x14ac:dyDescent="0.15">
      <c r="C29" t="s">
        <v>503</v>
      </c>
      <c r="D29" s="57">
        <v>116425476.5</v>
      </c>
    </row>
    <row r="30" spans="1:7" x14ac:dyDescent="0.15">
      <c r="C30" t="s">
        <v>521</v>
      </c>
      <c r="D30" s="57">
        <f>SUM(D16:D29)</f>
        <v>6417730234.829999</v>
      </c>
      <c r="E30" s="56"/>
      <c r="F30" s="57"/>
    </row>
    <row r="31" spans="1:7" x14ac:dyDescent="0.15">
      <c r="C31" t="s">
        <v>517</v>
      </c>
      <c r="D31" s="57">
        <f>D30-G26</f>
        <v>5271065570.1099987</v>
      </c>
      <c r="E31" s="56"/>
      <c r="F31" s="57"/>
    </row>
    <row r="32" spans="1:7" x14ac:dyDescent="0.15">
      <c r="E32" s="56" t="s">
        <v>515</v>
      </c>
      <c r="F32" s="57">
        <v>5246322.68</v>
      </c>
    </row>
    <row r="33" spans="1:6" x14ac:dyDescent="0.15">
      <c r="E33" s="56" t="s">
        <v>516</v>
      </c>
      <c r="F33" s="57">
        <v>3323253964.1500001</v>
      </c>
    </row>
    <row r="34" spans="1:6" x14ac:dyDescent="0.15">
      <c r="E34" t="s">
        <v>523</v>
      </c>
      <c r="F34" s="45">
        <f>D31-D14</f>
        <v>3328500286.8299985</v>
      </c>
    </row>
    <row r="35" spans="1:6" x14ac:dyDescent="0.15">
      <c r="A35" s="56" t="s">
        <v>526</v>
      </c>
    </row>
    <row r="36" spans="1:6" x14ac:dyDescent="0.15">
      <c r="C36" t="s">
        <v>528</v>
      </c>
      <c r="D36" t="s">
        <v>543</v>
      </c>
      <c r="E36" s="57">
        <f>4821675351.22-6999822.27</f>
        <v>4814675528.9499998</v>
      </c>
    </row>
    <row r="37" spans="1:6" x14ac:dyDescent="0.15">
      <c r="B37" t="s">
        <v>541</v>
      </c>
      <c r="C37" t="s">
        <v>527</v>
      </c>
      <c r="D37" t="s">
        <v>529</v>
      </c>
      <c r="E37" s="57">
        <f>4387211481.2-173291696.47</f>
        <v>4213919784.73</v>
      </c>
    </row>
    <row r="38" spans="1:6" x14ac:dyDescent="0.15">
      <c r="B38" t="s">
        <v>533</v>
      </c>
      <c r="C38" t="s">
        <v>532</v>
      </c>
      <c r="D38" t="s">
        <v>531</v>
      </c>
      <c r="E38" s="57">
        <v>69225719.019999996</v>
      </c>
    </row>
    <row r="39" spans="1:6" x14ac:dyDescent="0.15">
      <c r="C39" t="s">
        <v>534</v>
      </c>
      <c r="D39" t="s">
        <v>540</v>
      </c>
      <c r="E39" s="57">
        <f>13177346.1+138057.82</f>
        <v>13315403.92</v>
      </c>
    </row>
    <row r="40" spans="1:6" x14ac:dyDescent="0.15">
      <c r="C40" t="s">
        <v>535</v>
      </c>
    </row>
    <row r="41" spans="1:6" x14ac:dyDescent="0.15">
      <c r="C41" t="s">
        <v>536</v>
      </c>
      <c r="D41" t="s">
        <v>538</v>
      </c>
      <c r="E41" s="57">
        <f>26283563.05-7601464.17</f>
        <v>18682098.880000003</v>
      </c>
    </row>
    <row r="42" spans="1:6" x14ac:dyDescent="0.15">
      <c r="C42" t="s">
        <v>537</v>
      </c>
      <c r="E42" s="45"/>
      <c r="F42" s="45"/>
    </row>
    <row r="43" spans="1:6" x14ac:dyDescent="0.15">
      <c r="C43" t="s">
        <v>539</v>
      </c>
      <c r="E43" s="57">
        <f>E36-E37+E38+E39+E40+E41</f>
        <v>701978966.03999972</v>
      </c>
    </row>
    <row r="44" spans="1:6" x14ac:dyDescent="0.15">
      <c r="C44" t="s">
        <v>542</v>
      </c>
      <c r="E44" s="57">
        <v>121650803.95999999</v>
      </c>
    </row>
    <row r="45" spans="1:6" x14ac:dyDescent="0.15">
      <c r="C45" t="s">
        <v>544</v>
      </c>
      <c r="D45" t="s">
        <v>546</v>
      </c>
      <c r="E45" s="57">
        <f>173291696.47*E46</f>
        <v>39353336.147708274</v>
      </c>
    </row>
    <row r="46" spans="1:6" x14ac:dyDescent="0.15">
      <c r="C46" t="s">
        <v>553</v>
      </c>
      <c r="D46" t="s">
        <v>545</v>
      </c>
      <c r="E46" s="2">
        <f>121650803.96/535687091.84</f>
        <v>0.2270930283986288</v>
      </c>
    </row>
    <row r="47" spans="1:6" x14ac:dyDescent="0.15">
      <c r="B47" t="s">
        <v>547</v>
      </c>
      <c r="E47" s="60">
        <f>E43-E44-E45</f>
        <v>540974825.93229139</v>
      </c>
    </row>
    <row r="48" spans="1:6" x14ac:dyDescent="0.15">
      <c r="B48" t="s">
        <v>548</v>
      </c>
      <c r="D48" t="s">
        <v>559</v>
      </c>
      <c r="E48" s="60">
        <f>E51*(1-E46)</f>
        <v>103773320.56256963</v>
      </c>
    </row>
    <row r="49" spans="2:5" x14ac:dyDescent="0.15">
      <c r="C49" t="s">
        <v>549</v>
      </c>
      <c r="D49" t="s">
        <v>549</v>
      </c>
      <c r="E49" s="57">
        <v>141263484.49000001</v>
      </c>
    </row>
    <row r="50" spans="2:5" x14ac:dyDescent="0.15">
      <c r="C50" t="s">
        <v>550</v>
      </c>
      <c r="D50" t="s">
        <v>550</v>
      </c>
      <c r="E50" s="57">
        <v>-6999822.2699999996</v>
      </c>
    </row>
    <row r="51" spans="2:5" x14ac:dyDescent="0.15">
      <c r="C51" t="s">
        <v>551</v>
      </c>
      <c r="E51" s="45">
        <f>E49+E50</f>
        <v>134263662.22</v>
      </c>
    </row>
    <row r="52" spans="2:5" x14ac:dyDescent="0.15">
      <c r="C52" t="s">
        <v>544</v>
      </c>
      <c r="D52" t="s">
        <v>554</v>
      </c>
      <c r="E52" s="45">
        <f>E51*E46</f>
        <v>30490341.657430366</v>
      </c>
    </row>
    <row r="53" spans="2:5" x14ac:dyDescent="0.15">
      <c r="C53" t="s">
        <v>552</v>
      </c>
      <c r="E53" s="45">
        <f>E51-E52</f>
        <v>103773320.56256963</v>
      </c>
    </row>
    <row r="54" spans="2:5" x14ac:dyDescent="0.15">
      <c r="C54" t="s">
        <v>555</v>
      </c>
    </row>
    <row r="55" spans="2:5" x14ac:dyDescent="0.15">
      <c r="C55" t="s">
        <v>556</v>
      </c>
      <c r="D55" s="57" t="s">
        <v>558</v>
      </c>
      <c r="E55" s="57">
        <f>32915941.93+6859120.32</f>
        <v>39775062.25</v>
      </c>
    </row>
    <row r="56" spans="2:5" x14ac:dyDescent="0.15">
      <c r="C56" t="s">
        <v>557</v>
      </c>
    </row>
    <row r="57" spans="2:5" x14ac:dyDescent="0.15">
      <c r="C57" t="s">
        <v>515</v>
      </c>
      <c r="E57" s="57">
        <v>3833049.95</v>
      </c>
    </row>
    <row r="58" spans="2:5" x14ac:dyDescent="0.15">
      <c r="B58" t="s">
        <v>560</v>
      </c>
    </row>
  </sheetData>
  <mergeCells count="1">
    <mergeCell ref="A1:G1"/>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49" zoomScaleNormal="100" workbookViewId="0">
      <selection activeCell="E33" sqref="E33:E37"/>
    </sheetView>
  </sheetViews>
  <sheetFormatPr defaultRowHeight="13.5" x14ac:dyDescent="0.15"/>
  <cols>
    <col min="1" max="1" width="21.5" customWidth="1"/>
    <col min="2" max="2" width="24.5" customWidth="1"/>
    <col min="3" max="3" width="23.5" customWidth="1"/>
    <col min="6" max="7" width="16.125" customWidth="1"/>
    <col min="9" max="9" width="24.625" customWidth="1"/>
    <col min="10" max="10" width="25" customWidth="1"/>
    <col min="11" max="11" width="24.125" customWidth="1"/>
  </cols>
  <sheetData>
    <row r="1" spans="1:11" x14ac:dyDescent="0.15">
      <c r="B1" t="s">
        <v>379</v>
      </c>
      <c r="C1" t="s">
        <v>378</v>
      </c>
      <c r="D1" t="s">
        <v>369</v>
      </c>
      <c r="F1" t="s">
        <v>382</v>
      </c>
      <c r="G1" t="s">
        <v>383</v>
      </c>
      <c r="I1" t="s">
        <v>396</v>
      </c>
      <c r="J1" t="s">
        <v>397</v>
      </c>
      <c r="K1" t="s">
        <v>402</v>
      </c>
    </row>
    <row r="2" spans="1:11" x14ac:dyDescent="0.15">
      <c r="A2" t="s">
        <v>0</v>
      </c>
      <c r="B2">
        <v>6.4</v>
      </c>
      <c r="C2">
        <v>5.39</v>
      </c>
      <c r="F2">
        <v>46.72</v>
      </c>
      <c r="G2">
        <v>10.199999999999999</v>
      </c>
      <c r="I2">
        <v>34.74</v>
      </c>
      <c r="J2">
        <v>49.45</v>
      </c>
      <c r="K2">
        <v>28.85</v>
      </c>
    </row>
    <row r="3" spans="1:11" x14ac:dyDescent="0.15">
      <c r="A3" t="s">
        <v>351</v>
      </c>
      <c r="B3">
        <v>11.56</v>
      </c>
      <c r="C3">
        <v>15.31</v>
      </c>
      <c r="F3">
        <v>7.58</v>
      </c>
      <c r="G3">
        <v>30.66</v>
      </c>
      <c r="I3">
        <v>8.1479999999999997</v>
      </c>
      <c r="J3">
        <v>6.7350000000000003</v>
      </c>
      <c r="K3">
        <v>8.8629999999999995</v>
      </c>
    </row>
    <row r="4" spans="1:11" x14ac:dyDescent="0.15">
      <c r="A4" t="s">
        <v>352</v>
      </c>
      <c r="B4">
        <v>74</v>
      </c>
      <c r="C4">
        <v>82.54</v>
      </c>
      <c r="F4">
        <v>354.09</v>
      </c>
      <c r="G4">
        <v>312.7</v>
      </c>
      <c r="I4">
        <v>283.10000000000002</v>
      </c>
      <c r="J4">
        <v>333.1</v>
      </c>
      <c r="K4">
        <v>255.7</v>
      </c>
    </row>
    <row r="5" spans="1:11" x14ac:dyDescent="0.15">
      <c r="A5" t="s">
        <v>353</v>
      </c>
      <c r="B5">
        <v>16.010000000000002</v>
      </c>
      <c r="C5">
        <v>17.23</v>
      </c>
      <c r="F5">
        <v>45.1</v>
      </c>
      <c r="G5">
        <v>126.7</v>
      </c>
      <c r="I5">
        <v>24.82</v>
      </c>
      <c r="J5">
        <v>10.31</v>
      </c>
      <c r="K5">
        <v>47.5</v>
      </c>
    </row>
    <row r="6" spans="1:11" x14ac:dyDescent="0.15">
      <c r="A6" t="s">
        <v>354</v>
      </c>
      <c r="B6">
        <f>B4+B5</f>
        <v>90.01</v>
      </c>
      <c r="C6">
        <f>C4+C5</f>
        <v>99.77000000000001</v>
      </c>
      <c r="F6">
        <f t="shared" ref="F6:K6" si="0">F4+F5</f>
        <v>399.19</v>
      </c>
      <c r="G6">
        <f t="shared" si="0"/>
        <v>439.4</v>
      </c>
      <c r="I6">
        <f t="shared" si="0"/>
        <v>307.92</v>
      </c>
      <c r="J6">
        <f t="shared" si="0"/>
        <v>343.41</v>
      </c>
      <c r="K6">
        <f t="shared" si="0"/>
        <v>303.2</v>
      </c>
    </row>
    <row r="7" spans="1:11" x14ac:dyDescent="0.15">
      <c r="A7" t="s">
        <v>355</v>
      </c>
      <c r="B7">
        <v>6.66</v>
      </c>
      <c r="C7">
        <v>2.9270999999999998</v>
      </c>
      <c r="F7">
        <v>10.8</v>
      </c>
      <c r="G7">
        <v>6.03</v>
      </c>
      <c r="I7">
        <v>6.1</v>
      </c>
      <c r="J7">
        <v>6.06</v>
      </c>
      <c r="K7">
        <v>14.95</v>
      </c>
    </row>
    <row r="8" spans="1:11" x14ac:dyDescent="0.15">
      <c r="A8" t="s">
        <v>356</v>
      </c>
      <c r="B8">
        <v>38.58</v>
      </c>
      <c r="C8">
        <v>32.49</v>
      </c>
      <c r="F8">
        <v>113.6</v>
      </c>
      <c r="G8">
        <v>341</v>
      </c>
      <c r="I8" t="s">
        <v>391</v>
      </c>
      <c r="J8">
        <v>21.82</v>
      </c>
      <c r="K8">
        <v>92.86</v>
      </c>
    </row>
    <row r="9" spans="1:11" x14ac:dyDescent="0.15">
      <c r="A9" t="s">
        <v>357</v>
      </c>
      <c r="B9">
        <v>2.6429999999999998</v>
      </c>
      <c r="C9">
        <v>4.07</v>
      </c>
      <c r="F9">
        <v>14.89</v>
      </c>
      <c r="G9">
        <v>21.53</v>
      </c>
      <c r="I9">
        <v>12.21</v>
      </c>
      <c r="J9">
        <v>4.5289999999999999</v>
      </c>
      <c r="K9">
        <v>9.6259999999999994</v>
      </c>
    </row>
    <row r="10" spans="1:11" x14ac:dyDescent="0.15">
      <c r="A10" t="s">
        <v>370</v>
      </c>
      <c r="B10">
        <v>0.23</v>
      </c>
      <c r="C10">
        <v>0.26450000000000001</v>
      </c>
      <c r="F10">
        <v>2.0499999999999998</v>
      </c>
      <c r="G10" t="s">
        <v>388</v>
      </c>
      <c r="I10" t="s">
        <v>392</v>
      </c>
      <c r="J10" t="s">
        <v>398</v>
      </c>
      <c r="K10" t="s">
        <v>403</v>
      </c>
    </row>
    <row r="11" spans="1:11" x14ac:dyDescent="0.15">
      <c r="A11" t="s">
        <v>371</v>
      </c>
      <c r="B11">
        <v>0.16</v>
      </c>
      <c r="C11">
        <v>0.45929999999999999</v>
      </c>
      <c r="F11" t="s">
        <v>384</v>
      </c>
      <c r="G11" t="s">
        <v>389</v>
      </c>
      <c r="I11" t="s">
        <v>393</v>
      </c>
      <c r="J11" t="s">
        <v>399</v>
      </c>
      <c r="K11" t="s">
        <v>404</v>
      </c>
    </row>
    <row r="12" spans="1:11" x14ac:dyDescent="0.15">
      <c r="A12" t="s">
        <v>372</v>
      </c>
      <c r="B12">
        <v>0.21</v>
      </c>
      <c r="C12">
        <v>0.749</v>
      </c>
      <c r="G12" t="s">
        <v>390</v>
      </c>
      <c r="I12" t="s">
        <v>394</v>
      </c>
      <c r="J12" t="s">
        <v>401</v>
      </c>
    </row>
    <row r="13" spans="1:11" x14ac:dyDescent="0.15">
      <c r="A13" t="s">
        <v>358</v>
      </c>
      <c r="B13">
        <v>0.2</v>
      </c>
      <c r="C13">
        <v>0.2</v>
      </c>
      <c r="F13">
        <v>0.25</v>
      </c>
      <c r="G13" t="s">
        <v>386</v>
      </c>
      <c r="I13">
        <v>1</v>
      </c>
      <c r="J13">
        <v>0.28000000000000003</v>
      </c>
      <c r="K13">
        <v>1.6140000000000001</v>
      </c>
    </row>
    <row r="14" spans="1:11" x14ac:dyDescent="0.15">
      <c r="A14" t="s">
        <v>359</v>
      </c>
      <c r="B14" t="s">
        <v>373</v>
      </c>
      <c r="F14" t="s">
        <v>385</v>
      </c>
      <c r="G14" t="s">
        <v>387</v>
      </c>
      <c r="I14" t="s">
        <v>395</v>
      </c>
      <c r="J14" t="s">
        <v>400</v>
      </c>
      <c r="K14" t="s">
        <v>405</v>
      </c>
    </row>
    <row r="15" spans="1:11" ht="14.25" x14ac:dyDescent="0.15">
      <c r="A15" s="36" t="s">
        <v>360</v>
      </c>
    </row>
    <row r="16" spans="1:11" x14ac:dyDescent="0.15">
      <c r="A16" t="s">
        <v>361</v>
      </c>
      <c r="B16">
        <v>23.03</v>
      </c>
      <c r="C16">
        <v>20.28</v>
      </c>
      <c r="F16">
        <v>23.78</v>
      </c>
      <c r="G16">
        <v>14.52</v>
      </c>
      <c r="I16">
        <v>16.22</v>
      </c>
      <c r="J16">
        <v>47.93</v>
      </c>
      <c r="K16">
        <v>15.78</v>
      </c>
    </row>
    <row r="17" spans="1:11" x14ac:dyDescent="0.15">
      <c r="A17" t="s">
        <v>362</v>
      </c>
      <c r="B17" s="2">
        <f>B2/B7</f>
        <v>0.96096096096096095</v>
      </c>
      <c r="C17" s="2">
        <f>C2/C7</f>
        <v>1.8414130026305899</v>
      </c>
      <c r="D17" s="2"/>
      <c r="E17" s="2"/>
      <c r="F17" s="2">
        <f t="shared" ref="F17:K17" si="1">F2/F7</f>
        <v>4.325925925925926</v>
      </c>
      <c r="G17" s="2">
        <f t="shared" si="1"/>
        <v>1.6915422885572138</v>
      </c>
      <c r="H17" s="2"/>
      <c r="I17" s="2">
        <f t="shared" si="1"/>
        <v>5.695081967213115</v>
      </c>
      <c r="J17" s="2">
        <f t="shared" si="1"/>
        <v>8.1600660066006618</v>
      </c>
      <c r="K17" s="2">
        <f t="shared" si="1"/>
        <v>1.9297658862876257</v>
      </c>
    </row>
    <row r="18" spans="1:11" x14ac:dyDescent="0.15">
      <c r="A18" t="s">
        <v>363</v>
      </c>
      <c r="B18" s="2">
        <f>B13/B2</f>
        <v>3.125E-2</v>
      </c>
      <c r="C18" s="2">
        <f>C13/C2</f>
        <v>3.7105751391465679E-2</v>
      </c>
      <c r="D18" s="2"/>
      <c r="E18" s="2"/>
      <c r="F18" s="2">
        <f t="shared" ref="F18" si="2">F13/F2</f>
        <v>5.3510273972602737E-3</v>
      </c>
      <c r="G18" s="2">
        <f>0.1/G2</f>
        <v>9.8039215686274526E-3</v>
      </c>
      <c r="H18" s="2"/>
      <c r="I18" s="2">
        <f t="shared" ref="I18:K18" si="3">0.1/I2</f>
        <v>2.8785261945883708E-3</v>
      </c>
      <c r="J18" s="2">
        <f t="shared" si="3"/>
        <v>2.0222446916076846E-3</v>
      </c>
      <c r="K18" s="2">
        <f t="shared" si="3"/>
        <v>3.4662045060658577E-3</v>
      </c>
    </row>
    <row r="19" spans="1:11" x14ac:dyDescent="0.15">
      <c r="A19" t="s">
        <v>364</v>
      </c>
      <c r="B19" s="2">
        <f>B9/B8</f>
        <v>6.8506998444790038E-2</v>
      </c>
      <c r="C19" s="2">
        <f>C9/C8</f>
        <v>0.1252693136349646</v>
      </c>
      <c r="D19" s="2"/>
      <c r="E19" s="2"/>
      <c r="F19" s="2">
        <f t="shared" ref="F19:G19" si="4">F9/F8</f>
        <v>0.13107394366197184</v>
      </c>
      <c r="G19" s="2">
        <f t="shared" si="4"/>
        <v>6.3137829912023463E-2</v>
      </c>
      <c r="H19" s="2"/>
      <c r="I19" s="2">
        <f>12.21/55.44</f>
        <v>0.22023809523809526</v>
      </c>
      <c r="J19" s="2">
        <f>4.529/21.82</f>
        <v>0.20756186984417965</v>
      </c>
      <c r="K19" s="2">
        <f>9.626/92.86</f>
        <v>0.10366142580228301</v>
      </c>
    </row>
    <row r="20" spans="1:11" x14ac:dyDescent="0.15">
      <c r="A20" t="s">
        <v>365</v>
      </c>
      <c r="B20" s="2">
        <f>B10/B7</f>
        <v>3.4534534534534533E-2</v>
      </c>
      <c r="C20" s="2">
        <f>C10/C7</f>
        <v>9.0362474804413936E-2</v>
      </c>
      <c r="D20" s="2"/>
      <c r="E20" s="2"/>
      <c r="F20" s="2">
        <f t="shared" ref="F20" si="5">F10/F7</f>
        <v>0.1898148148148148</v>
      </c>
      <c r="G20" s="2">
        <f>0.462/G7</f>
        <v>7.6616915422885568E-2</v>
      </c>
      <c r="H20" s="2"/>
      <c r="I20" s="2">
        <f>1.43/6.1</f>
        <v>0.23442622950819672</v>
      </c>
      <c r="J20" s="2">
        <f>0.94/6.06</f>
        <v>0.15511551155115511</v>
      </c>
      <c r="K20" s="2">
        <f>2.13/14.95</f>
        <v>0.14247491638795987</v>
      </c>
    </row>
    <row r="21" spans="1:11" x14ac:dyDescent="0.15">
      <c r="A21" t="s">
        <v>366</v>
      </c>
      <c r="B21" t="s">
        <v>374</v>
      </c>
      <c r="C21" t="s">
        <v>380</v>
      </c>
      <c r="F21">
        <v>1.68</v>
      </c>
      <c r="G21">
        <v>1.8</v>
      </c>
      <c r="I21">
        <v>1.36</v>
      </c>
      <c r="J21">
        <v>1.22</v>
      </c>
      <c r="K21">
        <v>1.45</v>
      </c>
    </row>
    <row r="22" spans="1:11" x14ac:dyDescent="0.15">
      <c r="A22" t="s">
        <v>367</v>
      </c>
      <c r="B22" s="45" t="s">
        <v>375</v>
      </c>
      <c r="C22" t="s">
        <v>381</v>
      </c>
      <c r="F22">
        <v>1.45</v>
      </c>
      <c r="G22">
        <v>1.38</v>
      </c>
      <c r="I22">
        <v>1.03</v>
      </c>
      <c r="J22">
        <v>1.06</v>
      </c>
      <c r="K22">
        <v>1.1599999999999999</v>
      </c>
    </row>
    <row r="23" spans="1:11" ht="14.25" x14ac:dyDescent="0.15">
      <c r="A23" s="36" t="s">
        <v>368</v>
      </c>
    </row>
    <row r="24" spans="1:11" x14ac:dyDescent="0.15">
      <c r="A24" t="s">
        <v>376</v>
      </c>
      <c r="B24" s="2">
        <f>(B10-B11)/B11</f>
        <v>0.43750000000000006</v>
      </c>
      <c r="C24" s="2">
        <f>(C10-C11)/C11</f>
        <v>-0.424123666448944</v>
      </c>
      <c r="D24" s="2"/>
      <c r="E24" s="2"/>
      <c r="F24" s="2">
        <f>(2.05-0.96)/0.96</f>
        <v>1.1354166666666665</v>
      </c>
      <c r="G24" s="2">
        <f>(0.462-0.564)/0.564</f>
        <v>-0.18085106382978711</v>
      </c>
      <c r="I24" s="2">
        <f>(1.43-0.43)/0.43</f>
        <v>2.3255813953488373</v>
      </c>
      <c r="J24" s="2">
        <f>(0.94-0.44)/0.44</f>
        <v>1.1363636363636362</v>
      </c>
      <c r="K24" s="2">
        <f>(2.13-1.79)/1.79</f>
        <v>0.1899441340782122</v>
      </c>
    </row>
    <row r="25" spans="1:11" x14ac:dyDescent="0.15">
      <c r="A25" t="s">
        <v>377</v>
      </c>
      <c r="B25" s="2">
        <f>(B10-B12)/B12</f>
        <v>9.523809523809533E-2</v>
      </c>
      <c r="C25" s="2">
        <f>(C10-C12)/C12</f>
        <v>-0.64686248331108143</v>
      </c>
      <c r="G25" s="2">
        <f>(0.462-0.538)/0.538</f>
        <v>-0.14126394052044611</v>
      </c>
      <c r="I25" s="2">
        <f>(1.43-0.0763)/0.0763</f>
        <v>17.741808650065529</v>
      </c>
      <c r="J25" s="2">
        <f>(0.94-0.25)/0.25</f>
        <v>2.76</v>
      </c>
    </row>
    <row r="26" spans="1:11" ht="14.25" x14ac:dyDescent="0.15">
      <c r="A26" s="36" t="s">
        <v>406</v>
      </c>
    </row>
    <row r="27" spans="1:11" x14ac:dyDescent="0.15">
      <c r="A27" t="s">
        <v>407</v>
      </c>
      <c r="I27" s="2">
        <f>(33.53-3.79)/3.79</f>
        <v>7.846965699208444</v>
      </c>
    </row>
    <row r="28" spans="1:11" x14ac:dyDescent="0.15">
      <c r="A28" t="s">
        <v>408</v>
      </c>
      <c r="I28" s="2">
        <f>(33.53-0.55)/0.55</f>
        <v>59.963636363636368</v>
      </c>
    </row>
    <row r="33" spans="1:3" x14ac:dyDescent="0.15">
      <c r="B33" t="s">
        <v>457</v>
      </c>
      <c r="C33" t="s">
        <v>458</v>
      </c>
    </row>
    <row r="34" spans="1:3" x14ac:dyDescent="0.15">
      <c r="A34" t="s">
        <v>0</v>
      </c>
      <c r="B34">
        <v>5.15</v>
      </c>
      <c r="C34">
        <v>53.18</v>
      </c>
    </row>
    <row r="35" spans="1:3" x14ac:dyDescent="0.15">
      <c r="A35" t="s">
        <v>351</v>
      </c>
      <c r="B35">
        <v>20.28</v>
      </c>
      <c r="C35">
        <v>27.28</v>
      </c>
    </row>
    <row r="36" spans="1:3" x14ac:dyDescent="0.15">
      <c r="A36" t="s">
        <v>352</v>
      </c>
      <c r="B36">
        <v>104.63</v>
      </c>
      <c r="C36">
        <v>1450.83</v>
      </c>
    </row>
    <row r="37" spans="1:3" x14ac:dyDescent="0.15">
      <c r="A37" t="s">
        <v>353</v>
      </c>
      <c r="B37">
        <v>141.4</v>
      </c>
      <c r="C37">
        <v>1339</v>
      </c>
    </row>
    <row r="38" spans="1:3" x14ac:dyDescent="0.15">
      <c r="A38" t="s">
        <v>354</v>
      </c>
      <c r="B38">
        <f>B36+B37</f>
        <v>246.03</v>
      </c>
      <c r="C38">
        <f>C36+C37</f>
        <v>2789.83</v>
      </c>
    </row>
    <row r="39" spans="1:3" x14ac:dyDescent="0.15">
      <c r="A39" t="s">
        <v>355</v>
      </c>
      <c r="B39">
        <f>(171-65.79)/B35</f>
        <v>5.1878698224852062</v>
      </c>
      <c r="C39">
        <v>18.079999999999998</v>
      </c>
    </row>
    <row r="40" spans="1:3" x14ac:dyDescent="0.15">
      <c r="A40" t="s">
        <v>356</v>
      </c>
      <c r="B40">
        <v>133.69999999999999</v>
      </c>
      <c r="C40">
        <v>1059</v>
      </c>
    </row>
    <row r="41" spans="1:3" x14ac:dyDescent="0.15">
      <c r="A41" t="s">
        <v>357</v>
      </c>
      <c r="B41">
        <v>3.8210000000000002</v>
      </c>
      <c r="C41">
        <v>29.87</v>
      </c>
    </row>
    <row r="42" spans="1:3" x14ac:dyDescent="0.15">
      <c r="A42" t="s">
        <v>370</v>
      </c>
      <c r="B42">
        <v>0.69</v>
      </c>
      <c r="C42">
        <v>0.13</v>
      </c>
    </row>
    <row r="43" spans="1:3" x14ac:dyDescent="0.15">
      <c r="A43" t="s">
        <v>459</v>
      </c>
      <c r="B43">
        <f>(0.16+0.1+0.06+0.12+0.05)/5</f>
        <v>9.8000000000000004E-2</v>
      </c>
      <c r="C43">
        <f>(1.01+1.73+0.47-0.28-0.02)/5</f>
        <v>0.58199999999999996</v>
      </c>
    </row>
    <row r="44" spans="1:3" x14ac:dyDescent="0.15">
      <c r="A44" t="s">
        <v>460</v>
      </c>
      <c r="B44">
        <f>0.098+(0.08+0.13+0.11+0.06+0.11)/5</f>
        <v>0.19600000000000001</v>
      </c>
      <c r="C44">
        <f>0.582+(-0.21+0.27+0.91+1.56+0.3)/5</f>
        <v>1.1480000000000001</v>
      </c>
    </row>
    <row r="45" spans="1:3" x14ac:dyDescent="0.15">
      <c r="A45" t="s">
        <v>358</v>
      </c>
      <c r="B45">
        <v>1.4999999999999999E-2</v>
      </c>
      <c r="C45">
        <v>0.20399999999999999</v>
      </c>
    </row>
    <row r="46" spans="1:3" x14ac:dyDescent="0.15">
      <c r="A46" t="s">
        <v>359</v>
      </c>
      <c r="B46">
        <v>2013</v>
      </c>
      <c r="C46">
        <v>2014</v>
      </c>
    </row>
    <row r="47" spans="1:3" ht="14.25" x14ac:dyDescent="0.15">
      <c r="A47" s="36" t="s">
        <v>360</v>
      </c>
    </row>
    <row r="48" spans="1:3" x14ac:dyDescent="0.15">
      <c r="A48" t="s">
        <v>361</v>
      </c>
      <c r="B48">
        <v>18.93</v>
      </c>
      <c r="C48">
        <v>53.69</v>
      </c>
    </row>
    <row r="49" spans="1:3" x14ac:dyDescent="0.15">
      <c r="A49" t="s">
        <v>362</v>
      </c>
      <c r="B49" s="2">
        <f>B34/B39</f>
        <v>0.99270031365839773</v>
      </c>
      <c r="C49" s="2">
        <f>C34/C39</f>
        <v>2.9413716814159296</v>
      </c>
    </row>
    <row r="50" spans="1:3" x14ac:dyDescent="0.15">
      <c r="A50" t="s">
        <v>363</v>
      </c>
      <c r="B50" s="2">
        <v>2.8999999999999998E-3</v>
      </c>
    </row>
    <row r="51" spans="1:3" x14ac:dyDescent="0.15">
      <c r="A51" t="s">
        <v>364</v>
      </c>
      <c r="B51" s="2">
        <f>B41/B40</f>
        <v>2.8578908002991777E-2</v>
      </c>
      <c r="C51" s="2">
        <f>C41/C40</f>
        <v>2.8205854579792258E-2</v>
      </c>
    </row>
    <row r="52" spans="1:3" x14ac:dyDescent="0.15">
      <c r="A52" t="s">
        <v>365</v>
      </c>
      <c r="B52" s="2">
        <f>0.69/B39</f>
        <v>0.13300256629597948</v>
      </c>
      <c r="C52" s="2">
        <f>0.69/C39</f>
        <v>3.8163716814159296E-2</v>
      </c>
    </row>
    <row r="53" spans="1:3" x14ac:dyDescent="0.15">
      <c r="A53" t="s">
        <v>366</v>
      </c>
      <c r="B53">
        <v>1.74</v>
      </c>
      <c r="C53">
        <v>0.93</v>
      </c>
    </row>
    <row r="54" spans="1:3" x14ac:dyDescent="0.15">
      <c r="A54" t="s">
        <v>367</v>
      </c>
      <c r="B54" s="2">
        <f>(159-132)/141</f>
        <v>0.19148936170212766</v>
      </c>
      <c r="C54" s="2">
        <f>(1152-1166)/1339</f>
        <v>-1.0455563853622106E-2</v>
      </c>
    </row>
    <row r="55" spans="1:3" ht="14.25" x14ac:dyDescent="0.15">
      <c r="A55" s="36" t="s">
        <v>368</v>
      </c>
    </row>
    <row r="56" spans="1:3" x14ac:dyDescent="0.15">
      <c r="A56" t="s">
        <v>376</v>
      </c>
      <c r="B56" s="2">
        <f>(0.69-0.098)/0.098</f>
        <v>6.0408163265306118</v>
      </c>
      <c r="C56" s="2">
        <f>(0.13-0.582)/0.582</f>
        <v>-0.7766323024054983</v>
      </c>
    </row>
    <row r="57" spans="1:3" x14ac:dyDescent="0.15">
      <c r="A57" t="s">
        <v>377</v>
      </c>
      <c r="B57" s="2">
        <f>(0.69-0.196)/0.196</f>
        <v>2.5204081632653059</v>
      </c>
      <c r="C57" s="2">
        <f>(0.13-1.148)/1.148</f>
        <v>-0.88675958188153303</v>
      </c>
    </row>
    <row r="58" spans="1:3" ht="14.25" x14ac:dyDescent="0.15">
      <c r="A58" s="36" t="s">
        <v>406</v>
      </c>
    </row>
    <row r="59" spans="1:3" x14ac:dyDescent="0.15">
      <c r="A59" t="s">
        <v>407</v>
      </c>
      <c r="B59" s="2">
        <f>(4.33-4.18)/4.18</f>
        <v>3.5885167464114923E-2</v>
      </c>
      <c r="C59" s="2">
        <f>(51-36.94)/36.94</f>
        <v>0.38061721710882523</v>
      </c>
    </row>
    <row r="60" spans="1:3" x14ac:dyDescent="0.15">
      <c r="A60" t="s">
        <v>408</v>
      </c>
      <c r="B60" s="2">
        <f>(4.33-4.15)/4.15</f>
        <v>4.3373493975903545E-2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资产负债表-低价股F</vt:lpstr>
      <vt:lpstr>估值方法</vt:lpstr>
      <vt:lpstr>损益表分析-收益股G</vt:lpstr>
      <vt:lpstr>成长股十五原则</vt:lpstr>
      <vt:lpstr>公司分析</vt:lpstr>
      <vt:lpstr>债券</vt:lpstr>
      <vt:lpstr>保守型投资要素</vt:lpstr>
      <vt:lpstr>报表调整</vt:lpstr>
      <vt:lpstr>公司比较</vt:lpstr>
      <vt:lpstr>市场现状观察</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2019-04-14T02:55:58Z</dcterms:modified>
</cp:coreProperties>
</file>