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defaultThemeVersion="124226"/>
  <bookViews>
    <workbookView xWindow="0" yWindow="0" windowWidth="20490" windowHeight="7560" activeTab="3"/>
  </bookViews>
  <sheets>
    <sheet name="选股逻辑" sheetId="1" r:id="rId1"/>
    <sheet name="资产负债表-低价股F" sheetId="14" r:id="rId2"/>
    <sheet name="损益表分析-收益股G" sheetId="15" r:id="rId3"/>
    <sheet name="成长股十五原则" sheetId="17" r:id="rId4"/>
    <sheet name="投资者不要原则" sheetId="20" r:id="rId5"/>
    <sheet name="成长股财务指标" sheetId="19" r:id="rId6"/>
    <sheet name="成长股买卖原则" sheetId="18" r:id="rId7"/>
    <sheet name="债券选择原则-H" sheetId="16" r:id="rId8"/>
  </sheets>
  <externalReferences>
    <externalReference r:id="rId9"/>
    <externalReference r:id="rId10"/>
  </externalReferenc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13" i="14" l="1"/>
  <c r="N13" i="14"/>
  <c r="M13" i="14"/>
  <c r="E20" i="14"/>
  <c r="E16" i="14"/>
  <c r="E15" i="14"/>
  <c r="E14" i="14"/>
  <c r="E17" i="14"/>
  <c r="E18" i="14"/>
  <c r="E19" i="14"/>
  <c r="B13" i="14"/>
  <c r="D3" i="19" l="1"/>
  <c r="B3" i="19" l="1"/>
  <c r="M4" i="17"/>
  <c r="L4" i="17"/>
  <c r="K4" i="17"/>
  <c r="K3" i="19" l="1"/>
  <c r="E3" i="19"/>
  <c r="C3" i="19" l="1"/>
  <c r="O12" i="14" l="1"/>
  <c r="N12" i="14"/>
  <c r="M12" i="14"/>
  <c r="B12" i="14"/>
  <c r="O11" i="14" l="1"/>
  <c r="N11" i="14"/>
  <c r="M11" i="14"/>
  <c r="B11" i="14"/>
  <c r="L6" i="17" l="1"/>
  <c r="L5" i="17"/>
  <c r="K6" i="17" l="1"/>
  <c r="K5" i="17"/>
  <c r="M6" i="17" l="1"/>
  <c r="M5" i="17" l="1"/>
  <c r="H5" i="17"/>
  <c r="G5" i="17"/>
  <c r="E5" i="17"/>
  <c r="O10" i="14" l="1"/>
  <c r="N10" i="14"/>
  <c r="B10" i="14" l="1"/>
  <c r="O9" i="14" l="1"/>
  <c r="N9" i="14"/>
  <c r="M9" i="14"/>
  <c r="B9" i="14" l="1"/>
  <c r="O7" i="14" l="1"/>
  <c r="N7" i="14"/>
  <c r="O5" i="14" l="1"/>
  <c r="N5" i="14"/>
  <c r="C8" i="14" l="1"/>
  <c r="B8" i="14"/>
  <c r="M7" i="14" l="1"/>
  <c r="C7" i="14"/>
  <c r="B7" i="14"/>
  <c r="M6" i="14"/>
  <c r="C6" i="14"/>
  <c r="B6" i="14"/>
  <c r="M5" i="14"/>
  <c r="C5" i="14"/>
  <c r="B5" i="14"/>
  <c r="C4" i="14" l="1"/>
  <c r="Q32" i="1"/>
  <c r="K32" i="1"/>
  <c r="L32" i="1" s="1"/>
  <c r="I32" i="1"/>
  <c r="H32" i="1"/>
  <c r="G32" i="1"/>
  <c r="Q31" i="1"/>
  <c r="K31" i="1"/>
  <c r="L31" i="1" s="1"/>
  <c r="I31" i="1"/>
  <c r="H31" i="1"/>
  <c r="G31" i="1"/>
  <c r="Q30" i="1"/>
  <c r="K30" i="1"/>
  <c r="L30" i="1" s="1"/>
  <c r="I30" i="1"/>
  <c r="H30" i="1"/>
  <c r="G30" i="1"/>
  <c r="Q29" i="1"/>
  <c r="K29" i="1"/>
  <c r="L29" i="1" s="1"/>
  <c r="I29" i="1"/>
  <c r="H29" i="1"/>
  <c r="G29" i="1"/>
  <c r="Q28" i="1"/>
  <c r="K28" i="1"/>
  <c r="L28" i="1" s="1"/>
  <c r="I28" i="1"/>
  <c r="H28" i="1"/>
  <c r="G28" i="1"/>
  <c r="Q27" i="1"/>
  <c r="K27" i="1"/>
  <c r="L27" i="1" s="1"/>
  <c r="I27" i="1"/>
  <c r="H27" i="1"/>
  <c r="G27" i="1"/>
  <c r="Q26" i="1"/>
  <c r="K26" i="1"/>
  <c r="L26" i="1" s="1"/>
  <c r="I26" i="1"/>
  <c r="G26" i="1"/>
  <c r="Q25" i="1" l="1"/>
  <c r="I25" i="1"/>
  <c r="H25" i="1"/>
  <c r="G25" i="1"/>
  <c r="K25" i="1"/>
  <c r="L25" i="1" s="1"/>
  <c r="Q24" i="1" l="1"/>
  <c r="I24" i="1"/>
  <c r="H24" i="1"/>
  <c r="G24" i="1"/>
  <c r="K24" i="1"/>
  <c r="L24" i="1" s="1"/>
  <c r="Q23" i="1" l="1"/>
  <c r="I23" i="1"/>
  <c r="H23" i="1"/>
  <c r="G23" i="1"/>
  <c r="K23" i="1"/>
  <c r="L23" i="1" s="1"/>
  <c r="Q22" i="1"/>
  <c r="I22" i="1"/>
  <c r="H22" i="1"/>
  <c r="G22" i="1"/>
  <c r="K22" i="1"/>
  <c r="L22" i="1" s="1"/>
  <c r="Q21" i="1"/>
  <c r="I21" i="1"/>
  <c r="H21" i="1"/>
  <c r="G21" i="1"/>
  <c r="K21" i="1"/>
  <c r="L21" i="1" s="1"/>
  <c r="K8" i="1"/>
  <c r="K9" i="1"/>
  <c r="K7" i="1"/>
  <c r="Q20" i="1"/>
  <c r="I20" i="1"/>
  <c r="H20" i="1"/>
  <c r="G20" i="1"/>
  <c r="K20" i="1"/>
  <c r="L20" i="1" s="1"/>
  <c r="Q19" i="1"/>
  <c r="K19" i="1"/>
  <c r="L19" i="1" s="1"/>
  <c r="J19" i="1"/>
  <c r="I19" i="1"/>
  <c r="H19" i="1"/>
  <c r="G19" i="1"/>
  <c r="Q18" i="1"/>
  <c r="K18" i="1"/>
  <c r="L18" i="1" s="1"/>
  <c r="I18" i="1"/>
  <c r="H18" i="1"/>
  <c r="G18" i="1"/>
  <c r="Q3" i="1"/>
  <c r="Q4" i="1"/>
  <c r="Q5" i="1"/>
  <c r="Q6" i="1"/>
  <c r="Q7" i="1"/>
  <c r="Q8" i="1"/>
  <c r="Q9" i="1"/>
  <c r="Q10" i="1"/>
  <c r="Q11" i="1"/>
  <c r="Q12" i="1"/>
  <c r="Q13" i="1"/>
  <c r="Q15" i="1"/>
  <c r="Q16" i="1"/>
  <c r="Q17" i="1"/>
  <c r="Q2" i="1"/>
  <c r="I4" i="1" l="1"/>
  <c r="H4" i="1"/>
  <c r="G4" i="1"/>
  <c r="K4" i="1"/>
  <c r="L4" i="1" s="1"/>
  <c r="K3" i="1"/>
  <c r="L3" i="1" s="1"/>
  <c r="I3" i="1"/>
  <c r="H3" i="1"/>
  <c r="G3" i="1"/>
  <c r="I10" i="1" l="1"/>
  <c r="H10" i="1"/>
  <c r="G10" i="1"/>
  <c r="K10" i="1"/>
  <c r="L10" i="1" s="1"/>
  <c r="I12" i="1"/>
  <c r="H12" i="1"/>
  <c r="G12" i="1"/>
  <c r="K12" i="1"/>
  <c r="L12" i="1" s="1"/>
  <c r="K2" i="1" l="1"/>
  <c r="K17" i="1" l="1"/>
  <c r="L17" i="1" s="1"/>
  <c r="I17" i="1"/>
  <c r="H17" i="1"/>
  <c r="G17" i="1"/>
  <c r="K16" i="1"/>
  <c r="L16" i="1" s="1"/>
  <c r="I16" i="1"/>
  <c r="H16" i="1"/>
  <c r="G16" i="1"/>
  <c r="O14" i="1" l="1"/>
  <c r="Q14" i="1" s="1"/>
  <c r="I14" i="1"/>
  <c r="H14" i="1"/>
  <c r="D14" i="1"/>
  <c r="K14" i="1" s="1"/>
  <c r="L14" i="1" s="1"/>
  <c r="G14" i="1" l="1"/>
  <c r="K15" i="1" l="1"/>
  <c r="L15" i="1" s="1"/>
  <c r="I15" i="1"/>
  <c r="H15" i="1"/>
  <c r="G15" i="1"/>
  <c r="L8" i="1" l="1"/>
  <c r="I8" i="1"/>
  <c r="H8" i="1"/>
  <c r="G8" i="1"/>
  <c r="L2" i="1"/>
  <c r="L7" i="1"/>
  <c r="I7" i="1"/>
  <c r="H7" i="1"/>
  <c r="G7" i="1"/>
  <c r="K13" i="1"/>
  <c r="L13" i="1" s="1"/>
  <c r="I13" i="1"/>
  <c r="H13" i="1"/>
  <c r="G13" i="1"/>
  <c r="K11" i="1"/>
  <c r="L11" i="1" s="1"/>
  <c r="I11" i="1"/>
  <c r="H11" i="1"/>
  <c r="G11" i="1"/>
  <c r="I2" i="1"/>
  <c r="H2" i="1"/>
  <c r="G2" i="1"/>
  <c r="L9" i="1"/>
  <c r="I9" i="1"/>
  <c r="H9" i="1"/>
  <c r="G9" i="1"/>
  <c r="K6" i="1"/>
  <c r="L6" i="1" s="1"/>
  <c r="I6" i="1"/>
  <c r="H6" i="1"/>
  <c r="G6" i="1"/>
  <c r="K5" i="1"/>
  <c r="L5" i="1" s="1"/>
  <c r="I5" i="1"/>
  <c r="H5" i="1"/>
  <c r="G5" i="1"/>
</calcChain>
</file>

<file path=xl/sharedStrings.xml><?xml version="1.0" encoding="utf-8"?>
<sst xmlns="http://schemas.openxmlformats.org/spreadsheetml/2006/main" count="379" uniqueCount="344">
  <si>
    <t>大商股份</t>
    <phoneticPr fontId="2" type="noConversion"/>
  </si>
  <si>
    <t>零售</t>
    <phoneticPr fontId="2" type="noConversion"/>
  </si>
  <si>
    <t>大秦铁路</t>
    <phoneticPr fontId="2" type="noConversion"/>
  </si>
  <si>
    <t>公路铁路运输</t>
    <phoneticPr fontId="2" type="noConversion"/>
  </si>
  <si>
    <t>象屿股份</t>
    <phoneticPr fontId="2" type="noConversion"/>
  </si>
  <si>
    <t>物流</t>
    <phoneticPr fontId="2" type="noConversion"/>
  </si>
  <si>
    <t>大东方</t>
    <phoneticPr fontId="2" type="noConversion"/>
  </si>
  <si>
    <t>交运设备服务</t>
    <phoneticPr fontId="2" type="noConversion"/>
  </si>
  <si>
    <t>茂业商业</t>
    <phoneticPr fontId="2" type="noConversion"/>
  </si>
  <si>
    <t>超市以及百货零售批发</t>
    <phoneticPr fontId="2" type="noConversion"/>
  </si>
  <si>
    <t>华达科技</t>
    <phoneticPr fontId="2" type="noConversion"/>
  </si>
  <si>
    <t>汽车零部件</t>
    <phoneticPr fontId="2" type="noConversion"/>
  </si>
  <si>
    <t>煤炭开采</t>
    <phoneticPr fontId="2" type="noConversion"/>
  </si>
  <si>
    <t>阳泉煤业</t>
    <phoneticPr fontId="2" type="noConversion"/>
  </si>
  <si>
    <t>四川成渝</t>
    <phoneticPr fontId="2" type="noConversion"/>
  </si>
  <si>
    <t>公路铁路运输</t>
    <phoneticPr fontId="2" type="noConversion"/>
  </si>
  <si>
    <t>明泰铝业</t>
    <phoneticPr fontId="2" type="noConversion"/>
  </si>
  <si>
    <t>有色冶炼加工</t>
    <phoneticPr fontId="2" type="noConversion"/>
  </si>
  <si>
    <t>山东高速</t>
    <phoneticPr fontId="2" type="noConversion"/>
  </si>
  <si>
    <t>公路铁路运输</t>
    <phoneticPr fontId="2" type="noConversion"/>
  </si>
  <si>
    <t>宁沪高速</t>
    <phoneticPr fontId="2" type="noConversion"/>
  </si>
  <si>
    <t>名称</t>
    <phoneticPr fontId="2" type="noConversion"/>
  </si>
  <si>
    <t>季报</t>
    <phoneticPr fontId="2" type="noConversion"/>
  </si>
  <si>
    <t>增持百分比</t>
    <phoneticPr fontId="2" type="noConversion"/>
  </si>
  <si>
    <t>每股收益</t>
    <phoneticPr fontId="2" type="noConversion"/>
  </si>
  <si>
    <t>股本（亿）</t>
    <phoneticPr fontId="2" type="noConversion"/>
  </si>
  <si>
    <t>股价</t>
    <phoneticPr fontId="2" type="noConversion"/>
  </si>
  <si>
    <t>每股收益与市价比率</t>
    <phoneticPr fontId="2" type="noConversion"/>
  </si>
  <si>
    <t>总资产收益率</t>
    <phoneticPr fontId="2" type="noConversion"/>
  </si>
  <si>
    <t>股息率</t>
    <phoneticPr fontId="2" type="noConversion"/>
  </si>
  <si>
    <t>每股净资产</t>
    <phoneticPr fontId="2" type="noConversion"/>
  </si>
  <si>
    <t>安全边际价格</t>
    <phoneticPr fontId="2" type="noConversion"/>
  </si>
  <si>
    <t>安全边际程度</t>
    <phoneticPr fontId="2" type="noConversion"/>
  </si>
  <si>
    <t>营业收入</t>
    <phoneticPr fontId="2" type="noConversion"/>
  </si>
  <si>
    <t>营业收入增长</t>
    <phoneticPr fontId="2" type="noConversion"/>
  </si>
  <si>
    <t>营业利润</t>
    <phoneticPr fontId="2" type="noConversion"/>
  </si>
  <si>
    <t>营业利润增长</t>
    <phoneticPr fontId="2" type="noConversion"/>
  </si>
  <si>
    <t>行业</t>
    <phoneticPr fontId="2" type="noConversion"/>
  </si>
  <si>
    <t>公路铁路运输</t>
    <phoneticPr fontId="2" type="noConversion"/>
  </si>
  <si>
    <t>海澜之家</t>
    <phoneticPr fontId="2" type="noConversion"/>
  </si>
  <si>
    <t>服装家纺</t>
    <phoneticPr fontId="2" type="noConversion"/>
  </si>
  <si>
    <t>华光股份</t>
    <phoneticPr fontId="2" type="noConversion"/>
  </si>
  <si>
    <t>电气设备</t>
    <phoneticPr fontId="2" type="noConversion"/>
  </si>
  <si>
    <t>时代出版</t>
    <phoneticPr fontId="2" type="noConversion"/>
  </si>
  <si>
    <t>传媒</t>
    <phoneticPr fontId="2" type="noConversion"/>
  </si>
  <si>
    <t>上海能源</t>
    <phoneticPr fontId="2" type="noConversion"/>
  </si>
  <si>
    <t>煤炭开采</t>
    <phoneticPr fontId="2" type="noConversion"/>
  </si>
  <si>
    <t>新材料</t>
    <phoneticPr fontId="2" type="noConversion"/>
  </si>
  <si>
    <t>方大炭素（4.71）</t>
    <phoneticPr fontId="2" type="noConversion"/>
  </si>
  <si>
    <t>营业利润/营业收入</t>
    <phoneticPr fontId="2" type="noConversion"/>
  </si>
  <si>
    <t>鄂武商A</t>
    <phoneticPr fontId="2" type="noConversion"/>
  </si>
  <si>
    <t>零售</t>
    <phoneticPr fontId="2" type="noConversion"/>
  </si>
  <si>
    <t>天神娱乐</t>
    <phoneticPr fontId="2" type="noConversion"/>
  </si>
  <si>
    <t>传媒</t>
    <phoneticPr fontId="2" type="noConversion"/>
  </si>
  <si>
    <t>康欣新材</t>
    <phoneticPr fontId="2" type="noConversion"/>
  </si>
  <si>
    <t>包装印刷</t>
    <phoneticPr fontId="2" type="noConversion"/>
  </si>
  <si>
    <t>中牧股份</t>
    <phoneticPr fontId="2" type="noConversion"/>
  </si>
  <si>
    <t>农业服务</t>
    <phoneticPr fontId="2" type="noConversion"/>
  </si>
  <si>
    <t>尖峰集团</t>
    <phoneticPr fontId="2" type="noConversion"/>
  </si>
  <si>
    <t>建筑材料</t>
    <phoneticPr fontId="2" type="noConversion"/>
  </si>
  <si>
    <t>鸿达兴业</t>
    <phoneticPr fontId="2" type="noConversion"/>
  </si>
  <si>
    <t>基础化学</t>
    <phoneticPr fontId="2" type="noConversion"/>
  </si>
  <si>
    <t>拉芳家化</t>
    <phoneticPr fontId="2" type="noConversion"/>
  </si>
  <si>
    <t>化学制品</t>
    <phoneticPr fontId="2" type="noConversion"/>
  </si>
  <si>
    <t>周大生</t>
    <phoneticPr fontId="2" type="noConversion"/>
  </si>
  <si>
    <t>家用轻工</t>
    <phoneticPr fontId="2" type="noConversion"/>
  </si>
  <si>
    <t>韵达股份</t>
    <phoneticPr fontId="2" type="noConversion"/>
  </si>
  <si>
    <t>物流</t>
    <phoneticPr fontId="2" type="noConversion"/>
  </si>
  <si>
    <t>房地产开发</t>
    <phoneticPr fontId="2" type="noConversion"/>
  </si>
  <si>
    <t>华润三九</t>
    <phoneticPr fontId="2" type="noConversion"/>
  </si>
  <si>
    <t>中药</t>
    <phoneticPr fontId="2" type="noConversion"/>
  </si>
  <si>
    <t>美的集团</t>
    <phoneticPr fontId="2" type="noConversion"/>
  </si>
  <si>
    <t>白色家电</t>
    <phoneticPr fontId="2" type="noConversion"/>
  </si>
  <si>
    <t>东阿阿胶</t>
    <phoneticPr fontId="2" type="noConversion"/>
  </si>
  <si>
    <t>凌霄泵业</t>
    <phoneticPr fontId="2" type="noConversion"/>
  </si>
  <si>
    <t>通用设备</t>
    <phoneticPr fontId="2" type="noConversion"/>
  </si>
  <si>
    <t>光大嘉宝</t>
    <phoneticPr fontId="2" type="noConversion"/>
  </si>
  <si>
    <t>华懋科技</t>
  </si>
  <si>
    <t>汽车零部件</t>
    <phoneticPr fontId="2" type="noConversion"/>
  </si>
  <si>
    <t>股票名称</t>
    <phoneticPr fontId="2" type="noConversion"/>
  </si>
  <si>
    <t>6年平均每股收益</t>
    <phoneticPr fontId="2" type="noConversion"/>
  </si>
  <si>
    <t>投资价值</t>
    <phoneticPr fontId="2" type="noConversion"/>
  </si>
  <si>
    <t>收入来源分析</t>
    <phoneticPr fontId="2" type="noConversion"/>
  </si>
  <si>
    <t>企业管理层评判</t>
  </si>
  <si>
    <t>内在价值</t>
    <phoneticPr fontId="2" type="noConversion"/>
  </si>
  <si>
    <t>现金回购</t>
    <phoneticPr fontId="2" type="noConversion"/>
  </si>
  <si>
    <t>持续经营</t>
    <phoneticPr fontId="2" type="noConversion"/>
  </si>
  <si>
    <t>扩张策略</t>
    <phoneticPr fontId="2" type="noConversion"/>
  </si>
  <si>
    <t>福利待遇</t>
    <phoneticPr fontId="2" type="noConversion"/>
  </si>
  <si>
    <t xml:space="preserve">                                                                                                                                                                                                                                                                                                                                                                                                                                                                                                                                                                                                                                                                                                                                                                                                                                                                                                                                                                                                                                                                                                                                                                                                                                                                                                                                                                                                                                                                                                                                                                                                                                                                                                                                                                                                                                                                                                                                                   </t>
    <phoneticPr fontId="2" type="noConversion"/>
  </si>
  <si>
    <t>真实盈利</t>
    <phoneticPr fontId="2" type="noConversion"/>
  </si>
  <si>
    <t>非经常损益
1.固定资产处置
2.出售有价证券的投资损益
3.清偿资本性债务的折价或溢价
4.人寿保险的保单
5.退税以及其利息
6.诉讼损益
7.存货非经常性减值
8.应收账款减值
9.维持费经营性资产的成本</t>
    <phoneticPr fontId="2" type="noConversion"/>
  </si>
  <si>
    <t xml:space="preserve">   </t>
    <phoneticPr fontId="2" type="noConversion"/>
  </si>
  <si>
    <t>过往收益</t>
    <phoneticPr fontId="2" type="noConversion"/>
  </si>
  <si>
    <t>盈利趋势</t>
    <phoneticPr fontId="2" type="noConversion"/>
  </si>
  <si>
    <t>经营业绩影响因素分析</t>
    <phoneticPr fontId="2" type="noConversion"/>
  </si>
  <si>
    <t>股票估值</t>
    <phoneticPr fontId="2" type="noConversion"/>
  </si>
  <si>
    <t>郴电国际</t>
  </si>
  <si>
    <t>酸性测试(流动资产减存货)</t>
    <phoneticPr fontId="2" type="noConversion"/>
  </si>
  <si>
    <t>营运资金比率(流动资产：流动负债)(2:1)</t>
    <phoneticPr fontId="2" type="noConversion"/>
  </si>
  <si>
    <t>检查报告期每股收益</t>
    <phoneticPr fontId="2" type="noConversion"/>
  </si>
  <si>
    <t>确定亏损对财务状况影响</t>
    <phoneticPr fontId="2" type="noConversion"/>
  </si>
  <si>
    <t>安全性，不是由特定的抵押权或其他合同权利来衡量，而是取决于债券发行人履行义务的能力</t>
    <phoneticPr fontId="2" type="noConversion"/>
  </si>
  <si>
    <t>应重点考察经济萧条时期的履约能力，而不是繁荣时期</t>
    <phoneticPr fontId="2" type="noConversion"/>
  </si>
  <si>
    <t>遵循筛除原则</t>
    <phoneticPr fontId="2" type="noConversion"/>
  </si>
  <si>
    <t>异常高的票面利率并不能弥补安全性不足</t>
    <phoneticPr fontId="2" type="noConversion"/>
  </si>
  <si>
    <t xml:space="preserve">                                      </t>
    <phoneticPr fontId="2" type="noConversion"/>
  </si>
  <si>
    <t>1.有无抵押权无关紧要</t>
    <phoneticPr fontId="2" type="noConversion"/>
  </si>
  <si>
    <t>2.购买稳健公司最高收益债券</t>
    <phoneticPr fontId="2" type="noConversion"/>
  </si>
  <si>
    <t xml:space="preserve">  </t>
    <phoneticPr fontId="2" type="noConversion"/>
  </si>
  <si>
    <t>3.除非次级抵押权债权有显著优势，否则应该选择优先级抵押权债券</t>
    <phoneticPr fontId="2" type="noConversion"/>
  </si>
  <si>
    <t>1.资本结构合理的公共事业债券</t>
    <phoneticPr fontId="2" type="noConversion"/>
  </si>
  <si>
    <t>2.足够安全边际的铁路债券</t>
    <phoneticPr fontId="2" type="noConversion"/>
  </si>
  <si>
    <t>3.规模主导并且盈利在利息之外有很高的安全边际的工业债券</t>
    <phoneticPr fontId="2" type="noConversion"/>
  </si>
  <si>
    <t>能够承担一定风险的购买者应该寻求一种与风险相称的价格提升机会</t>
    <phoneticPr fontId="2" type="noConversion"/>
  </si>
  <si>
    <t>投资性标准
1 经营状况变化巨大，收益一直较为稳定
2 平均收益与市价的比率符合要求
3 财务安排足够审慎，营运资金充足</t>
    <phoneticPr fontId="2" type="noConversion"/>
  </si>
  <si>
    <t>资本结构和收入来源对估值的意义
1 最优资本结构
2 投资性资本结构中的杠杆因素
3 投资性资本结构可能会导致低估
4 低价股与投资资本结构结合
5 市盈率高于20倍股票不属于投资级别
6 不同的收入来源给与不同的盈利倍数</t>
    <phoneticPr fontId="2" type="noConversion"/>
  </si>
  <si>
    <t>资产负债表影响收益的异常因素</t>
    <phoneticPr fontId="2" type="noConversion"/>
  </si>
  <si>
    <t>公共事业</t>
    <phoneticPr fontId="2" type="noConversion"/>
  </si>
  <si>
    <t>铁路</t>
    <phoneticPr fontId="2" type="noConversion"/>
  </si>
  <si>
    <t>工业</t>
    <phoneticPr fontId="2" type="noConversion"/>
  </si>
  <si>
    <t>性质和位置</t>
    <phoneticPr fontId="2" type="noConversion"/>
  </si>
  <si>
    <t>规模</t>
    <phoneticPr fontId="2" type="noConversion"/>
  </si>
  <si>
    <t>利息和股息支付</t>
    <phoneticPr fontId="2" type="noConversion"/>
  </si>
  <si>
    <t>盈利和利息要求</t>
    <phoneticPr fontId="2" type="noConversion"/>
  </si>
  <si>
    <t>6年平均保障倍数</t>
    <phoneticPr fontId="2" type="noConversion"/>
  </si>
  <si>
    <t>趋势</t>
    <phoneticPr fontId="2" type="noConversion"/>
  </si>
  <si>
    <t>当前表现</t>
    <phoneticPr fontId="2" type="noConversion"/>
  </si>
  <si>
    <t>票面利率</t>
    <phoneticPr fontId="2" type="noConversion"/>
  </si>
  <si>
    <t>设备债券</t>
    <phoneticPr fontId="2" type="noConversion"/>
  </si>
  <si>
    <t>抵押-信托债券</t>
    <phoneticPr fontId="2" type="noConversion"/>
  </si>
  <si>
    <t>房地产债券</t>
    <phoneticPr fontId="2" type="noConversion"/>
  </si>
  <si>
    <t>特殊债券</t>
    <phoneticPr fontId="2" type="noConversion"/>
  </si>
  <si>
    <t>债券发行所对应的实际价值保障的重要性</t>
    <phoneticPr fontId="2" type="noConversion"/>
  </si>
  <si>
    <t>持续经营价值和盈利能力</t>
    <phoneticPr fontId="2" type="noConversion"/>
  </si>
  <si>
    <t>以股票市值衡量股东权益-补充测试</t>
    <phoneticPr fontId="2" type="noConversion"/>
  </si>
  <si>
    <t>股东权益测试的最低标准</t>
    <phoneticPr fontId="2" type="noConversion"/>
  </si>
  <si>
    <t>股票市值和债券债务的关系</t>
    <phoneticPr fontId="2" type="noConversion"/>
  </si>
  <si>
    <t>公司类型</t>
    <phoneticPr fontId="2" type="noConversion"/>
  </si>
  <si>
    <t>固定费用最低保障倍数（平均利息保障倍数)</t>
    <phoneticPr fontId="2" type="noConversion"/>
  </si>
  <si>
    <t>股票价值与债券债务最小比率(股票-价值比率)</t>
    <phoneticPr fontId="2" type="noConversion"/>
  </si>
  <si>
    <t>公用事业公司</t>
    <phoneticPr fontId="2" type="noConversion"/>
  </si>
  <si>
    <t>铁路</t>
    <phoneticPr fontId="2" type="noConversion"/>
  </si>
  <si>
    <t>工业</t>
    <phoneticPr fontId="2" type="noConversion"/>
  </si>
  <si>
    <t>1股票/1债券</t>
    <phoneticPr fontId="2" type="noConversion"/>
  </si>
  <si>
    <t>1股票/2债券</t>
    <phoneticPr fontId="2" type="noConversion"/>
  </si>
  <si>
    <t>1股票/1.5债券</t>
    <phoneticPr fontId="2" type="noConversion"/>
  </si>
  <si>
    <t>范例</t>
    <phoneticPr fontId="2" type="noConversion"/>
  </si>
  <si>
    <t>项目</t>
    <phoneticPr fontId="2" type="noConversion"/>
  </si>
  <si>
    <t>北美公司</t>
    <phoneticPr fontId="2" type="noConversion"/>
  </si>
  <si>
    <t>截止</t>
    <phoneticPr fontId="2" type="noConversion"/>
  </si>
  <si>
    <t>息前利润</t>
    <phoneticPr fontId="2" type="noConversion"/>
  </si>
  <si>
    <t>利息费用</t>
    <phoneticPr fontId="2" type="noConversion"/>
  </si>
  <si>
    <t>盈利倍数</t>
    <phoneticPr fontId="2" type="noConversion"/>
  </si>
  <si>
    <t>可用于支付股息的收益</t>
    <phoneticPr fontId="2" type="noConversion"/>
  </si>
  <si>
    <t>优先股股息</t>
    <phoneticPr fontId="2" type="noConversion"/>
  </si>
  <si>
    <t>归属于普通股股东的净利润</t>
    <phoneticPr fontId="2" type="noConversion"/>
  </si>
  <si>
    <t>每股收益</t>
    <phoneticPr fontId="2" type="noConversion"/>
  </si>
  <si>
    <t>1934-1938年每股平均收益</t>
    <phoneticPr fontId="2" type="noConversion"/>
  </si>
  <si>
    <t>债券债务</t>
    <phoneticPr fontId="2" type="noConversion"/>
  </si>
  <si>
    <t>优先股市场价值</t>
    <phoneticPr fontId="2" type="noConversion"/>
  </si>
  <si>
    <t>普通股市场价值</t>
    <phoneticPr fontId="2" type="noConversion"/>
  </si>
  <si>
    <t>股票总市值</t>
    <phoneticPr fontId="2" type="noConversion"/>
  </si>
  <si>
    <t>股票与债券比率</t>
    <phoneticPr fontId="2" type="noConversion"/>
  </si>
  <si>
    <t>1.67倍</t>
    <phoneticPr fontId="2" type="noConversion"/>
  </si>
  <si>
    <t>606000股，56/股 -34000000</t>
    <phoneticPr fontId="2" type="noConversion"/>
  </si>
  <si>
    <t>8571000股,23/股 -187000000</t>
    <phoneticPr fontId="2" type="noConversion"/>
  </si>
  <si>
    <t>0.51/1</t>
    <phoneticPr fontId="2" type="noConversion"/>
  </si>
  <si>
    <t>收益债券等同于股权</t>
    <phoneticPr fontId="2" type="noConversion"/>
  </si>
  <si>
    <t>股票价值比率异常</t>
    <phoneticPr fontId="2" type="noConversion"/>
  </si>
  <si>
    <t>不为反映动态市场环境而调整股票价值检测标准</t>
    <phoneticPr fontId="2" type="noConversion"/>
  </si>
  <si>
    <t>固定价值投资最低定量指标建议表</t>
    <phoneticPr fontId="2" type="noConversion"/>
  </si>
  <si>
    <t>1.债务人规模</t>
    <phoneticPr fontId="2" type="noConversion"/>
  </si>
  <si>
    <t>市：人口</t>
    <phoneticPr fontId="2" type="noConversion"/>
  </si>
  <si>
    <t>公用事业公司：总收入</t>
    <phoneticPr fontId="2" type="noConversion"/>
  </si>
  <si>
    <t>铁路公司：总收入</t>
    <phoneticPr fontId="2" type="noConversion"/>
  </si>
  <si>
    <t>工业公司：总收入</t>
    <phoneticPr fontId="2" type="noConversion"/>
  </si>
  <si>
    <t>2.利息保障倍数</t>
    <phoneticPr fontId="2" type="noConversion"/>
  </si>
  <si>
    <t>铁路公司债券:(7年平均值)</t>
    <phoneticPr fontId="2" type="noConversion"/>
  </si>
  <si>
    <t>公用事业债券:(7年平均值）</t>
    <phoneticPr fontId="2" type="noConversion"/>
  </si>
  <si>
    <t>工业公司债券:(7年平均值)</t>
    <phoneticPr fontId="2" type="noConversion"/>
  </si>
  <si>
    <t>房地产公司债券:(可靠估计)</t>
    <phoneticPr fontId="2" type="noConversion"/>
  </si>
  <si>
    <t>3.资产价值</t>
    <phoneticPr fontId="2" type="noConversion"/>
  </si>
  <si>
    <t>投资信托债券:</t>
    <phoneticPr fontId="2" type="noConversion"/>
  </si>
  <si>
    <t>类似的比率，采用资产的市场价值</t>
    <phoneticPr fontId="2" type="noConversion"/>
  </si>
  <si>
    <t>4.股票的市场价值</t>
    <phoneticPr fontId="2" type="noConversion"/>
  </si>
  <si>
    <t>债券债务的50%</t>
    <phoneticPr fontId="2" type="noConversion"/>
  </si>
  <si>
    <t>铁路公司</t>
    <phoneticPr fontId="2" type="noConversion"/>
  </si>
  <si>
    <t>债券债务的66.67%</t>
    <phoneticPr fontId="2" type="noConversion"/>
  </si>
  <si>
    <t>工业公司</t>
    <phoneticPr fontId="2" type="noConversion"/>
  </si>
  <si>
    <t>债券债务的100%</t>
    <phoneticPr fontId="2" type="noConversion"/>
  </si>
  <si>
    <t>房地产公司债券:</t>
    <phoneticPr fontId="2" type="noConversion"/>
  </si>
  <si>
    <t>资产的公允价值(基于无泡沫时期市场的实际售价)必须比债券发行总额高出50%</t>
  </si>
  <si>
    <t>子公司及关联公司经营
1.无法反映重要子公司的损益
2.利润包括从子公司获得股息，这些股息不是远远高于就是低于子公司的当期损益</t>
    <phoneticPr fontId="2" type="noConversion"/>
  </si>
  <si>
    <t>资产负债表分析目标</t>
    <phoneticPr fontId="2" type="noConversion"/>
  </si>
  <si>
    <t>现金资产
现金资产减去所有负债和优先级高于该证券的权益</t>
    <phoneticPr fontId="2" type="noConversion"/>
  </si>
  <si>
    <t>选股逻辑</t>
    <phoneticPr fontId="2" type="noConversion"/>
  </si>
  <si>
    <t>每股收益率&gt;7%</t>
  </si>
  <si>
    <t>每股收益率&gt;7%</t>
    <phoneticPr fontId="2" type="noConversion"/>
  </si>
  <si>
    <t>低价优质股</t>
  </si>
  <si>
    <t>1资本投入</t>
    <phoneticPr fontId="2" type="noConversion"/>
  </si>
  <si>
    <t>流动资产
流动资产减所有负债和优先级高于该证券的权益</t>
    <phoneticPr fontId="2" type="noConversion"/>
  </si>
  <si>
    <t xml:space="preserve">账面价值
有形资产价值，扣除商誉、商标、专利、特许经营、租赁、无形资产
</t>
    <phoneticPr fontId="2" type="noConversion"/>
  </si>
  <si>
    <t>意义：一作为投资对象，发生有利转变的可能性（1盈利提高a行业好转b新产品新技术放弃不盈利2企业被出售或合并3部分或完全清盘4过去分红和平均盈利能力很高）</t>
    <phoneticPr fontId="2" type="noConversion"/>
  </si>
  <si>
    <r>
      <rPr>
        <b/>
        <sz val="11"/>
        <color rgb="FFFF0000"/>
        <rFont val="宋体"/>
        <family val="3"/>
        <charset val="134"/>
        <scheme val="minor"/>
      </rPr>
      <t>1资本投入
2营运资金</t>
    </r>
    <r>
      <rPr>
        <b/>
        <sz val="11"/>
        <color theme="1"/>
        <rFont val="宋体"/>
        <family val="3"/>
        <charset val="134"/>
        <scheme val="minor"/>
      </rPr>
      <t xml:space="preserve">
3资本构成
</t>
    </r>
    <r>
      <rPr>
        <b/>
        <sz val="11"/>
        <color rgb="FFFF0000"/>
        <rFont val="宋体"/>
        <family val="3"/>
        <charset val="134"/>
        <scheme val="minor"/>
      </rPr>
      <t>4收益检测</t>
    </r>
    <r>
      <rPr>
        <b/>
        <sz val="11"/>
        <color theme="1"/>
        <rFont val="宋体"/>
        <family val="3"/>
        <charset val="134"/>
        <scheme val="minor"/>
      </rPr>
      <t xml:space="preserve">
5收入来源分析</t>
    </r>
    <phoneticPr fontId="2" type="noConversion"/>
  </si>
  <si>
    <t>意义：矫正股票市值的管理层政策
1发布通告2分红3返还资本
股东利益和管理层在上述情况下存在利益冲突，
股东应该认真参与，管理层的职责是认清现实尽其所能使股东投资不受损失，选股的艺术在于管理优良的企业。</t>
    <phoneticPr fontId="2" type="noConversion"/>
  </si>
  <si>
    <t>意义：1市场误判（作为烟蒂投资）2管理政策存在问题3股东对自己资产态度有问题</t>
    <phoneticPr fontId="2" type="noConversion"/>
  </si>
  <si>
    <t>中科新材</t>
    <phoneticPr fontId="2" type="noConversion"/>
  </si>
  <si>
    <t>巨星科技</t>
    <phoneticPr fontId="2" type="noConversion"/>
  </si>
  <si>
    <t>粤传媒</t>
    <phoneticPr fontId="2" type="noConversion"/>
  </si>
  <si>
    <t>2营运资金与债务结构</t>
    <phoneticPr fontId="2" type="noConversion"/>
  </si>
  <si>
    <t>4比较一个时期资产负债表</t>
    <phoneticPr fontId="2" type="noConversion"/>
  </si>
  <si>
    <t>a即将到期债务与分期偿还
b大量银行借款
c企业之间的债务
d即将到期的债务
e分期偿还银行贷款</t>
    <phoneticPr fontId="2" type="noConversion"/>
  </si>
  <si>
    <t>意义：检测企业财务缺陷，
可能存在的影响未来投资收益的因素</t>
    <phoneticPr fontId="2" type="noConversion"/>
  </si>
  <si>
    <t>st华信</t>
    <phoneticPr fontId="2" type="noConversion"/>
  </si>
  <si>
    <t>追踪较长一段时间内
公司拥有资源与其盈利能力关系</t>
    <phoneticPr fontId="2" type="noConversion"/>
  </si>
  <si>
    <t>b</t>
    <phoneticPr fontId="2" type="noConversion"/>
  </si>
  <si>
    <t>普通股分析\中科新材.xlsx</t>
    <phoneticPr fontId="2" type="noConversion"/>
  </si>
  <si>
    <t>宁波精达</t>
    <phoneticPr fontId="2" type="noConversion"/>
  </si>
  <si>
    <t>原则一
这家公司的产品或服务有没有充分的市场潜力，
至少几年内营业额能否大幅成长</t>
    <phoneticPr fontId="2" type="noConversion"/>
  </si>
  <si>
    <t>股票</t>
    <phoneticPr fontId="2" type="noConversion"/>
  </si>
  <si>
    <t>美国铝业/杜邦</t>
    <phoneticPr fontId="2" type="noConversion"/>
  </si>
  <si>
    <t>中科创达</t>
    <phoneticPr fontId="2" type="noConversion"/>
  </si>
  <si>
    <t>股利支付率
（净收益中股利所占的比率)</t>
    <phoneticPr fontId="2" type="noConversion"/>
  </si>
  <si>
    <t>分红率
（在一个考察期（通常为12个月的时间）内，股票的每股分红除以分红实施日每股价格的百分比）</t>
    <phoneticPr fontId="2" type="noConversion"/>
  </si>
  <si>
    <t>b</t>
    <phoneticPr fontId="2" type="noConversion"/>
  </si>
  <si>
    <t>1管理层的远大理想睿智的眼光
2优异的商业和财务判断力
3创新能力
4持续能干是保证营业额持续增长的品质</t>
    <phoneticPr fontId="2" type="noConversion"/>
  </si>
  <si>
    <t>技术和研究在很大程度
投入到当前业务范畴的一些产品中，收获通常会最大</t>
    <phoneticPr fontId="2" type="noConversion"/>
  </si>
  <si>
    <t>原则3
考虑到公司规模，这家公司在研究发展方面做出的努力取得了多大的效果</t>
    <phoneticPr fontId="2" type="noConversion"/>
  </si>
  <si>
    <t xml:space="preserve">一粗略指标
1研发费用在总销售额占比
2业界平均
3研究经费
4工科人数
二那些被视为研发，那些不应视为研发
三研发投入产出比因素
1协调研究人员之间
2协调研究人员和销售人员
3了解商业研究
四国防合同
五商业调查 
</t>
    <phoneticPr fontId="2" type="noConversion"/>
  </si>
  <si>
    <t>研发费用在总销售额占比</t>
    <phoneticPr fontId="2" type="noConversion"/>
  </si>
  <si>
    <t>业界平均</t>
    <phoneticPr fontId="2" type="noConversion"/>
  </si>
  <si>
    <t>研究经费</t>
    <phoneticPr fontId="2" type="noConversion"/>
  </si>
  <si>
    <t>工科人数</t>
    <phoneticPr fontId="2" type="noConversion"/>
  </si>
  <si>
    <t>一段时间研究成果对销售额贡献</t>
    <phoneticPr fontId="2" type="noConversion"/>
  </si>
  <si>
    <t>原则4
这家公司有没有高于行业平均水平的销售团队</t>
    <phoneticPr fontId="2" type="noConversion"/>
  </si>
  <si>
    <t>1大部分投资者对公司的销售、广告以及分销渠道组织的相对效率重视程度不够
2销售和分销效率很难量化
3企业成功的三大支柱产品与服务、销售、研究</t>
    <phoneticPr fontId="2" type="noConversion"/>
  </si>
  <si>
    <t>原则5
这家公司有没有足够高的利润率</t>
    <phoneticPr fontId="2" type="noConversion"/>
  </si>
  <si>
    <t>陶氏化学</t>
    <phoneticPr fontId="2" type="noConversion"/>
  </si>
  <si>
    <t>1着眼与连续利润率
2投资利润率低的公司的理由是正出现改善，不是暂时扩张带来的
3利润下降的原因进一步研究或促销是也可以是好的投资对象</t>
    <phoneticPr fontId="2" type="noConversion"/>
  </si>
  <si>
    <t>原则6
这家公司做了哪些举措以维持或提高利润率</t>
    <phoneticPr fontId="2" type="noConversion"/>
  </si>
  <si>
    <t>1通过涨价来提高或维持利润率只是暂时的
2依靠产品更新、高效资本利用、改善作业程序和方法能够保持持久</t>
    <phoneticPr fontId="2" type="noConversion"/>
  </si>
  <si>
    <t>原则7
这家公司是否具备良好的劳动人事关系</t>
    <phoneticPr fontId="2" type="noConversion"/>
  </si>
  <si>
    <t>员工对雇主感觉的资料
1员工流动率
2应聘人数</t>
    <phoneticPr fontId="2" type="noConversion"/>
  </si>
  <si>
    <t xml:space="preserve">1如何判断没有简单答案，能做的就是观察多种因素，拼凑起来形成画面
2没有工会可能人事关系要好
3管理层对抱怨的重视程度和公司水平
4管理层对员工的态度
</t>
    <phoneticPr fontId="2" type="noConversion"/>
  </si>
  <si>
    <t>原则8
这家公司的高级管理者之间的关系</t>
    <phoneticPr fontId="2" type="noConversion"/>
  </si>
  <si>
    <t>1公司的晋升靠的是能力，管理职位只有无法找到合适人选才外部招聘</t>
    <phoneticPr fontId="2" type="noConversion"/>
  </si>
  <si>
    <t>原则9
公司管理是否很有层次</t>
    <phoneticPr fontId="2" type="noConversion"/>
  </si>
  <si>
    <t>1公司持续成长会出现瓶颈除非培养出高级管理人才
2高级管理者事必躬亲会碰到问题太多和有能力的人得不到锻炼的问题合适的管理梯队层次是投资的关键
3管理者乐于倾听、考虑、接受员工的意见</t>
    <phoneticPr fontId="2" type="noConversion"/>
  </si>
  <si>
    <t>中科创达</t>
    <phoneticPr fontId="2" type="noConversion"/>
  </si>
  <si>
    <t>智能终端、汽车、硬件</t>
    <phoneticPr fontId="2" type="noConversion"/>
  </si>
  <si>
    <t>是</t>
    <phoneticPr fontId="2" type="noConversion"/>
  </si>
  <si>
    <t>培训</t>
    <phoneticPr fontId="2" type="noConversion"/>
  </si>
  <si>
    <t>高管离职1人</t>
    <phoneticPr fontId="2" type="noConversion"/>
  </si>
  <si>
    <t>原则二
当公司现有的最佳产品的增长潜力已经被挖掘的差不多时，管理层是不是有决心开发新产品或新工艺，以便进一步提高总的销售额，制造新的利润增长</t>
    <phoneticPr fontId="2" type="noConversion"/>
  </si>
  <si>
    <t>宁波精打</t>
    <phoneticPr fontId="2" type="noConversion"/>
  </si>
  <si>
    <t>换热装备：翅片高速精密压力机/胀管机弯管机/定转子高速精密压力机/微通道换热器
其他
换热器市场：空气能热泵/地源热泵/中央新风系统/蒸发器/冷凝器</t>
    <phoneticPr fontId="2" type="noConversion"/>
  </si>
  <si>
    <t xml:space="preserve">塑性成型：冲压成型/精密锻造（冷温锻)
粉末冶金成型:(东睦股份)
成型市场：车用复合材料成型压力机（碳纤维)/汽车粉末冶金制品/MES-PLM-ERP产品流程管控
</t>
    <phoneticPr fontId="2" type="noConversion"/>
  </si>
  <si>
    <t>1招标
2下游客户直接联系
3设立销售服务点
4展会</t>
    <phoneticPr fontId="2" type="noConversion"/>
  </si>
  <si>
    <t>高管离职2人</t>
    <phoneticPr fontId="2" type="noConversion"/>
  </si>
  <si>
    <t>营销费用率：市场营销费用占销售额的比例
（营销费用率反映了取得一定的销售收入所需付出的营销成本，其高低可作为反映企业营销效率的重要指标）</t>
    <phoneticPr fontId="2" type="noConversion"/>
  </si>
  <si>
    <t>存货周转率</t>
    <phoneticPr fontId="2" type="noConversion"/>
  </si>
  <si>
    <t>原则10
这家公司的成本分析和会计记录做的如何</t>
    <phoneticPr fontId="2" type="noConversion"/>
  </si>
  <si>
    <t>1准确详尽的列出运营中每个细节的成本状况
2一般认为营运能力大多方面高于行业平均，那么它在财务控制成本分析表现也高于平均</t>
    <phoneticPr fontId="2" type="noConversion"/>
  </si>
  <si>
    <t>1闲聊了解全局，发现问题深入研究
用数学比率加以验证，如单位销售额的相对承租成本
2总保险成本在总销售额中占有的比例，专利权，专利权保护是个重要因素，但不应过分看重</t>
    <phoneticPr fontId="2" type="noConversion"/>
  </si>
  <si>
    <t>原则12
这家公司对利润有没有长期的展望</t>
    <phoneticPr fontId="2" type="noConversion"/>
  </si>
  <si>
    <t>观察对待客户和供应商的态度可以发现差别，应该选择眼光长远的公司</t>
    <phoneticPr fontId="2" type="noConversion"/>
  </si>
  <si>
    <t>原则13
在可预见的将来，这家公司是否会通过大量发行股票来获取足够的资金以利于公司的发展，现有持股人的利益是否因预期中的股份数量增加而蒙受大幅损失</t>
    <phoneticPr fontId="2" type="noConversion"/>
  </si>
  <si>
    <t>1最要紧得是这家公司的现金加上其继续借款的能力，是不是满足未来几年的资本需求，从而实现最好发展
1.1 发行新股后，普通股持有者每股税后利润增加的幅度比较小，可以得出一个结论，公司管理层在财务判断方面做得很差
2相对于其他原则是次要原则</t>
    <phoneticPr fontId="2" type="noConversion"/>
  </si>
  <si>
    <t>原则14
管理层是不是想投资者报喜不报忧，业务顺利时口若悬河，出现问题或发生令人失望的时期三缄其口</t>
    <phoneticPr fontId="2" type="noConversion"/>
  </si>
  <si>
    <t>1即使经营最好的公司，也会碰到始料未及的困难
2管理层面对事情的态度，是考察公司的宝贵线索，（提不出解决办法，产生恐慌，不觉得自己需要对持股者负责人）</t>
    <phoneticPr fontId="2" type="noConversion"/>
  </si>
  <si>
    <t xml:space="preserve">原则15
这家公司管理层是否具备毋庸置疑的诚信、正直态度
</t>
    <phoneticPr fontId="2" type="noConversion"/>
  </si>
  <si>
    <t>如果公司有诸多滥用职权的做法（高工资，关联交易（高于市场价格），供货中间商，滥用普通股期权），只有一种方法保护自己，只投资管理层对股东怀有强烈责任心和道德感的公司</t>
    <phoneticPr fontId="2" type="noConversion"/>
  </si>
  <si>
    <t xml:space="preserve">原则11
公司相对于行业内的其他公司而言，在业务的其他方面是否具备竞争力，以便让投资者找出了解该公司相对于竞争者具备何种显著优势的线索
</t>
    <phoneticPr fontId="2" type="noConversion"/>
  </si>
  <si>
    <t>孚日股份</t>
    <phoneticPr fontId="2" type="noConversion"/>
  </si>
  <si>
    <t>烽火通信</t>
    <phoneticPr fontId="2" type="noConversion"/>
  </si>
  <si>
    <t>传统选取买股时机的方法</t>
    <phoneticPr fontId="2" type="noConversion"/>
  </si>
  <si>
    <t>搜集经济资料 
对企业中短期景气状况做判断</t>
    <phoneticPr fontId="2" type="noConversion"/>
  </si>
  <si>
    <t>传统不合理</t>
    <phoneticPr fontId="2" type="noConversion"/>
  </si>
  <si>
    <t>预测经济趋势的知识不充足
在一件没办法做好的事情上投入大量精力</t>
    <phoneticPr fontId="2" type="noConversion"/>
  </si>
  <si>
    <t>普通股购买时机</t>
    <phoneticPr fontId="2" type="noConversion"/>
  </si>
  <si>
    <t xml:space="preserve">利润即将大幅改善，但对利润增加的预期还没有造成公司股票价格大幅拉升（新产品推出和复杂工厂正式开始运营）
</t>
    <phoneticPr fontId="2" type="noConversion"/>
  </si>
  <si>
    <t>投资者不应该去猜测整体经济或股市未来的发展方向
应该发挥判断力比较准确的判断他想买入的公司相对于整体经济会出现怎样的表现</t>
    <phoneticPr fontId="2" type="noConversion"/>
  </si>
  <si>
    <t>市场趋势</t>
    <phoneticPr fontId="2" type="noConversion"/>
  </si>
  <si>
    <t>经济衰退，使得价值投资失去原有的价值？</t>
  </si>
  <si>
    <t>影响股市的力量分别是利率趋势、政府对投资和私人企业整体的态度、通货膨胀的长期趋势、最重要的新发明和新技术对传统行业的影响力</t>
    <phoneticPr fontId="2" type="noConversion"/>
  </si>
  <si>
    <t>盈利能力</t>
    <phoneticPr fontId="2" type="noConversion"/>
  </si>
  <si>
    <t>净资产收益率ROE</t>
    <phoneticPr fontId="2" type="noConversion"/>
  </si>
  <si>
    <t>资产回报率ROA</t>
    <phoneticPr fontId="2" type="noConversion"/>
  </si>
  <si>
    <t>净利润率</t>
    <phoneticPr fontId="2" type="noConversion"/>
  </si>
  <si>
    <t>毛利润</t>
    <phoneticPr fontId="2" type="noConversion"/>
  </si>
  <si>
    <t>成长指标</t>
    <phoneticPr fontId="2" type="noConversion"/>
  </si>
  <si>
    <t>收入增长率</t>
    <phoneticPr fontId="2" type="noConversion"/>
  </si>
  <si>
    <t>净利润增长率</t>
    <phoneticPr fontId="2" type="noConversion"/>
  </si>
  <si>
    <t>资产负债率</t>
    <phoneticPr fontId="2" type="noConversion"/>
  </si>
  <si>
    <t>价格指标</t>
    <phoneticPr fontId="2" type="noConversion"/>
  </si>
  <si>
    <t>市盈率（PE）</t>
    <phoneticPr fontId="2" type="noConversion"/>
  </si>
  <si>
    <t>市净率（PB）</t>
    <phoneticPr fontId="2" type="noConversion"/>
  </si>
  <si>
    <t>市销率（PS)</t>
    <phoneticPr fontId="2" type="noConversion"/>
  </si>
  <si>
    <t>成长方向</t>
    <phoneticPr fontId="2" type="noConversion"/>
  </si>
  <si>
    <t>人口需求新兴消费品</t>
    <phoneticPr fontId="2" type="noConversion"/>
  </si>
  <si>
    <t>经济转型方向科技龙头</t>
    <phoneticPr fontId="2" type="noConversion"/>
  </si>
  <si>
    <t>永安药业</t>
    <phoneticPr fontId="2" type="noConversion"/>
  </si>
  <si>
    <t>永安药业</t>
    <phoneticPr fontId="2" type="noConversion"/>
  </si>
  <si>
    <t>股票</t>
    <phoneticPr fontId="2" type="noConversion"/>
  </si>
  <si>
    <r>
      <t xml:space="preserve">牛磺酸：医药/食品添加剂/饮料/营养品 </t>
    </r>
    <r>
      <rPr>
        <sz val="11"/>
        <color rgb="FFFF0000"/>
        <rFont val="宋体"/>
        <family val="3"/>
        <charset val="134"/>
        <scheme val="minor"/>
      </rPr>
      <t>3w吨牛磺酸食品添加剂达到生产经营条件（国内市场60%）</t>
    </r>
    <r>
      <rPr>
        <sz val="11"/>
        <color theme="1"/>
        <rFont val="宋体"/>
        <family val="2"/>
        <scheme val="minor"/>
      </rPr>
      <t xml:space="preserve">
环氧乙炔：牛磺酸的主要原材料，但不仅如此
保健品：OEM/ODM 新增代工和贴牌
</t>
    </r>
    <phoneticPr fontId="2" type="noConversion"/>
  </si>
  <si>
    <t>意义</t>
    <phoneticPr fontId="2" type="noConversion"/>
  </si>
  <si>
    <t>研发项目7项，
获得技术成果5项，
获得1项发明专利</t>
    <phoneticPr fontId="2" type="noConversion"/>
  </si>
  <si>
    <t>利润率（每1元销售收入含有的利润)</t>
    <phoneticPr fontId="2" type="noConversion"/>
  </si>
  <si>
    <t>卖出理由</t>
    <phoneticPr fontId="2" type="noConversion"/>
  </si>
  <si>
    <t>最初买入行为是一个错误，
而且当下盈利情况越来越清楚的表明，
所买入公司实际情况并不像原先想象那么优秀</t>
    <phoneticPr fontId="2" type="noConversion"/>
  </si>
  <si>
    <t>卖出意义：1减少长期持股损失
2承认自己犯下的错误
3不愿意承担损失
4了解判断失误的成因，防止再次发生</t>
    <phoneticPr fontId="2" type="noConversion"/>
  </si>
  <si>
    <t>基本面随着时间推移发生变化
与十五个原则契合度不在那么高就应该卖出</t>
    <phoneticPr fontId="2" type="noConversion"/>
  </si>
  <si>
    <t>意义：经营下坡路，1管理层松懈退化
2公司成长可能性几近枯竭</t>
    <phoneticPr fontId="2" type="noConversion"/>
  </si>
  <si>
    <t>发现更有吸引力的公司</t>
    <phoneticPr fontId="2" type="noConversion"/>
  </si>
  <si>
    <t>误判某些重要因素</t>
    <phoneticPr fontId="2" type="noConversion"/>
  </si>
  <si>
    <t>金融界给出卖出的理由</t>
    <phoneticPr fontId="2" type="noConversion"/>
  </si>
  <si>
    <t>在可预见的将来，
整体股市在一定程度上出现某种幅度的下跌</t>
    <phoneticPr fontId="2" type="noConversion"/>
  </si>
  <si>
    <t>错误：忽略影响走势的较强因素，
反而担心较弱因素</t>
    <phoneticPr fontId="2" type="noConversion"/>
  </si>
  <si>
    <t>一只优秀股票价格涨幅过大，因此应该将其卖出</t>
    <phoneticPr fontId="2" type="noConversion"/>
  </si>
  <si>
    <t>意义：面对几年后规模达到现在4倍的公司，高估35%重要么</t>
    <phoneticPr fontId="2" type="noConversion"/>
  </si>
  <si>
    <t>股票有了很大的涨幅，上涨潜力已经被释放</t>
    <phoneticPr fontId="2" type="noConversion"/>
  </si>
  <si>
    <t>意义：三个同学股市</t>
    <phoneticPr fontId="2" type="noConversion"/>
  </si>
  <si>
    <t>宁波精达</t>
    <phoneticPr fontId="2" type="noConversion"/>
  </si>
  <si>
    <t>准备金
折旧和摊销</t>
    <phoneticPr fontId="2" type="noConversion"/>
  </si>
  <si>
    <t>盈利误导手段
1 虚增商誉无形资产
2 租赁物增值
3 按市场价值计算股票股息导致虚增</t>
    <phoneticPr fontId="2" type="noConversion"/>
  </si>
  <si>
    <t>平均值</t>
    <phoneticPr fontId="2" type="noConversion"/>
  </si>
  <si>
    <r>
      <t xml:space="preserve">1市场竞争
</t>
    </r>
    <r>
      <rPr>
        <sz val="11"/>
        <color rgb="FFFF0000"/>
        <rFont val="宋体"/>
        <family val="3"/>
        <charset val="134"/>
        <scheme val="minor"/>
      </rPr>
      <t xml:space="preserve">2毛利率下降
</t>
    </r>
    <r>
      <rPr>
        <sz val="11"/>
        <color theme="1"/>
        <rFont val="宋体"/>
        <family val="3"/>
        <charset val="134"/>
        <scheme val="minor"/>
      </rPr>
      <t xml:space="preserve">3市场开拓
4高素质技术工人流动
5合同履约
6应收账款
7汇率风险
</t>
    </r>
    <r>
      <rPr>
        <sz val="11"/>
        <color rgb="FFFF0000"/>
        <rFont val="宋体"/>
        <family val="3"/>
        <charset val="134"/>
        <scheme val="minor"/>
      </rPr>
      <t>8存货风险</t>
    </r>
    <phoneticPr fontId="2" type="noConversion"/>
  </si>
  <si>
    <t xml:space="preserve">41（6家行业平均）
</t>
    <phoneticPr fontId="2" type="noConversion"/>
  </si>
  <si>
    <t>资产负债比率</t>
    <phoneticPr fontId="2" type="noConversion"/>
  </si>
  <si>
    <t>收入来源</t>
    <phoneticPr fontId="2" type="noConversion"/>
  </si>
  <si>
    <t>永安药业</t>
    <phoneticPr fontId="2" type="noConversion"/>
  </si>
  <si>
    <t>永安药业</t>
    <phoneticPr fontId="2" type="noConversion"/>
  </si>
  <si>
    <t>不要过度分散化</t>
    <phoneticPr fontId="2" type="noConversion"/>
  </si>
  <si>
    <t>不要过度重视过往收益和价格变化</t>
    <phoneticPr fontId="2" type="noConversion"/>
  </si>
  <si>
    <t>不要担心战争时刻买入股票</t>
    <phoneticPr fontId="2" type="noConversion"/>
  </si>
  <si>
    <t>真正重要的是从过往发现探索未来的线索
，并且将现在和过往因素综合来寻找未来的蛛丝马迹</t>
    <phoneticPr fontId="2" type="noConversion"/>
  </si>
  <si>
    <t>行业分散/公司分散/主营分散</t>
    <phoneticPr fontId="2" type="noConversion"/>
  </si>
  <si>
    <t>战争失败会降低证券和货币的价值，
成功的影响具体看公司</t>
    <phoneticPr fontId="2" type="noConversion"/>
  </si>
  <si>
    <t>无</t>
    <phoneticPr fontId="2" type="noConversion"/>
  </si>
  <si>
    <t>无</t>
    <phoneticPr fontId="2" type="noConversion"/>
  </si>
  <si>
    <t>3w吨新项目制造智能化
ARP代替ERP</t>
    <phoneticPr fontId="2" type="noConversion"/>
  </si>
  <si>
    <t>市场规模、品牌</t>
    <phoneticPr fontId="2" type="noConversion"/>
  </si>
  <si>
    <t>是</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</si>
</sst>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0.00_ "/>
    <numFmt numFmtId="177" formatCode="0.00_);[Red]\(0.00\)"/>
    <numFmt numFmtId="178" formatCode="0.000_ "/>
  </numFmts>
  <fonts count="9" x14ac:knownFonts="1">
    <font>
      <sz val="11"/>
      <color theme="1"/>
      <name val="宋体"/>
      <family val="2"/>
      <scheme val="minor"/>
    </font>
    <font>
      <b/>
      <sz val="11"/>
      <color theme="1"/>
      <name val="宋体"/>
      <family val="3"/>
      <charset val="134"/>
      <scheme val="minor"/>
    </font>
    <font>
      <sz val="9"/>
      <name val="宋体"/>
      <family val="3"/>
      <charset val="134"/>
      <scheme val="minor"/>
    </font>
    <font>
      <sz val="11"/>
      <color rgb="FFFF0000"/>
      <name val="宋体"/>
      <family val="2"/>
      <scheme val="minor"/>
    </font>
    <font>
      <sz val="11"/>
      <color rgb="FFFF0000"/>
      <name val="宋体"/>
      <family val="3"/>
      <charset val="134"/>
      <scheme val="minor"/>
    </font>
    <font>
      <u/>
      <sz val="11"/>
      <color theme="10"/>
      <name val="宋体"/>
      <family val="2"/>
      <scheme val="minor"/>
    </font>
    <font>
      <b/>
      <sz val="11"/>
      <color rgb="FFFF0000"/>
      <name val="宋体"/>
      <family val="3"/>
      <charset val="134"/>
      <scheme val="minor"/>
    </font>
    <font>
      <i/>
      <sz val="11"/>
      <color theme="1"/>
      <name val="宋体"/>
      <family val="3"/>
      <charset val="134"/>
      <scheme val="minor"/>
    </font>
    <font>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67">
    <xf numFmtId="0" fontId="0" fillId="0" borderId="0" xfId="0"/>
    <xf numFmtId="0" fontId="1" fillId="0" borderId="0" xfId="0" applyFont="1"/>
    <xf numFmtId="10" fontId="1" fillId="0" borderId="0" xfId="0" applyNumberFormat="1" applyFont="1"/>
    <xf numFmtId="176" fontId="1" fillId="0" borderId="0" xfId="0" applyNumberFormat="1" applyFont="1"/>
    <xf numFmtId="14" fontId="0" fillId="0" borderId="0" xfId="0" applyNumberFormat="1" applyAlignment="1">
      <alignment vertical="center" wrapText="1"/>
    </xf>
    <xf numFmtId="10" fontId="0" fillId="0" borderId="0" xfId="0" applyNumberFormat="1"/>
    <xf numFmtId="0" fontId="0" fillId="0" borderId="0" xfId="0" applyAlignment="1">
      <alignment vertical="center" wrapText="1"/>
    </xf>
    <xf numFmtId="176" fontId="0" fillId="0" borderId="0" xfId="0" applyNumberFormat="1"/>
    <xf numFmtId="14" fontId="3" fillId="0" borderId="0" xfId="0" applyNumberFormat="1" applyFont="1" applyAlignment="1">
      <alignment vertical="center" wrapText="1"/>
    </xf>
    <xf numFmtId="0" fontId="4" fillId="0" borderId="0" xfId="0" applyFont="1"/>
    <xf numFmtId="10" fontId="4" fillId="0" borderId="0" xfId="0" applyNumberFormat="1" applyFont="1"/>
    <xf numFmtId="0" fontId="4" fillId="0" borderId="0" xfId="0" applyFont="1" applyAlignment="1">
      <alignment vertical="center" wrapText="1"/>
    </xf>
    <xf numFmtId="176" fontId="4" fillId="0" borderId="0" xfId="0" applyNumberFormat="1" applyFont="1"/>
    <xf numFmtId="10" fontId="0" fillId="0" borderId="0" xfId="0" applyNumberFormat="1" applyAlignment="1">
      <alignment vertical="center" wrapText="1"/>
    </xf>
    <xf numFmtId="176" fontId="0" fillId="0" borderId="0" xfId="0" applyNumberFormat="1" applyAlignment="1">
      <alignment vertical="center" wrapText="1"/>
    </xf>
    <xf numFmtId="10" fontId="5" fillId="0" borderId="0" xfId="1" applyNumberFormat="1" applyAlignment="1">
      <alignment vertical="center" wrapText="1"/>
    </xf>
    <xf numFmtId="176" fontId="5" fillId="0" borderId="0" xfId="1" applyNumberFormat="1" applyAlignment="1">
      <alignment vertical="center" wrapText="1"/>
    </xf>
    <xf numFmtId="0" fontId="0" fillId="2" borderId="0" xfId="0" applyFill="1"/>
    <xf numFmtId="10" fontId="0" fillId="2" borderId="0" xfId="0" applyNumberFormat="1" applyFill="1"/>
    <xf numFmtId="0" fontId="0" fillId="2" borderId="0" xfId="0" applyFill="1" applyAlignment="1">
      <alignment vertical="center" wrapText="1"/>
    </xf>
    <xf numFmtId="176" fontId="0" fillId="2" borderId="0" xfId="0" applyNumberFormat="1" applyFill="1"/>
    <xf numFmtId="9" fontId="0" fillId="0" borderId="0" xfId="0" applyNumberFormat="1"/>
    <xf numFmtId="14" fontId="0" fillId="3" borderId="0" xfId="0" applyNumberFormat="1" applyFill="1" applyAlignment="1">
      <alignment vertical="center" wrapText="1"/>
    </xf>
    <xf numFmtId="0" fontId="0" fillId="3" borderId="0" xfId="0" applyFill="1" applyAlignment="1">
      <alignment vertical="center" wrapText="1"/>
    </xf>
    <xf numFmtId="10" fontId="0" fillId="3" borderId="0" xfId="0" applyNumberFormat="1" applyFill="1" applyAlignment="1">
      <alignment vertical="center" wrapText="1"/>
    </xf>
    <xf numFmtId="176" fontId="0" fillId="3" borderId="0" xfId="0" applyNumberFormat="1" applyFill="1" applyAlignment="1">
      <alignment vertical="center" wrapText="1"/>
    </xf>
    <xf numFmtId="10" fontId="5" fillId="3" borderId="0" xfId="1" applyNumberFormat="1" applyFill="1" applyAlignment="1">
      <alignment vertical="center" wrapText="1"/>
    </xf>
    <xf numFmtId="176" fontId="5" fillId="3" borderId="0" xfId="1" applyNumberFormat="1" applyFill="1" applyAlignment="1">
      <alignment vertical="center" wrapText="1"/>
    </xf>
    <xf numFmtId="10" fontId="0" fillId="3" borderId="0" xfId="0" applyNumberFormat="1" applyFill="1"/>
    <xf numFmtId="0" fontId="0" fillId="3" borderId="0" xfId="0" applyFill="1"/>
    <xf numFmtId="177" fontId="1" fillId="0" borderId="0" xfId="0" applyNumberFormat="1" applyFont="1" applyAlignment="1">
      <alignment wrapText="1"/>
    </xf>
    <xf numFmtId="177" fontId="0" fillId="3" borderId="0" xfId="0" applyNumberFormat="1" applyFill="1" applyAlignment="1">
      <alignment vertical="center" wrapText="1"/>
    </xf>
    <xf numFmtId="177" fontId="0" fillId="2" borderId="0" xfId="0" applyNumberFormat="1" applyFill="1"/>
    <xf numFmtId="177" fontId="0" fillId="0" borderId="0" xfId="0" applyNumberFormat="1"/>
    <xf numFmtId="177" fontId="4" fillId="0" borderId="0" xfId="0" applyNumberFormat="1" applyFont="1"/>
    <xf numFmtId="177" fontId="0" fillId="0" borderId="0" xfId="0" applyNumberFormat="1" applyAlignment="1">
      <alignment vertical="center" wrapText="1"/>
    </xf>
    <xf numFmtId="177" fontId="1" fillId="0" borderId="0" xfId="0" applyNumberFormat="1" applyFont="1"/>
    <xf numFmtId="10" fontId="6" fillId="0" borderId="0" xfId="0" applyNumberFormat="1" applyFont="1"/>
    <xf numFmtId="10" fontId="4" fillId="3" borderId="0" xfId="0" applyNumberFormat="1" applyFont="1" applyFill="1" applyAlignment="1">
      <alignment vertical="center" wrapText="1"/>
    </xf>
    <xf numFmtId="10" fontId="4" fillId="2" borderId="0" xfId="0" applyNumberFormat="1" applyFont="1" applyFill="1"/>
    <xf numFmtId="10" fontId="4" fillId="0" borderId="0" xfId="0" applyNumberFormat="1" applyFont="1" applyAlignment="1">
      <alignment vertical="center" wrapText="1"/>
    </xf>
    <xf numFmtId="0" fontId="1" fillId="0" borderId="0" xfId="0" applyFont="1" applyAlignment="1">
      <alignment horizontal="center"/>
    </xf>
    <xf numFmtId="0" fontId="1" fillId="0" borderId="0" xfId="0" applyFont="1" applyAlignment="1">
      <alignment wrapText="1"/>
    </xf>
    <xf numFmtId="0" fontId="7" fillId="0" borderId="0" xfId="0" applyFont="1"/>
    <xf numFmtId="14" fontId="7" fillId="0" borderId="0" xfId="0" applyNumberFormat="1" applyFont="1"/>
    <xf numFmtId="0" fontId="5" fillId="2" borderId="0" xfId="1" applyFill="1"/>
    <xf numFmtId="0" fontId="1" fillId="0" borderId="0" xfId="0" applyFont="1" applyAlignment="1">
      <alignment horizontal="center" wrapText="1"/>
    </xf>
    <xf numFmtId="0" fontId="0" fillId="0" borderId="0" xfId="0" applyAlignment="1">
      <alignment wrapText="1"/>
    </xf>
    <xf numFmtId="0" fontId="1" fillId="0" borderId="0" xfId="0" applyFont="1" applyAlignment="1">
      <alignment horizontal="center" wrapText="1"/>
    </xf>
    <xf numFmtId="0" fontId="1" fillId="0" borderId="0" xfId="0" applyFont="1" applyAlignment="1">
      <alignment horizontal="center" wrapText="1"/>
    </xf>
    <xf numFmtId="10" fontId="0" fillId="0" borderId="0" xfId="0" applyNumberFormat="1" applyAlignment="1">
      <alignment wrapText="1"/>
    </xf>
    <xf numFmtId="0" fontId="1" fillId="0" borderId="0" xfId="0" applyFont="1" applyAlignment="1">
      <alignment horizontal="center" wrapText="1"/>
    </xf>
    <xf numFmtId="177" fontId="5" fillId="0" borderId="0" xfId="1" applyNumberFormat="1" applyAlignment="1">
      <alignment horizontal="center" wrapText="1"/>
    </xf>
    <xf numFmtId="177" fontId="0" fillId="0" borderId="0" xfId="0" applyNumberFormat="1" applyAlignment="1">
      <alignment wrapText="1"/>
    </xf>
    <xf numFmtId="0" fontId="6" fillId="0" borderId="0" xfId="0" applyFont="1" applyAlignment="1">
      <alignment horizontal="center" wrapText="1"/>
    </xf>
    <xf numFmtId="0" fontId="1" fillId="0" borderId="0" xfId="0" applyFont="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0" fillId="0" borderId="0" xfId="0" applyAlignment="1">
      <alignment vertical="center"/>
    </xf>
    <xf numFmtId="0" fontId="0" fillId="0" borderId="0" xfId="0" applyAlignment="1">
      <alignment horizontal="center" vertical="center"/>
    </xf>
    <xf numFmtId="10" fontId="0" fillId="0" borderId="0" xfId="0" applyNumberFormat="1" applyAlignment="1">
      <alignment horizontal="center" wrapText="1"/>
    </xf>
    <xf numFmtId="176" fontId="0" fillId="0" borderId="0" xfId="0" applyNumberFormat="1" applyAlignment="1">
      <alignment wrapText="1"/>
    </xf>
    <xf numFmtId="0" fontId="1" fillId="0" borderId="0" xfId="0" applyFont="1" applyAlignment="1">
      <alignment horizontal="center" wrapText="1"/>
    </xf>
    <xf numFmtId="0" fontId="1" fillId="0" borderId="0" xfId="0" applyFont="1" applyAlignment="1">
      <alignment horizontal="center"/>
    </xf>
    <xf numFmtId="178" fontId="0" fillId="0" borderId="0" xfId="0" applyNumberFormat="1"/>
    <xf numFmtId="0" fontId="1" fillId="0" borderId="0" xfId="0" applyFont="1" applyAlignment="1">
      <alignment horizontal="center" wrapText="1"/>
    </xf>
    <xf numFmtId="0" fontId="1" fillId="0" borderId="0" xfId="0" applyFont="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2DA-40E7-AF9C-D6B77FEF1AE2}"/>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109064"/>
        <c:axId val="247299248"/>
      </c:lineChart>
      <c:catAx>
        <c:axId val="2471090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299248"/>
        <c:crosses val="autoZero"/>
        <c:auto val="1"/>
        <c:lblAlgn val="ctr"/>
        <c:lblOffset val="100"/>
        <c:noMultiLvlLbl val="0"/>
      </c:catAx>
      <c:valAx>
        <c:axId val="24729924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1090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'[2]中科创达(300496)_利润表 (1)'!$B$1</c:f>
              <c:strCache>
                <c:ptCount val="1"/>
                <c:pt idx="0">
                  <c:v>利润率</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numRef>
              <c:f>'[2]中科创达(300496)_利润表 (1)'!$A$2:$A$7</c:f>
              <c:numCache>
                <c:formatCode>General</c:formatCode>
                <c:ptCount val="6"/>
                <c:pt idx="0">
                  <c:v>2013</c:v>
                </c:pt>
                <c:pt idx="1">
                  <c:v>2014</c:v>
                </c:pt>
                <c:pt idx="2">
                  <c:v>2015</c:v>
                </c:pt>
                <c:pt idx="3">
                  <c:v>2016</c:v>
                </c:pt>
                <c:pt idx="4">
                  <c:v>2017</c:v>
                </c:pt>
                <c:pt idx="5">
                  <c:v>2018</c:v>
                </c:pt>
              </c:numCache>
            </c:numRef>
          </c:cat>
          <c:val>
            <c:numRef>
              <c:f>'[2]中科创达(300496)_利润表 (1)'!$B$2:$B$7</c:f>
              <c:numCache>
                <c:formatCode>General</c:formatCode>
                <c:ptCount val="6"/>
                <c:pt idx="0">
                  <c:v>0.28999999999999998</c:v>
                </c:pt>
                <c:pt idx="1">
                  <c:v>0.25</c:v>
                </c:pt>
                <c:pt idx="2">
                  <c:v>0.19</c:v>
                </c:pt>
                <c:pt idx="3">
                  <c:v>0.14000000000000001</c:v>
                </c:pt>
                <c:pt idx="4">
                  <c:v>7.0000000000000007E-2</c:v>
                </c:pt>
                <c:pt idx="5">
                  <c:v>0.12</c:v>
                </c:pt>
              </c:numCache>
            </c:numRef>
          </c:val>
          <c:smooth val="0"/>
          <c:extLst>
            <c:ext xmlns:c16="http://schemas.microsoft.com/office/drawing/2014/chart" uri="{C3380CC4-5D6E-409C-BE32-E72D297353CC}">
              <c16:uniqueId val="{00000000-53E7-43D6-9378-1BE460360DA0}"/>
            </c:ext>
          </c:extLst>
        </c:ser>
        <c:dLbls>
          <c:dLblPos val="ctr"/>
          <c:showLegendKey val="0"/>
          <c:showVal val="1"/>
          <c:showCatName val="0"/>
          <c:showSerName val="0"/>
          <c:showPercent val="0"/>
          <c:showBubbleSize val="0"/>
        </c:dLbls>
        <c:smooth val="0"/>
        <c:axId val="247267232"/>
        <c:axId val="247267616"/>
      </c:lineChart>
      <c:catAx>
        <c:axId val="24726723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616"/>
        <c:crosses val="autoZero"/>
        <c:auto val="1"/>
        <c:lblAlgn val="ctr"/>
        <c:lblOffset val="100"/>
        <c:noMultiLvlLbl val="0"/>
      </c:catAx>
      <c:valAx>
        <c:axId val="24726761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2672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zh-CN"/>
        </a:p>
      </c:txPr>
    </c:title>
    <c:autoTitleDeleted val="0"/>
    <c:plotArea>
      <c:layout/>
      <c:lineChart>
        <c:grouping val="standard"/>
        <c:varyColors val="0"/>
        <c:ser>
          <c:idx val="0"/>
          <c:order val="0"/>
          <c:tx>
            <c:strRef>
              <c:f>[1]比率分析!$J$2</c:f>
              <c:strCache>
                <c:ptCount val="1"/>
                <c:pt idx="0">
                  <c:v>净资产收益率ROE</c:v>
                </c:pt>
              </c:strCache>
            </c:strRef>
          </c:tx>
          <c:spPr>
            <a:ln w="31750"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numRef>
              <c:f>[1]比率分析!$I$3:$I$7</c:f>
              <c:numCache>
                <c:formatCode>General</c:formatCode>
                <c:ptCount val="5"/>
                <c:pt idx="0">
                  <c:v>2013</c:v>
                </c:pt>
                <c:pt idx="1">
                  <c:v>2014</c:v>
                </c:pt>
                <c:pt idx="2">
                  <c:v>2015</c:v>
                </c:pt>
                <c:pt idx="3">
                  <c:v>2016</c:v>
                </c:pt>
                <c:pt idx="4">
                  <c:v>2017</c:v>
                </c:pt>
              </c:numCache>
            </c:numRef>
          </c:cat>
          <c:val>
            <c:numRef>
              <c:f>[1]比率分析!$J$3:$J$7</c:f>
              <c:numCache>
                <c:formatCode>General</c:formatCode>
                <c:ptCount val="5"/>
                <c:pt idx="0">
                  <c:v>2.1296296296296296E-2</c:v>
                </c:pt>
                <c:pt idx="1">
                  <c:v>2.8828828828828829E-2</c:v>
                </c:pt>
                <c:pt idx="2">
                  <c:v>1.517857142857143E-2</c:v>
                </c:pt>
                <c:pt idx="3">
                  <c:v>5.2676295666949875E-2</c:v>
                </c:pt>
                <c:pt idx="4">
                  <c:v>9.8884758364312278E-2</c:v>
                </c:pt>
              </c:numCache>
            </c:numRef>
          </c:val>
          <c:smooth val="0"/>
          <c:extLst>
            <c:ext xmlns:c16="http://schemas.microsoft.com/office/drawing/2014/chart" uri="{C3380CC4-5D6E-409C-BE32-E72D297353CC}">
              <c16:uniqueId val="{00000000-87A4-4000-8E98-60544EE1C559}"/>
            </c:ext>
          </c:extLst>
        </c:ser>
        <c:dLbls>
          <c:dLblPos val="ctr"/>
          <c:showLegendKey val="0"/>
          <c:showVal val="1"/>
          <c:showCatName val="0"/>
          <c:showSerName val="0"/>
          <c:showPercent val="0"/>
          <c:showBubbleSize val="0"/>
        </c:dLbls>
        <c:smooth val="0"/>
        <c:axId val="247812912"/>
        <c:axId val="247813296"/>
      </c:lineChart>
      <c:catAx>
        <c:axId val="247812912"/>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3296"/>
        <c:crosses val="autoZero"/>
        <c:auto val="1"/>
        <c:lblAlgn val="ctr"/>
        <c:lblOffset val="100"/>
        <c:noMultiLvlLbl val="0"/>
      </c:catAx>
      <c:valAx>
        <c:axId val="247813296"/>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zh-CN"/>
          </a:p>
        </c:txPr>
        <c:crossAx val="2478129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tx>
            <c:strRef>
              <c:f>[1]比率分析!$M$2</c:f>
              <c:strCache>
                <c:ptCount val="1"/>
                <c:pt idx="0">
                  <c:v>资产回报率ROA</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numRef>
              <c:f>[1]比率分析!$L$3:$L$7</c:f>
              <c:numCache>
                <c:formatCode>General</c:formatCode>
                <c:ptCount val="5"/>
                <c:pt idx="0">
                  <c:v>2013</c:v>
                </c:pt>
                <c:pt idx="1">
                  <c:v>2014</c:v>
                </c:pt>
                <c:pt idx="2">
                  <c:v>2015</c:v>
                </c:pt>
                <c:pt idx="3">
                  <c:v>2016</c:v>
                </c:pt>
                <c:pt idx="4">
                  <c:v>2017</c:v>
                </c:pt>
              </c:numCache>
            </c:numRef>
          </c:cat>
          <c:val>
            <c:numRef>
              <c:f>[1]比率分析!$M$3:$M$7</c:f>
              <c:numCache>
                <c:formatCode>General</c:formatCode>
                <c:ptCount val="5"/>
                <c:pt idx="0">
                  <c:v>1.913477537437604E-2</c:v>
                </c:pt>
                <c:pt idx="1">
                  <c:v>2.6958719460825613E-2</c:v>
                </c:pt>
                <c:pt idx="2">
                  <c:v>1.4131338320864507E-2</c:v>
                </c:pt>
                <c:pt idx="3">
                  <c:v>4.8703849175176749E-2</c:v>
                </c:pt>
                <c:pt idx="4">
                  <c:v>8.4177215189873422E-2</c:v>
                </c:pt>
              </c:numCache>
            </c:numRef>
          </c:val>
          <c:smooth val="0"/>
          <c:extLst>
            <c:ext xmlns:c16="http://schemas.microsoft.com/office/drawing/2014/chart" uri="{C3380CC4-5D6E-409C-BE32-E72D297353CC}">
              <c16:uniqueId val="{00000000-CB20-4061-B741-69197F46C34B}"/>
            </c:ext>
          </c:extLst>
        </c:ser>
        <c:dLbls>
          <c:dLblPos val="ctr"/>
          <c:showLegendKey val="0"/>
          <c:showVal val="1"/>
          <c:showCatName val="0"/>
          <c:showSerName val="0"/>
          <c:showPercent val="0"/>
          <c:showBubbleSize val="0"/>
        </c:dLbls>
        <c:marker val="1"/>
        <c:smooth val="0"/>
        <c:axId val="247423008"/>
        <c:axId val="247427488"/>
      </c:lineChart>
      <c:catAx>
        <c:axId val="2474230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zh-CN"/>
          </a:p>
        </c:txPr>
        <c:crossAx val="247427488"/>
        <c:crosses val="autoZero"/>
        <c:auto val="1"/>
        <c:lblAlgn val="ctr"/>
        <c:lblOffset val="100"/>
        <c:noMultiLvlLbl val="0"/>
      </c:catAx>
      <c:valAx>
        <c:axId val="247427488"/>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2474230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manualLayout>
          <c:layoutTarget val="inner"/>
          <c:xMode val="edge"/>
          <c:yMode val="edge"/>
          <c:x val="0.10949445258743833"/>
          <c:y val="0.25441951335030488"/>
          <c:w val="0.81176955097069736"/>
          <c:h val="0.53435725028753434"/>
        </c:manualLayout>
      </c:layout>
      <c:lineChart>
        <c:grouping val="standard"/>
        <c:varyColors val="0"/>
        <c:ser>
          <c:idx val="0"/>
          <c:order val="0"/>
          <c:tx>
            <c:strRef>
              <c:f>[1]比率分析!$B$5</c:f>
              <c:strCache>
                <c:ptCount val="1"/>
                <c:pt idx="0">
                  <c:v>利润率</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[1]比率分析!$A$6:$A$9</c:f>
              <c:numCache>
                <c:formatCode>General</c:formatCode>
                <c:ptCount val="4"/>
                <c:pt idx="0">
                  <c:v>2014</c:v>
                </c:pt>
                <c:pt idx="1">
                  <c:v>2015</c:v>
                </c:pt>
                <c:pt idx="2">
                  <c:v>2016</c:v>
                </c:pt>
                <c:pt idx="3">
                  <c:v>2017</c:v>
                </c:pt>
              </c:numCache>
            </c:numRef>
          </c:cat>
          <c:val>
            <c:numRef>
              <c:f>[1]比率分析!$B$6:$B$9</c:f>
              <c:numCache>
                <c:formatCode>General</c:formatCode>
                <c:ptCount val="4"/>
                <c:pt idx="0">
                  <c:v>0.05</c:v>
                </c:pt>
                <c:pt idx="1">
                  <c:v>0.03</c:v>
                </c:pt>
                <c:pt idx="2">
                  <c:v>0.11</c:v>
                </c:pt>
                <c:pt idx="3">
                  <c:v>0.14000000000000001</c:v>
                </c:pt>
              </c:numCache>
            </c:numRef>
          </c:val>
          <c:smooth val="0"/>
          <c:extLst>
            <c:ext xmlns:c16="http://schemas.microsoft.com/office/drawing/2014/chart" uri="{C3380CC4-5D6E-409C-BE32-E72D297353CC}">
              <c16:uniqueId val="{00000000-D0D1-4B15-AB9E-478195AFE5D5}"/>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5092464"/>
        <c:axId val="247473688"/>
      </c:lineChart>
      <c:catAx>
        <c:axId val="24509246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3688"/>
        <c:crosses val="autoZero"/>
        <c:auto val="1"/>
        <c:lblAlgn val="ctr"/>
        <c:lblOffset val="100"/>
        <c:noMultiLvlLbl val="0"/>
      </c:catAx>
      <c:valAx>
        <c:axId val="247473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5092464"/>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zh-CN"/>
        </a:p>
      </c:txPr>
    </c:title>
    <c:autoTitleDeleted val="0"/>
    <c:plotArea>
      <c:layout/>
      <c:lineChart>
        <c:grouping val="standard"/>
        <c:varyColors val="0"/>
        <c:ser>
          <c:idx val="0"/>
          <c:order val="0"/>
          <c:tx>
            <c:strRef>
              <c:f>[1]比率分析!$P$2</c:f>
              <c:strCache>
                <c:ptCount val="1"/>
                <c:pt idx="0">
                  <c:v>毛利润</c:v>
                </c:pt>
              </c:strCache>
            </c:strRef>
          </c:tx>
          <c:spPr>
            <a:ln w="22225" cap="rnd" cmpd="sng" algn="ctr">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zh-CN"/>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numRef>
              <c:f>[1]比率分析!$O$3:$O$7</c:f>
              <c:numCache>
                <c:formatCode>General</c:formatCode>
                <c:ptCount val="5"/>
                <c:pt idx="0">
                  <c:v>2013</c:v>
                </c:pt>
                <c:pt idx="1">
                  <c:v>2014</c:v>
                </c:pt>
                <c:pt idx="2">
                  <c:v>2015</c:v>
                </c:pt>
                <c:pt idx="3">
                  <c:v>2016</c:v>
                </c:pt>
                <c:pt idx="4">
                  <c:v>2017</c:v>
                </c:pt>
              </c:numCache>
            </c:numRef>
          </c:cat>
          <c:val>
            <c:numRef>
              <c:f>[1]比率分析!$P$3:$P$7</c:f>
              <c:numCache>
                <c:formatCode>General</c:formatCode>
                <c:ptCount val="5"/>
                <c:pt idx="0">
                  <c:v>0.16252390057361385</c:v>
                </c:pt>
                <c:pt idx="1">
                  <c:v>0.15349544072948326</c:v>
                </c:pt>
                <c:pt idx="2">
                  <c:v>0.17805755395683442</c:v>
                </c:pt>
                <c:pt idx="3">
                  <c:v>0.25818181818181818</c:v>
                </c:pt>
                <c:pt idx="4">
                  <c:v>0.36548767416934619</c:v>
                </c:pt>
              </c:numCache>
            </c:numRef>
          </c:val>
          <c:smooth val="0"/>
          <c:extLst>
            <c:ext xmlns:c16="http://schemas.microsoft.com/office/drawing/2014/chart" uri="{C3380CC4-5D6E-409C-BE32-E72D297353CC}">
              <c16:uniqueId val="{00000000-717D-43FC-9ACE-4270697C038C}"/>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smooth val="0"/>
        <c:axId val="247474472"/>
        <c:axId val="247474864"/>
      </c:lineChart>
      <c:catAx>
        <c:axId val="247474472"/>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864"/>
        <c:crosses val="autoZero"/>
        <c:auto val="1"/>
        <c:lblAlgn val="ctr"/>
        <c:lblOffset val="100"/>
        <c:noMultiLvlLbl val="0"/>
      </c:catAx>
      <c:valAx>
        <c:axId val="247474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zh-CN"/>
          </a:p>
        </c:txPr>
        <c:crossAx val="247474472"/>
        <c:crosses val="autoZero"/>
        <c:crossBetween val="between"/>
      </c:valAx>
      <c:spPr>
        <a:gradFill>
          <a:gsLst>
            <a:gs pos="100000">
              <a:schemeClr val="lt1">
                <a:lumMod val="95000"/>
              </a:schemeClr>
            </a:gs>
            <a:gs pos="0">
              <a:schemeClr val="lt1"/>
            </a:gs>
          </a:gsLst>
          <a:lin ang="5400000" scaled="0"/>
        </a:grad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9525" cap="flat" cmpd="sng" algn="ctr">
      <a:solidFill>
        <a:schemeClr val="dk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6</xdr:col>
      <xdr:colOff>38099</xdr:colOff>
      <xdr:row>3</xdr:row>
      <xdr:rowOff>47624</xdr:rowOff>
    </xdr:from>
    <xdr:to>
      <xdr:col>6</xdr:col>
      <xdr:colOff>2286000</xdr:colOff>
      <xdr:row>3</xdr:row>
      <xdr:rowOff>1052099</xdr:rowOff>
    </xdr:to>
    <xdr:pic>
      <xdr:nvPicPr>
        <xdr:cNvPr id="3" name="图片 2"/>
        <xdr:cNvPicPr>
          <a:picLocks noChangeAspect="1"/>
        </xdr:cNvPicPr>
      </xdr:nvPicPr>
      <xdr:blipFill>
        <a:blip xmlns:r="http://schemas.openxmlformats.org/officeDocument/2006/relationships" r:embed="rId1"/>
        <a:stretch>
          <a:fillRect/>
        </a:stretch>
      </xdr:blipFill>
      <xdr:spPr>
        <a:xfrm>
          <a:off x="5562599" y="390524"/>
          <a:ext cx="2247901" cy="1004475"/>
        </a:xfrm>
        <a:prstGeom prst="rect">
          <a:avLst/>
        </a:prstGeom>
      </xdr:spPr>
    </xdr:pic>
    <xdr:clientData/>
  </xdr:twoCellAnchor>
  <xdr:twoCellAnchor editAs="oneCell">
    <xdr:from>
      <xdr:col>10</xdr:col>
      <xdr:colOff>0</xdr:colOff>
      <xdr:row>2</xdr:row>
      <xdr:rowOff>171449</xdr:rowOff>
    </xdr:from>
    <xdr:to>
      <xdr:col>10</xdr:col>
      <xdr:colOff>2657476</xdr:colOff>
      <xdr:row>3</xdr:row>
      <xdr:rowOff>1326768</xdr:rowOff>
    </xdr:to>
    <xdr:pic>
      <xdr:nvPicPr>
        <xdr:cNvPr id="4" name="图片 3"/>
        <xdr:cNvPicPr>
          <a:picLocks noChangeAspect="1"/>
        </xdr:cNvPicPr>
      </xdr:nvPicPr>
      <xdr:blipFill>
        <a:blip xmlns:r="http://schemas.openxmlformats.org/officeDocument/2006/relationships" r:embed="rId2"/>
        <a:stretch>
          <a:fillRect/>
        </a:stretch>
      </xdr:blipFill>
      <xdr:spPr>
        <a:xfrm>
          <a:off x="13277850" y="514349"/>
          <a:ext cx="2657476" cy="1326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3</xdr:row>
      <xdr:rowOff>0</xdr:rowOff>
    </xdr:from>
    <xdr:to>
      <xdr:col>13</xdr:col>
      <xdr:colOff>2457450</xdr:colOff>
      <xdr:row>3</xdr:row>
      <xdr:rowOff>1590675</xdr:rowOff>
    </xdr:to>
    <xdr:graphicFrame macro="">
      <xdr:nvGraphicFramePr>
        <xdr:cNvPr id="8" name="图表 7">
          <a:extLst>
            <a:ext uri="{FF2B5EF4-FFF2-40B4-BE49-F238E27FC236}">
              <a16:creationId xmlns:a16="http://schemas.microsoft.com/office/drawing/2014/main" id="{5B525A9C-0E02-42D1-9915-B3BC300676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0</xdr:colOff>
      <xdr:row>4</xdr:row>
      <xdr:rowOff>0</xdr:rowOff>
    </xdr:from>
    <xdr:to>
      <xdr:col>13</xdr:col>
      <xdr:colOff>2490787</xdr:colOff>
      <xdr:row>4</xdr:row>
      <xdr:rowOff>1504949</xdr:rowOff>
    </xdr:to>
    <xdr:graphicFrame macro="">
      <xdr:nvGraphicFramePr>
        <xdr:cNvPr id="3" name="图表 2">
          <a:extLst>
            <a:ext uri="{FF2B5EF4-FFF2-40B4-BE49-F238E27FC236}">
              <a16:creationId xmlns:a16="http://schemas.microsoft.com/office/drawing/2014/main" id="{66AD9D28-9845-4524-A75E-E8D3232699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171449</xdr:rowOff>
    </xdr:from>
    <xdr:to>
      <xdr:col>1</xdr:col>
      <xdr:colOff>2495550</xdr:colOff>
      <xdr:row>2</xdr:row>
      <xdr:rowOff>1571624</xdr:rowOff>
    </xdr:to>
    <xdr:graphicFrame macro="">
      <xdr:nvGraphicFramePr>
        <xdr:cNvPr id="3" name="图表 2">
          <a:extLst>
            <a:ext uri="{FF2B5EF4-FFF2-40B4-BE49-F238E27FC236}">
              <a16:creationId xmlns:a16="http://schemas.microsoft.com/office/drawing/2014/main" id="{2A7FED39-74BC-41A2-8C07-2E843A78E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xdr:row>
      <xdr:rowOff>171449</xdr:rowOff>
    </xdr:from>
    <xdr:to>
      <xdr:col>2</xdr:col>
      <xdr:colOff>2538413</xdr:colOff>
      <xdr:row>2</xdr:row>
      <xdr:rowOff>1590674</xdr:rowOff>
    </xdr:to>
    <xdr:graphicFrame macro="">
      <xdr:nvGraphicFramePr>
        <xdr:cNvPr id="4" name="图表 3">
          <a:extLst>
            <a:ext uri="{FF2B5EF4-FFF2-40B4-BE49-F238E27FC236}">
              <a16:creationId xmlns:a16="http://schemas.microsoft.com/office/drawing/2014/main" id="{CBCD41E5-CFBD-42A2-8A7A-5C786B0A86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xdr:colOff>
      <xdr:row>2</xdr:row>
      <xdr:rowOff>0</xdr:rowOff>
    </xdr:from>
    <xdr:to>
      <xdr:col>3</xdr:col>
      <xdr:colOff>2457451</xdr:colOff>
      <xdr:row>2</xdr:row>
      <xdr:rowOff>1590675</xdr:rowOff>
    </xdr:to>
    <xdr:graphicFrame macro="">
      <xdr:nvGraphicFramePr>
        <xdr:cNvPr id="5" name="图表 4">
          <a:extLst>
            <a:ext uri="{FF2B5EF4-FFF2-40B4-BE49-F238E27FC236}">
              <a16:creationId xmlns:a16="http://schemas.microsoft.com/office/drawing/2014/main" id="{8624A653-617C-4264-B426-4C67367189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xdr:colOff>
      <xdr:row>1</xdr:row>
      <xdr:rowOff>171449</xdr:rowOff>
    </xdr:from>
    <xdr:to>
      <xdr:col>4</xdr:col>
      <xdr:colOff>2133601</xdr:colOff>
      <xdr:row>2</xdr:row>
      <xdr:rowOff>1571624</xdr:rowOff>
    </xdr:to>
    <xdr:graphicFrame macro="">
      <xdr:nvGraphicFramePr>
        <xdr:cNvPr id="6" name="图表 5">
          <a:extLst>
            <a:ext uri="{FF2B5EF4-FFF2-40B4-BE49-F238E27FC236}">
              <a16:creationId xmlns:a16="http://schemas.microsoft.com/office/drawing/2014/main" id="{22342621-8A88-4AF9-B606-EB11596E2C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20843;&#26007;&#20307;&#32946;\Downloads\&#26222;&#36890;&#32929;&#20998;&#26512;\&#27704;&#23433;&#33647;&#1999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20843;&#26007;&#20307;&#32946;\Downloads\&#20013;&#31185;&#21019;&#36798;(300496)_&#21033;&#28070;&#34920;%20(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比率分析"/>
    </sheetNames>
    <sheetDataSet>
      <sheetData sheetId="0">
        <row r="2">
          <cell r="J2" t="str">
            <v>净资产收益率ROE</v>
          </cell>
          <cell r="M2" t="str">
            <v>资产回报率ROA</v>
          </cell>
          <cell r="P2" t="str">
            <v>毛利润</v>
          </cell>
        </row>
        <row r="3">
          <cell r="I3">
            <v>2013</v>
          </cell>
          <cell r="J3">
            <v>2.1296296296296296E-2</v>
          </cell>
          <cell r="L3">
            <v>2013</v>
          </cell>
          <cell r="M3">
            <v>1.913477537437604E-2</v>
          </cell>
          <cell r="O3">
            <v>2013</v>
          </cell>
          <cell r="P3">
            <v>0.16252390057361385</v>
          </cell>
        </row>
        <row r="4">
          <cell r="I4">
            <v>2014</v>
          </cell>
          <cell r="J4">
            <v>2.8828828828828829E-2</v>
          </cell>
          <cell r="L4">
            <v>2014</v>
          </cell>
          <cell r="M4">
            <v>2.6958719460825613E-2</v>
          </cell>
          <cell r="O4">
            <v>2014</v>
          </cell>
          <cell r="P4">
            <v>0.15349544072948326</v>
          </cell>
        </row>
        <row r="5">
          <cell r="B5" t="str">
            <v>利润率</v>
          </cell>
          <cell r="I5">
            <v>2015</v>
          </cell>
          <cell r="J5">
            <v>1.517857142857143E-2</v>
          </cell>
          <cell r="L5">
            <v>2015</v>
          </cell>
          <cell r="M5">
            <v>1.4131338320864507E-2</v>
          </cell>
          <cell r="O5">
            <v>2015</v>
          </cell>
          <cell r="P5">
            <v>0.17805755395683442</v>
          </cell>
        </row>
        <row r="6">
          <cell r="A6">
            <v>2014</v>
          </cell>
          <cell r="B6">
            <v>0.05</v>
          </cell>
          <cell r="I6">
            <v>2016</v>
          </cell>
          <cell r="J6">
            <v>5.2676295666949875E-2</v>
          </cell>
          <cell r="L6">
            <v>2016</v>
          </cell>
          <cell r="M6">
            <v>4.8703849175176749E-2</v>
          </cell>
          <cell r="O6">
            <v>2016</v>
          </cell>
          <cell r="P6">
            <v>0.25818181818181818</v>
          </cell>
        </row>
        <row r="7">
          <cell r="A7">
            <v>2015</v>
          </cell>
          <cell r="B7">
            <v>0.03</v>
          </cell>
          <cell r="I7">
            <v>2017</v>
          </cell>
          <cell r="J7">
            <v>9.8884758364312278E-2</v>
          </cell>
          <cell r="L7">
            <v>2017</v>
          </cell>
          <cell r="M7">
            <v>8.4177215189873422E-2</v>
          </cell>
          <cell r="O7">
            <v>2017</v>
          </cell>
          <cell r="P7">
            <v>0.36548767416934619</v>
          </cell>
        </row>
        <row r="8">
          <cell r="A8">
            <v>2016</v>
          </cell>
          <cell r="B8">
            <v>0.11</v>
          </cell>
        </row>
        <row r="9">
          <cell r="A9">
            <v>2017</v>
          </cell>
          <cell r="B9">
            <v>0.14000000000000001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创达(300496)_利润表 (1)"/>
    </sheetNames>
    <sheetDataSet>
      <sheetData sheetId="0">
        <row r="1">
          <cell r="B1" t="str">
            <v>利润率</v>
          </cell>
        </row>
        <row r="2">
          <cell r="A2">
            <v>2013</v>
          </cell>
          <cell r="B2">
            <v>0.28999999999999998</v>
          </cell>
        </row>
        <row r="3">
          <cell r="A3">
            <v>2014</v>
          </cell>
          <cell r="B3">
            <v>0.25</v>
          </cell>
        </row>
        <row r="4">
          <cell r="A4">
            <v>2015</v>
          </cell>
          <cell r="B4">
            <v>0.19</v>
          </cell>
        </row>
        <row r="5">
          <cell r="A5">
            <v>2016</v>
          </cell>
          <cell r="B5">
            <v>0.14000000000000001</v>
          </cell>
        </row>
        <row r="6">
          <cell r="A6">
            <v>2017</v>
          </cell>
          <cell r="B6">
            <v>7.0000000000000007E-2</v>
          </cell>
        </row>
        <row r="7">
          <cell r="A7">
            <v>2018</v>
          </cell>
          <cell r="B7">
            <v>0.12</v>
          </cell>
        </row>
      </sheetData>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26222;&#36890;&#32929;&#20998;&#26512;\&#20013;&#31185;&#26032;&#26448;.xlsx" TargetMode="External"/><Relationship Id="rId2" Type="http://schemas.openxmlformats.org/officeDocument/2006/relationships/hyperlink" Target="&#26222;&#36890;&#32929;&#20998;&#26512;\&#20013;&#31185;&#26032;&#26448;.xlsx" TargetMode="External"/><Relationship Id="rId1" Type="http://schemas.openxmlformats.org/officeDocument/2006/relationships/hyperlink" Target="&#26222;&#36890;&#32929;&#20998;&#26512;\&#20013;&#31185;&#26032;&#26448;.xlsx"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36130;&#21153;&#25351;&#26631;.xlsx"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2"/>
  <sheetViews>
    <sheetView workbookViewId="0">
      <selection activeCell="P23" sqref="P23"/>
    </sheetView>
  </sheetViews>
  <sheetFormatPr defaultRowHeight="13.5" x14ac:dyDescent="0.15"/>
  <cols>
    <col min="1" max="1" width="15.875" customWidth="1"/>
    <col min="2" max="2" width="0" hidden="1" customWidth="1"/>
    <col min="3" max="3" width="0.125" customWidth="1"/>
    <col min="5" max="5" width="9.5" bestFit="1" customWidth="1"/>
    <col min="7" max="7" width="8.375" style="10" customWidth="1"/>
    <col min="8" max="8" width="10.875" style="5" customWidth="1"/>
    <col min="9" max="9" width="9" style="5"/>
    <col min="10" max="10" width="13.375" style="33" customWidth="1"/>
    <col min="11" max="11" width="15.5" style="33" customWidth="1"/>
    <col min="12" max="12" width="15.875" style="5" customWidth="1"/>
    <col min="14" max="14" width="10.5" bestFit="1" customWidth="1"/>
    <col min="16" max="16" width="9.5" bestFit="1" customWidth="1"/>
    <col min="17" max="17" width="9.5" style="5" customWidth="1"/>
    <col min="19" max="19" width="14" customWidth="1"/>
  </cols>
  <sheetData>
    <row r="1" spans="1:19" ht="18" customHeight="1" x14ac:dyDescent="0.15">
      <c r="A1" s="1" t="s">
        <v>21</v>
      </c>
      <c r="B1" s="1" t="s">
        <v>22</v>
      </c>
      <c r="C1" s="2" t="s">
        <v>23</v>
      </c>
      <c r="D1" s="1" t="s">
        <v>24</v>
      </c>
      <c r="E1" s="1" t="s">
        <v>25</v>
      </c>
      <c r="F1" s="1" t="s">
        <v>26</v>
      </c>
      <c r="G1" s="37" t="s">
        <v>27</v>
      </c>
      <c r="H1" s="2" t="s">
        <v>28</v>
      </c>
      <c r="I1" s="2" t="s">
        <v>29</v>
      </c>
      <c r="J1" s="36" t="s">
        <v>30</v>
      </c>
      <c r="K1" s="30" t="s">
        <v>31</v>
      </c>
      <c r="L1" s="2" t="s">
        <v>32</v>
      </c>
      <c r="M1" s="3" t="s">
        <v>33</v>
      </c>
      <c r="N1" s="2" t="s">
        <v>34</v>
      </c>
      <c r="O1" s="3" t="s">
        <v>35</v>
      </c>
      <c r="P1" s="2" t="s">
        <v>36</v>
      </c>
      <c r="Q1" s="2" t="s">
        <v>49</v>
      </c>
      <c r="R1" s="2" t="s">
        <v>37</v>
      </c>
      <c r="S1" s="2" t="s">
        <v>196</v>
      </c>
    </row>
    <row r="2" spans="1:19" x14ac:dyDescent="0.15">
      <c r="A2" s="22" t="s">
        <v>6</v>
      </c>
      <c r="B2" s="23"/>
      <c r="C2" s="24"/>
      <c r="D2" s="23">
        <v>0.218</v>
      </c>
      <c r="E2" s="23">
        <v>7.37</v>
      </c>
      <c r="F2" s="23">
        <v>4.74</v>
      </c>
      <c r="G2" s="38">
        <f t="shared" ref="G2:G18" si="0">D2*4/F2</f>
        <v>0.18396624472573839</v>
      </c>
      <c r="H2" s="24">
        <f>4.3*4%</f>
        <v>0.17199999999999999</v>
      </c>
      <c r="I2" s="24">
        <f>0.15/F2</f>
        <v>3.164556962025316E-2</v>
      </c>
      <c r="J2" s="31">
        <v>3.94</v>
      </c>
      <c r="K2" s="31">
        <f>D2*4/0.07*0.9</f>
        <v>11.21142857142857</v>
      </c>
      <c r="L2" s="24">
        <f t="shared" ref="L2:L7" si="1">(K2-F2)/F2</f>
        <v>1.3652802893309219</v>
      </c>
      <c r="M2" s="25">
        <v>24.57</v>
      </c>
      <c r="N2" s="26">
        <v>9.1499999999999998E-2</v>
      </c>
      <c r="O2" s="27">
        <v>1.236</v>
      </c>
      <c r="P2" s="28">
        <v>0.23630000000000001</v>
      </c>
      <c r="Q2" s="28">
        <f>O2/M2</f>
        <v>5.0305250305250307E-2</v>
      </c>
      <c r="R2" s="29" t="s">
        <v>7</v>
      </c>
      <c r="S2" t="s">
        <v>198</v>
      </c>
    </row>
    <row r="3" spans="1:19" x14ac:dyDescent="0.15">
      <c r="A3" t="s">
        <v>45</v>
      </c>
      <c r="D3">
        <v>0.47</v>
      </c>
      <c r="E3">
        <v>7.23</v>
      </c>
      <c r="F3">
        <v>10.42</v>
      </c>
      <c r="G3" s="10">
        <f t="shared" si="0"/>
        <v>0.18042226487523991</v>
      </c>
      <c r="H3" s="5">
        <f>3.72*4%</f>
        <v>0.14880000000000002</v>
      </c>
      <c r="I3" s="5">
        <f>0.22/F3</f>
        <v>2.1113243761996161E-2</v>
      </c>
      <c r="J3" s="33">
        <v>12.93</v>
      </c>
      <c r="K3" s="33">
        <f>D3*4/0.07*0.9</f>
        <v>24.171428571428571</v>
      </c>
      <c r="L3" s="5">
        <f t="shared" si="1"/>
        <v>1.3197148341102276</v>
      </c>
      <c r="M3">
        <v>17.510000000000002</v>
      </c>
      <c r="N3" s="5">
        <v>0.24460000000000001</v>
      </c>
      <c r="O3">
        <v>3.38</v>
      </c>
      <c r="P3" s="21">
        <v>1.04</v>
      </c>
      <c r="Q3" s="28">
        <f t="shared" ref="Q3:Q32" si="2">O3/M3</f>
        <v>0.193032552826956</v>
      </c>
      <c r="R3" t="s">
        <v>46</v>
      </c>
      <c r="S3" t="s">
        <v>197</v>
      </c>
    </row>
    <row r="4" spans="1:19" x14ac:dyDescent="0.15">
      <c r="A4" t="s">
        <v>48</v>
      </c>
      <c r="D4">
        <v>1.0590999999999999</v>
      </c>
      <c r="E4">
        <v>17.899999999999999</v>
      </c>
      <c r="F4">
        <v>24.53</v>
      </c>
      <c r="G4" s="10">
        <f t="shared" si="0"/>
        <v>0.17270281288218506</v>
      </c>
      <c r="H4" s="5">
        <f>17.79*4%</f>
        <v>0.71160000000000001</v>
      </c>
      <c r="I4" s="5">
        <f>1.9/F4</f>
        <v>7.7456176110884623E-2</v>
      </c>
      <c r="J4" s="33">
        <v>6.54</v>
      </c>
      <c r="K4" s="33">
        <f>D4*4/0.07*0.9</f>
        <v>54.467999999999989</v>
      </c>
      <c r="L4" s="5">
        <f t="shared" si="1"/>
        <v>1.2204647370566648</v>
      </c>
      <c r="M4">
        <v>35.21</v>
      </c>
      <c r="N4" s="21">
        <v>4.08</v>
      </c>
      <c r="O4">
        <v>18.940000000000001</v>
      </c>
      <c r="P4" s="21">
        <v>26</v>
      </c>
      <c r="Q4" s="28">
        <f t="shared" si="2"/>
        <v>0.5379153649531383</v>
      </c>
      <c r="R4" t="s">
        <v>47</v>
      </c>
      <c r="S4" t="s">
        <v>197</v>
      </c>
    </row>
    <row r="5" spans="1:19" x14ac:dyDescent="0.15">
      <c r="A5" s="4" t="s">
        <v>0</v>
      </c>
      <c r="C5" s="5"/>
      <c r="D5" s="6">
        <v>1.2</v>
      </c>
      <c r="E5" s="6">
        <v>2.94</v>
      </c>
      <c r="F5" s="6">
        <v>31.95</v>
      </c>
      <c r="G5" s="10">
        <f t="shared" si="0"/>
        <v>0.15023474178403756</v>
      </c>
      <c r="H5" s="5">
        <f>4.67*4%</f>
        <v>0.18679999999999999</v>
      </c>
      <c r="I5" s="5">
        <f>0.9/32.6</f>
        <v>2.7607361963190184E-2</v>
      </c>
      <c r="J5" s="33">
        <v>26.24</v>
      </c>
      <c r="K5" s="33">
        <f>1.2*4/0.07*0.9</f>
        <v>61.714285714285715</v>
      </c>
      <c r="L5" s="5">
        <f t="shared" si="1"/>
        <v>0.93158953722334015</v>
      </c>
      <c r="M5" s="7">
        <v>71.430000000000007</v>
      </c>
      <c r="N5" s="5">
        <v>-7.51E-2</v>
      </c>
      <c r="O5" s="7">
        <v>3.5192999999999999</v>
      </c>
      <c r="P5" s="5">
        <v>6.88E-2</v>
      </c>
      <c r="Q5" s="28">
        <f t="shared" si="2"/>
        <v>4.9269214615707678E-2</v>
      </c>
      <c r="R5" t="s">
        <v>1</v>
      </c>
      <c r="S5" t="s">
        <v>197</v>
      </c>
    </row>
    <row r="6" spans="1:19" s="29" customFormat="1" ht="16.5" customHeight="1" x14ac:dyDescent="0.15">
      <c r="A6" s="8" t="s">
        <v>2</v>
      </c>
      <c r="B6" s="9"/>
      <c r="C6" s="10"/>
      <c r="D6" s="11">
        <v>0.28000000000000003</v>
      </c>
      <c r="E6" s="11">
        <v>149</v>
      </c>
      <c r="F6" s="11">
        <v>8.5299999999999994</v>
      </c>
      <c r="G6" s="10">
        <f t="shared" si="0"/>
        <v>0.13130128956623682</v>
      </c>
      <c r="H6" s="10">
        <f>4.04*4%</f>
        <v>0.16159999999999999</v>
      </c>
      <c r="I6" s="10">
        <f>0.47/F6</f>
        <v>5.5099648300117238E-2</v>
      </c>
      <c r="J6" s="34">
        <v>6.96</v>
      </c>
      <c r="K6" s="34">
        <f>0.28*4/0.07*0.9</f>
        <v>14.4</v>
      </c>
      <c r="L6" s="10">
        <f t="shared" si="1"/>
        <v>0.68815943728018769</v>
      </c>
      <c r="M6" s="12">
        <v>179.73</v>
      </c>
      <c r="N6" s="10">
        <v>0.44350000000000001</v>
      </c>
      <c r="O6" s="12">
        <v>4.09</v>
      </c>
      <c r="P6" s="10">
        <v>0.2959</v>
      </c>
      <c r="Q6" s="28">
        <f t="shared" si="2"/>
        <v>2.2756356757358261E-2</v>
      </c>
      <c r="R6" s="9" t="s">
        <v>3</v>
      </c>
      <c r="S6" t="s">
        <v>197</v>
      </c>
    </row>
    <row r="7" spans="1:19" x14ac:dyDescent="0.15">
      <c r="A7" s="17" t="s">
        <v>13</v>
      </c>
      <c r="B7" s="17"/>
      <c r="C7" s="18"/>
      <c r="D7" s="19">
        <v>0.21</v>
      </c>
      <c r="E7" s="19">
        <v>24.05</v>
      </c>
      <c r="F7" s="19">
        <v>6.55</v>
      </c>
      <c r="G7" s="39">
        <f t="shared" si="0"/>
        <v>0.12824427480916031</v>
      </c>
      <c r="H7" s="18">
        <f>2.89*4%</f>
        <v>0.11560000000000001</v>
      </c>
      <c r="I7" s="18">
        <f>0.205/F7</f>
        <v>3.1297709923664124E-2</v>
      </c>
      <c r="J7" s="32">
        <v>6.52</v>
      </c>
      <c r="K7" s="32">
        <f>D7*4/0.07*0.9</f>
        <v>10.799999999999999</v>
      </c>
      <c r="L7" s="18">
        <f t="shared" si="1"/>
        <v>0.64885496183206093</v>
      </c>
      <c r="M7" s="20">
        <v>80.39</v>
      </c>
      <c r="N7" s="18">
        <v>5.91E-2</v>
      </c>
      <c r="O7" s="20">
        <v>4.9219999999999997</v>
      </c>
      <c r="P7" s="18">
        <v>0.14480000000000001</v>
      </c>
      <c r="Q7" s="28">
        <f t="shared" si="2"/>
        <v>6.1226520711531278E-2</v>
      </c>
      <c r="R7" s="17" t="s">
        <v>12</v>
      </c>
      <c r="S7" t="s">
        <v>197</v>
      </c>
    </row>
    <row r="8" spans="1:19" x14ac:dyDescent="0.15">
      <c r="A8" t="s">
        <v>14</v>
      </c>
      <c r="D8">
        <v>0.12989999999999999</v>
      </c>
      <c r="E8">
        <v>30.6</v>
      </c>
      <c r="F8">
        <v>3.42</v>
      </c>
      <c r="G8" s="10">
        <f t="shared" si="0"/>
        <v>0.1519298245614035</v>
      </c>
      <c r="H8" s="5">
        <f>2.82*4%</f>
        <v>0.1128</v>
      </c>
      <c r="I8" s="5">
        <f>0.1/F8</f>
        <v>2.9239766081871347E-2</v>
      </c>
      <c r="J8" s="33">
        <v>4.67</v>
      </c>
      <c r="K8" s="33">
        <f>(D8*4/0.07-J8)*0.9+J8</f>
        <v>7.1475714285714282</v>
      </c>
      <c r="L8" s="5">
        <f>(K8-F8)/K8</f>
        <v>0.52151579957228233</v>
      </c>
      <c r="M8">
        <v>14.81</v>
      </c>
      <c r="N8" s="5">
        <v>-3.8300000000000001E-2</v>
      </c>
      <c r="O8">
        <v>3.92</v>
      </c>
      <c r="P8" s="5">
        <v>0.42330000000000001</v>
      </c>
      <c r="Q8" s="28">
        <f t="shared" si="2"/>
        <v>0.26468602295746119</v>
      </c>
      <c r="R8" t="s">
        <v>15</v>
      </c>
      <c r="S8" t="s">
        <v>197</v>
      </c>
    </row>
    <row r="9" spans="1:19" x14ac:dyDescent="0.15">
      <c r="A9" s="4" t="s">
        <v>4</v>
      </c>
      <c r="C9" s="5"/>
      <c r="D9" s="6">
        <v>0.14000000000000001</v>
      </c>
      <c r="E9" s="6">
        <v>21.6</v>
      </c>
      <c r="F9" s="6">
        <v>4.87</v>
      </c>
      <c r="G9" s="10">
        <f t="shared" si="0"/>
        <v>0.11498973305954827</v>
      </c>
      <c r="H9" s="5">
        <f>2.23*4%</f>
        <v>8.9200000000000002E-2</v>
      </c>
      <c r="I9" s="5">
        <f>0.1/F9</f>
        <v>2.0533880903490759E-2</v>
      </c>
      <c r="J9" s="33">
        <v>5.16</v>
      </c>
      <c r="K9" s="33">
        <f>D8*4/0.07*0.9</f>
        <v>6.6805714285714277</v>
      </c>
      <c r="L9" s="5">
        <f>(K9-F9)/F9</f>
        <v>0.3717805808154882</v>
      </c>
      <c r="M9" s="7">
        <v>466.88</v>
      </c>
      <c r="N9" s="5">
        <v>0.15720000000000001</v>
      </c>
      <c r="O9" s="7">
        <v>23.056000000000001</v>
      </c>
      <c r="P9" s="5">
        <v>0.67049999999999998</v>
      </c>
      <c r="Q9" s="28">
        <f t="shared" si="2"/>
        <v>4.9383139136394791E-2</v>
      </c>
      <c r="R9" t="s">
        <v>5</v>
      </c>
      <c r="S9" t="s">
        <v>197</v>
      </c>
    </row>
    <row r="10" spans="1:19" x14ac:dyDescent="0.15">
      <c r="A10" t="s">
        <v>43</v>
      </c>
      <c r="D10">
        <v>0.23250000000000001</v>
      </c>
      <c r="E10">
        <v>5.0599999999999996</v>
      </c>
      <c r="F10">
        <v>8.4499999999999993</v>
      </c>
      <c r="G10" s="10">
        <f t="shared" si="0"/>
        <v>0.11005917159763315</v>
      </c>
      <c r="H10" s="5">
        <f>2.42*4%</f>
        <v>9.6799999999999997E-2</v>
      </c>
      <c r="I10" s="5">
        <f>0.179/F10</f>
        <v>2.1183431952662722E-2</v>
      </c>
      <c r="J10" s="33">
        <v>9.51</v>
      </c>
      <c r="K10" s="33">
        <f>D10*4/0.07*0.9</f>
        <v>11.957142857142857</v>
      </c>
      <c r="L10" s="5">
        <f>(K10-F10)/F10</f>
        <v>0.41504649196956905</v>
      </c>
      <c r="M10">
        <v>14.77</v>
      </c>
      <c r="N10" s="5">
        <v>-0.19070000000000001</v>
      </c>
      <c r="O10">
        <v>1.135</v>
      </c>
      <c r="P10" s="5">
        <v>2.8500000000000001E-2</v>
      </c>
      <c r="Q10" s="28">
        <f t="shared" si="2"/>
        <v>7.6844955991875422E-2</v>
      </c>
      <c r="R10" t="s">
        <v>44</v>
      </c>
      <c r="S10" t="s">
        <v>197</v>
      </c>
    </row>
    <row r="11" spans="1:19" x14ac:dyDescent="0.15">
      <c r="A11" s="4" t="s">
        <v>8</v>
      </c>
      <c r="B11" s="6"/>
      <c r="C11" s="13"/>
      <c r="D11" s="6">
        <v>0.16839999999999999</v>
      </c>
      <c r="E11" s="6">
        <v>17.3</v>
      </c>
      <c r="F11" s="6">
        <v>5.1100000000000003</v>
      </c>
      <c r="G11" s="40">
        <f t="shared" si="0"/>
        <v>0.13181996086105674</v>
      </c>
      <c r="H11" s="13">
        <f>5.35*4%</f>
        <v>0.214</v>
      </c>
      <c r="I11" s="13">
        <f>0.15/F11</f>
        <v>2.9354207436399216E-2</v>
      </c>
      <c r="J11" s="35">
        <v>3.02</v>
      </c>
      <c r="K11" s="35">
        <f>D11*4/0.07*0.9</f>
        <v>8.6605714285714264</v>
      </c>
      <c r="L11" s="13">
        <f>(K11-F11)/K11</f>
        <v>0.40996964898390059</v>
      </c>
      <c r="M11" s="14">
        <v>33.39</v>
      </c>
      <c r="N11" s="15">
        <v>2.41E-2</v>
      </c>
      <c r="O11" s="16">
        <v>2.9169</v>
      </c>
      <c r="P11" s="5">
        <v>0.41089999999999999</v>
      </c>
      <c r="Q11" s="28">
        <f t="shared" si="2"/>
        <v>8.7358490566037741E-2</v>
      </c>
      <c r="R11" t="s">
        <v>9</v>
      </c>
      <c r="S11" t="s">
        <v>197</v>
      </c>
    </row>
    <row r="12" spans="1:19" ht="12" customHeight="1" x14ac:dyDescent="0.15">
      <c r="A12" t="s">
        <v>41</v>
      </c>
      <c r="D12">
        <v>0.27</v>
      </c>
      <c r="E12">
        <v>5.59</v>
      </c>
      <c r="F12">
        <v>10.42</v>
      </c>
      <c r="G12" s="10">
        <f t="shared" si="0"/>
        <v>0.1036468330134357</v>
      </c>
      <c r="H12" s="5">
        <f>3.48*4%</f>
        <v>0.13919999999999999</v>
      </c>
      <c r="I12" s="5">
        <f>1.2/F12</f>
        <v>0.11516314779270632</v>
      </c>
      <c r="J12" s="33">
        <v>8.25</v>
      </c>
      <c r="K12" s="33">
        <f>D12*4/0.07*0.9</f>
        <v>13.885714285714286</v>
      </c>
      <c r="L12" s="5">
        <f>(K12-F12)/F12</f>
        <v>0.33260213874417333</v>
      </c>
      <c r="M12">
        <v>11.57</v>
      </c>
      <c r="N12" s="5">
        <v>0.22450000000000001</v>
      </c>
      <c r="O12">
        <v>1.4550000000000001</v>
      </c>
      <c r="P12" s="5">
        <v>0.16539999999999999</v>
      </c>
      <c r="Q12" s="28">
        <f t="shared" si="2"/>
        <v>0.1257562662057044</v>
      </c>
      <c r="R12" t="s">
        <v>42</v>
      </c>
      <c r="S12" t="s">
        <v>197</v>
      </c>
    </row>
    <row r="13" spans="1:19" x14ac:dyDescent="0.15">
      <c r="A13" s="4" t="s">
        <v>10</v>
      </c>
      <c r="C13" s="5"/>
      <c r="D13" s="6">
        <v>0.51</v>
      </c>
      <c r="E13" s="6">
        <v>2.2400000000000002</v>
      </c>
      <c r="F13" s="6">
        <v>19.829999999999998</v>
      </c>
      <c r="G13" s="10">
        <f t="shared" si="0"/>
        <v>0.10287443267776097</v>
      </c>
      <c r="H13" s="5">
        <f>3.17*4%</f>
        <v>0.1268</v>
      </c>
      <c r="I13" s="5">
        <f>0.68/19.6</f>
        <v>3.4693877551020408E-2</v>
      </c>
      <c r="J13" s="33">
        <v>11.67</v>
      </c>
      <c r="K13" s="33">
        <f>D13*4/0.07*0.9</f>
        <v>26.228571428571428</v>
      </c>
      <c r="L13" s="5">
        <f>(K13-F13)/F13</f>
        <v>0.32267127728549821</v>
      </c>
      <c r="M13" s="7">
        <v>7.73</v>
      </c>
      <c r="N13" s="5">
        <v>0.3327</v>
      </c>
      <c r="O13" s="7">
        <v>0.81599999999999995</v>
      </c>
      <c r="P13" s="5">
        <v>5.21E-2</v>
      </c>
      <c r="Q13" s="28">
        <f t="shared" si="2"/>
        <v>0.10556274256144889</v>
      </c>
      <c r="R13" t="s">
        <v>11</v>
      </c>
      <c r="S13" t="s">
        <v>197</v>
      </c>
    </row>
    <row r="14" spans="1:19" x14ac:dyDescent="0.15">
      <c r="A14" t="s">
        <v>18</v>
      </c>
      <c r="D14">
        <f>(4.72-0.89*0.75)/48.1</f>
        <v>8.4251559251559249E-2</v>
      </c>
      <c r="E14">
        <v>48.1</v>
      </c>
      <c r="F14">
        <v>4</v>
      </c>
      <c r="G14" s="10">
        <f t="shared" si="0"/>
        <v>8.4251559251559249E-2</v>
      </c>
      <c r="H14" s="5">
        <f>1.88*4%</f>
        <v>7.5200000000000003E-2</v>
      </c>
      <c r="I14" s="5">
        <f>0.178/F14</f>
        <v>4.4499999999999998E-2</v>
      </c>
      <c r="J14" s="33">
        <v>5.64</v>
      </c>
      <c r="K14" s="33">
        <f>(D14*4/0.07-J14)*0.09+J14</f>
        <v>5.5656937332937328</v>
      </c>
      <c r="L14" s="5">
        <f>(K14-F14)/K14</f>
        <v>0.28131151448880892</v>
      </c>
      <c r="M14">
        <v>11.48</v>
      </c>
      <c r="N14" s="5">
        <v>-0.27939999999999998</v>
      </c>
      <c r="O14">
        <f>(4.72-0.89*0.75)</f>
        <v>4.0525000000000002</v>
      </c>
      <c r="P14" s="5">
        <v>-0.13300000000000001</v>
      </c>
      <c r="Q14" s="28">
        <f t="shared" si="2"/>
        <v>0.35300522648083626</v>
      </c>
      <c r="R14" t="s">
        <v>19</v>
      </c>
      <c r="S14" t="s">
        <v>197</v>
      </c>
    </row>
    <row r="15" spans="1:19" x14ac:dyDescent="0.15">
      <c r="A15" t="s">
        <v>16</v>
      </c>
      <c r="D15">
        <v>0.23</v>
      </c>
      <c r="E15">
        <v>5.9</v>
      </c>
      <c r="F15">
        <v>9.85</v>
      </c>
      <c r="G15" s="10">
        <f t="shared" si="0"/>
        <v>9.3401015228426407E-2</v>
      </c>
      <c r="H15" s="5">
        <f>2.41*4%</f>
        <v>9.6400000000000013E-2</v>
      </c>
      <c r="I15" s="5">
        <f>0.1/F15</f>
        <v>1.0152284263959392E-2</v>
      </c>
      <c r="J15" s="33">
        <v>9.51</v>
      </c>
      <c r="K15" s="33">
        <f t="shared" ref="K15:K25" si="3">D15*4/0.07*0.9</f>
        <v>11.828571428571429</v>
      </c>
      <c r="L15" s="5">
        <f>(K15-J15)/J15</f>
        <v>0.24380351509689058</v>
      </c>
      <c r="M15">
        <v>27.63</v>
      </c>
      <c r="N15" s="5">
        <v>0.3029</v>
      </c>
      <c r="O15">
        <v>1.0189999999999999</v>
      </c>
      <c r="P15" s="5">
        <v>0.33169999999999999</v>
      </c>
      <c r="Q15" s="28">
        <f t="shared" si="2"/>
        <v>3.6880202678248278E-2</v>
      </c>
      <c r="R15" t="s">
        <v>17</v>
      </c>
      <c r="S15" t="s">
        <v>197</v>
      </c>
    </row>
    <row r="16" spans="1:19" x14ac:dyDescent="0.15">
      <c r="A16" t="s">
        <v>20</v>
      </c>
      <c r="D16">
        <v>0.2</v>
      </c>
      <c r="E16">
        <v>50.38</v>
      </c>
      <c r="F16">
        <v>9.2899999999999991</v>
      </c>
      <c r="G16" s="10">
        <f t="shared" si="0"/>
        <v>8.6114101184068897E-2</v>
      </c>
      <c r="H16" s="5">
        <f>4.16*4%</f>
        <v>0.16640000000000002</v>
      </c>
      <c r="I16" s="5">
        <f>0.44/F16</f>
        <v>4.7362755651237896E-2</v>
      </c>
      <c r="J16" s="33">
        <v>5.13</v>
      </c>
      <c r="K16" s="33">
        <f t="shared" si="3"/>
        <v>10.285714285714286</v>
      </c>
      <c r="L16" s="5">
        <f t="shared" ref="L16:L32" si="4">(K16-F16)/F16</f>
        <v>0.10718130093802879</v>
      </c>
      <c r="M16">
        <v>28.2</v>
      </c>
      <c r="N16" s="5">
        <v>0.22950000000000001</v>
      </c>
      <c r="O16">
        <v>10.17</v>
      </c>
      <c r="P16" s="5">
        <v>0.16420000000000001</v>
      </c>
      <c r="Q16" s="28">
        <f t="shared" si="2"/>
        <v>0.36063829787234042</v>
      </c>
      <c r="R16" t="s">
        <v>38</v>
      </c>
      <c r="S16" t="s">
        <v>197</v>
      </c>
    </row>
    <row r="17" spans="1:19" x14ac:dyDescent="0.15">
      <c r="A17" t="s">
        <v>39</v>
      </c>
      <c r="D17">
        <v>0.25</v>
      </c>
      <c r="E17">
        <v>44.93</v>
      </c>
      <c r="F17">
        <v>12.07</v>
      </c>
      <c r="G17" s="10">
        <f t="shared" si="0"/>
        <v>8.2850041425020712E-2</v>
      </c>
      <c r="H17" s="5">
        <f>9.63*4%</f>
        <v>0.38520000000000004</v>
      </c>
      <c r="I17" s="5">
        <f>0.48/F17</f>
        <v>3.9768019884009936E-2</v>
      </c>
      <c r="J17" s="33">
        <v>2.74</v>
      </c>
      <c r="K17" s="33">
        <f t="shared" si="3"/>
        <v>12.857142857142856</v>
      </c>
      <c r="L17" s="5">
        <f t="shared" si="4"/>
        <v>6.5214818321694748E-2</v>
      </c>
      <c r="M17">
        <v>57.86</v>
      </c>
      <c r="N17" s="5">
        <v>0.1216</v>
      </c>
      <c r="O17">
        <v>11.17</v>
      </c>
      <c r="P17" s="5">
        <v>0.11609999999999999</v>
      </c>
      <c r="Q17" s="28">
        <f t="shared" si="2"/>
        <v>0.19305219495333564</v>
      </c>
      <c r="R17" t="s">
        <v>40</v>
      </c>
      <c r="S17" t="s">
        <v>197</v>
      </c>
    </row>
    <row r="18" spans="1:19" x14ac:dyDescent="0.15">
      <c r="A18" t="s">
        <v>50</v>
      </c>
      <c r="D18">
        <v>0.37</v>
      </c>
      <c r="E18">
        <v>7.69</v>
      </c>
      <c r="F18">
        <v>11.52</v>
      </c>
      <c r="G18" s="10">
        <f t="shared" si="0"/>
        <v>0.12847222222222224</v>
      </c>
      <c r="H18" s="5">
        <f>3.88*4%</f>
        <v>0.1552</v>
      </c>
      <c r="I18" s="5">
        <f>0.08/11.52</f>
        <v>6.9444444444444449E-3</v>
      </c>
      <c r="J18" s="33">
        <v>9.73</v>
      </c>
      <c r="K18" s="33">
        <f t="shared" si="3"/>
        <v>19.028571428571428</v>
      </c>
      <c r="L18" s="5">
        <f t="shared" si="4"/>
        <v>0.6517857142857143</v>
      </c>
      <c r="M18">
        <v>48.3</v>
      </c>
      <c r="N18" s="5">
        <v>3.5099999999999999E-2</v>
      </c>
      <c r="O18">
        <v>2.81</v>
      </c>
      <c r="P18" s="5">
        <v>-6.8999999999999999E-3</v>
      </c>
      <c r="Q18" s="5">
        <f t="shared" si="2"/>
        <v>5.8178053830227748E-2</v>
      </c>
      <c r="R18" t="s">
        <v>51</v>
      </c>
      <c r="S18" t="s">
        <v>197</v>
      </c>
    </row>
    <row r="19" spans="1:19" x14ac:dyDescent="0.15">
      <c r="A19" t="s">
        <v>52</v>
      </c>
      <c r="D19">
        <v>0.19</v>
      </c>
      <c r="E19">
        <v>9.3699999999999992</v>
      </c>
      <c r="F19">
        <v>8.5</v>
      </c>
      <c r="G19" s="10">
        <f t="shared" ref="G19:G32" si="5">D19*4/F19</f>
        <v>8.9411764705882357E-2</v>
      </c>
      <c r="H19" s="5">
        <f>1.85*4%</f>
        <v>7.400000000000001E-2</v>
      </c>
      <c r="I19" s="5">
        <f>0.02/F18</f>
        <v>1.7361111111111112E-3</v>
      </c>
      <c r="J19" s="33">
        <f>30/E19</f>
        <v>3.2017075773746</v>
      </c>
      <c r="K19" s="33">
        <f t="shared" si="3"/>
        <v>9.7714285714285705</v>
      </c>
      <c r="L19" s="5">
        <f t="shared" si="4"/>
        <v>0.14957983193277299</v>
      </c>
      <c r="M19">
        <v>7.41</v>
      </c>
      <c r="N19" s="5">
        <v>0.1598</v>
      </c>
      <c r="O19">
        <v>1.34</v>
      </c>
      <c r="P19" s="5">
        <v>-0.31540000000000001</v>
      </c>
      <c r="Q19" s="5">
        <f t="shared" si="2"/>
        <v>0.18083670715249664</v>
      </c>
      <c r="R19" t="s">
        <v>53</v>
      </c>
      <c r="S19" t="s">
        <v>197</v>
      </c>
    </row>
    <row r="20" spans="1:19" x14ac:dyDescent="0.15">
      <c r="A20" t="s">
        <v>54</v>
      </c>
      <c r="D20">
        <v>0.13</v>
      </c>
      <c r="E20">
        <v>10.34</v>
      </c>
      <c r="F20">
        <v>4.71</v>
      </c>
      <c r="G20" s="10">
        <f t="shared" si="5"/>
        <v>0.11040339702760085</v>
      </c>
      <c r="H20" s="5">
        <f>4*4%</f>
        <v>0.16</v>
      </c>
      <c r="I20" s="5">
        <f>0.11/F20</f>
        <v>2.3354564755838643E-2</v>
      </c>
      <c r="J20" s="33">
        <v>3.41</v>
      </c>
      <c r="K20" s="33">
        <f t="shared" si="3"/>
        <v>6.6857142857142851</v>
      </c>
      <c r="L20" s="5">
        <f t="shared" si="4"/>
        <v>0.41947224749772505</v>
      </c>
      <c r="M20">
        <v>6.13</v>
      </c>
      <c r="N20" s="5">
        <v>0.94950000000000001</v>
      </c>
      <c r="O20">
        <v>1.37</v>
      </c>
      <c r="P20" s="5">
        <v>0.24210000000000001</v>
      </c>
      <c r="Q20" s="5">
        <f t="shared" si="2"/>
        <v>0.22349102773246332</v>
      </c>
      <c r="R20" t="s">
        <v>55</v>
      </c>
      <c r="S20" t="s">
        <v>197</v>
      </c>
    </row>
    <row r="21" spans="1:19" x14ac:dyDescent="0.15">
      <c r="A21" t="s">
        <v>56</v>
      </c>
      <c r="D21">
        <v>0.28999999999999998</v>
      </c>
      <c r="E21">
        <v>6.02</v>
      </c>
      <c r="F21">
        <v>13.41</v>
      </c>
      <c r="G21" s="10">
        <f t="shared" si="5"/>
        <v>8.6502609992542875E-2</v>
      </c>
      <c r="H21" s="5">
        <f>3.34*4%</f>
        <v>0.1336</v>
      </c>
      <c r="I21" s="5">
        <f>0.326/F21</f>
        <v>2.4310216256524981E-2</v>
      </c>
      <c r="J21" s="33">
        <v>8.84</v>
      </c>
      <c r="K21" s="33">
        <f t="shared" si="3"/>
        <v>14.914285714285713</v>
      </c>
      <c r="L21" s="5">
        <f t="shared" si="4"/>
        <v>0.11217641418983688</v>
      </c>
      <c r="M21">
        <v>9.39</v>
      </c>
      <c r="N21" s="5">
        <v>0.20219999999999999</v>
      </c>
      <c r="O21">
        <v>1.24</v>
      </c>
      <c r="P21" s="21">
        <v>0.68</v>
      </c>
      <c r="Q21" s="5">
        <f t="shared" si="2"/>
        <v>0.13205537806176784</v>
      </c>
      <c r="R21" t="s">
        <v>57</v>
      </c>
      <c r="S21" t="s">
        <v>197</v>
      </c>
    </row>
    <row r="22" spans="1:19" x14ac:dyDescent="0.15">
      <c r="A22" t="s">
        <v>58</v>
      </c>
      <c r="D22">
        <v>0.3</v>
      </c>
      <c r="E22">
        <v>3.44</v>
      </c>
      <c r="F22">
        <v>11.64</v>
      </c>
      <c r="G22" s="10">
        <f t="shared" si="5"/>
        <v>0.10309278350515463</v>
      </c>
      <c r="H22" s="5">
        <f>3.89*4%</f>
        <v>0.15560000000000002</v>
      </c>
      <c r="I22" s="5">
        <f>0.1/F22</f>
        <v>8.5910652920962206E-3</v>
      </c>
      <c r="J22" s="33">
        <v>8.01</v>
      </c>
      <c r="K22" s="33">
        <f t="shared" si="3"/>
        <v>15.428571428571429</v>
      </c>
      <c r="L22" s="5">
        <f t="shared" si="4"/>
        <v>0.32547864506627389</v>
      </c>
      <c r="M22">
        <v>6.7</v>
      </c>
      <c r="N22" s="5">
        <v>0.18110000000000001</v>
      </c>
      <c r="O22">
        <v>0.99</v>
      </c>
      <c r="P22" s="5">
        <v>-9.0899999999999995E-2</v>
      </c>
      <c r="Q22" s="5">
        <f t="shared" si="2"/>
        <v>0.14776119402985075</v>
      </c>
      <c r="R22" t="s">
        <v>59</v>
      </c>
      <c r="S22" t="s">
        <v>197</v>
      </c>
    </row>
    <row r="23" spans="1:19" x14ac:dyDescent="0.15">
      <c r="A23" t="s">
        <v>60</v>
      </c>
      <c r="D23">
        <v>0.1</v>
      </c>
      <c r="E23">
        <v>25.85</v>
      </c>
      <c r="F23">
        <v>4.2300000000000004</v>
      </c>
      <c r="G23" s="10">
        <f t="shared" si="5"/>
        <v>9.4562647754137114E-2</v>
      </c>
      <c r="H23" s="5">
        <f>4.26*4%</f>
        <v>0.1704</v>
      </c>
      <c r="I23" s="5">
        <f>0.11/F23</f>
        <v>2.6004728132387703E-2</v>
      </c>
      <c r="J23" s="33">
        <v>2.34</v>
      </c>
      <c r="K23" s="33">
        <f t="shared" si="3"/>
        <v>5.1428571428571432</v>
      </c>
      <c r="L23" s="5">
        <f t="shared" si="4"/>
        <v>0.21580547112462004</v>
      </c>
      <c r="M23">
        <v>14.13</v>
      </c>
      <c r="N23" s="5">
        <v>-5.5300000000000002E-2</v>
      </c>
      <c r="O23">
        <v>2.5099999999999998</v>
      </c>
      <c r="P23" s="5">
        <v>-0.1694</v>
      </c>
      <c r="Q23" s="5">
        <f t="shared" si="2"/>
        <v>0.1776362349610757</v>
      </c>
      <c r="R23" t="s">
        <v>61</v>
      </c>
      <c r="S23" t="s">
        <v>197</v>
      </c>
    </row>
    <row r="24" spans="1:19" x14ac:dyDescent="0.15">
      <c r="A24" t="s">
        <v>76</v>
      </c>
      <c r="D24">
        <v>0.17</v>
      </c>
      <c r="E24">
        <v>11.5</v>
      </c>
      <c r="F24">
        <v>7.4</v>
      </c>
      <c r="G24" s="10">
        <f t="shared" si="5"/>
        <v>9.1891891891891897E-2</v>
      </c>
      <c r="H24" s="5">
        <f>2.76*4%</f>
        <v>0.1104</v>
      </c>
      <c r="I24" s="5">
        <f>0.21/F24</f>
        <v>2.8378378378378376E-2</v>
      </c>
      <c r="J24" s="33">
        <v>4.84</v>
      </c>
      <c r="K24" s="33">
        <f t="shared" si="3"/>
        <v>8.742857142857142</v>
      </c>
      <c r="L24" s="5">
        <f t="shared" si="4"/>
        <v>0.1814671814671813</v>
      </c>
      <c r="M24">
        <v>12.1</v>
      </c>
      <c r="N24" s="5">
        <v>0.9466</v>
      </c>
      <c r="O24">
        <v>1.53</v>
      </c>
      <c r="P24" s="5">
        <v>0.11320000000000001</v>
      </c>
      <c r="Q24" s="5">
        <f t="shared" si="2"/>
        <v>0.12644628099173555</v>
      </c>
      <c r="R24" t="s">
        <v>68</v>
      </c>
      <c r="S24" t="s">
        <v>197</v>
      </c>
    </row>
    <row r="25" spans="1:19" x14ac:dyDescent="0.15">
      <c r="A25" t="s">
        <v>74</v>
      </c>
      <c r="D25">
        <v>0.52</v>
      </c>
      <c r="E25">
        <v>1.2395</v>
      </c>
      <c r="F25">
        <v>24.09</v>
      </c>
      <c r="G25" s="10">
        <f t="shared" si="5"/>
        <v>8.6342880863428811E-2</v>
      </c>
      <c r="H25" s="5">
        <f>3.26*4%</f>
        <v>0.13039999999999999</v>
      </c>
      <c r="I25" s="5">
        <f>0.8/F25</f>
        <v>3.3208800332088007E-2</v>
      </c>
      <c r="J25" s="33">
        <v>16.05</v>
      </c>
      <c r="K25" s="33">
        <f t="shared" si="3"/>
        <v>26.74285714285714</v>
      </c>
      <c r="L25" s="5">
        <f t="shared" si="4"/>
        <v>0.11012275395837029</v>
      </c>
      <c r="M25">
        <v>2.2599999999999998</v>
      </c>
      <c r="N25" s="5">
        <v>7.7699999999999991E-2</v>
      </c>
      <c r="O25">
        <v>0.30299999999999999</v>
      </c>
      <c r="P25" s="5">
        <v>-0.108</v>
      </c>
      <c r="Q25" s="5">
        <f t="shared" si="2"/>
        <v>0.134070796460177</v>
      </c>
      <c r="R25" t="s">
        <v>75</v>
      </c>
      <c r="S25" t="s">
        <v>197</v>
      </c>
    </row>
    <row r="26" spans="1:19" x14ac:dyDescent="0.15">
      <c r="A26" t="s">
        <v>62</v>
      </c>
      <c r="D26">
        <v>0.26</v>
      </c>
      <c r="E26">
        <v>2.27</v>
      </c>
      <c r="F26">
        <v>17.98</v>
      </c>
      <c r="G26" s="5">
        <f t="shared" si="5"/>
        <v>5.78420467185762E-2</v>
      </c>
      <c r="I26" s="5">
        <f>0.118/F26</f>
        <v>6.5628476084538369E-3</v>
      </c>
      <c r="J26">
        <v>10</v>
      </c>
      <c r="K26">
        <f t="shared" ref="K26:K32" si="6">D26*4/0.07</f>
        <v>14.857142857142856</v>
      </c>
      <c r="L26" s="5">
        <f t="shared" si="4"/>
        <v>-0.17368504687748301</v>
      </c>
      <c r="M26">
        <v>2.21</v>
      </c>
      <c r="N26" s="5">
        <v>0.31940000000000002</v>
      </c>
      <c r="O26">
        <v>0.45</v>
      </c>
      <c r="P26" s="5">
        <v>0.31940000000000002</v>
      </c>
      <c r="Q26" s="5">
        <f t="shared" si="2"/>
        <v>0.20361990950226244</v>
      </c>
      <c r="R26" t="s">
        <v>63</v>
      </c>
      <c r="S26" t="s">
        <v>199</v>
      </c>
    </row>
    <row r="27" spans="1:19" x14ac:dyDescent="0.15">
      <c r="A27" t="s">
        <v>64</v>
      </c>
      <c r="D27">
        <v>0.34</v>
      </c>
      <c r="E27">
        <v>4.8499999999999996</v>
      </c>
      <c r="F27">
        <v>31.71</v>
      </c>
      <c r="G27" s="5">
        <f t="shared" si="5"/>
        <v>4.2888678650268054E-2</v>
      </c>
      <c r="H27" s="5">
        <f>4.64*4%</f>
        <v>0.18559999999999999</v>
      </c>
      <c r="I27" s="5">
        <f>0.6/F27</f>
        <v>1.8921475875118259E-2</v>
      </c>
      <c r="J27">
        <v>7.3</v>
      </c>
      <c r="K27">
        <f t="shared" si="6"/>
        <v>19.428571428571427</v>
      </c>
      <c r="L27" s="5">
        <f t="shared" si="4"/>
        <v>-0.38730459071045642</v>
      </c>
      <c r="M27">
        <v>9.3800000000000008</v>
      </c>
      <c r="N27" s="5">
        <v>0.1691</v>
      </c>
      <c r="O27">
        <v>1.61</v>
      </c>
      <c r="P27" s="5">
        <v>0.28739999999999999</v>
      </c>
      <c r="Q27" s="5">
        <f t="shared" si="2"/>
        <v>0.17164179104477612</v>
      </c>
      <c r="R27" t="s">
        <v>65</v>
      </c>
      <c r="S27" t="s">
        <v>199</v>
      </c>
    </row>
    <row r="28" spans="1:19" x14ac:dyDescent="0.15">
      <c r="A28" t="s">
        <v>66</v>
      </c>
      <c r="D28">
        <v>0.33</v>
      </c>
      <c r="E28">
        <v>13.16</v>
      </c>
      <c r="F28">
        <v>53.57</v>
      </c>
      <c r="G28" s="5">
        <f t="shared" si="5"/>
        <v>2.4640657084188913E-2</v>
      </c>
      <c r="H28" s="5">
        <f>7.45*4%</f>
        <v>0.29799999999999999</v>
      </c>
      <c r="I28" s="5">
        <f>0.238/F28</f>
        <v>4.4427851409370913E-3</v>
      </c>
      <c r="J28">
        <v>6.89</v>
      </c>
      <c r="K28">
        <f t="shared" si="6"/>
        <v>18.857142857142858</v>
      </c>
      <c r="L28" s="5">
        <f t="shared" si="4"/>
        <v>-0.64799061308301564</v>
      </c>
      <c r="M28">
        <v>26.57</v>
      </c>
      <c r="N28" s="5">
        <v>0.40439999999999998</v>
      </c>
      <c r="O28">
        <v>4.04</v>
      </c>
      <c r="P28" s="5">
        <v>0.44740000000000002</v>
      </c>
      <c r="Q28" s="5">
        <f t="shared" si="2"/>
        <v>0.15205118554761007</v>
      </c>
      <c r="R28" t="s">
        <v>67</v>
      </c>
      <c r="S28" t="s">
        <v>199</v>
      </c>
    </row>
    <row r="29" spans="1:19" x14ac:dyDescent="0.15">
      <c r="A29" t="s">
        <v>69</v>
      </c>
      <c r="D29">
        <v>0.43</v>
      </c>
      <c r="E29">
        <v>9.7899999999999991</v>
      </c>
      <c r="F29">
        <v>27.08</v>
      </c>
      <c r="G29" s="5">
        <f t="shared" si="5"/>
        <v>6.3515509601181686E-2</v>
      </c>
      <c r="H29" s="5">
        <f>4.21*4%</f>
        <v>0.16839999999999999</v>
      </c>
      <c r="I29" s="5">
        <f>0.46/F29</f>
        <v>1.6986706056129987E-2</v>
      </c>
      <c r="J29">
        <v>10.48</v>
      </c>
      <c r="K29">
        <f t="shared" si="6"/>
        <v>24.571428571428569</v>
      </c>
      <c r="L29" s="5">
        <f t="shared" si="4"/>
        <v>-9.2635577125975962E-2</v>
      </c>
      <c r="M29">
        <v>33.799999999999997</v>
      </c>
      <c r="N29" s="5">
        <v>0.37590000000000001</v>
      </c>
      <c r="O29">
        <v>3.91</v>
      </c>
      <c r="P29" s="5">
        <v>0.107</v>
      </c>
      <c r="Q29" s="5">
        <f t="shared" si="2"/>
        <v>0.11568047337278108</v>
      </c>
      <c r="R29" t="s">
        <v>70</v>
      </c>
      <c r="S29" t="s">
        <v>199</v>
      </c>
    </row>
    <row r="30" spans="1:19" x14ac:dyDescent="0.15">
      <c r="A30" t="s">
        <v>71</v>
      </c>
      <c r="D30">
        <v>0.79</v>
      </c>
      <c r="E30">
        <v>66.239999999999995</v>
      </c>
      <c r="F30">
        <v>48.3</v>
      </c>
      <c r="G30" s="5">
        <f t="shared" si="5"/>
        <v>6.5424430641821948E-2</v>
      </c>
      <c r="H30" s="5">
        <f>6.86*4%</f>
        <v>0.27440000000000003</v>
      </c>
      <c r="I30" s="5">
        <f>1.2/F30</f>
        <v>2.4844720496894412E-2</v>
      </c>
      <c r="J30">
        <v>12.03</v>
      </c>
      <c r="K30">
        <f t="shared" si="6"/>
        <v>45.142857142857139</v>
      </c>
      <c r="L30" s="5">
        <f t="shared" si="4"/>
        <v>-6.5365276545400794E-2</v>
      </c>
      <c r="M30">
        <v>697.38</v>
      </c>
      <c r="N30" s="5">
        <v>0.16700000000000001</v>
      </c>
      <c r="O30">
        <v>50.77</v>
      </c>
      <c r="P30" s="5">
        <v>0.19109999999999999</v>
      </c>
      <c r="Q30" s="5">
        <f t="shared" si="2"/>
        <v>7.2801055378703156E-2</v>
      </c>
      <c r="R30" t="s">
        <v>72</v>
      </c>
      <c r="S30" t="s">
        <v>199</v>
      </c>
    </row>
    <row r="31" spans="1:19" x14ac:dyDescent="0.15">
      <c r="A31" t="s">
        <v>73</v>
      </c>
      <c r="D31">
        <v>0.93</v>
      </c>
      <c r="E31">
        <v>6.54</v>
      </c>
      <c r="F31">
        <v>53.5</v>
      </c>
      <c r="G31" s="5">
        <f t="shared" si="5"/>
        <v>6.9532710280373833E-2</v>
      </c>
      <c r="H31" s="5">
        <f>6*4%</f>
        <v>0.24</v>
      </c>
      <c r="I31" s="5">
        <f>0.9/F31</f>
        <v>1.6822429906542057E-2</v>
      </c>
      <c r="J31">
        <v>16.010000000000002</v>
      </c>
      <c r="K31">
        <f t="shared" si="6"/>
        <v>53.142857142857139</v>
      </c>
      <c r="L31" s="5">
        <f t="shared" si="4"/>
        <v>-6.6755674232310503E-3</v>
      </c>
      <c r="M31">
        <v>16.96</v>
      </c>
      <c r="N31" s="5">
        <v>1.17E-2</v>
      </c>
      <c r="O31">
        <v>5.97</v>
      </c>
      <c r="P31" s="5">
        <v>2.0199999999999999E-2</v>
      </c>
      <c r="Q31" s="5">
        <f t="shared" si="2"/>
        <v>0.35200471698113206</v>
      </c>
      <c r="R31" t="s">
        <v>70</v>
      </c>
      <c r="S31" t="s">
        <v>199</v>
      </c>
    </row>
    <row r="32" spans="1:19" x14ac:dyDescent="0.15">
      <c r="A32" t="s">
        <v>77</v>
      </c>
      <c r="D32">
        <v>0.26</v>
      </c>
      <c r="E32">
        <v>3.07</v>
      </c>
      <c r="F32">
        <v>17.100000000000001</v>
      </c>
      <c r="G32" s="5">
        <f t="shared" si="5"/>
        <v>6.0818713450292397E-2</v>
      </c>
      <c r="H32" s="5">
        <f>3.61*4%</f>
        <v>0.1444</v>
      </c>
      <c r="I32" s="5">
        <f>0.5/F32</f>
        <v>2.9239766081871343E-2</v>
      </c>
      <c r="J32">
        <v>7.24</v>
      </c>
      <c r="K32">
        <f t="shared" si="6"/>
        <v>14.857142857142856</v>
      </c>
      <c r="L32" s="5">
        <f t="shared" si="4"/>
        <v>-0.13116123642439448</v>
      </c>
      <c r="M32">
        <v>2.63</v>
      </c>
      <c r="N32" s="5"/>
      <c r="O32">
        <v>0.79</v>
      </c>
      <c r="P32" s="5"/>
      <c r="Q32" s="5">
        <f t="shared" si="2"/>
        <v>0.30038022813688214</v>
      </c>
      <c r="R32" t="s">
        <v>78</v>
      </c>
      <c r="S32" t="s">
        <v>199</v>
      </c>
    </row>
  </sheetData>
  <sortState ref="A2:S27">
    <sortCondition descending="1" ref="L1"/>
  </sortState>
  <phoneticPr fontId="2" type="noConversion"/>
  <dataValidations count="1">
    <dataValidation type="list" allowBlank="1" showInputMessage="1" showErrorMessage="1" sqref="S2:S32">
      <formula1>"每股收益率&gt;7%,低价优质股,市场价格低于净资产价格,基于研发投入"</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2"/>
  <sheetViews>
    <sheetView topLeftCell="O1" zoomScaleNormal="100" workbookViewId="0">
      <selection activeCell="Q9" sqref="Q9"/>
    </sheetView>
  </sheetViews>
  <sheetFormatPr defaultRowHeight="13.5" x14ac:dyDescent="0.15"/>
  <cols>
    <col min="1" max="1" width="10.75" customWidth="1"/>
    <col min="2" max="2" width="24.75" style="33" customWidth="1"/>
    <col min="3" max="4" width="24.75" customWidth="1"/>
    <col min="5" max="5" width="27.125" customWidth="1"/>
    <col min="7" max="8" width="14" customWidth="1"/>
    <col min="9" max="9" width="12.5" customWidth="1"/>
    <col min="14" max="14" width="15.25" customWidth="1"/>
    <col min="15" max="15" width="15.5" customWidth="1"/>
    <col min="16" max="16" width="24.125" customWidth="1"/>
    <col min="17" max="17" width="22.625" customWidth="1"/>
    <col min="18" max="18" width="24.5" customWidth="1"/>
    <col min="19" max="19" width="26.625" customWidth="1"/>
    <col min="20" max="21" width="21" customWidth="1"/>
  </cols>
  <sheetData>
    <row r="1" spans="1:23" ht="13.5" customHeight="1" x14ac:dyDescent="0.15">
      <c r="B1" s="65" t="s">
        <v>200</v>
      </c>
      <c r="C1" s="65"/>
      <c r="D1" s="65"/>
      <c r="E1" s="66" t="s">
        <v>84</v>
      </c>
      <c r="F1" s="66"/>
      <c r="G1" s="66"/>
      <c r="H1" s="66" t="s">
        <v>83</v>
      </c>
      <c r="I1" s="66"/>
      <c r="J1" s="66"/>
      <c r="K1" s="66"/>
      <c r="L1" s="66"/>
      <c r="M1" s="66"/>
      <c r="N1" s="66" t="s">
        <v>210</v>
      </c>
      <c r="O1" s="66"/>
      <c r="P1" s="66"/>
      <c r="Q1" s="66" t="s">
        <v>211</v>
      </c>
      <c r="R1" s="66"/>
      <c r="S1" s="66"/>
      <c r="T1" s="66" t="s">
        <v>194</v>
      </c>
      <c r="U1" s="66"/>
    </row>
    <row r="2" spans="1:23" ht="120" customHeight="1" x14ac:dyDescent="0.15">
      <c r="A2" s="1" t="s">
        <v>79</v>
      </c>
      <c r="B2" s="30" t="s">
        <v>202</v>
      </c>
      <c r="C2" s="42" t="s">
        <v>201</v>
      </c>
      <c r="D2" s="42" t="s">
        <v>195</v>
      </c>
      <c r="E2" s="1" t="s">
        <v>80</v>
      </c>
      <c r="F2" s="1" t="s">
        <v>81</v>
      </c>
      <c r="G2" s="1" t="s">
        <v>82</v>
      </c>
      <c r="H2" s="42" t="s">
        <v>224</v>
      </c>
      <c r="I2" s="42" t="s">
        <v>223</v>
      </c>
      <c r="J2" s="1" t="s">
        <v>85</v>
      </c>
      <c r="K2" s="41" t="s">
        <v>86</v>
      </c>
      <c r="L2" s="1" t="s">
        <v>87</v>
      </c>
      <c r="M2" s="1" t="s">
        <v>88</v>
      </c>
      <c r="N2" s="1" t="s">
        <v>99</v>
      </c>
      <c r="O2" s="1" t="s">
        <v>98</v>
      </c>
      <c r="P2" s="42" t="s">
        <v>212</v>
      </c>
      <c r="Q2" s="1" t="s">
        <v>100</v>
      </c>
      <c r="R2" s="1" t="s">
        <v>101</v>
      </c>
      <c r="S2" s="42" t="s">
        <v>215</v>
      </c>
      <c r="T2" s="42" t="s">
        <v>204</v>
      </c>
      <c r="U2" s="1"/>
      <c r="V2" s="1"/>
      <c r="W2" s="1"/>
    </row>
    <row r="3" spans="1:23" ht="81" customHeight="1" x14ac:dyDescent="0.15">
      <c r="B3" s="30" t="s">
        <v>206</v>
      </c>
      <c r="C3" s="65" t="s">
        <v>203</v>
      </c>
      <c r="D3" s="65"/>
      <c r="I3" s="65" t="s">
        <v>205</v>
      </c>
      <c r="J3" s="65"/>
      <c r="K3" s="65"/>
      <c r="L3" s="65"/>
      <c r="M3" s="65"/>
      <c r="N3" s="65" t="s">
        <v>213</v>
      </c>
      <c r="O3" s="66"/>
      <c r="P3" s="66"/>
      <c r="T3" s="5"/>
      <c r="U3" s="5"/>
      <c r="V3" s="5"/>
      <c r="W3" s="5"/>
    </row>
    <row r="4" spans="1:23" x14ac:dyDescent="0.15">
      <c r="A4" t="s">
        <v>97</v>
      </c>
      <c r="B4" s="33">
        <v>9.31</v>
      </c>
      <c r="C4" s="7">
        <f>(36-14)/3.7</f>
        <v>5.9459459459459456</v>
      </c>
      <c r="D4">
        <v>6.25</v>
      </c>
    </row>
    <row r="5" spans="1:23" s="17" customFormat="1" ht="12.75" customHeight="1" x14ac:dyDescent="0.15">
      <c r="A5" s="17" t="s">
        <v>207</v>
      </c>
      <c r="B5" s="32">
        <f>(12.3-0.76)/2.43</f>
        <v>4.7489711934156382</v>
      </c>
      <c r="C5" s="20">
        <f>(33.29-24.4)/2.43</f>
        <v>3.6584362139917697</v>
      </c>
      <c r="H5" s="18">
        <v>1.17E-2</v>
      </c>
      <c r="I5" s="18"/>
      <c r="M5" s="32">
        <f>208/17</f>
        <v>12.235294117647058</v>
      </c>
      <c r="N5" s="20">
        <f>33.29/23.89</f>
        <v>1.393470071159481</v>
      </c>
      <c r="O5" s="20">
        <f>(33.28-4.05)/23.89</f>
        <v>1.2235244872331519</v>
      </c>
      <c r="P5" s="17" t="s">
        <v>216</v>
      </c>
      <c r="Q5" s="45" t="s">
        <v>217</v>
      </c>
      <c r="R5" s="45" t="s">
        <v>217</v>
      </c>
      <c r="S5" s="45" t="s">
        <v>217</v>
      </c>
    </row>
    <row r="6" spans="1:23" x14ac:dyDescent="0.15">
      <c r="A6" t="s">
        <v>208</v>
      </c>
      <c r="B6" s="33">
        <f>(64.19-8.12-1.98)/10.75</f>
        <v>5.0316279069767447</v>
      </c>
      <c r="C6" s="7">
        <f>(38.43-16.02)/10.75</f>
        <v>2.0846511627906978</v>
      </c>
      <c r="H6" s="5">
        <v>6.3E-3</v>
      </c>
      <c r="I6" s="5"/>
      <c r="M6" s="33">
        <f>736/17</f>
        <v>43.294117647058826</v>
      </c>
    </row>
    <row r="7" spans="1:23" s="17" customFormat="1" x14ac:dyDescent="0.15">
      <c r="A7" s="17" t="s">
        <v>209</v>
      </c>
      <c r="B7" s="32">
        <f>(39.49-7.59)/11.61</f>
        <v>2.7476313522825153</v>
      </c>
      <c r="C7" s="20">
        <f>(28.47-3.13)/11.61</f>
        <v>2.1826012058570199</v>
      </c>
      <c r="H7" s="18">
        <v>1.6999999999999999E-3</v>
      </c>
      <c r="I7" s="18"/>
      <c r="M7" s="32">
        <f>557/15</f>
        <v>37.133333333333333</v>
      </c>
      <c r="N7" s="20">
        <f>248655/31297</f>
        <v>7.9450107039013327</v>
      </c>
      <c r="O7" s="20">
        <f>(248655-10356)/31297</f>
        <v>7.6141163689810529</v>
      </c>
    </row>
    <row r="8" spans="1:23" x14ac:dyDescent="0.15">
      <c r="A8" t="s">
        <v>214</v>
      </c>
      <c r="B8" s="33">
        <f>(30.56-2.27)/22.78</f>
        <v>1.2418788410886741</v>
      </c>
      <c r="C8" s="7">
        <f>(41.16-16.75)/22.78</f>
        <v>1.071553994732221</v>
      </c>
      <c r="M8" s="33"/>
    </row>
    <row r="9" spans="1:23" s="17" customFormat="1" x14ac:dyDescent="0.15">
      <c r="A9" s="17" t="s">
        <v>218</v>
      </c>
      <c r="B9" s="32">
        <f>(51122-7348)/11200</f>
        <v>3.9083928571428572</v>
      </c>
      <c r="E9" s="17">
        <v>0.34</v>
      </c>
      <c r="H9" s="18">
        <v>7.3000000000000001E-3</v>
      </c>
      <c r="I9" s="18"/>
      <c r="M9" s="32">
        <f>304/18</f>
        <v>16.888888888888889</v>
      </c>
      <c r="N9" s="20">
        <f>52367/28725</f>
        <v>1.8230461270670149</v>
      </c>
      <c r="O9" s="20">
        <f>(52367-26519)/28725</f>
        <v>0.89984334203655347</v>
      </c>
    </row>
    <row r="10" spans="1:23" ht="12.75" customHeight="1" x14ac:dyDescent="0.15">
      <c r="A10" t="s">
        <v>222</v>
      </c>
      <c r="B10" s="33">
        <f>(140755-37289-28391)/40362</f>
        <v>1.8600416233090531</v>
      </c>
      <c r="E10">
        <v>0.97</v>
      </c>
      <c r="H10" s="5">
        <v>2.7000000000000001E-3</v>
      </c>
      <c r="I10" s="5">
        <v>0.41399999999999998</v>
      </c>
      <c r="M10" s="33">
        <v>37.799999999999997</v>
      </c>
      <c r="N10" s="7">
        <f>181671/111350</f>
        <v>1.6315312079030084</v>
      </c>
      <c r="O10" s="7">
        <f>(181671-846)/111350</f>
        <v>1.6239335428828019</v>
      </c>
      <c r="P10" t="s">
        <v>225</v>
      </c>
    </row>
    <row r="11" spans="1:23" s="17" customFormat="1" x14ac:dyDescent="0.15">
      <c r="A11" s="17" t="s">
        <v>274</v>
      </c>
      <c r="B11" s="32">
        <f>(33.63-4.18)/9.08</f>
        <v>3.2433920704845818</v>
      </c>
      <c r="E11" s="17">
        <v>0.2</v>
      </c>
      <c r="H11" s="18">
        <v>5.4199999999999998E-2</v>
      </c>
      <c r="I11" s="18">
        <v>0.66410000000000002</v>
      </c>
      <c r="M11" s="32">
        <f>407/12</f>
        <v>33.916666666666664</v>
      </c>
      <c r="N11" s="20">
        <f>35.64/34.01</f>
        <v>1.0479270802705087</v>
      </c>
      <c r="O11" s="20">
        <f>(35.64-19.6)/34.01</f>
        <v>0.47162599235518965</v>
      </c>
    </row>
    <row r="12" spans="1:23" x14ac:dyDescent="0.15">
      <c r="A12" t="s">
        <v>275</v>
      </c>
      <c r="B12" s="33">
        <f>(113.17-4.6)/11.687</f>
        <v>9.2898091896979569</v>
      </c>
      <c r="E12">
        <v>0.64</v>
      </c>
      <c r="H12" s="18">
        <v>1.26E-2</v>
      </c>
      <c r="I12" s="5">
        <v>0.49509999999999998</v>
      </c>
      <c r="M12" s="33">
        <f>936/32</f>
        <v>29.25</v>
      </c>
      <c r="N12" s="7">
        <f>246.35/174.58</f>
        <v>1.4111009279413449</v>
      </c>
      <c r="O12" s="7">
        <f>(246.35-104.48)/174.58</f>
        <v>0.81263604078359486</v>
      </c>
    </row>
    <row r="13" spans="1:23" s="17" customFormat="1" x14ac:dyDescent="0.15">
      <c r="A13" s="17" t="s">
        <v>331</v>
      </c>
      <c r="B13" s="32">
        <f>(15.54-0.89)/2.95</f>
        <v>4.9661016949152534</v>
      </c>
      <c r="E13" s="17">
        <v>0.23</v>
      </c>
      <c r="H13" s="18">
        <v>3.7000000000000002E-3</v>
      </c>
      <c r="I13" s="18">
        <v>0.14749999999999999</v>
      </c>
      <c r="M13" s="32">
        <f>1389/17</f>
        <v>81.705882352941174</v>
      </c>
      <c r="N13" s="20">
        <f>7.37/2.66</f>
        <v>2.7706766917293231</v>
      </c>
      <c r="O13" s="20">
        <f>(7.37-0.85)/2.66</f>
        <v>2.4511278195488724</v>
      </c>
    </row>
    <row r="14" spans="1:23" x14ac:dyDescent="0.15">
      <c r="D14">
        <v>2017</v>
      </c>
      <c r="E14" s="7">
        <f>0.71*(12568.76/13315.07)</f>
        <v>0.67020448259002763</v>
      </c>
    </row>
    <row r="15" spans="1:23" x14ac:dyDescent="0.15">
      <c r="D15">
        <v>2016</v>
      </c>
      <c r="E15" s="7">
        <f>0.33*(4069.73/6229.7)</f>
        <v>0.21558195418720003</v>
      </c>
    </row>
    <row r="16" spans="1:23" x14ac:dyDescent="0.15">
      <c r="D16">
        <v>2015</v>
      </c>
      <c r="E16" s="64">
        <f>0.09*(29.05/1761.26)*(-1)</f>
        <v>-1.4844486333647502E-3</v>
      </c>
    </row>
    <row r="17" spans="4:6" x14ac:dyDescent="0.15">
      <c r="D17">
        <v>2014</v>
      </c>
      <c r="E17" s="7">
        <f>0.17*(1789.31/3172.23)</f>
        <v>9.5889232495752208E-2</v>
      </c>
    </row>
    <row r="18" spans="4:6" x14ac:dyDescent="0.15">
      <c r="D18">
        <v>2013</v>
      </c>
      <c r="E18" s="7">
        <f>0.12*(1166.36/2300.66)</f>
        <v>6.0836107899472316E-2</v>
      </c>
    </row>
    <row r="19" spans="4:6" x14ac:dyDescent="0.15">
      <c r="D19">
        <v>2012</v>
      </c>
      <c r="E19" s="7">
        <f>0.4*(6835.64/7535.6)</f>
        <v>0.36284516163278308</v>
      </c>
    </row>
    <row r="20" spans="4:6" x14ac:dyDescent="0.15">
      <c r="E20" s="7">
        <f>SUM(E14:E19)/6</f>
        <v>0.23397874836197841</v>
      </c>
    </row>
    <row r="22" spans="4:6" x14ac:dyDescent="0.15">
      <c r="F22" t="s">
        <v>92</v>
      </c>
    </row>
  </sheetData>
  <mergeCells count="9">
    <mergeCell ref="B1:D1"/>
    <mergeCell ref="C3:D3"/>
    <mergeCell ref="T1:U1"/>
    <mergeCell ref="N1:P1"/>
    <mergeCell ref="Q1:S1"/>
    <mergeCell ref="E1:G1"/>
    <mergeCell ref="I3:M3"/>
    <mergeCell ref="N3:P3"/>
    <mergeCell ref="H1:M1"/>
  </mergeCells>
  <phoneticPr fontId="2" type="noConversion"/>
  <hyperlinks>
    <hyperlink ref="Q5" r:id="rId1"/>
    <hyperlink ref="R5" r:id="rId2"/>
    <hyperlink ref="S5" r:id="rId3"/>
  </hyperlinks>
  <pageMargins left="0.7" right="0.7" top="0.75" bottom="0.75"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9"/>
  <sheetViews>
    <sheetView workbookViewId="0">
      <selection activeCell="E17" sqref="E17"/>
    </sheetView>
  </sheetViews>
  <sheetFormatPr defaultRowHeight="13.5" x14ac:dyDescent="0.15"/>
  <cols>
    <col min="2" max="2" width="15.375" customWidth="1"/>
    <col min="3" max="3" width="21.125" customWidth="1"/>
    <col min="7" max="7" width="31.625" customWidth="1"/>
    <col min="8" max="8" width="23.625" customWidth="1"/>
    <col min="9" max="9" width="13.75" customWidth="1"/>
    <col min="10" max="10" width="32.75" customWidth="1"/>
    <col min="11" max="11" width="39.25" customWidth="1"/>
    <col min="12" max="12" width="33" customWidth="1"/>
  </cols>
  <sheetData>
    <row r="1" spans="1:12" x14ac:dyDescent="0.15">
      <c r="B1" s="66" t="s">
        <v>90</v>
      </c>
      <c r="C1" s="66"/>
      <c r="D1" s="66"/>
      <c r="E1" s="66"/>
      <c r="F1" s="66" t="s">
        <v>93</v>
      </c>
      <c r="G1" s="66"/>
      <c r="H1" s="66"/>
      <c r="I1" s="66" t="s">
        <v>96</v>
      </c>
      <c r="J1" s="66"/>
      <c r="K1" s="66"/>
    </row>
    <row r="2" spans="1:12" ht="13.5" customHeight="1" x14ac:dyDescent="0.15">
      <c r="A2" s="1" t="s">
        <v>79</v>
      </c>
      <c r="B2" s="42" t="s">
        <v>91</v>
      </c>
      <c r="C2" s="42" t="s">
        <v>193</v>
      </c>
      <c r="D2" s="42" t="s">
        <v>324</v>
      </c>
      <c r="E2" s="42" t="s">
        <v>325</v>
      </c>
      <c r="F2" s="42" t="s">
        <v>326</v>
      </c>
      <c r="G2" s="42" t="s">
        <v>94</v>
      </c>
      <c r="H2" s="42" t="s">
        <v>95</v>
      </c>
      <c r="I2" s="42" t="s">
        <v>115</v>
      </c>
      <c r="J2" s="65" t="s">
        <v>116</v>
      </c>
      <c r="K2" s="65"/>
      <c r="L2" s="42" t="s">
        <v>117</v>
      </c>
    </row>
    <row r="3" spans="1:12" ht="13.5" customHeight="1" x14ac:dyDescent="0.15">
      <c r="A3" s="1"/>
      <c r="B3" s="42"/>
      <c r="C3" s="42"/>
      <c r="D3" s="42"/>
      <c r="E3" s="42"/>
      <c r="F3" s="42"/>
      <c r="G3" s="42"/>
      <c r="H3" s="42"/>
      <c r="I3" s="42"/>
      <c r="J3" s="57" t="s">
        <v>329</v>
      </c>
      <c r="K3" s="62" t="s">
        <v>330</v>
      </c>
    </row>
    <row r="4" spans="1:12" ht="107.25" customHeight="1" x14ac:dyDescent="0.15">
      <c r="A4" t="s">
        <v>323</v>
      </c>
      <c r="B4">
        <v>237</v>
      </c>
      <c r="C4">
        <v>0</v>
      </c>
      <c r="D4">
        <v>132</v>
      </c>
      <c r="E4">
        <v>0</v>
      </c>
      <c r="F4">
        <v>2912</v>
      </c>
      <c r="H4" s="47" t="s">
        <v>327</v>
      </c>
      <c r="I4" s="47" t="s">
        <v>328</v>
      </c>
      <c r="J4" s="5">
        <v>0.36759999999999998</v>
      </c>
    </row>
    <row r="5" spans="1:12" x14ac:dyDescent="0.15">
      <c r="A5" t="s">
        <v>332</v>
      </c>
    </row>
    <row r="39" spans="10:10" x14ac:dyDescent="0.15">
      <c r="J39" t="s">
        <v>89</v>
      </c>
    </row>
  </sheetData>
  <mergeCells count="4">
    <mergeCell ref="B1:E1"/>
    <mergeCell ref="F1:H1"/>
    <mergeCell ref="I1:K1"/>
    <mergeCell ref="J2:K2"/>
  </mergeCells>
  <phoneticPr fontId="2"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
  <sheetViews>
    <sheetView tabSelected="1" topLeftCell="S3" workbookViewId="0">
      <selection activeCell="Y4" sqref="Y4"/>
    </sheetView>
  </sheetViews>
  <sheetFormatPr defaultRowHeight="13.5" x14ac:dyDescent="0.15"/>
  <cols>
    <col min="1" max="1" width="9" style="58"/>
    <col min="2" max="2" width="35.75" customWidth="1"/>
    <col min="3" max="3" width="34.625" customWidth="1"/>
    <col min="4" max="4" width="32.125" customWidth="1"/>
    <col min="5" max="5" width="13.125" customWidth="1"/>
    <col min="9" max="9" width="14" customWidth="1"/>
    <col min="10" max="10" width="23.875" customWidth="1"/>
    <col min="11" max="11" width="23.875" style="5" customWidth="1"/>
    <col min="12" max="12" width="23.875" style="33" customWidth="1"/>
    <col min="13" max="13" width="22.625" style="7" customWidth="1"/>
    <col min="14" max="14" width="35" customWidth="1"/>
    <col min="15" max="15" width="19.125" customWidth="1"/>
    <col min="16" max="16" width="15.125" customWidth="1"/>
    <col min="17" max="18" width="20.125" customWidth="1"/>
    <col min="19" max="19" width="18.875" customWidth="1"/>
    <col min="20" max="20" width="19" customWidth="1"/>
    <col min="21" max="21" width="31.625" customWidth="1"/>
    <col min="22" max="22" width="19.625" customWidth="1"/>
    <col min="23" max="23" width="28.75" customWidth="1"/>
    <col min="24" max="24" width="22.625" customWidth="1"/>
    <col min="25" max="25" width="17" customWidth="1"/>
  </cols>
  <sheetData>
    <row r="1" spans="1:25" ht="94.5" x14ac:dyDescent="0.15">
      <c r="A1" s="57" t="s">
        <v>220</v>
      </c>
      <c r="B1" s="46" t="s">
        <v>219</v>
      </c>
      <c r="C1" s="48" t="s">
        <v>254</v>
      </c>
      <c r="D1" s="65" t="s">
        <v>228</v>
      </c>
      <c r="E1" s="65"/>
      <c r="F1" s="65"/>
      <c r="G1" s="65"/>
      <c r="H1" s="65"/>
      <c r="I1" s="65"/>
      <c r="J1" s="65" t="s">
        <v>235</v>
      </c>
      <c r="K1" s="65"/>
      <c r="L1" s="65"/>
      <c r="M1" s="65" t="s">
        <v>237</v>
      </c>
      <c r="N1" s="65"/>
      <c r="O1" s="49" t="s">
        <v>240</v>
      </c>
      <c r="P1" s="65" t="s">
        <v>242</v>
      </c>
      <c r="Q1" s="65"/>
      <c r="R1" s="49" t="s">
        <v>245</v>
      </c>
      <c r="S1" s="49" t="s">
        <v>247</v>
      </c>
      <c r="T1" s="51" t="s">
        <v>262</v>
      </c>
      <c r="U1" s="51" t="s">
        <v>273</v>
      </c>
      <c r="V1" s="51" t="s">
        <v>265</v>
      </c>
      <c r="W1" s="51" t="s">
        <v>267</v>
      </c>
      <c r="X1" s="51" t="s">
        <v>269</v>
      </c>
      <c r="Y1" s="54" t="s">
        <v>271</v>
      </c>
    </row>
    <row r="2" spans="1:25" ht="13.5" customHeight="1" x14ac:dyDescent="0.15">
      <c r="B2" t="s">
        <v>221</v>
      </c>
      <c r="J2" t="s">
        <v>238</v>
      </c>
    </row>
    <row r="3" spans="1:25" ht="150" customHeight="1" x14ac:dyDescent="0.15">
      <c r="A3" s="59" t="s">
        <v>306</v>
      </c>
      <c r="B3" s="47" t="s">
        <v>226</v>
      </c>
      <c r="C3" s="47" t="s">
        <v>227</v>
      </c>
      <c r="D3" s="47" t="s">
        <v>229</v>
      </c>
      <c r="E3" s="47" t="s">
        <v>230</v>
      </c>
      <c r="F3" s="47" t="s">
        <v>231</v>
      </c>
      <c r="G3" s="47" t="s">
        <v>232</v>
      </c>
      <c r="H3" s="47" t="s">
        <v>233</v>
      </c>
      <c r="I3" s="47" t="s">
        <v>234</v>
      </c>
      <c r="J3" s="47" t="s">
        <v>236</v>
      </c>
      <c r="K3" s="60" t="s">
        <v>260</v>
      </c>
      <c r="L3" s="52" t="s">
        <v>261</v>
      </c>
      <c r="M3" s="61" t="s">
        <v>308</v>
      </c>
      <c r="N3" s="47" t="s">
        <v>239</v>
      </c>
      <c r="O3" s="47" t="s">
        <v>241</v>
      </c>
      <c r="P3" s="47" t="s">
        <v>244</v>
      </c>
      <c r="Q3" s="47" t="s">
        <v>243</v>
      </c>
      <c r="R3" s="47" t="s">
        <v>246</v>
      </c>
      <c r="S3" s="47" t="s">
        <v>248</v>
      </c>
      <c r="T3" s="47" t="s">
        <v>263</v>
      </c>
      <c r="U3" s="47" t="s">
        <v>264</v>
      </c>
      <c r="V3" s="47" t="s">
        <v>266</v>
      </c>
      <c r="W3" s="47" t="s">
        <v>268</v>
      </c>
      <c r="X3" s="47" t="s">
        <v>270</v>
      </c>
      <c r="Y3" s="47" t="s">
        <v>272</v>
      </c>
    </row>
    <row r="4" spans="1:25" ht="126.75" customHeight="1" x14ac:dyDescent="0.15">
      <c r="A4" s="58" t="s">
        <v>303</v>
      </c>
      <c r="B4" s="47" t="s">
        <v>305</v>
      </c>
      <c r="C4" t="s">
        <v>339</v>
      </c>
      <c r="E4">
        <v>3.14</v>
      </c>
      <c r="G4">
        <v>2928</v>
      </c>
      <c r="H4">
        <v>127</v>
      </c>
      <c r="I4" s="47" t="s">
        <v>307</v>
      </c>
      <c r="J4" t="s">
        <v>340</v>
      </c>
      <c r="K4" s="5">
        <f>5484/93277</f>
        <v>5.879262840786046E-2</v>
      </c>
      <c r="L4" s="33">
        <f>59347/(5471+3458)/2</f>
        <v>3.32327248292082</v>
      </c>
      <c r="M4" s="7">
        <f>1.33/9.33</f>
        <v>0.14255091103965703</v>
      </c>
      <c r="O4" s="47" t="s">
        <v>341</v>
      </c>
      <c r="Q4">
        <v>0</v>
      </c>
      <c r="U4" t="s">
        <v>342</v>
      </c>
      <c r="Y4" t="s">
        <v>343</v>
      </c>
    </row>
    <row r="5" spans="1:25" ht="120.75" customHeight="1" x14ac:dyDescent="0.15">
      <c r="A5" s="58" t="s">
        <v>249</v>
      </c>
      <c r="B5" t="s">
        <v>250</v>
      </c>
      <c r="C5" t="s">
        <v>251</v>
      </c>
      <c r="D5" s="47"/>
      <c r="E5" s="7">
        <f>(12.42+17.3+18.81)/3</f>
        <v>16.176666666666666</v>
      </c>
      <c r="G5">
        <f>(14439+14665+11576)/3</f>
        <v>13560</v>
      </c>
      <c r="H5">
        <f>2442-208</f>
        <v>2234</v>
      </c>
      <c r="J5" t="s">
        <v>252</v>
      </c>
      <c r="K5" s="50">
        <f>4645/116233</f>
        <v>3.9962833274543377E-2</v>
      </c>
      <c r="L5" s="53">
        <f>19425/(22255+18429)/2</f>
        <v>0.23873021335168618</v>
      </c>
      <c r="M5" s="7">
        <f>(6814/116232+10687/84790+10923/61546)/3</f>
        <v>0.12071398227118028</v>
      </c>
      <c r="N5">
        <v>3</v>
      </c>
      <c r="O5">
        <v>2</v>
      </c>
      <c r="Q5" t="s">
        <v>253</v>
      </c>
    </row>
    <row r="6" spans="1:25" ht="81" x14ac:dyDescent="0.15">
      <c r="A6" s="58" t="s">
        <v>255</v>
      </c>
      <c r="B6" s="47" t="s">
        <v>256</v>
      </c>
      <c r="C6" s="47" t="s">
        <v>257</v>
      </c>
      <c r="E6">
        <v>4.32</v>
      </c>
      <c r="G6">
        <v>1330</v>
      </c>
      <c r="H6">
        <v>208</v>
      </c>
      <c r="J6" s="47" t="s">
        <v>258</v>
      </c>
      <c r="K6" s="50">
        <f>2618/30796</f>
        <v>8.5011040394856477E-2</v>
      </c>
      <c r="L6" s="53">
        <f>112664/(846+1671)/2</f>
        <v>22.380611839491458</v>
      </c>
      <c r="M6" s="7">
        <f>2618/30796</f>
        <v>8.5011040394856477E-2</v>
      </c>
      <c r="O6" s="47"/>
      <c r="Q6" t="s">
        <v>259</v>
      </c>
      <c r="R6" t="s">
        <v>259</v>
      </c>
    </row>
  </sheetData>
  <mergeCells count="4">
    <mergeCell ref="D1:I1"/>
    <mergeCell ref="M1:N1"/>
    <mergeCell ref="P1:Q1"/>
    <mergeCell ref="J1:L1"/>
  </mergeCells>
  <phoneticPr fontId="2" type="noConversion"/>
  <hyperlinks>
    <hyperlink ref="L3" r:id="rId1"/>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defaultRowHeight="13.5" x14ac:dyDescent="0.15"/>
  <cols>
    <col min="1" max="1" width="29.25" customWidth="1"/>
    <col min="2" max="2" width="28.875" customWidth="1"/>
    <col min="3" max="3" width="38.375" customWidth="1"/>
  </cols>
  <sheetData>
    <row r="1" spans="1:3" s="63" customFormat="1" x14ac:dyDescent="0.15">
      <c r="A1" s="63" t="s">
        <v>333</v>
      </c>
      <c r="B1" s="63" t="s">
        <v>335</v>
      </c>
      <c r="C1" s="63" t="s">
        <v>334</v>
      </c>
    </row>
    <row r="2" spans="1:3" ht="40.5" x14ac:dyDescent="0.15">
      <c r="A2" t="s">
        <v>337</v>
      </c>
      <c r="B2" s="47" t="s">
        <v>338</v>
      </c>
      <c r="C2" s="47" t="s">
        <v>336</v>
      </c>
    </row>
  </sheetData>
  <phoneticPr fontId="2"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
  <sheetViews>
    <sheetView workbookViewId="0">
      <selection activeCell="D8" sqref="D8"/>
    </sheetView>
  </sheetViews>
  <sheetFormatPr defaultRowHeight="13.5" x14ac:dyDescent="0.15"/>
  <cols>
    <col min="2" max="3" width="34.875" style="5" customWidth="1"/>
    <col min="4" max="4" width="33.125" style="5" customWidth="1"/>
    <col min="5" max="5" width="31.875" style="5" customWidth="1"/>
    <col min="6" max="6" width="18.625" customWidth="1"/>
    <col min="7" max="7" width="14.5" customWidth="1"/>
    <col min="8" max="8" width="12" style="5" customWidth="1"/>
    <col min="9" max="9" width="13.25" customWidth="1"/>
    <col min="10" max="10" width="15.5" customWidth="1"/>
    <col min="11" max="11" width="12.25" style="7" customWidth="1"/>
    <col min="12" max="12" width="22.5" customWidth="1"/>
    <col min="13" max="13" width="24.375" customWidth="1"/>
  </cols>
  <sheetData>
    <row r="1" spans="1:13" x14ac:dyDescent="0.15">
      <c r="A1" s="1" t="s">
        <v>220</v>
      </c>
      <c r="B1" s="66" t="s">
        <v>286</v>
      </c>
      <c r="C1" s="66"/>
      <c r="D1" s="66"/>
      <c r="E1" s="66"/>
      <c r="F1" s="66" t="s">
        <v>291</v>
      </c>
      <c r="G1" s="66"/>
      <c r="H1" s="2" t="s">
        <v>294</v>
      </c>
      <c r="I1" s="66" t="s">
        <v>295</v>
      </c>
      <c r="J1" s="66"/>
      <c r="K1" s="66"/>
      <c r="L1" s="66" t="s">
        <v>299</v>
      </c>
      <c r="M1" s="66"/>
    </row>
    <row r="2" spans="1:13" x14ac:dyDescent="0.15">
      <c r="B2" s="2" t="s">
        <v>287</v>
      </c>
      <c r="C2" s="2" t="s">
        <v>288</v>
      </c>
      <c r="D2" s="2" t="s">
        <v>289</v>
      </c>
      <c r="E2" s="2" t="s">
        <v>290</v>
      </c>
      <c r="F2" s="1" t="s">
        <v>292</v>
      </c>
      <c r="G2" s="1" t="s">
        <v>293</v>
      </c>
      <c r="H2" s="2"/>
      <c r="I2" s="1" t="s">
        <v>296</v>
      </c>
      <c r="J2" s="1" t="s">
        <v>297</v>
      </c>
      <c r="K2" s="3" t="s">
        <v>298</v>
      </c>
      <c r="L2" s="1" t="s">
        <v>300</v>
      </c>
      <c r="M2" s="1" t="s">
        <v>301</v>
      </c>
    </row>
    <row r="3" spans="1:13" ht="137.25" customHeight="1" x14ac:dyDescent="0.15">
      <c r="A3" t="s">
        <v>302</v>
      </c>
      <c r="B3" s="5">
        <f>1.33/13.41</f>
        <v>9.9179716629381062E-2</v>
      </c>
      <c r="C3" s="5">
        <f>1.33/15.8</f>
        <v>8.4177215189873422E-2</v>
      </c>
      <c r="D3" s="5">
        <f>1.33/9.33</f>
        <v>0.14255091103965703</v>
      </c>
      <c r="E3" s="5">
        <f>(9.32-5.92)/9.32</f>
        <v>0.36480686695278974</v>
      </c>
      <c r="F3" s="5">
        <v>0.69779999999999998</v>
      </c>
      <c r="G3" s="5">
        <v>2.0893999999999999</v>
      </c>
      <c r="I3">
        <v>20.51</v>
      </c>
      <c r="J3" s="5">
        <v>2.18E-2</v>
      </c>
      <c r="K3" s="7">
        <f>33.71/9.33</f>
        <v>3.6130760986066455</v>
      </c>
    </row>
  </sheetData>
  <mergeCells count="4">
    <mergeCell ref="B1:E1"/>
    <mergeCell ref="F1:G1"/>
    <mergeCell ref="I1:K1"/>
    <mergeCell ref="L1:M1"/>
  </mergeCells>
  <phoneticPr fontId="2" type="noConversion"/>
  <pageMargins left="0.7" right="0.7" top="0.75" bottom="0.75" header="0.3" footer="0.3"/>
  <pageSetup paperSize="0" orientation="portrait"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D1" workbookViewId="0">
      <selection activeCell="L3" sqref="L3"/>
    </sheetView>
  </sheetViews>
  <sheetFormatPr defaultRowHeight="13.5" x14ac:dyDescent="0.15"/>
  <cols>
    <col min="2" max="2" width="36.875" customWidth="1"/>
    <col min="3" max="3" width="19.125" customWidth="1"/>
    <col min="4" max="4" width="22.625" customWidth="1"/>
    <col min="5" max="5" width="18.75" customWidth="1"/>
    <col min="6" max="6" width="47.625" customWidth="1"/>
    <col min="7" max="7" width="32.5" customWidth="1"/>
    <col min="8" max="8" width="26" customWidth="1"/>
    <col min="9" max="9" width="21.125" customWidth="1"/>
    <col min="10" max="10" width="26.5" customWidth="1"/>
    <col min="11" max="11" width="17.375" customWidth="1"/>
    <col min="12" max="12" width="15.75" customWidth="1"/>
  </cols>
  <sheetData>
    <row r="1" spans="1:12" s="55" customFormat="1" x14ac:dyDescent="0.15">
      <c r="A1" s="56" t="s">
        <v>304</v>
      </c>
      <c r="B1" s="55" t="s">
        <v>276</v>
      </c>
      <c r="C1" s="55" t="s">
        <v>278</v>
      </c>
      <c r="D1" s="55" t="s">
        <v>280</v>
      </c>
      <c r="E1" s="55" t="s">
        <v>283</v>
      </c>
      <c r="F1" s="55" t="s">
        <v>284</v>
      </c>
      <c r="G1" s="66" t="s">
        <v>309</v>
      </c>
      <c r="H1" s="66"/>
      <c r="I1" s="66"/>
      <c r="J1" s="66" t="s">
        <v>316</v>
      </c>
      <c r="K1" s="66"/>
      <c r="L1" s="66"/>
    </row>
    <row r="2" spans="1:12" ht="94.5" x14ac:dyDescent="0.15">
      <c r="B2" s="47" t="s">
        <v>277</v>
      </c>
      <c r="C2" s="47" t="s">
        <v>279</v>
      </c>
      <c r="D2" s="47" t="s">
        <v>281</v>
      </c>
      <c r="E2" s="47" t="s">
        <v>282</v>
      </c>
      <c r="F2" s="47" t="s">
        <v>285</v>
      </c>
      <c r="G2" s="47" t="s">
        <v>310</v>
      </c>
      <c r="H2" s="47" t="s">
        <v>312</v>
      </c>
      <c r="I2" s="47" t="s">
        <v>314</v>
      </c>
      <c r="J2" s="47" t="s">
        <v>317</v>
      </c>
      <c r="K2" s="47" t="s">
        <v>319</v>
      </c>
      <c r="L2" s="47" t="s">
        <v>321</v>
      </c>
    </row>
    <row r="3" spans="1:12" ht="54" x14ac:dyDescent="0.15">
      <c r="G3" s="47" t="s">
        <v>311</v>
      </c>
      <c r="H3" s="47" t="s">
        <v>313</v>
      </c>
      <c r="I3" t="s">
        <v>315</v>
      </c>
      <c r="J3" s="47" t="s">
        <v>318</v>
      </c>
      <c r="K3" s="47" t="s">
        <v>320</v>
      </c>
      <c r="L3" s="47" t="s">
        <v>322</v>
      </c>
    </row>
  </sheetData>
  <mergeCells count="2">
    <mergeCell ref="G1:I1"/>
    <mergeCell ref="J1:L1"/>
  </mergeCells>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2"/>
  <sheetViews>
    <sheetView workbookViewId="0">
      <selection activeCell="G19" sqref="G19"/>
    </sheetView>
  </sheetViews>
  <sheetFormatPr defaultRowHeight="13.5" x14ac:dyDescent="0.15"/>
  <cols>
    <col min="1" max="1" width="83.125" customWidth="1"/>
    <col min="5" max="5" width="12.125" bestFit="1" customWidth="1"/>
  </cols>
  <sheetData>
    <row r="1" spans="1:4" x14ac:dyDescent="0.15">
      <c r="A1" s="1" t="s">
        <v>102</v>
      </c>
    </row>
    <row r="2" spans="1:4" x14ac:dyDescent="0.15">
      <c r="A2" s="1"/>
      <c r="B2" s="1" t="s">
        <v>107</v>
      </c>
    </row>
    <row r="3" spans="1:4" x14ac:dyDescent="0.15">
      <c r="A3" s="1"/>
      <c r="B3" s="1" t="s">
        <v>108</v>
      </c>
    </row>
    <row r="4" spans="1:4" x14ac:dyDescent="0.15">
      <c r="B4" s="1" t="s">
        <v>110</v>
      </c>
    </row>
    <row r="5" spans="1:4" x14ac:dyDescent="0.15">
      <c r="A5" s="1" t="s">
        <v>103</v>
      </c>
    </row>
    <row r="6" spans="1:4" x14ac:dyDescent="0.15">
      <c r="A6" s="1"/>
      <c r="B6" s="1" t="s">
        <v>111</v>
      </c>
    </row>
    <row r="7" spans="1:4" x14ac:dyDescent="0.15">
      <c r="A7" s="1"/>
      <c r="B7" s="1" t="s">
        <v>112</v>
      </c>
    </row>
    <row r="8" spans="1:4" x14ac:dyDescent="0.15">
      <c r="A8" s="1"/>
      <c r="B8" s="1" t="s">
        <v>113</v>
      </c>
    </row>
    <row r="9" spans="1:4" x14ac:dyDescent="0.15">
      <c r="A9" s="1" t="s">
        <v>105</v>
      </c>
    </row>
    <row r="10" spans="1:4" x14ac:dyDescent="0.15">
      <c r="A10" s="1"/>
      <c r="B10" s="1" t="s">
        <v>114</v>
      </c>
    </row>
    <row r="11" spans="1:4" x14ac:dyDescent="0.15">
      <c r="A11" s="1" t="s">
        <v>104</v>
      </c>
    </row>
    <row r="12" spans="1:4" x14ac:dyDescent="0.15">
      <c r="B12" s="1" t="s">
        <v>121</v>
      </c>
      <c r="C12" t="s">
        <v>106</v>
      </c>
    </row>
    <row r="13" spans="1:4" x14ac:dyDescent="0.15">
      <c r="B13" s="1" t="s">
        <v>122</v>
      </c>
    </row>
    <row r="14" spans="1:4" x14ac:dyDescent="0.15">
      <c r="A14" t="s">
        <v>109</v>
      </c>
      <c r="B14" s="1" t="s">
        <v>123</v>
      </c>
    </row>
    <row r="15" spans="1:4" x14ac:dyDescent="0.15">
      <c r="B15" s="1" t="s">
        <v>124</v>
      </c>
    </row>
    <row r="16" spans="1:4" x14ac:dyDescent="0.15">
      <c r="C16" t="s">
        <v>118</v>
      </c>
      <c r="D16">
        <v>1.75</v>
      </c>
    </row>
    <row r="17" spans="2:6" x14ac:dyDescent="0.15">
      <c r="C17" t="s">
        <v>119</v>
      </c>
      <c r="D17">
        <v>2</v>
      </c>
    </row>
    <row r="18" spans="2:6" x14ac:dyDescent="0.15">
      <c r="C18" t="s">
        <v>120</v>
      </c>
      <c r="D18">
        <v>3</v>
      </c>
    </row>
    <row r="19" spans="2:6" x14ac:dyDescent="0.15">
      <c r="C19" t="s">
        <v>125</v>
      </c>
    </row>
    <row r="20" spans="2:6" x14ac:dyDescent="0.15">
      <c r="C20" t="s">
        <v>126</v>
      </c>
    </row>
    <row r="21" spans="2:6" x14ac:dyDescent="0.15">
      <c r="C21" t="s">
        <v>127</v>
      </c>
    </row>
    <row r="22" spans="2:6" x14ac:dyDescent="0.15">
      <c r="B22" s="1" t="s">
        <v>128</v>
      </c>
    </row>
    <row r="23" spans="2:6" x14ac:dyDescent="0.15">
      <c r="B23" s="1" t="s">
        <v>132</v>
      </c>
    </row>
    <row r="24" spans="2:6" x14ac:dyDescent="0.15">
      <c r="C24" t="s">
        <v>129</v>
      </c>
    </row>
    <row r="25" spans="2:6" x14ac:dyDescent="0.15">
      <c r="C25" t="s">
        <v>130</v>
      </c>
    </row>
    <row r="26" spans="2:6" x14ac:dyDescent="0.15">
      <c r="C26" t="s">
        <v>131</v>
      </c>
    </row>
    <row r="27" spans="2:6" x14ac:dyDescent="0.15">
      <c r="B27" s="1" t="s">
        <v>137</v>
      </c>
    </row>
    <row r="28" spans="2:6" x14ac:dyDescent="0.15">
      <c r="C28" t="s">
        <v>133</v>
      </c>
    </row>
    <row r="29" spans="2:6" x14ac:dyDescent="0.15">
      <c r="C29" t="s">
        <v>134</v>
      </c>
    </row>
    <row r="30" spans="2:6" x14ac:dyDescent="0.15">
      <c r="C30" t="s">
        <v>135</v>
      </c>
    </row>
    <row r="31" spans="2:6" x14ac:dyDescent="0.15">
      <c r="C31" t="s">
        <v>136</v>
      </c>
    </row>
    <row r="32" spans="2:6" x14ac:dyDescent="0.15">
      <c r="D32" t="s">
        <v>138</v>
      </c>
      <c r="E32" t="s">
        <v>139</v>
      </c>
      <c r="F32" t="s">
        <v>140</v>
      </c>
    </row>
    <row r="33" spans="3:8" x14ac:dyDescent="0.15">
      <c r="D33" t="s">
        <v>141</v>
      </c>
      <c r="E33">
        <v>1.75</v>
      </c>
      <c r="F33" t="s">
        <v>145</v>
      </c>
    </row>
    <row r="34" spans="3:8" x14ac:dyDescent="0.15">
      <c r="D34" t="s">
        <v>142</v>
      </c>
      <c r="E34">
        <v>2</v>
      </c>
      <c r="F34" t="s">
        <v>146</v>
      </c>
    </row>
    <row r="35" spans="3:8" x14ac:dyDescent="0.15">
      <c r="D35" t="s">
        <v>143</v>
      </c>
      <c r="E35">
        <v>3</v>
      </c>
      <c r="F35" t="s">
        <v>144</v>
      </c>
    </row>
    <row r="36" spans="3:8" x14ac:dyDescent="0.15">
      <c r="C36" s="43" t="s">
        <v>147</v>
      </c>
      <c r="D36" s="43"/>
      <c r="E36" s="43"/>
      <c r="F36" s="43"/>
      <c r="G36" s="43"/>
      <c r="H36" s="43"/>
    </row>
    <row r="37" spans="3:8" x14ac:dyDescent="0.15">
      <c r="C37" s="43"/>
      <c r="D37" s="43" t="s">
        <v>148</v>
      </c>
      <c r="E37" s="43" t="s">
        <v>149</v>
      </c>
      <c r="F37" s="43"/>
      <c r="G37" s="43"/>
      <c r="H37" s="43"/>
    </row>
    <row r="38" spans="3:8" x14ac:dyDescent="0.15">
      <c r="C38" s="43"/>
      <c r="D38" s="43" t="s">
        <v>150</v>
      </c>
      <c r="E38" s="44">
        <v>14245</v>
      </c>
      <c r="F38" s="43"/>
      <c r="G38" s="43"/>
      <c r="H38" s="43"/>
    </row>
    <row r="39" spans="3:8" x14ac:dyDescent="0.15">
      <c r="C39" s="43"/>
      <c r="D39" s="43" t="s">
        <v>151</v>
      </c>
      <c r="E39" s="43">
        <v>37663000</v>
      </c>
      <c r="F39" s="43"/>
      <c r="G39" s="43"/>
      <c r="H39" s="43"/>
    </row>
    <row r="40" spans="3:8" x14ac:dyDescent="0.15">
      <c r="C40" s="43"/>
      <c r="D40" s="43" t="s">
        <v>152</v>
      </c>
      <c r="E40" s="43">
        <v>22554000</v>
      </c>
      <c r="F40" s="43"/>
      <c r="G40" s="43"/>
      <c r="H40" s="43"/>
    </row>
    <row r="41" spans="3:8" x14ac:dyDescent="0.15">
      <c r="C41" s="43"/>
      <c r="D41" s="43" t="s">
        <v>153</v>
      </c>
      <c r="E41" s="43" t="s">
        <v>164</v>
      </c>
      <c r="F41" s="43"/>
      <c r="G41" s="43"/>
      <c r="H41" s="43"/>
    </row>
    <row r="42" spans="3:8" x14ac:dyDescent="0.15">
      <c r="C42" s="43"/>
      <c r="D42" s="43" t="s">
        <v>154</v>
      </c>
      <c r="E42" s="43">
        <v>15109000</v>
      </c>
      <c r="F42" s="43"/>
      <c r="G42" s="43"/>
      <c r="H42" s="43"/>
    </row>
    <row r="43" spans="3:8" x14ac:dyDescent="0.15">
      <c r="C43" s="43"/>
      <c r="D43" s="43" t="s">
        <v>155</v>
      </c>
      <c r="E43" s="43">
        <v>1819000</v>
      </c>
      <c r="F43" s="43"/>
      <c r="G43" s="43"/>
      <c r="H43" s="43"/>
    </row>
    <row r="44" spans="3:8" x14ac:dyDescent="0.15">
      <c r="C44" s="43"/>
      <c r="D44" s="43" t="s">
        <v>156</v>
      </c>
      <c r="E44" s="43">
        <v>13290000</v>
      </c>
      <c r="F44" s="43"/>
      <c r="G44" s="43"/>
      <c r="H44" s="43"/>
    </row>
    <row r="45" spans="3:8" x14ac:dyDescent="0.15">
      <c r="C45" s="43"/>
      <c r="D45" s="43" t="s">
        <v>157</v>
      </c>
      <c r="E45" s="43">
        <v>1.55</v>
      </c>
      <c r="F45" s="43"/>
      <c r="G45" s="43"/>
      <c r="H45" s="43"/>
    </row>
    <row r="46" spans="3:8" x14ac:dyDescent="0.15">
      <c r="C46" s="43"/>
      <c r="D46" s="43" t="s">
        <v>158</v>
      </c>
      <c r="E46" s="43">
        <v>1.53</v>
      </c>
      <c r="F46" s="43"/>
      <c r="G46" s="43"/>
      <c r="H46" s="43"/>
    </row>
    <row r="47" spans="3:8" x14ac:dyDescent="0.15">
      <c r="C47" s="43"/>
      <c r="D47" s="43" t="s">
        <v>159</v>
      </c>
      <c r="E47" s="43">
        <v>438000000</v>
      </c>
      <c r="F47" s="43"/>
      <c r="G47" s="43"/>
      <c r="H47" s="43"/>
    </row>
    <row r="48" spans="3:8" x14ac:dyDescent="0.15">
      <c r="C48" s="43"/>
      <c r="D48" s="43" t="s">
        <v>160</v>
      </c>
      <c r="E48" s="43" t="s">
        <v>165</v>
      </c>
      <c r="F48" s="43"/>
      <c r="G48" s="43"/>
      <c r="H48" s="43"/>
    </row>
    <row r="49" spans="3:8" x14ac:dyDescent="0.15">
      <c r="C49" s="43"/>
      <c r="D49" s="43" t="s">
        <v>161</v>
      </c>
      <c r="E49" s="43" t="s">
        <v>166</v>
      </c>
      <c r="F49" s="43"/>
      <c r="G49" s="43"/>
      <c r="H49" s="43"/>
    </row>
    <row r="50" spans="3:8" x14ac:dyDescent="0.15">
      <c r="C50" s="43"/>
      <c r="D50" s="43" t="s">
        <v>162</v>
      </c>
      <c r="E50" s="43">
        <v>221000000</v>
      </c>
      <c r="F50" s="43"/>
      <c r="G50" s="43"/>
      <c r="H50" s="43"/>
    </row>
    <row r="51" spans="3:8" x14ac:dyDescent="0.15">
      <c r="C51" s="43"/>
      <c r="D51" s="43" t="s">
        <v>163</v>
      </c>
      <c r="E51" s="43" t="s">
        <v>167</v>
      </c>
      <c r="F51" s="43"/>
      <c r="G51" s="43"/>
      <c r="H51" s="43"/>
    </row>
    <row r="52" spans="3:8" x14ac:dyDescent="0.15">
      <c r="C52" t="s">
        <v>168</v>
      </c>
    </row>
    <row r="53" spans="3:8" x14ac:dyDescent="0.15">
      <c r="C53" t="s">
        <v>169</v>
      </c>
    </row>
    <row r="54" spans="3:8" x14ac:dyDescent="0.15">
      <c r="C54" t="s">
        <v>170</v>
      </c>
    </row>
    <row r="55" spans="3:8" x14ac:dyDescent="0.15">
      <c r="C55" t="s">
        <v>171</v>
      </c>
    </row>
    <row r="56" spans="3:8" x14ac:dyDescent="0.15">
      <c r="D56" t="s">
        <v>172</v>
      </c>
    </row>
    <row r="57" spans="3:8" x14ac:dyDescent="0.15">
      <c r="D57" t="s">
        <v>173</v>
      </c>
      <c r="E57">
        <v>10000</v>
      </c>
    </row>
    <row r="58" spans="3:8" x14ac:dyDescent="0.15">
      <c r="D58" t="s">
        <v>174</v>
      </c>
      <c r="E58">
        <v>2000000</v>
      </c>
    </row>
    <row r="59" spans="3:8" x14ac:dyDescent="0.15">
      <c r="D59" t="s">
        <v>175</v>
      </c>
      <c r="E59">
        <v>3000000</v>
      </c>
    </row>
    <row r="60" spans="3:8" x14ac:dyDescent="0.15">
      <c r="D60" t="s">
        <v>176</v>
      </c>
      <c r="E60">
        <v>5000000</v>
      </c>
    </row>
    <row r="61" spans="3:8" x14ac:dyDescent="0.15">
      <c r="D61" t="s">
        <v>177</v>
      </c>
    </row>
    <row r="62" spans="3:8" x14ac:dyDescent="0.15">
      <c r="D62" t="s">
        <v>179</v>
      </c>
      <c r="E62">
        <v>1.75</v>
      </c>
    </row>
    <row r="63" spans="3:8" x14ac:dyDescent="0.15">
      <c r="D63" t="s">
        <v>178</v>
      </c>
      <c r="E63">
        <v>2</v>
      </c>
    </row>
    <row r="64" spans="3:8" x14ac:dyDescent="0.15">
      <c r="D64" t="s">
        <v>180</v>
      </c>
      <c r="E64">
        <v>3</v>
      </c>
    </row>
    <row r="65" spans="4:5" x14ac:dyDescent="0.15">
      <c r="D65" t="s">
        <v>181</v>
      </c>
      <c r="E65">
        <v>2</v>
      </c>
    </row>
    <row r="66" spans="4:5" x14ac:dyDescent="0.15">
      <c r="D66" t="s">
        <v>182</v>
      </c>
    </row>
    <row r="67" spans="4:5" x14ac:dyDescent="0.15">
      <c r="D67" t="s">
        <v>191</v>
      </c>
      <c r="E67" t="s">
        <v>192</v>
      </c>
    </row>
    <row r="68" spans="4:5" x14ac:dyDescent="0.15">
      <c r="D68" t="s">
        <v>183</v>
      </c>
      <c r="E68" t="s">
        <v>184</v>
      </c>
    </row>
    <row r="69" spans="4:5" x14ac:dyDescent="0.15">
      <c r="D69" t="s">
        <v>185</v>
      </c>
    </row>
    <row r="70" spans="4:5" x14ac:dyDescent="0.15">
      <c r="D70" t="s">
        <v>141</v>
      </c>
      <c r="E70" t="s">
        <v>186</v>
      </c>
    </row>
    <row r="71" spans="4:5" x14ac:dyDescent="0.15">
      <c r="D71" t="s">
        <v>187</v>
      </c>
      <c r="E71" t="s">
        <v>188</v>
      </c>
    </row>
    <row r="72" spans="4:5" x14ac:dyDescent="0.15">
      <c r="D72" t="s">
        <v>189</v>
      </c>
      <c r="E72" t="s">
        <v>190</v>
      </c>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选股逻辑</vt:lpstr>
      <vt:lpstr>资产负债表-低价股F</vt:lpstr>
      <vt:lpstr>损益表分析-收益股G</vt:lpstr>
      <vt:lpstr>成长股十五原则</vt:lpstr>
      <vt:lpstr>投资者不要原则</vt:lpstr>
      <vt:lpstr>成长股财务指标</vt:lpstr>
      <vt:lpstr>成长股买卖原则</vt:lpstr>
      <vt:lpstr>债券选择原则-H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2018-12-20T12:07:39Z</dcterms:modified>
</cp:coreProperties>
</file>