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defaultThemeVersion="124226"/>
  <bookViews>
    <workbookView xWindow="0" yWindow="0" windowWidth="28800" windowHeight="12450" activeTab="2"/>
  </bookViews>
  <sheets>
    <sheet name="选股逻辑" sheetId="1" r:id="rId1"/>
    <sheet name="资产负债表-低价股F" sheetId="14" r:id="rId2"/>
    <sheet name="估值方法" sheetId="23" r:id="rId3"/>
    <sheet name="损益表分析-收益股G" sheetId="15" r:id="rId4"/>
    <sheet name="成长股十五原则" sheetId="17" r:id="rId5"/>
    <sheet name="公司分析" sheetId="22" r:id="rId6"/>
    <sheet name="债券选择原则-H" sheetId="16" r:id="rId7"/>
    <sheet name="保守型投资要素" sheetId="21" r:id="rId8"/>
  </sheets>
  <externalReferences>
    <externalReference r:id="rId9"/>
    <externalReference r:id="rId10"/>
  </externalReferences>
  <calcPr calcId="15251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R5" i="23" l="1"/>
  <c r="S5" i="23" l="1"/>
  <c r="W5" i="23" s="1"/>
  <c r="G9" i="14" l="1"/>
  <c r="G13" i="14" l="1"/>
  <c r="F9" i="14"/>
  <c r="F13" i="14"/>
  <c r="B15" i="14" l="1"/>
  <c r="Q15" i="14" l="1"/>
  <c r="P15" i="14"/>
  <c r="O15" i="14"/>
  <c r="P5" i="21" l="1"/>
  <c r="J6" i="15" l="1"/>
  <c r="B5" i="15" l="1"/>
  <c r="Q14" i="14"/>
  <c r="P14" i="14"/>
  <c r="O14" i="14"/>
  <c r="B14" i="14"/>
  <c r="Q13" i="14" l="1"/>
  <c r="P13" i="14"/>
  <c r="O13" i="14"/>
  <c r="B13" i="14"/>
  <c r="M4" i="17" l="1"/>
  <c r="L4" i="17"/>
  <c r="K4" i="17"/>
  <c r="Q12" i="14" l="1"/>
  <c r="P12" i="14"/>
  <c r="O12" i="14"/>
  <c r="B12" i="14"/>
  <c r="Q11" i="14" l="1"/>
  <c r="P11" i="14"/>
  <c r="O11" i="14"/>
  <c r="B11" i="14"/>
  <c r="L6" i="17" l="1"/>
  <c r="L5" i="17"/>
  <c r="K6" i="17" l="1"/>
  <c r="K5" i="17"/>
  <c r="M6" i="17" l="1"/>
  <c r="M5" i="17" l="1"/>
  <c r="H5" i="17"/>
  <c r="G5" i="17"/>
  <c r="E5" i="17"/>
  <c r="Q10" i="14" l="1"/>
  <c r="P10" i="14"/>
  <c r="B10" i="14" l="1"/>
  <c r="Q9" i="14" l="1"/>
  <c r="P9" i="14"/>
  <c r="O9" i="14"/>
  <c r="B9" i="14" l="1"/>
  <c r="Q7" i="14" l="1"/>
  <c r="P7" i="14"/>
  <c r="Q5" i="14" l="1"/>
  <c r="P5" i="14"/>
  <c r="C8" i="14" l="1"/>
  <c r="B8" i="14"/>
  <c r="O7" i="14" l="1"/>
  <c r="C7" i="14"/>
  <c r="B7" i="14"/>
  <c r="O6" i="14"/>
  <c r="C6" i="14"/>
  <c r="B6" i="14"/>
  <c r="O5" i="14"/>
  <c r="C5" i="14"/>
  <c r="B5" i="14"/>
  <c r="C4" i="14" l="1"/>
  <c r="Q32" i="1"/>
  <c r="K32" i="1"/>
  <c r="L32" i="1" s="1"/>
  <c r="I32" i="1"/>
  <c r="H32" i="1"/>
  <c r="G32" i="1"/>
  <c r="Q31" i="1"/>
  <c r="K31" i="1"/>
  <c r="L31" i="1" s="1"/>
  <c r="I31" i="1"/>
  <c r="H31" i="1"/>
  <c r="G31" i="1"/>
  <c r="Q30" i="1"/>
  <c r="K30" i="1"/>
  <c r="L30" i="1" s="1"/>
  <c r="I30" i="1"/>
  <c r="H30" i="1"/>
  <c r="G30" i="1"/>
  <c r="Q29" i="1"/>
  <c r="K29" i="1"/>
  <c r="L29" i="1" s="1"/>
  <c r="I29" i="1"/>
  <c r="H29" i="1"/>
  <c r="G29" i="1"/>
  <c r="Q28" i="1"/>
  <c r="K28" i="1"/>
  <c r="L28" i="1" s="1"/>
  <c r="I28" i="1"/>
  <c r="H28" i="1"/>
  <c r="G28" i="1"/>
  <c r="Q27" i="1"/>
  <c r="K27" i="1"/>
  <c r="L27" i="1" s="1"/>
  <c r="I27" i="1"/>
  <c r="H27" i="1"/>
  <c r="G27" i="1"/>
  <c r="Q26" i="1"/>
  <c r="K26" i="1"/>
  <c r="L26" i="1" s="1"/>
  <c r="I26" i="1"/>
  <c r="G26" i="1"/>
  <c r="Q25" i="1" l="1"/>
  <c r="I25" i="1"/>
  <c r="H25" i="1"/>
  <c r="G25" i="1"/>
  <c r="K25" i="1"/>
  <c r="L25" i="1" s="1"/>
  <c r="Q24" i="1" l="1"/>
  <c r="I24" i="1"/>
  <c r="H24" i="1"/>
  <c r="G24" i="1"/>
  <c r="K24" i="1"/>
  <c r="L24" i="1" s="1"/>
  <c r="Q23" i="1" l="1"/>
  <c r="I23" i="1"/>
  <c r="H23" i="1"/>
  <c r="G23" i="1"/>
  <c r="K23" i="1"/>
  <c r="L23" i="1" s="1"/>
  <c r="Q22" i="1"/>
  <c r="I22" i="1"/>
  <c r="H22" i="1"/>
  <c r="G22" i="1"/>
  <c r="K22" i="1"/>
  <c r="L22" i="1" s="1"/>
  <c r="Q21" i="1"/>
  <c r="I21" i="1"/>
  <c r="H21" i="1"/>
  <c r="G21" i="1"/>
  <c r="K21" i="1"/>
  <c r="L21" i="1" s="1"/>
  <c r="K8" i="1"/>
  <c r="K9" i="1"/>
  <c r="K7" i="1"/>
  <c r="Q20" i="1"/>
  <c r="I20" i="1"/>
  <c r="H20" i="1"/>
  <c r="G20" i="1"/>
  <c r="K20" i="1"/>
  <c r="L20" i="1" s="1"/>
  <c r="Q19" i="1"/>
  <c r="K19" i="1"/>
  <c r="L19" i="1" s="1"/>
  <c r="J19" i="1"/>
  <c r="I19" i="1"/>
  <c r="H19" i="1"/>
  <c r="G19" i="1"/>
  <c r="Q18" i="1"/>
  <c r="K18" i="1"/>
  <c r="L18" i="1" s="1"/>
  <c r="I18" i="1"/>
  <c r="H18" i="1"/>
  <c r="G18" i="1"/>
  <c r="Q3" i="1"/>
  <c r="Q4" i="1"/>
  <c r="Q5" i="1"/>
  <c r="Q6" i="1"/>
  <c r="Q7" i="1"/>
  <c r="Q8" i="1"/>
  <c r="Q9" i="1"/>
  <c r="Q10" i="1"/>
  <c r="Q11" i="1"/>
  <c r="Q12" i="1"/>
  <c r="Q13" i="1"/>
  <c r="Q15" i="1"/>
  <c r="Q16" i="1"/>
  <c r="Q17" i="1"/>
  <c r="Q2" i="1"/>
  <c r="I4" i="1" l="1"/>
  <c r="H4" i="1"/>
  <c r="G4" i="1"/>
  <c r="K4" i="1"/>
  <c r="L4" i="1" s="1"/>
  <c r="K3" i="1"/>
  <c r="L3" i="1" s="1"/>
  <c r="I3" i="1"/>
  <c r="H3" i="1"/>
  <c r="G3" i="1"/>
  <c r="I10" i="1" l="1"/>
  <c r="H10" i="1"/>
  <c r="G10" i="1"/>
  <c r="K10" i="1"/>
  <c r="L10" i="1" s="1"/>
  <c r="I12" i="1"/>
  <c r="H12" i="1"/>
  <c r="G12" i="1"/>
  <c r="K12" i="1"/>
  <c r="L12" i="1" s="1"/>
  <c r="K2" i="1" l="1"/>
  <c r="K17" i="1" l="1"/>
  <c r="L17" i="1" s="1"/>
  <c r="I17" i="1"/>
  <c r="H17" i="1"/>
  <c r="G17" i="1"/>
  <c r="K16" i="1"/>
  <c r="L16" i="1" s="1"/>
  <c r="I16" i="1"/>
  <c r="H16" i="1"/>
  <c r="G16" i="1"/>
  <c r="O14" i="1" l="1"/>
  <c r="Q14" i="1" s="1"/>
  <c r="I14" i="1"/>
  <c r="H14" i="1"/>
  <c r="D14" i="1"/>
  <c r="K14" i="1" s="1"/>
  <c r="L14" i="1" s="1"/>
  <c r="G14" i="1" l="1"/>
  <c r="K15" i="1" l="1"/>
  <c r="L15" i="1" s="1"/>
  <c r="I15" i="1"/>
  <c r="H15" i="1"/>
  <c r="G15" i="1"/>
  <c r="L8" i="1" l="1"/>
  <c r="I8" i="1"/>
  <c r="H8" i="1"/>
  <c r="G8" i="1"/>
  <c r="L2" i="1"/>
  <c r="L7" i="1"/>
  <c r="I7" i="1"/>
  <c r="H7" i="1"/>
  <c r="G7" i="1"/>
  <c r="K13" i="1"/>
  <c r="L13" i="1" s="1"/>
  <c r="I13" i="1"/>
  <c r="H13" i="1"/>
  <c r="G13" i="1"/>
  <c r="K11" i="1"/>
  <c r="L11" i="1" s="1"/>
  <c r="I11" i="1"/>
  <c r="H11" i="1"/>
  <c r="G11" i="1"/>
  <c r="I2" i="1"/>
  <c r="H2" i="1"/>
  <c r="G2" i="1"/>
  <c r="L9" i="1"/>
  <c r="I9" i="1"/>
  <c r="H9" i="1"/>
  <c r="G9" i="1"/>
  <c r="K6" i="1"/>
  <c r="L6" i="1" s="1"/>
  <c r="I6" i="1"/>
  <c r="H6" i="1"/>
  <c r="G6" i="1"/>
  <c r="K5" i="1"/>
  <c r="L5" i="1" s="1"/>
  <c r="I5" i="1"/>
  <c r="H5" i="1"/>
  <c r="G5" i="1"/>
</calcChain>
</file>

<file path=xl/sharedStrings.xml><?xml version="1.0" encoding="utf-8"?>
<sst xmlns="http://schemas.openxmlformats.org/spreadsheetml/2006/main" count="466" uniqueCount="424">
  <si>
    <t>大商股份</t>
    <phoneticPr fontId="2" type="noConversion"/>
  </si>
  <si>
    <t>零售</t>
    <phoneticPr fontId="2" type="noConversion"/>
  </si>
  <si>
    <t>大秦铁路</t>
    <phoneticPr fontId="2" type="noConversion"/>
  </si>
  <si>
    <t>公路铁路运输</t>
    <phoneticPr fontId="2" type="noConversion"/>
  </si>
  <si>
    <t>象屿股份</t>
    <phoneticPr fontId="2" type="noConversion"/>
  </si>
  <si>
    <t>物流</t>
    <phoneticPr fontId="2" type="noConversion"/>
  </si>
  <si>
    <t>大东方</t>
    <phoneticPr fontId="2" type="noConversion"/>
  </si>
  <si>
    <t>交运设备服务</t>
    <phoneticPr fontId="2" type="noConversion"/>
  </si>
  <si>
    <t>茂业商业</t>
    <phoneticPr fontId="2" type="noConversion"/>
  </si>
  <si>
    <t>超市以及百货零售批发</t>
    <phoneticPr fontId="2" type="noConversion"/>
  </si>
  <si>
    <t>华达科技</t>
    <phoneticPr fontId="2" type="noConversion"/>
  </si>
  <si>
    <t>汽车零部件</t>
    <phoneticPr fontId="2" type="noConversion"/>
  </si>
  <si>
    <t>煤炭开采</t>
    <phoneticPr fontId="2" type="noConversion"/>
  </si>
  <si>
    <t>阳泉煤业</t>
    <phoneticPr fontId="2" type="noConversion"/>
  </si>
  <si>
    <t>四川成渝</t>
    <phoneticPr fontId="2" type="noConversion"/>
  </si>
  <si>
    <t>公路铁路运输</t>
    <phoneticPr fontId="2" type="noConversion"/>
  </si>
  <si>
    <t>明泰铝业</t>
    <phoneticPr fontId="2" type="noConversion"/>
  </si>
  <si>
    <t>有色冶炼加工</t>
    <phoneticPr fontId="2" type="noConversion"/>
  </si>
  <si>
    <t>山东高速</t>
    <phoneticPr fontId="2" type="noConversion"/>
  </si>
  <si>
    <t>公路铁路运输</t>
    <phoneticPr fontId="2" type="noConversion"/>
  </si>
  <si>
    <t>宁沪高速</t>
    <phoneticPr fontId="2" type="noConversion"/>
  </si>
  <si>
    <t>名称</t>
    <phoneticPr fontId="2" type="noConversion"/>
  </si>
  <si>
    <t>季报</t>
    <phoneticPr fontId="2" type="noConversion"/>
  </si>
  <si>
    <t>增持百分比</t>
    <phoneticPr fontId="2" type="noConversion"/>
  </si>
  <si>
    <t>每股收益</t>
    <phoneticPr fontId="2" type="noConversion"/>
  </si>
  <si>
    <t>股本（亿）</t>
    <phoneticPr fontId="2" type="noConversion"/>
  </si>
  <si>
    <t>股价</t>
    <phoneticPr fontId="2" type="noConversion"/>
  </si>
  <si>
    <t>每股收益与市价比率</t>
    <phoneticPr fontId="2" type="noConversion"/>
  </si>
  <si>
    <t>总资产收益率</t>
    <phoneticPr fontId="2" type="noConversion"/>
  </si>
  <si>
    <t>股息率</t>
    <phoneticPr fontId="2" type="noConversion"/>
  </si>
  <si>
    <t>每股净资产</t>
    <phoneticPr fontId="2" type="noConversion"/>
  </si>
  <si>
    <t>安全边际价格</t>
    <phoneticPr fontId="2" type="noConversion"/>
  </si>
  <si>
    <t>安全边际程度</t>
    <phoneticPr fontId="2" type="noConversion"/>
  </si>
  <si>
    <t>营业收入</t>
    <phoneticPr fontId="2" type="noConversion"/>
  </si>
  <si>
    <t>营业收入增长</t>
    <phoneticPr fontId="2" type="noConversion"/>
  </si>
  <si>
    <t>营业利润</t>
    <phoneticPr fontId="2" type="noConversion"/>
  </si>
  <si>
    <t>营业利润增长</t>
    <phoneticPr fontId="2" type="noConversion"/>
  </si>
  <si>
    <t>行业</t>
    <phoneticPr fontId="2" type="noConversion"/>
  </si>
  <si>
    <t>公路铁路运输</t>
    <phoneticPr fontId="2" type="noConversion"/>
  </si>
  <si>
    <t>海澜之家</t>
    <phoneticPr fontId="2" type="noConversion"/>
  </si>
  <si>
    <t>服装家纺</t>
    <phoneticPr fontId="2" type="noConversion"/>
  </si>
  <si>
    <t>华光股份</t>
    <phoneticPr fontId="2" type="noConversion"/>
  </si>
  <si>
    <t>电气设备</t>
    <phoneticPr fontId="2" type="noConversion"/>
  </si>
  <si>
    <t>时代出版</t>
    <phoneticPr fontId="2" type="noConversion"/>
  </si>
  <si>
    <t>传媒</t>
    <phoneticPr fontId="2" type="noConversion"/>
  </si>
  <si>
    <t>上海能源</t>
    <phoneticPr fontId="2" type="noConversion"/>
  </si>
  <si>
    <t>煤炭开采</t>
    <phoneticPr fontId="2" type="noConversion"/>
  </si>
  <si>
    <t>新材料</t>
    <phoneticPr fontId="2" type="noConversion"/>
  </si>
  <si>
    <t>方大炭素（4.71）</t>
    <phoneticPr fontId="2" type="noConversion"/>
  </si>
  <si>
    <t>营业利润/营业收入</t>
    <phoneticPr fontId="2" type="noConversion"/>
  </si>
  <si>
    <t>鄂武商A</t>
    <phoneticPr fontId="2" type="noConversion"/>
  </si>
  <si>
    <t>零售</t>
    <phoneticPr fontId="2" type="noConversion"/>
  </si>
  <si>
    <t>天神娱乐</t>
    <phoneticPr fontId="2" type="noConversion"/>
  </si>
  <si>
    <t>传媒</t>
    <phoneticPr fontId="2" type="noConversion"/>
  </si>
  <si>
    <t>康欣新材</t>
    <phoneticPr fontId="2" type="noConversion"/>
  </si>
  <si>
    <t>包装印刷</t>
    <phoneticPr fontId="2" type="noConversion"/>
  </si>
  <si>
    <t>中牧股份</t>
    <phoneticPr fontId="2" type="noConversion"/>
  </si>
  <si>
    <t>农业服务</t>
    <phoneticPr fontId="2" type="noConversion"/>
  </si>
  <si>
    <t>尖峰集团</t>
    <phoneticPr fontId="2" type="noConversion"/>
  </si>
  <si>
    <t>建筑材料</t>
    <phoneticPr fontId="2" type="noConversion"/>
  </si>
  <si>
    <t>鸿达兴业</t>
    <phoneticPr fontId="2" type="noConversion"/>
  </si>
  <si>
    <t>基础化学</t>
    <phoneticPr fontId="2" type="noConversion"/>
  </si>
  <si>
    <t>拉芳家化</t>
    <phoneticPr fontId="2" type="noConversion"/>
  </si>
  <si>
    <t>化学制品</t>
    <phoneticPr fontId="2" type="noConversion"/>
  </si>
  <si>
    <t>周大生</t>
    <phoneticPr fontId="2" type="noConversion"/>
  </si>
  <si>
    <t>家用轻工</t>
    <phoneticPr fontId="2" type="noConversion"/>
  </si>
  <si>
    <t>韵达股份</t>
    <phoneticPr fontId="2" type="noConversion"/>
  </si>
  <si>
    <t>物流</t>
    <phoneticPr fontId="2" type="noConversion"/>
  </si>
  <si>
    <t>房地产开发</t>
    <phoneticPr fontId="2" type="noConversion"/>
  </si>
  <si>
    <t>华润三九</t>
    <phoneticPr fontId="2" type="noConversion"/>
  </si>
  <si>
    <t>中药</t>
    <phoneticPr fontId="2" type="noConversion"/>
  </si>
  <si>
    <t>美的集团</t>
    <phoneticPr fontId="2" type="noConversion"/>
  </si>
  <si>
    <t>白色家电</t>
    <phoneticPr fontId="2" type="noConversion"/>
  </si>
  <si>
    <t>东阿阿胶</t>
    <phoneticPr fontId="2" type="noConversion"/>
  </si>
  <si>
    <t>凌霄泵业</t>
    <phoneticPr fontId="2" type="noConversion"/>
  </si>
  <si>
    <t>通用设备</t>
    <phoneticPr fontId="2" type="noConversion"/>
  </si>
  <si>
    <t>光大嘉宝</t>
    <phoneticPr fontId="2" type="noConversion"/>
  </si>
  <si>
    <t>华懋科技</t>
  </si>
  <si>
    <t>汽车零部件</t>
    <phoneticPr fontId="2" type="noConversion"/>
  </si>
  <si>
    <t>股票名称</t>
    <phoneticPr fontId="2" type="noConversion"/>
  </si>
  <si>
    <t>6年平均每股收益</t>
    <phoneticPr fontId="2" type="noConversion"/>
  </si>
  <si>
    <t>收入来源分析</t>
    <phoneticPr fontId="2" type="noConversion"/>
  </si>
  <si>
    <t>企业管理层评判</t>
  </si>
  <si>
    <t>内在价值</t>
    <phoneticPr fontId="2" type="noConversion"/>
  </si>
  <si>
    <t>现金回购</t>
    <phoneticPr fontId="2" type="noConversion"/>
  </si>
  <si>
    <t>持续经营</t>
    <phoneticPr fontId="2" type="noConversion"/>
  </si>
  <si>
    <t>扩张策略</t>
    <phoneticPr fontId="2" type="noConversion"/>
  </si>
  <si>
    <t>福利待遇</t>
    <phoneticPr fontId="2" type="noConversion"/>
  </si>
  <si>
    <t xml:space="preserve">                                                                                                                                                                                                                                                                                                                                                                                                                                                                                                                                                                                                                                                                                                                                                                                                                                                                                                                                                                                                                                                                                                                                                                                                                                                                                                                                                                                                                                                                                                                                                                                                                                                                                                                                                                                                                                                                                                                                                   </t>
    <phoneticPr fontId="2" type="noConversion"/>
  </si>
  <si>
    <t>真实盈利</t>
    <phoneticPr fontId="2" type="noConversion"/>
  </si>
  <si>
    <t>非经常损益
1.固定资产处置
2.出售有价证券的投资损益
3.清偿资本性债务的折价或溢价
4.人寿保险的保单
5.退税以及其利息
6.诉讼损益
7.存货非经常性减值
8.应收账款减值
9.维持费经营性资产的成本</t>
    <phoneticPr fontId="2" type="noConversion"/>
  </si>
  <si>
    <t xml:space="preserve">   </t>
    <phoneticPr fontId="2" type="noConversion"/>
  </si>
  <si>
    <t>过往收益</t>
    <phoneticPr fontId="2" type="noConversion"/>
  </si>
  <si>
    <t>盈利趋势</t>
    <phoneticPr fontId="2" type="noConversion"/>
  </si>
  <si>
    <t>经营业绩影响因素分析</t>
    <phoneticPr fontId="2" type="noConversion"/>
  </si>
  <si>
    <t>股票估值</t>
    <phoneticPr fontId="2" type="noConversion"/>
  </si>
  <si>
    <t>郴电国际</t>
  </si>
  <si>
    <t>酸性测试(流动资产减存货)</t>
    <phoneticPr fontId="2" type="noConversion"/>
  </si>
  <si>
    <t>营运资金比率(流动资产：流动负债)(2:1)</t>
    <phoneticPr fontId="2" type="noConversion"/>
  </si>
  <si>
    <t>检查报告期每股收益</t>
    <phoneticPr fontId="2" type="noConversion"/>
  </si>
  <si>
    <t>确定亏损对财务状况影响</t>
    <phoneticPr fontId="2" type="noConversion"/>
  </si>
  <si>
    <t>安全性，不是由特定的抵押权或其他合同权利来衡量，而是取决于债券发行人履行义务的能力</t>
    <phoneticPr fontId="2" type="noConversion"/>
  </si>
  <si>
    <t>应重点考察经济萧条时期的履约能力，而不是繁荣时期</t>
    <phoneticPr fontId="2" type="noConversion"/>
  </si>
  <si>
    <t>遵循筛除原则</t>
    <phoneticPr fontId="2" type="noConversion"/>
  </si>
  <si>
    <t>异常高的票面利率并不能弥补安全性不足</t>
    <phoneticPr fontId="2" type="noConversion"/>
  </si>
  <si>
    <t xml:space="preserve">                                      </t>
    <phoneticPr fontId="2" type="noConversion"/>
  </si>
  <si>
    <t>1.有无抵押权无关紧要</t>
    <phoneticPr fontId="2" type="noConversion"/>
  </si>
  <si>
    <t>2.购买稳健公司最高收益债券</t>
    <phoneticPr fontId="2" type="noConversion"/>
  </si>
  <si>
    <t xml:space="preserve">  </t>
    <phoneticPr fontId="2" type="noConversion"/>
  </si>
  <si>
    <t>3.除非次级抵押权债权有显著优势，否则应该选择优先级抵押权债券</t>
    <phoneticPr fontId="2" type="noConversion"/>
  </si>
  <si>
    <t>1.资本结构合理的公共事业债券</t>
    <phoneticPr fontId="2" type="noConversion"/>
  </si>
  <si>
    <t>2.足够安全边际的铁路债券</t>
    <phoneticPr fontId="2" type="noConversion"/>
  </si>
  <si>
    <t>3.规模主导并且盈利在利息之外有很高的安全边际的工业债券</t>
    <phoneticPr fontId="2" type="noConversion"/>
  </si>
  <si>
    <t>能够承担一定风险的购买者应该寻求一种与风险相称的价格提升机会</t>
    <phoneticPr fontId="2" type="noConversion"/>
  </si>
  <si>
    <t>投资性标准
1 经营状况变化巨大，收益一直较为稳定
2 平均收益与市价的比率符合要求
3 财务安排足够审慎，营运资金充足</t>
    <phoneticPr fontId="2" type="noConversion"/>
  </si>
  <si>
    <t>资本结构和收入来源对估值的意义
1 最优资本结构
2 投资性资本结构中的杠杆因素
3 投资性资本结构可能会导致低估
4 低价股与投资资本结构结合
5 市盈率高于20倍股票不属于投资级别
6 不同的收入来源给与不同的盈利倍数</t>
    <phoneticPr fontId="2" type="noConversion"/>
  </si>
  <si>
    <t>资产负债表影响收益的异常因素</t>
    <phoneticPr fontId="2" type="noConversion"/>
  </si>
  <si>
    <t>公共事业</t>
    <phoneticPr fontId="2" type="noConversion"/>
  </si>
  <si>
    <t>铁路</t>
    <phoneticPr fontId="2" type="noConversion"/>
  </si>
  <si>
    <t>工业</t>
    <phoneticPr fontId="2" type="noConversion"/>
  </si>
  <si>
    <t>性质和位置</t>
    <phoneticPr fontId="2" type="noConversion"/>
  </si>
  <si>
    <t>规模</t>
    <phoneticPr fontId="2" type="noConversion"/>
  </si>
  <si>
    <t>利息和股息支付</t>
    <phoneticPr fontId="2" type="noConversion"/>
  </si>
  <si>
    <t>盈利和利息要求</t>
    <phoneticPr fontId="2" type="noConversion"/>
  </si>
  <si>
    <t>6年平均保障倍数</t>
    <phoneticPr fontId="2" type="noConversion"/>
  </si>
  <si>
    <t>趋势</t>
    <phoneticPr fontId="2" type="noConversion"/>
  </si>
  <si>
    <t>当前表现</t>
    <phoneticPr fontId="2" type="noConversion"/>
  </si>
  <si>
    <t>票面利率</t>
    <phoneticPr fontId="2" type="noConversion"/>
  </si>
  <si>
    <t>设备债券</t>
    <phoneticPr fontId="2" type="noConversion"/>
  </si>
  <si>
    <t>抵押-信托债券</t>
    <phoneticPr fontId="2" type="noConversion"/>
  </si>
  <si>
    <t>房地产债券</t>
    <phoneticPr fontId="2" type="noConversion"/>
  </si>
  <si>
    <t>特殊债券</t>
    <phoneticPr fontId="2" type="noConversion"/>
  </si>
  <si>
    <t>债券发行所对应的实际价值保障的重要性</t>
    <phoneticPr fontId="2" type="noConversion"/>
  </si>
  <si>
    <t>持续经营价值和盈利能力</t>
    <phoneticPr fontId="2" type="noConversion"/>
  </si>
  <si>
    <t>以股票市值衡量股东权益-补充测试</t>
    <phoneticPr fontId="2" type="noConversion"/>
  </si>
  <si>
    <t>股东权益测试的最低标准</t>
    <phoneticPr fontId="2" type="noConversion"/>
  </si>
  <si>
    <t>股票市值和债券债务的关系</t>
    <phoneticPr fontId="2" type="noConversion"/>
  </si>
  <si>
    <t>公司类型</t>
    <phoneticPr fontId="2" type="noConversion"/>
  </si>
  <si>
    <t>固定费用最低保障倍数（平均利息保障倍数)</t>
    <phoneticPr fontId="2" type="noConversion"/>
  </si>
  <si>
    <t>股票价值与债券债务最小比率(股票-价值比率)</t>
    <phoneticPr fontId="2" type="noConversion"/>
  </si>
  <si>
    <t>公用事业公司</t>
    <phoneticPr fontId="2" type="noConversion"/>
  </si>
  <si>
    <t>铁路</t>
    <phoneticPr fontId="2" type="noConversion"/>
  </si>
  <si>
    <t>工业</t>
    <phoneticPr fontId="2" type="noConversion"/>
  </si>
  <si>
    <t>1股票/1债券</t>
    <phoneticPr fontId="2" type="noConversion"/>
  </si>
  <si>
    <t>1股票/2债券</t>
    <phoneticPr fontId="2" type="noConversion"/>
  </si>
  <si>
    <t>1股票/1.5债券</t>
    <phoneticPr fontId="2" type="noConversion"/>
  </si>
  <si>
    <t>范例</t>
    <phoneticPr fontId="2" type="noConversion"/>
  </si>
  <si>
    <t>项目</t>
    <phoneticPr fontId="2" type="noConversion"/>
  </si>
  <si>
    <t>北美公司</t>
    <phoneticPr fontId="2" type="noConversion"/>
  </si>
  <si>
    <t>截止</t>
    <phoneticPr fontId="2" type="noConversion"/>
  </si>
  <si>
    <t>息前利润</t>
    <phoneticPr fontId="2" type="noConversion"/>
  </si>
  <si>
    <t>利息费用</t>
    <phoneticPr fontId="2" type="noConversion"/>
  </si>
  <si>
    <t>盈利倍数</t>
    <phoneticPr fontId="2" type="noConversion"/>
  </si>
  <si>
    <t>可用于支付股息的收益</t>
    <phoneticPr fontId="2" type="noConversion"/>
  </si>
  <si>
    <t>优先股股息</t>
    <phoneticPr fontId="2" type="noConversion"/>
  </si>
  <si>
    <t>归属于普通股股东的净利润</t>
    <phoneticPr fontId="2" type="noConversion"/>
  </si>
  <si>
    <t>每股收益</t>
    <phoneticPr fontId="2" type="noConversion"/>
  </si>
  <si>
    <t>1934-1938年每股平均收益</t>
    <phoneticPr fontId="2" type="noConversion"/>
  </si>
  <si>
    <t>债券债务</t>
    <phoneticPr fontId="2" type="noConversion"/>
  </si>
  <si>
    <t>优先股市场价值</t>
    <phoneticPr fontId="2" type="noConversion"/>
  </si>
  <si>
    <t>普通股市场价值</t>
    <phoneticPr fontId="2" type="noConversion"/>
  </si>
  <si>
    <t>股票总市值</t>
    <phoneticPr fontId="2" type="noConversion"/>
  </si>
  <si>
    <t>股票与债券比率</t>
    <phoneticPr fontId="2" type="noConversion"/>
  </si>
  <si>
    <t>1.67倍</t>
    <phoneticPr fontId="2" type="noConversion"/>
  </si>
  <si>
    <t>606000股，56/股 -34000000</t>
    <phoneticPr fontId="2" type="noConversion"/>
  </si>
  <si>
    <t>8571000股,23/股 -187000000</t>
    <phoneticPr fontId="2" type="noConversion"/>
  </si>
  <si>
    <t>0.51/1</t>
    <phoneticPr fontId="2" type="noConversion"/>
  </si>
  <si>
    <t>收益债券等同于股权</t>
    <phoneticPr fontId="2" type="noConversion"/>
  </si>
  <si>
    <t>股票价值比率异常</t>
    <phoneticPr fontId="2" type="noConversion"/>
  </si>
  <si>
    <t>不为反映动态市场环境而调整股票价值检测标准</t>
    <phoneticPr fontId="2" type="noConversion"/>
  </si>
  <si>
    <t>固定价值投资最低定量指标建议表</t>
    <phoneticPr fontId="2" type="noConversion"/>
  </si>
  <si>
    <t>1.债务人规模</t>
    <phoneticPr fontId="2" type="noConversion"/>
  </si>
  <si>
    <t>市：人口</t>
    <phoneticPr fontId="2" type="noConversion"/>
  </si>
  <si>
    <t>公用事业公司：总收入</t>
    <phoneticPr fontId="2" type="noConversion"/>
  </si>
  <si>
    <t>铁路公司：总收入</t>
    <phoneticPr fontId="2" type="noConversion"/>
  </si>
  <si>
    <t>工业公司：总收入</t>
    <phoneticPr fontId="2" type="noConversion"/>
  </si>
  <si>
    <t>2.利息保障倍数</t>
    <phoneticPr fontId="2" type="noConversion"/>
  </si>
  <si>
    <t>铁路公司债券:(7年平均值)</t>
    <phoneticPr fontId="2" type="noConversion"/>
  </si>
  <si>
    <t>公用事业债券:(7年平均值）</t>
    <phoneticPr fontId="2" type="noConversion"/>
  </si>
  <si>
    <t>工业公司债券:(7年平均值)</t>
    <phoneticPr fontId="2" type="noConversion"/>
  </si>
  <si>
    <t>房地产公司债券:(可靠估计)</t>
    <phoneticPr fontId="2" type="noConversion"/>
  </si>
  <si>
    <t>3.资产价值</t>
    <phoneticPr fontId="2" type="noConversion"/>
  </si>
  <si>
    <t>投资信托债券:</t>
    <phoneticPr fontId="2" type="noConversion"/>
  </si>
  <si>
    <t>类似的比率，采用资产的市场价值</t>
    <phoneticPr fontId="2" type="noConversion"/>
  </si>
  <si>
    <t>4.股票的市场价值</t>
    <phoneticPr fontId="2" type="noConversion"/>
  </si>
  <si>
    <t>债券债务的50%</t>
    <phoneticPr fontId="2" type="noConversion"/>
  </si>
  <si>
    <t>铁路公司</t>
    <phoneticPr fontId="2" type="noConversion"/>
  </si>
  <si>
    <t>债券债务的66.67%</t>
    <phoneticPr fontId="2" type="noConversion"/>
  </si>
  <si>
    <t>工业公司</t>
    <phoneticPr fontId="2" type="noConversion"/>
  </si>
  <si>
    <t>债券债务的100%</t>
    <phoneticPr fontId="2" type="noConversion"/>
  </si>
  <si>
    <t>房地产公司债券:</t>
    <phoneticPr fontId="2" type="noConversion"/>
  </si>
  <si>
    <t>资产的公允价值(基于无泡沫时期市场的实际售价)必须比债券发行总额高出50%</t>
  </si>
  <si>
    <t>子公司及关联公司经营
1.无法反映重要子公司的损益
2.利润包括从子公司获得股息，这些股息不是远远高于就是低于子公司的当期损益</t>
    <phoneticPr fontId="2" type="noConversion"/>
  </si>
  <si>
    <t>资产负债表分析目标</t>
    <phoneticPr fontId="2" type="noConversion"/>
  </si>
  <si>
    <t>现金资产
现金资产减去所有负债和优先级高于该证券的权益</t>
    <phoneticPr fontId="2" type="noConversion"/>
  </si>
  <si>
    <t>选股逻辑</t>
    <phoneticPr fontId="2" type="noConversion"/>
  </si>
  <si>
    <t>每股收益率&gt;7%</t>
  </si>
  <si>
    <t>每股收益率&gt;7%</t>
    <phoneticPr fontId="2" type="noConversion"/>
  </si>
  <si>
    <t>低价优质股</t>
  </si>
  <si>
    <t>1资本投入</t>
    <phoneticPr fontId="2" type="noConversion"/>
  </si>
  <si>
    <t>流动资产
流动资产减所有负债和优先级高于该证券的权益</t>
    <phoneticPr fontId="2" type="noConversion"/>
  </si>
  <si>
    <t xml:space="preserve">账面价值
有形资产价值，扣除商誉、商标、专利、特许经营、租赁、无形资产
</t>
    <phoneticPr fontId="2" type="noConversion"/>
  </si>
  <si>
    <t>意义：一作为投资对象，发生有利转变的可能性（1盈利提高a行业好转b新产品新技术放弃不盈利2企业被出售或合并3部分或完全清盘4过去分红和平均盈利能力很高）</t>
    <phoneticPr fontId="2" type="noConversion"/>
  </si>
  <si>
    <r>
      <rPr>
        <b/>
        <sz val="11"/>
        <color rgb="FFFF0000"/>
        <rFont val="宋体"/>
        <family val="3"/>
        <charset val="134"/>
        <scheme val="minor"/>
      </rPr>
      <t>1资本投入
2营运资金</t>
    </r>
    <r>
      <rPr>
        <b/>
        <sz val="11"/>
        <color theme="1"/>
        <rFont val="宋体"/>
        <family val="3"/>
        <charset val="134"/>
        <scheme val="minor"/>
      </rPr>
      <t xml:space="preserve">
3资本构成
</t>
    </r>
    <r>
      <rPr>
        <b/>
        <sz val="11"/>
        <color rgb="FFFF0000"/>
        <rFont val="宋体"/>
        <family val="3"/>
        <charset val="134"/>
        <scheme val="minor"/>
      </rPr>
      <t>4收益检测</t>
    </r>
    <r>
      <rPr>
        <b/>
        <sz val="11"/>
        <color theme="1"/>
        <rFont val="宋体"/>
        <family val="3"/>
        <charset val="134"/>
        <scheme val="minor"/>
      </rPr>
      <t xml:space="preserve">
5收入来源分析</t>
    </r>
    <phoneticPr fontId="2" type="noConversion"/>
  </si>
  <si>
    <t>意义：矫正股票市值的管理层政策
1发布通告2分红3返还资本
股东利益和管理层在上述情况下存在利益冲突，
股东应该认真参与，管理层的职责是认清现实尽其所能使股东投资不受损失，选股的艺术在于管理优良的企业。</t>
    <phoneticPr fontId="2" type="noConversion"/>
  </si>
  <si>
    <t>意义：1市场误判（作为烟蒂投资）2管理政策存在问题3股东对自己资产态度有问题</t>
    <phoneticPr fontId="2" type="noConversion"/>
  </si>
  <si>
    <t>中科新材</t>
    <phoneticPr fontId="2" type="noConversion"/>
  </si>
  <si>
    <t>巨星科技</t>
    <phoneticPr fontId="2" type="noConversion"/>
  </si>
  <si>
    <t>粤传媒</t>
    <phoneticPr fontId="2" type="noConversion"/>
  </si>
  <si>
    <t>2营运资金与债务结构</t>
    <phoneticPr fontId="2" type="noConversion"/>
  </si>
  <si>
    <t>4比较一个时期资产负债表</t>
    <phoneticPr fontId="2" type="noConversion"/>
  </si>
  <si>
    <t>a即将到期债务与分期偿还
b大量银行借款
c企业之间的债务
d即将到期的债务
e分期偿还银行贷款</t>
    <phoneticPr fontId="2" type="noConversion"/>
  </si>
  <si>
    <t>意义：检测企业财务缺陷，
可能存在的影响未来投资收益的因素</t>
    <phoneticPr fontId="2" type="noConversion"/>
  </si>
  <si>
    <t>st华信</t>
    <phoneticPr fontId="2" type="noConversion"/>
  </si>
  <si>
    <t>追踪较长一段时间内
公司拥有资源与其盈利能力关系</t>
    <phoneticPr fontId="2" type="noConversion"/>
  </si>
  <si>
    <t>b</t>
    <phoneticPr fontId="2" type="noConversion"/>
  </si>
  <si>
    <t>普通股分析\中科新材.xlsx</t>
    <phoneticPr fontId="2" type="noConversion"/>
  </si>
  <si>
    <t>宁波精达</t>
    <phoneticPr fontId="2" type="noConversion"/>
  </si>
  <si>
    <t>原则一
这家公司的产品或服务有没有充分的市场潜力，
至少几年内营业额能否大幅成长</t>
    <phoneticPr fontId="2" type="noConversion"/>
  </si>
  <si>
    <t>股票</t>
    <phoneticPr fontId="2" type="noConversion"/>
  </si>
  <si>
    <t>美国铝业/杜邦</t>
    <phoneticPr fontId="2" type="noConversion"/>
  </si>
  <si>
    <t>中科创达</t>
    <phoneticPr fontId="2" type="noConversion"/>
  </si>
  <si>
    <t>股利支付率
（净收益中股利所占的比率)</t>
    <phoneticPr fontId="2" type="noConversion"/>
  </si>
  <si>
    <t>分红率
（在一个考察期（通常为12个月的时间）内，股票的每股分红除以分红实施日每股价格的百分比）</t>
    <phoneticPr fontId="2" type="noConversion"/>
  </si>
  <si>
    <t>b</t>
    <phoneticPr fontId="2" type="noConversion"/>
  </si>
  <si>
    <t>1管理层的远大理想睿智的眼光
2优异的商业和财务判断力
3创新能力
4持续能干是保证营业额持续增长的品质</t>
    <phoneticPr fontId="2" type="noConversion"/>
  </si>
  <si>
    <t>技术和研究在很大程度
投入到当前业务范畴的一些产品中，收获通常会最大</t>
    <phoneticPr fontId="2" type="noConversion"/>
  </si>
  <si>
    <t>原则3
考虑到公司规模，这家公司在研究发展方面做出的努力取得了多大的效果</t>
    <phoneticPr fontId="2" type="noConversion"/>
  </si>
  <si>
    <t xml:space="preserve">一粗略指标
1研发费用在总销售额占比
2业界平均
3研究经费
4工科人数
二那些被视为研发，那些不应视为研发
三研发投入产出比因素
1协调研究人员之间
2协调研究人员和销售人员
3了解商业研究
四国防合同
五商业调查 
</t>
    <phoneticPr fontId="2" type="noConversion"/>
  </si>
  <si>
    <t>研发费用在总销售额占比</t>
    <phoneticPr fontId="2" type="noConversion"/>
  </si>
  <si>
    <t>业界平均</t>
    <phoneticPr fontId="2" type="noConversion"/>
  </si>
  <si>
    <t>研究经费</t>
    <phoneticPr fontId="2" type="noConversion"/>
  </si>
  <si>
    <t>工科人数</t>
    <phoneticPr fontId="2" type="noConversion"/>
  </si>
  <si>
    <t>一段时间研究成果对销售额贡献</t>
    <phoneticPr fontId="2" type="noConversion"/>
  </si>
  <si>
    <t>原则4
这家公司有没有高于行业平均水平的销售团队</t>
    <phoneticPr fontId="2" type="noConversion"/>
  </si>
  <si>
    <t>1大部分投资者对公司的销售、广告以及分销渠道组织的相对效率重视程度不够
2销售和分销效率很难量化
3企业成功的三大支柱产品与服务、销售、研究</t>
    <phoneticPr fontId="2" type="noConversion"/>
  </si>
  <si>
    <t>原则5
这家公司有没有足够高的利润率</t>
    <phoneticPr fontId="2" type="noConversion"/>
  </si>
  <si>
    <t>陶氏化学</t>
    <phoneticPr fontId="2" type="noConversion"/>
  </si>
  <si>
    <t>1着眼与连续利润率
2投资利润率低的公司的理由是正出现改善，不是暂时扩张带来的
3利润下降的原因进一步研究或促销是也可以是好的投资对象</t>
    <phoneticPr fontId="2" type="noConversion"/>
  </si>
  <si>
    <t>原则6
这家公司做了哪些举措以维持或提高利润率</t>
    <phoneticPr fontId="2" type="noConversion"/>
  </si>
  <si>
    <t>1通过涨价来提高或维持利润率只是暂时的
2依靠产品更新、高效资本利用、改善作业程序和方法能够保持持久</t>
    <phoneticPr fontId="2" type="noConversion"/>
  </si>
  <si>
    <t>原则7
这家公司是否具备良好的劳动人事关系</t>
    <phoneticPr fontId="2" type="noConversion"/>
  </si>
  <si>
    <t>员工对雇主感觉的资料
1员工流动率
2应聘人数</t>
    <phoneticPr fontId="2" type="noConversion"/>
  </si>
  <si>
    <t xml:space="preserve">1如何判断没有简单答案，能做的就是观察多种因素，拼凑起来形成画面
2没有工会可能人事关系要好
3管理层对抱怨的重视程度和公司水平
4管理层对员工的态度
</t>
    <phoneticPr fontId="2" type="noConversion"/>
  </si>
  <si>
    <t>原则8
这家公司的高级管理者之间的关系</t>
    <phoneticPr fontId="2" type="noConversion"/>
  </si>
  <si>
    <t>1公司的晋升靠的是能力，管理职位只有无法找到合适人选才外部招聘</t>
    <phoneticPr fontId="2" type="noConversion"/>
  </si>
  <si>
    <t>原则9
公司管理是否很有层次</t>
    <phoneticPr fontId="2" type="noConversion"/>
  </si>
  <si>
    <t>1公司持续成长会出现瓶颈除非培养出高级管理人才
2高级管理者事必躬亲会碰到问题太多和有能力的人得不到锻炼的问题合适的管理梯队层次是投资的关键
3管理者乐于倾听、考虑、接受员工的意见</t>
    <phoneticPr fontId="2" type="noConversion"/>
  </si>
  <si>
    <t>中科创达</t>
    <phoneticPr fontId="2" type="noConversion"/>
  </si>
  <si>
    <t>智能终端、汽车、硬件</t>
    <phoneticPr fontId="2" type="noConversion"/>
  </si>
  <si>
    <t>是</t>
    <phoneticPr fontId="2" type="noConversion"/>
  </si>
  <si>
    <t>培训</t>
    <phoneticPr fontId="2" type="noConversion"/>
  </si>
  <si>
    <t>高管离职1人</t>
    <phoneticPr fontId="2" type="noConversion"/>
  </si>
  <si>
    <t>原则二
当公司现有的最佳产品的增长潜力已经被挖掘的差不多时，管理层是不是有决心开发新产品或新工艺，以便进一步提高总的销售额，制造新的利润增长</t>
    <phoneticPr fontId="2" type="noConversion"/>
  </si>
  <si>
    <t>宁波精打</t>
    <phoneticPr fontId="2" type="noConversion"/>
  </si>
  <si>
    <t>换热装备：翅片高速精密压力机/胀管机弯管机/定转子高速精密压力机/微通道换热器
其他
换热器市场：空气能热泵/地源热泵/中央新风系统/蒸发器/冷凝器</t>
    <phoneticPr fontId="2" type="noConversion"/>
  </si>
  <si>
    <t xml:space="preserve">塑性成型：冲压成型/精密锻造（冷温锻)
粉末冶金成型:(东睦股份)
成型市场：车用复合材料成型压力机（碳纤维)/汽车粉末冶金制品/MES-PLM-ERP产品流程管控
</t>
    <phoneticPr fontId="2" type="noConversion"/>
  </si>
  <si>
    <t>1招标
2下游客户直接联系
3设立销售服务点
4展会</t>
    <phoneticPr fontId="2" type="noConversion"/>
  </si>
  <si>
    <t>高管离职2人</t>
    <phoneticPr fontId="2" type="noConversion"/>
  </si>
  <si>
    <t>营销费用率：市场营销费用占销售额的比例
（营销费用率反映了取得一定的销售收入所需付出的营销成本，其高低可作为反映企业营销效率的重要指标）</t>
    <phoneticPr fontId="2" type="noConversion"/>
  </si>
  <si>
    <t>存货周转率</t>
    <phoneticPr fontId="2" type="noConversion"/>
  </si>
  <si>
    <t>原则10
这家公司的成本分析和会计记录做的如何</t>
    <phoneticPr fontId="2" type="noConversion"/>
  </si>
  <si>
    <t>1准确详尽的列出运营中每个细节的成本状况
2一般认为营运能力大多方面高于行业平均，那么它在财务控制成本分析表现也高于平均</t>
    <phoneticPr fontId="2" type="noConversion"/>
  </si>
  <si>
    <t>1闲聊了解全局，发现问题深入研究
用数学比率加以验证，如单位销售额的相对承租成本
2总保险成本在总销售额中占有的比例，专利权，专利权保护是个重要因素，但不应过分看重</t>
    <phoneticPr fontId="2" type="noConversion"/>
  </si>
  <si>
    <t>原则12
这家公司对利润有没有长期的展望</t>
    <phoneticPr fontId="2" type="noConversion"/>
  </si>
  <si>
    <t>观察对待客户和供应商的态度可以发现差别，应该选择眼光长远的公司</t>
    <phoneticPr fontId="2" type="noConversion"/>
  </si>
  <si>
    <t>原则13
在可预见的将来，这家公司是否会通过大量发行股票来获取足够的资金以利于公司的发展，现有持股人的利益是否因预期中的股份数量增加而蒙受大幅损失</t>
    <phoneticPr fontId="2" type="noConversion"/>
  </si>
  <si>
    <t>1最要紧得是这家公司的现金加上其继续借款的能力，是不是满足未来几年的资本需求，从而实现最好发展
1.1 发行新股后，普通股持有者每股税后利润增加的幅度比较小，可以得出一个结论，公司管理层在财务判断方面做得很差
2相对于其他原则是次要原则</t>
    <phoneticPr fontId="2" type="noConversion"/>
  </si>
  <si>
    <t>原则14
管理层是不是想投资者报喜不报忧，业务顺利时口若悬河，出现问题或发生令人失望的时期三缄其口</t>
    <phoneticPr fontId="2" type="noConversion"/>
  </si>
  <si>
    <t>1即使经营最好的公司，也会碰到始料未及的困难
2管理层面对事情的态度，是考察公司的宝贵线索，（提不出解决办法，产生恐慌，不觉得自己需要对持股者负责人）</t>
    <phoneticPr fontId="2" type="noConversion"/>
  </si>
  <si>
    <t xml:space="preserve">原则15
这家公司管理层是否具备毋庸置疑的诚信、正直态度
</t>
    <phoneticPr fontId="2" type="noConversion"/>
  </si>
  <si>
    <t>如果公司有诸多滥用职权的做法（高工资，关联交易（高于市场价格），供货中间商，滥用普通股期权），只有一种方法保护自己，只投资管理层对股东怀有强烈责任心和道德感的公司</t>
    <phoneticPr fontId="2" type="noConversion"/>
  </si>
  <si>
    <t xml:space="preserve">原则11
公司相对于行业内的其他公司而言，在业务的其他方面是否具备竞争力，以便让投资者找出了解该公司相对于竞争者具备何种显著优势的线索
</t>
    <phoneticPr fontId="2" type="noConversion"/>
  </si>
  <si>
    <t>孚日股份</t>
    <phoneticPr fontId="2" type="noConversion"/>
  </si>
  <si>
    <t>烽火通信</t>
    <phoneticPr fontId="2" type="noConversion"/>
  </si>
  <si>
    <t>永安药业</t>
    <phoneticPr fontId="2" type="noConversion"/>
  </si>
  <si>
    <r>
      <t xml:space="preserve">牛磺酸：医药/食品添加剂/饮料/营养品 </t>
    </r>
    <r>
      <rPr>
        <sz val="11"/>
        <color rgb="FFFF0000"/>
        <rFont val="宋体"/>
        <family val="3"/>
        <charset val="134"/>
        <scheme val="minor"/>
      </rPr>
      <t>3w吨牛磺酸食品添加剂达到生产经营条件（国内市场60%）</t>
    </r>
    <r>
      <rPr>
        <sz val="11"/>
        <color theme="1"/>
        <rFont val="宋体"/>
        <family val="2"/>
        <scheme val="minor"/>
      </rPr>
      <t xml:space="preserve">
环氧乙炔：牛磺酸的主要原材料，但不仅如此
保健品：OEM/ODM 新增代工和贴牌
</t>
    </r>
    <phoneticPr fontId="2" type="noConversion"/>
  </si>
  <si>
    <t>意义</t>
    <phoneticPr fontId="2" type="noConversion"/>
  </si>
  <si>
    <t>研发项目7项，
获得技术成果5项，
获得1项发明专利</t>
    <phoneticPr fontId="2" type="noConversion"/>
  </si>
  <si>
    <t>利润率（每1元销售收入含有的利润)</t>
    <phoneticPr fontId="2" type="noConversion"/>
  </si>
  <si>
    <t>宁波精达</t>
    <phoneticPr fontId="2" type="noConversion"/>
  </si>
  <si>
    <t>盈利误导手段
1 虚增商誉无形资产
2 租赁物增值
3 按市场价值计算股票股息导致虚增</t>
    <phoneticPr fontId="2" type="noConversion"/>
  </si>
  <si>
    <r>
      <t xml:space="preserve">1市场竞争
</t>
    </r>
    <r>
      <rPr>
        <sz val="11"/>
        <color rgb="FFFF0000"/>
        <rFont val="宋体"/>
        <family val="3"/>
        <charset val="134"/>
        <scheme val="minor"/>
      </rPr>
      <t xml:space="preserve">2毛利率下降
</t>
    </r>
    <r>
      <rPr>
        <sz val="11"/>
        <color theme="1"/>
        <rFont val="宋体"/>
        <family val="3"/>
        <charset val="134"/>
        <scheme val="minor"/>
      </rPr>
      <t xml:space="preserve">3市场开拓
4高素质技术工人流动
5合同履约
6应收账款
7汇率风险
</t>
    </r>
    <r>
      <rPr>
        <sz val="11"/>
        <color rgb="FFFF0000"/>
        <rFont val="宋体"/>
        <family val="3"/>
        <charset val="134"/>
        <scheme val="minor"/>
      </rPr>
      <t>8存货风险</t>
    </r>
    <phoneticPr fontId="2" type="noConversion"/>
  </si>
  <si>
    <t xml:space="preserve">41（6家行业平均）
</t>
    <phoneticPr fontId="2" type="noConversion"/>
  </si>
  <si>
    <t>资产负债比率</t>
    <phoneticPr fontId="2" type="noConversion"/>
  </si>
  <si>
    <t>收入来源</t>
    <phoneticPr fontId="2" type="noConversion"/>
  </si>
  <si>
    <t>永安药业</t>
    <phoneticPr fontId="2" type="noConversion"/>
  </si>
  <si>
    <t>无</t>
    <phoneticPr fontId="2" type="noConversion"/>
  </si>
  <si>
    <t>无</t>
    <phoneticPr fontId="2" type="noConversion"/>
  </si>
  <si>
    <t>3w吨新项目制造智能化
ARP代替ERP</t>
    <phoneticPr fontId="2" type="noConversion"/>
  </si>
  <si>
    <t>市场规模、品牌</t>
    <phoneticPr fontId="2" type="noConversion"/>
  </si>
  <si>
    <t>是</t>
    <phoneticPr fontId="2" type="noConversion"/>
  </si>
  <si>
    <t>华懋科技</t>
    <phoneticPr fontId="2" type="noConversion"/>
  </si>
  <si>
    <t>准备金
折旧和摊销</t>
    <phoneticPr fontId="2" type="noConversion"/>
  </si>
  <si>
    <t>规模经济</t>
    <phoneticPr fontId="2" type="noConversion"/>
  </si>
  <si>
    <t>成本优势</t>
    <phoneticPr fontId="2" type="noConversion"/>
  </si>
  <si>
    <t>品牌</t>
    <phoneticPr fontId="2" type="noConversion"/>
  </si>
  <si>
    <t>跨学科的技术壁垒
剔除老牌公司的技术，经济竞争优势</t>
    <phoneticPr fontId="2" type="noConversion"/>
  </si>
  <si>
    <t>技术开发</t>
    <phoneticPr fontId="2" type="noConversion"/>
  </si>
  <si>
    <t>营销或销售优势</t>
    <phoneticPr fontId="2" type="noConversion"/>
  </si>
  <si>
    <t>产品质量和可靠性建立起声誉，并且
1客户认为产品对他们非常重要
2质量不佳功能不全会带来严重问题
3竞争对手只能供应一小部分市场需求
4客户运营成本中，该产品只占一小部分</t>
    <phoneticPr fontId="2" type="noConversion"/>
  </si>
  <si>
    <t>卖给很多小客户，
而不是只卖给大客户</t>
    <phoneticPr fontId="2" type="noConversion"/>
  </si>
  <si>
    <t>高于平均2%-3%的利润率就是很好的投资对象</t>
    <phoneticPr fontId="2" type="noConversion"/>
  </si>
  <si>
    <t>第三要素企业投资特征</t>
    <phoneticPr fontId="2" type="noConversion"/>
  </si>
  <si>
    <t>任何一支普通股价格相对于整体股市出现大幅波动，
都是因为金融界人士对这只股票的评价发生了变化</t>
    <phoneticPr fontId="2" type="noConversion"/>
  </si>
  <si>
    <t>第四个要素：保守投资价格</t>
    <phoneticPr fontId="2" type="noConversion"/>
  </si>
  <si>
    <t>评价组成</t>
    <phoneticPr fontId="2" type="noConversion"/>
  </si>
  <si>
    <t>投资原则</t>
    <phoneticPr fontId="2" type="noConversion"/>
  </si>
  <si>
    <t>未来利润增长可能性越高，
投资者愿意承受的市盈率也就越高</t>
    <phoneticPr fontId="2" type="noConversion"/>
  </si>
  <si>
    <t>一只股票价格是便宜，
还是偏高，唯一的检验标准不是
当前的价格比之前的高还是低，
而是这家公司的基本面高于还是
低于当前金融界的评价</t>
    <phoneticPr fontId="2" type="noConversion"/>
  </si>
  <si>
    <t>对公司的评价</t>
    <phoneticPr fontId="2" type="noConversion"/>
  </si>
  <si>
    <t>对整体投资吸引力，
利率是最重要的因素</t>
    <phoneticPr fontId="2" type="noConversion"/>
  </si>
  <si>
    <t>风险分析</t>
    <phoneticPr fontId="2" type="noConversion"/>
  </si>
  <si>
    <t>风险最低，符合投资三要素但目前
在金融界的评价并不非常高。
第二低，三要素符合程度高，评价以及市盈率与基本面相符
第三低，三要素非常符合，在金融界人尽皆知，评价高于基本面
风险最高的公司，金融界对这类公司的评价，远高于当前所能支撑的程度</t>
    <phoneticPr fontId="2" type="noConversion"/>
  </si>
  <si>
    <t>低成本的生产</t>
    <phoneticPr fontId="2" type="noConversion"/>
  </si>
  <si>
    <t>第一要素 生产、市场营销研发以及财务方面的优势</t>
    <phoneticPr fontId="2" type="noConversion"/>
  </si>
  <si>
    <t>经济景气时，
高成本公司利润增长具有相对优势</t>
    <phoneticPr fontId="2" type="noConversion"/>
  </si>
  <si>
    <t>强有力的营销组织</t>
    <phoneticPr fontId="2" type="noConversion"/>
  </si>
  <si>
    <t>经济不景气，
提供安全性</t>
    <phoneticPr fontId="2" type="noConversion"/>
  </si>
  <si>
    <t>创造公司成长
所需的大部分资金</t>
    <phoneticPr fontId="2" type="noConversion"/>
  </si>
  <si>
    <t>留意客户
需求变化</t>
    <phoneticPr fontId="2" type="noConversion"/>
  </si>
  <si>
    <t>争取
潜在客户</t>
    <phoneticPr fontId="2" type="noConversion"/>
  </si>
  <si>
    <t>持续衡量
成本收益比</t>
    <phoneticPr fontId="2" type="noConversion"/>
  </si>
  <si>
    <t>杰出的研究和技术成果</t>
    <phoneticPr fontId="2" type="noConversion"/>
  </si>
  <si>
    <t>技术努力的方向：
1是提供更好的新产品
2是更好的方法更低的成本
提供服务</t>
    <phoneticPr fontId="2" type="noConversion"/>
  </si>
  <si>
    <t>研究的效率：
研究人员的能力和创新
技术专长的研究人员的通力合作
新产品市场需求
营销出去和足够大的利润
控制上面复杂关系的能力
是保守投资要素</t>
    <phoneticPr fontId="2" type="noConversion"/>
  </si>
  <si>
    <t>财务能力</t>
    <phoneticPr fontId="2" type="noConversion"/>
  </si>
  <si>
    <t>准确知道，每样产品能赚多少钱</t>
    <phoneticPr fontId="2" type="noConversion"/>
  </si>
  <si>
    <t>预算和会计作业，创造
预警，发现威胁利润的
不利因素</t>
    <phoneticPr fontId="2" type="noConversion"/>
  </si>
  <si>
    <t>了解各成本构成因素占比，
包括生产制造销售和研究，可以看出哪些地方
值得花精力降低成本</t>
    <phoneticPr fontId="2" type="noConversion"/>
  </si>
  <si>
    <t>第二个要素人的因素</t>
    <phoneticPr fontId="2" type="noConversion"/>
  </si>
  <si>
    <t>公司必须不断努力，让
每个员工，不论是新加入还是高级
管理人员，都觉得公司是工作的好地方
这种感觉存在于内心，
而不仅是宣传
1尊重善待和关怀每一位员工
2养老金和利润分享计划
以人为本的政策和策略的企业能够从中获得益处</t>
    <phoneticPr fontId="2" type="noConversion"/>
  </si>
  <si>
    <t>公司管理层以身作则，遵循公司成长所要求的纪律
真正为公司谋取长期利润而努力</t>
    <phoneticPr fontId="2" type="noConversion"/>
  </si>
  <si>
    <t>公司必须认识到它所处的这个世界变化越来越快
公司的想法和计划必须对目前正在做的事情提出挑战，
不是偶尔，而是一而再再而三，理所当然处事方式</t>
    <phoneticPr fontId="2" type="noConversion"/>
  </si>
  <si>
    <t>永安药业</t>
    <phoneticPr fontId="2" type="noConversion"/>
  </si>
  <si>
    <t>平均值</t>
    <phoneticPr fontId="2" type="noConversion"/>
  </si>
  <si>
    <t>1安全环保风险
2经营风险
3汇率风险
4管理风险</t>
    <phoneticPr fontId="2" type="noConversion"/>
  </si>
  <si>
    <t>永安药业</t>
    <phoneticPr fontId="2" type="noConversion"/>
  </si>
  <si>
    <t>股票</t>
    <phoneticPr fontId="2" type="noConversion"/>
  </si>
  <si>
    <t>无</t>
    <phoneticPr fontId="2" type="noConversion"/>
  </si>
  <si>
    <t>是</t>
    <phoneticPr fontId="2" type="noConversion"/>
  </si>
  <si>
    <t>进行了股票融资</t>
    <phoneticPr fontId="2" type="noConversion"/>
  </si>
  <si>
    <t>（前五客户）40%</t>
    <phoneticPr fontId="2" type="noConversion"/>
  </si>
  <si>
    <t>第四类</t>
    <phoneticPr fontId="2" type="noConversion"/>
  </si>
  <si>
    <t>三安光电</t>
    <phoneticPr fontId="2" type="noConversion"/>
  </si>
  <si>
    <t>内在价值</t>
    <phoneticPr fontId="2" type="noConversion"/>
  </si>
  <si>
    <t>能力范围</t>
    <phoneticPr fontId="2" type="noConversion"/>
  </si>
  <si>
    <t>投资对象</t>
    <phoneticPr fontId="2" type="noConversion"/>
  </si>
  <si>
    <t>产品</t>
    <phoneticPr fontId="2" type="noConversion"/>
  </si>
  <si>
    <t>客户</t>
    <phoneticPr fontId="2" type="noConversion"/>
  </si>
  <si>
    <t>运营</t>
    <phoneticPr fontId="2" type="noConversion"/>
  </si>
  <si>
    <t>产品或服务</t>
    <phoneticPr fontId="2" type="noConversion"/>
  </si>
  <si>
    <t>用途是什么</t>
    <phoneticPr fontId="2" type="noConversion"/>
  </si>
  <si>
    <t>消费者是否需要</t>
    <phoneticPr fontId="2" type="noConversion"/>
  </si>
  <si>
    <t>需求是否稳定将来如何满足</t>
    <phoneticPr fontId="2" type="noConversion"/>
  </si>
  <si>
    <t>提高产品或服务，
销售业绩不受影响可能性</t>
    <phoneticPr fontId="2" type="noConversion"/>
  </si>
  <si>
    <t>与替代品相比，有何独特之处，
消费者是否在意，多大程度在意</t>
    <phoneticPr fontId="2" type="noConversion"/>
  </si>
  <si>
    <t>谁是客户</t>
    <phoneticPr fontId="2" type="noConversion"/>
  </si>
  <si>
    <t>分散还是集中</t>
    <phoneticPr fontId="2" type="noConversion"/>
  </si>
  <si>
    <t>客户财务状况</t>
    <phoneticPr fontId="2" type="noConversion"/>
  </si>
  <si>
    <t>行业评价
有时候事情很明显，容易理解，有时候对某一行业得评价起起落落，原因是看中某种背景时间的影响力甚于其他背景事件
投资者必须不断探索研究，弄清楚评价比实际有利或不利</t>
    <phoneticPr fontId="2" type="noConversion"/>
  </si>
  <si>
    <t>如何销售</t>
    <phoneticPr fontId="2" type="noConversion"/>
  </si>
  <si>
    <t>市场地理分布</t>
    <phoneticPr fontId="2" type="noConversion"/>
  </si>
  <si>
    <t>供应链稳固</t>
    <phoneticPr fontId="2" type="noConversion"/>
  </si>
  <si>
    <t>劳资关系</t>
    <phoneticPr fontId="2" type="noConversion"/>
  </si>
  <si>
    <t>存在风险</t>
    <phoneticPr fontId="2" type="noConversion"/>
  </si>
  <si>
    <t>公司生命周期</t>
    <phoneticPr fontId="2" type="noConversion"/>
  </si>
  <si>
    <t>业务模式</t>
    <phoneticPr fontId="2" type="noConversion"/>
  </si>
  <si>
    <t>产品品牌</t>
    <phoneticPr fontId="2" type="noConversion"/>
  </si>
  <si>
    <t>商品特色</t>
    <phoneticPr fontId="2" type="noConversion"/>
  </si>
  <si>
    <t>供货来源成本</t>
    <phoneticPr fontId="2" type="noConversion"/>
  </si>
  <si>
    <t>配送连</t>
    <phoneticPr fontId="2" type="noConversion"/>
  </si>
  <si>
    <t>客户习惯和偏好</t>
    <phoneticPr fontId="2" type="noConversion"/>
  </si>
  <si>
    <t>业务组织和设计</t>
    <phoneticPr fontId="2" type="noConversion"/>
  </si>
  <si>
    <t>对经济和市场变化
做出响应的能力</t>
    <phoneticPr fontId="2" type="noConversion"/>
  </si>
  <si>
    <r>
      <rPr>
        <b/>
        <sz val="14"/>
        <color theme="1"/>
        <rFont val="宋体"/>
        <family val="3"/>
        <charset val="134"/>
        <scheme val="minor"/>
      </rPr>
      <t>重置成本法</t>
    </r>
    <r>
      <rPr>
        <sz val="11"/>
        <color theme="1"/>
        <rFont val="宋体"/>
        <family val="2"/>
        <scheme val="minor"/>
      </rPr>
      <t xml:space="preserve">
要对一个持续经营的企业进行估值，可以考虑如果以目前成本，完全新建一个类似企业需要多大的成本，也就是重置价值</t>
    </r>
    <phoneticPr fontId="2" type="noConversion"/>
  </si>
  <si>
    <t>现金</t>
    <phoneticPr fontId="2" type="noConversion"/>
  </si>
  <si>
    <t>证券</t>
    <phoneticPr fontId="2" type="noConversion"/>
  </si>
  <si>
    <t>应收款</t>
    <phoneticPr fontId="2" type="noConversion"/>
  </si>
  <si>
    <t>库存</t>
    <phoneticPr fontId="2" type="noConversion"/>
  </si>
  <si>
    <t>面值</t>
    <phoneticPr fontId="2" type="noConversion"/>
  </si>
  <si>
    <t>固定资产</t>
    <phoneticPr fontId="2" type="noConversion"/>
  </si>
  <si>
    <t>商誉</t>
    <phoneticPr fontId="2" type="noConversion"/>
  </si>
  <si>
    <t>不计</t>
    <phoneticPr fontId="2" type="noConversion"/>
  </si>
  <si>
    <t>调整</t>
    <phoneticPr fontId="2" type="noConversion"/>
  </si>
  <si>
    <t>隐藏资产</t>
    <phoneticPr fontId="2" type="noConversion"/>
  </si>
  <si>
    <t>研发投入</t>
    <phoneticPr fontId="2" type="noConversion"/>
  </si>
  <si>
    <t>客户关系价值</t>
    <phoneticPr fontId="2" type="noConversion"/>
  </si>
  <si>
    <t>负债</t>
    <phoneticPr fontId="2" type="noConversion"/>
  </si>
  <si>
    <t>账面和市场较高者</t>
    <phoneticPr fontId="2" type="noConversion"/>
  </si>
  <si>
    <t>产品质量</t>
    <phoneticPr fontId="2" type="noConversion"/>
  </si>
  <si>
    <t>工艺或配方</t>
    <phoneticPr fontId="2" type="noConversion"/>
  </si>
  <si>
    <t>员工培训</t>
    <phoneticPr fontId="2" type="noConversion"/>
  </si>
  <si>
    <t>特殊生产配送</t>
    <phoneticPr fontId="2" type="noConversion"/>
  </si>
  <si>
    <t>产品寿命乘以年均研发投入
17年专利，5%研发营收占比，
估值为当前营收85%</t>
    <phoneticPr fontId="2" type="noConversion"/>
  </si>
  <si>
    <t>销售管理支出乘以一个因子
一般为费用的1-3倍</t>
    <phoneticPr fontId="2" type="noConversion"/>
  </si>
  <si>
    <r>
      <rPr>
        <b/>
        <sz val="14"/>
        <color theme="1"/>
        <rFont val="宋体"/>
        <family val="3"/>
        <charset val="134"/>
        <scheme val="minor"/>
      </rPr>
      <t>盈余估值</t>
    </r>
    <r>
      <rPr>
        <sz val="11"/>
        <color theme="1"/>
        <rFont val="宋体"/>
        <family val="2"/>
        <scheme val="minor"/>
      </rPr>
      <t xml:space="preserve">
现时盈余除以资本成本V=E/k
现时盈余是当前盈余
资本成本公司债务和股权成本的加权平均，假设没有增长
盈余调整：一次性费用和非现金费用（折旧和摊销）</t>
    </r>
    <phoneticPr fontId="2" type="noConversion"/>
  </si>
  <si>
    <t>当前盈余</t>
    <phoneticPr fontId="2" type="noConversion"/>
  </si>
  <si>
    <t>债务成本</t>
    <phoneticPr fontId="2" type="noConversion"/>
  </si>
  <si>
    <t>股权成本</t>
    <phoneticPr fontId="2" type="noConversion"/>
  </si>
  <si>
    <r>
      <rPr>
        <b/>
        <sz val="14"/>
        <color theme="1"/>
        <rFont val="宋体"/>
        <family val="3"/>
        <charset val="134"/>
        <scheme val="minor"/>
      </rPr>
      <t>成长价值</t>
    </r>
    <r>
      <rPr>
        <sz val="11"/>
        <color theme="1"/>
        <rFont val="宋体"/>
        <family val="2"/>
        <scheme val="minor"/>
      </rPr>
      <t xml:space="preserve">
V=D1/(k-g)
现时盈余公式中分母减去增长率g</t>
    </r>
    <phoneticPr fontId="2" type="noConversion"/>
  </si>
  <si>
    <t>现金流折现</t>
    <phoneticPr fontId="2" type="noConversion"/>
  </si>
  <si>
    <t>现金流</t>
    <phoneticPr fontId="2" type="noConversion"/>
  </si>
  <si>
    <t>EBIT</t>
    <phoneticPr fontId="2" type="noConversion"/>
  </si>
  <si>
    <t>EBITDA</t>
    <phoneticPr fontId="2" type="noConversion"/>
  </si>
  <si>
    <t>扣除税务和利息前</t>
    <phoneticPr fontId="2" type="noConversion"/>
  </si>
  <si>
    <t>加上折旧和摊销</t>
    <phoneticPr fontId="2" type="noConversion"/>
  </si>
  <si>
    <t>现金流变量</t>
    <phoneticPr fontId="2" type="noConversion"/>
  </si>
  <si>
    <t>销售量</t>
    <phoneticPr fontId="2" type="noConversion"/>
  </si>
  <si>
    <t>利润率</t>
    <phoneticPr fontId="2" type="noConversion"/>
  </si>
  <si>
    <t>资本性支出</t>
    <phoneticPr fontId="2" type="noConversion"/>
  </si>
  <si>
    <t>远期现金流</t>
    <phoneticPr fontId="2" type="noConversion"/>
  </si>
  <si>
    <t>所估计最后一年的现金流乘以一个因子
这个因子由增长率和资本成本的关系决定,其值等于1除以二者之差
例如：资本成本10%，成长率5%，这个因子等于20（1/(10%-5%))</t>
    <phoneticPr fontId="2" type="noConversion"/>
  </si>
  <si>
    <t>盈余估值</t>
    <phoneticPr fontId="2" type="noConversion"/>
  </si>
  <si>
    <t>WACC(加权平均资本成本)</t>
    <phoneticPr fontId="2" type="noConversion"/>
  </si>
  <si>
    <t>CAPM（资产定价模型)</t>
    <phoneticPr fontId="2" type="noConversion"/>
  </si>
  <si>
    <t>长期国债</t>
    <phoneticPr fontId="2" type="noConversion"/>
  </si>
  <si>
    <t xml:space="preserve">参照标准，资本市场上其他参与者为风险类似的
企业融资项目会给投资者多少股权回报，以
吸引股权投资
例如，高风险投资项目股权成本，可以咨询类似企业给
风险投资开出的回报条件。风险较低的企业，可将二次
发行股票的蓝筹企业作为参照
</t>
    <phoneticPr fontId="2" type="noConversion"/>
  </si>
  <si>
    <t>风险溢价乘以beta</t>
    <phoneticPr fontId="2" type="noConversion"/>
  </si>
  <si>
    <t>折现率</t>
    <phoneticPr fontId="2" type="noConversion"/>
  </si>
  <si>
    <t>参照盈余估值</t>
    <phoneticPr fontId="2" type="noConversion"/>
  </si>
  <si>
    <t>折现率</t>
    <phoneticPr fontId="2" type="noConversion"/>
  </si>
  <si>
    <t>宁波精达</t>
    <phoneticPr fontId="2" type="noConversion"/>
  </si>
  <si>
    <t>估值</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</si>
</sst>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00_ "/>
    <numFmt numFmtId="177" formatCode="0.00_);[Red]\(0.00\)"/>
    <numFmt numFmtId="178" formatCode="0.000_ "/>
  </numFmts>
  <fonts count="12" x14ac:knownFonts="1">
    <font>
      <sz val="11"/>
      <color theme="1"/>
      <name val="宋体"/>
      <family val="2"/>
      <scheme val="minor"/>
    </font>
    <font>
      <b/>
      <sz val="11"/>
      <color theme="1"/>
      <name val="宋体"/>
      <family val="3"/>
      <charset val="134"/>
      <scheme val="minor"/>
    </font>
    <font>
      <sz val="9"/>
      <name val="宋体"/>
      <family val="3"/>
      <charset val="134"/>
      <scheme val="minor"/>
    </font>
    <font>
      <sz val="11"/>
      <color rgb="FFFF0000"/>
      <name val="宋体"/>
      <family val="2"/>
      <scheme val="minor"/>
    </font>
    <font>
      <sz val="11"/>
      <color rgb="FFFF0000"/>
      <name val="宋体"/>
      <family val="3"/>
      <charset val="134"/>
      <scheme val="minor"/>
    </font>
    <font>
      <u/>
      <sz val="11"/>
      <color theme="10"/>
      <name val="宋体"/>
      <family val="2"/>
      <scheme val="minor"/>
    </font>
    <font>
      <b/>
      <sz val="11"/>
      <color rgb="FFFF0000"/>
      <name val="宋体"/>
      <family val="3"/>
      <charset val="134"/>
      <scheme val="minor"/>
    </font>
    <font>
      <i/>
      <sz val="11"/>
      <color theme="1"/>
      <name val="宋体"/>
      <family val="3"/>
      <charset val="134"/>
      <scheme val="minor"/>
    </font>
    <font>
      <sz val="11"/>
      <color theme="1"/>
      <name val="宋体"/>
      <family val="3"/>
      <charset val="134"/>
      <scheme val="minor"/>
    </font>
    <font>
      <b/>
      <sz val="10"/>
      <color theme="1"/>
      <name val="宋体"/>
      <family val="3"/>
      <charset val="134"/>
      <scheme val="minor"/>
    </font>
    <font>
      <b/>
      <sz val="12"/>
      <color theme="1"/>
      <name val="宋体"/>
      <family val="3"/>
      <charset val="134"/>
      <scheme val="minor"/>
    </font>
    <font>
      <b/>
      <sz val="14"/>
      <color theme="1"/>
      <name val="宋体"/>
      <family val="3"/>
      <charset val="134"/>
      <scheme val="minor"/>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79">
    <xf numFmtId="0" fontId="0" fillId="0" borderId="0" xfId="0"/>
    <xf numFmtId="0" fontId="1" fillId="0" borderId="0" xfId="0" applyFont="1"/>
    <xf numFmtId="10" fontId="1" fillId="0" borderId="0" xfId="0" applyNumberFormat="1" applyFont="1"/>
    <xf numFmtId="176" fontId="1" fillId="0" borderId="0" xfId="0" applyNumberFormat="1" applyFont="1"/>
    <xf numFmtId="14" fontId="0" fillId="0" borderId="0" xfId="0" applyNumberFormat="1" applyAlignment="1">
      <alignment vertical="center" wrapText="1"/>
    </xf>
    <xf numFmtId="10" fontId="0" fillId="0" borderId="0" xfId="0" applyNumberFormat="1"/>
    <xf numFmtId="0" fontId="0" fillId="0" borderId="0" xfId="0" applyAlignment="1">
      <alignment vertical="center" wrapText="1"/>
    </xf>
    <xf numFmtId="176" fontId="0" fillId="0" borderId="0" xfId="0" applyNumberFormat="1"/>
    <xf numFmtId="14" fontId="3" fillId="0" borderId="0" xfId="0" applyNumberFormat="1" applyFont="1" applyAlignment="1">
      <alignment vertical="center" wrapText="1"/>
    </xf>
    <xf numFmtId="0" fontId="4" fillId="0" borderId="0" xfId="0" applyFont="1"/>
    <xf numFmtId="10" fontId="4" fillId="0" borderId="0" xfId="0" applyNumberFormat="1" applyFont="1"/>
    <xf numFmtId="0" fontId="4" fillId="0" borderId="0" xfId="0" applyFont="1" applyAlignment="1">
      <alignment vertical="center" wrapText="1"/>
    </xf>
    <xf numFmtId="176" fontId="4" fillId="0" borderId="0" xfId="0" applyNumberFormat="1" applyFont="1"/>
    <xf numFmtId="10" fontId="0" fillId="0" borderId="0" xfId="0" applyNumberFormat="1" applyAlignment="1">
      <alignment vertical="center" wrapText="1"/>
    </xf>
    <xf numFmtId="176" fontId="0" fillId="0" borderId="0" xfId="0" applyNumberFormat="1" applyAlignment="1">
      <alignment vertical="center" wrapText="1"/>
    </xf>
    <xf numFmtId="10" fontId="5" fillId="0" borderId="0" xfId="1" applyNumberFormat="1" applyAlignment="1">
      <alignment vertical="center" wrapText="1"/>
    </xf>
    <xf numFmtId="176" fontId="5" fillId="0" borderId="0" xfId="1" applyNumberFormat="1" applyAlignment="1">
      <alignment vertical="center" wrapText="1"/>
    </xf>
    <xf numFmtId="0" fontId="0" fillId="2" borderId="0" xfId="0" applyFill="1"/>
    <xf numFmtId="10" fontId="0" fillId="2" borderId="0" xfId="0" applyNumberFormat="1" applyFill="1"/>
    <xf numFmtId="0" fontId="0" fillId="2" borderId="0" xfId="0" applyFill="1" applyAlignment="1">
      <alignment vertical="center" wrapText="1"/>
    </xf>
    <xf numFmtId="176" fontId="0" fillId="2" borderId="0" xfId="0" applyNumberFormat="1" applyFill="1"/>
    <xf numFmtId="9" fontId="0" fillId="0" borderId="0" xfId="0" applyNumberFormat="1"/>
    <xf numFmtId="14" fontId="0" fillId="3" borderId="0" xfId="0" applyNumberFormat="1" applyFill="1" applyAlignment="1">
      <alignment vertical="center" wrapText="1"/>
    </xf>
    <xf numFmtId="0" fontId="0" fillId="3" borderId="0" xfId="0" applyFill="1" applyAlignment="1">
      <alignment vertical="center" wrapText="1"/>
    </xf>
    <xf numFmtId="10" fontId="0" fillId="3" borderId="0" xfId="0" applyNumberFormat="1" applyFill="1" applyAlignment="1">
      <alignment vertical="center" wrapText="1"/>
    </xf>
    <xf numFmtId="176" fontId="0" fillId="3" borderId="0" xfId="0" applyNumberFormat="1" applyFill="1" applyAlignment="1">
      <alignment vertical="center" wrapText="1"/>
    </xf>
    <xf numFmtId="10" fontId="5" fillId="3" borderId="0" xfId="1" applyNumberFormat="1" applyFill="1" applyAlignment="1">
      <alignment vertical="center" wrapText="1"/>
    </xf>
    <xf numFmtId="176" fontId="5" fillId="3" borderId="0" xfId="1" applyNumberFormat="1" applyFill="1" applyAlignment="1">
      <alignment vertical="center" wrapText="1"/>
    </xf>
    <xf numFmtId="10" fontId="0" fillId="3" borderId="0" xfId="0" applyNumberFormat="1" applyFill="1"/>
    <xf numFmtId="0" fontId="0" fillId="3" borderId="0" xfId="0" applyFill="1"/>
    <xf numFmtId="177" fontId="1" fillId="0" borderId="0" xfId="0" applyNumberFormat="1" applyFont="1" applyAlignment="1">
      <alignment wrapText="1"/>
    </xf>
    <xf numFmtId="177" fontId="0" fillId="3" borderId="0" xfId="0" applyNumberFormat="1" applyFill="1" applyAlignment="1">
      <alignment vertical="center" wrapText="1"/>
    </xf>
    <xf numFmtId="177" fontId="0" fillId="2" borderId="0" xfId="0" applyNumberFormat="1" applyFill="1"/>
    <xf numFmtId="177" fontId="0" fillId="0" borderId="0" xfId="0" applyNumberFormat="1"/>
    <xf numFmtId="177" fontId="4" fillId="0" borderId="0" xfId="0" applyNumberFormat="1" applyFont="1"/>
    <xf numFmtId="177" fontId="0" fillId="0" borderId="0" xfId="0" applyNumberFormat="1" applyAlignment="1">
      <alignment vertical="center" wrapText="1"/>
    </xf>
    <xf numFmtId="177" fontId="1" fillId="0" borderId="0" xfId="0" applyNumberFormat="1" applyFont="1"/>
    <xf numFmtId="10" fontId="6" fillId="0" borderId="0" xfId="0" applyNumberFormat="1" applyFont="1"/>
    <xf numFmtId="10" fontId="4" fillId="3" borderId="0" xfId="0" applyNumberFormat="1" applyFont="1" applyFill="1" applyAlignment="1">
      <alignment vertical="center" wrapText="1"/>
    </xf>
    <xf numFmtId="10" fontId="4" fillId="2" borderId="0" xfId="0" applyNumberFormat="1" applyFont="1" applyFill="1"/>
    <xf numFmtId="10" fontId="4" fillId="0" borderId="0" xfId="0" applyNumberFormat="1" applyFont="1" applyAlignment="1">
      <alignment vertical="center" wrapText="1"/>
    </xf>
    <xf numFmtId="0" fontId="1" fillId="0" borderId="0" xfId="0" applyFont="1" applyAlignment="1">
      <alignment horizontal="center"/>
    </xf>
    <xf numFmtId="0" fontId="1" fillId="0" borderId="0" xfId="0" applyFont="1" applyAlignment="1">
      <alignment wrapText="1"/>
    </xf>
    <xf numFmtId="0" fontId="7" fillId="0" borderId="0" xfId="0" applyFont="1"/>
    <xf numFmtId="14" fontId="7" fillId="0" borderId="0" xfId="0" applyNumberFormat="1" applyFont="1"/>
    <xf numFmtId="0" fontId="5" fillId="2" borderId="0" xfId="1" applyFill="1"/>
    <xf numFmtId="0" fontId="1" fillId="0" borderId="0" xfId="0" applyFont="1" applyAlignment="1">
      <alignment horizontal="center" wrapText="1"/>
    </xf>
    <xf numFmtId="0" fontId="0" fillId="0" borderId="0" xfId="0" applyAlignment="1">
      <alignment wrapText="1"/>
    </xf>
    <xf numFmtId="0" fontId="1" fillId="0" borderId="0" xfId="0" applyFont="1" applyAlignment="1">
      <alignment horizontal="center" wrapText="1"/>
    </xf>
    <xf numFmtId="0" fontId="1" fillId="0" borderId="0" xfId="0" applyFont="1" applyAlignment="1">
      <alignment horizontal="center" wrapText="1"/>
    </xf>
    <xf numFmtId="10" fontId="0" fillId="0" borderId="0" xfId="0" applyNumberFormat="1" applyAlignment="1">
      <alignment wrapText="1"/>
    </xf>
    <xf numFmtId="0" fontId="1" fillId="0" borderId="0" xfId="0" applyFont="1" applyAlignment="1">
      <alignment horizontal="center" wrapText="1"/>
    </xf>
    <xf numFmtId="177" fontId="5" fillId="0" borderId="0" xfId="1" applyNumberFormat="1" applyAlignment="1">
      <alignment horizontal="center" wrapText="1"/>
    </xf>
    <xf numFmtId="177" fontId="0" fillId="0" borderId="0" xfId="0" applyNumberFormat="1" applyAlignment="1">
      <alignment wrapText="1"/>
    </xf>
    <xf numFmtId="0" fontId="6" fillId="0" borderId="0" xfId="0" applyFont="1" applyAlignment="1">
      <alignment horizontal="center" wrapText="1"/>
    </xf>
    <xf numFmtId="0" fontId="1" fillId="0" borderId="0" xfId="0" applyFont="1" applyAlignment="1">
      <alignment horizontal="center" vertical="center" wrapText="1"/>
    </xf>
    <xf numFmtId="0" fontId="0" fillId="0" borderId="0" xfId="0" applyAlignment="1">
      <alignment vertical="center"/>
    </xf>
    <xf numFmtId="0" fontId="0" fillId="0" borderId="0" xfId="0" applyAlignment="1">
      <alignment horizontal="center" vertical="center"/>
    </xf>
    <xf numFmtId="10" fontId="0" fillId="0" borderId="0" xfId="0" applyNumberFormat="1" applyAlignment="1">
      <alignment horizontal="center" wrapText="1"/>
    </xf>
    <xf numFmtId="176" fontId="0" fillId="0" borderId="0" xfId="0" applyNumberFormat="1" applyAlignment="1">
      <alignment wrapText="1"/>
    </xf>
    <xf numFmtId="0" fontId="1" fillId="0" borderId="0" xfId="0" applyFont="1" applyAlignment="1">
      <alignment horizontal="center" wrapText="1"/>
    </xf>
    <xf numFmtId="178" fontId="0" fillId="0" borderId="0" xfId="0" applyNumberFormat="1"/>
    <xf numFmtId="0" fontId="0" fillId="0" borderId="0" xfId="0" applyAlignment="1">
      <alignment horizontal="center"/>
    </xf>
    <xf numFmtId="0" fontId="0" fillId="0" borderId="0" xfId="0" applyAlignment="1">
      <alignment horizontal="center"/>
    </xf>
    <xf numFmtId="0" fontId="0" fillId="0" borderId="0" xfId="0" applyAlignment="1">
      <alignment horizontal="center" wrapText="1"/>
    </xf>
    <xf numFmtId="0" fontId="9" fillId="0" borderId="0" xfId="0" applyFont="1"/>
    <xf numFmtId="0" fontId="10" fillId="0" borderId="0" xfId="0" applyFont="1"/>
    <xf numFmtId="0" fontId="9" fillId="0" borderId="0" xfId="0" applyFont="1" applyAlignment="1">
      <alignment wrapText="1"/>
    </xf>
    <xf numFmtId="0" fontId="0" fillId="0" borderId="0" xfId="0" applyAlignment="1">
      <alignment horizontal="center"/>
    </xf>
    <xf numFmtId="0" fontId="0" fillId="0" borderId="0" xfId="0" applyAlignment="1">
      <alignment horizontal="center"/>
    </xf>
    <xf numFmtId="0" fontId="8" fillId="0" borderId="0" xfId="0" applyFont="1" applyAlignment="1">
      <alignment wrapText="1"/>
    </xf>
    <xf numFmtId="0" fontId="8" fillId="0" borderId="0" xfId="0" applyFont="1" applyAlignment="1">
      <alignment horizontal="center" wrapText="1"/>
    </xf>
    <xf numFmtId="0" fontId="1" fillId="0" borderId="0" xfId="0" applyFont="1" applyAlignment="1">
      <alignment horizontal="center" wrapText="1"/>
    </xf>
    <xf numFmtId="0" fontId="1" fillId="0" borderId="0" xfId="0" applyFont="1" applyAlignment="1">
      <alignment horizontal="center"/>
    </xf>
    <xf numFmtId="0" fontId="11" fillId="0" borderId="0" xfId="0" applyFont="1" applyAlignment="1">
      <alignment horizontal="center"/>
    </xf>
    <xf numFmtId="0" fontId="8" fillId="0" borderId="0" xfId="0" applyFont="1" applyAlignment="1">
      <alignment horizontal="center" wrapText="1"/>
    </xf>
    <xf numFmtId="0" fontId="0" fillId="0" borderId="0" xfId="0" applyAlignment="1">
      <alignment horizontal="center"/>
    </xf>
    <xf numFmtId="0" fontId="10" fillId="0" borderId="0" xfId="0" applyFont="1" applyAlignment="1">
      <alignment horizontal="center"/>
    </xf>
    <xf numFmtId="0" fontId="0" fillId="0" borderId="0" xfId="0" applyAlignment="1">
      <alignment horizontal="center" vertical="center"/>
    </xf>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zh-CN"/>
        </a:p>
      </c:txPr>
    </c:title>
    <c:autoTitleDeleted val="0"/>
    <c:plotArea>
      <c:layout>
        <c:manualLayout>
          <c:layoutTarget val="inner"/>
          <c:xMode val="edge"/>
          <c:yMode val="edge"/>
          <c:x val="0.10949445258743833"/>
          <c:y val="0.25441951335030488"/>
          <c:w val="0.81176955097069736"/>
          <c:h val="0.53435725028753434"/>
        </c:manualLayout>
      </c:layout>
      <c:lineChart>
        <c:grouping val="standard"/>
        <c:varyColors val="0"/>
        <c:ser>
          <c:idx val="0"/>
          <c:order val="0"/>
          <c:tx>
            <c:strRef>
              <c:f>[1]比率分析!$B$5</c:f>
              <c:strCache>
                <c:ptCount val="1"/>
                <c:pt idx="0">
                  <c:v>利润率</c:v>
                </c:pt>
              </c:strCache>
            </c:strRef>
          </c:tx>
          <c:spPr>
            <a:ln w="22225" cap="rnd" cmpd="sng" algn="ctr">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[1]比率分析!$A$6:$A$9</c:f>
              <c:numCache>
                <c:formatCode>General</c:formatCode>
                <c:ptCount val="4"/>
                <c:pt idx="0">
                  <c:v>2014</c:v>
                </c:pt>
                <c:pt idx="1">
                  <c:v>2015</c:v>
                </c:pt>
                <c:pt idx="2">
                  <c:v>2016</c:v>
                </c:pt>
                <c:pt idx="3">
                  <c:v>2017</c:v>
                </c:pt>
              </c:numCache>
            </c:numRef>
          </c:cat>
          <c:val>
            <c:numRef>
              <c:f>[1]比率分析!$B$6:$B$9</c:f>
              <c:numCache>
                <c:formatCode>General</c:formatCode>
                <c:ptCount val="4"/>
                <c:pt idx="0">
                  <c:v>0.05</c:v>
                </c:pt>
                <c:pt idx="1">
                  <c:v>0.03</c:v>
                </c:pt>
                <c:pt idx="2">
                  <c:v>0.11</c:v>
                </c:pt>
                <c:pt idx="3">
                  <c:v>0.14000000000000001</c:v>
                </c:pt>
              </c:numCache>
            </c:numRef>
          </c:val>
          <c:smooth val="0"/>
          <c:extLst xmlns:c16r2="http://schemas.microsoft.com/office/drawing/2015/06/chart">
            <c:ext xmlns:c16="http://schemas.microsoft.com/office/drawing/2014/chart" uri="{C3380CC4-5D6E-409C-BE32-E72D297353CC}">
              <c16:uniqueId val="{00000000-D2DA-40E7-AF9C-D6B77FEF1AE2}"/>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52354440"/>
        <c:axId val="152354824"/>
      </c:lineChart>
      <c:catAx>
        <c:axId val="15235444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zh-CN"/>
          </a:p>
        </c:txPr>
        <c:crossAx val="152354824"/>
        <c:crosses val="autoZero"/>
        <c:auto val="1"/>
        <c:lblAlgn val="ctr"/>
        <c:lblOffset val="100"/>
        <c:noMultiLvlLbl val="0"/>
      </c:catAx>
      <c:valAx>
        <c:axId val="1523548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zh-CN"/>
          </a:p>
        </c:txPr>
        <c:crossAx val="152354440"/>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zh-CN"/>
        </a:p>
      </c:txPr>
    </c:title>
    <c:autoTitleDeleted val="0"/>
    <c:plotArea>
      <c:layout/>
      <c:lineChart>
        <c:grouping val="standard"/>
        <c:varyColors val="0"/>
        <c:ser>
          <c:idx val="0"/>
          <c:order val="0"/>
          <c:tx>
            <c:strRef>
              <c:f>'[2]中科创达(300496)_利润表 (1)'!$B$1</c:f>
              <c:strCache>
                <c:ptCount val="1"/>
                <c:pt idx="0">
                  <c:v>利润率</c:v>
                </c:pt>
              </c:strCache>
            </c:strRef>
          </c:tx>
          <c:spPr>
            <a:ln w="3175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zh-CN"/>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numRef>
              <c:f>'[2]中科创达(300496)_利润表 (1)'!$A$2:$A$7</c:f>
              <c:numCache>
                <c:formatCode>General</c:formatCode>
                <c:ptCount val="6"/>
                <c:pt idx="0">
                  <c:v>2013</c:v>
                </c:pt>
                <c:pt idx="1">
                  <c:v>2014</c:v>
                </c:pt>
                <c:pt idx="2">
                  <c:v>2015</c:v>
                </c:pt>
                <c:pt idx="3">
                  <c:v>2016</c:v>
                </c:pt>
                <c:pt idx="4">
                  <c:v>2017</c:v>
                </c:pt>
                <c:pt idx="5">
                  <c:v>2018</c:v>
                </c:pt>
              </c:numCache>
            </c:numRef>
          </c:cat>
          <c:val>
            <c:numRef>
              <c:f>'[2]中科创达(300496)_利润表 (1)'!$B$2:$B$7</c:f>
              <c:numCache>
                <c:formatCode>General</c:formatCode>
                <c:ptCount val="6"/>
                <c:pt idx="0">
                  <c:v>0.28999999999999998</c:v>
                </c:pt>
                <c:pt idx="1">
                  <c:v>0.25</c:v>
                </c:pt>
                <c:pt idx="2">
                  <c:v>0.19</c:v>
                </c:pt>
                <c:pt idx="3">
                  <c:v>0.14000000000000001</c:v>
                </c:pt>
                <c:pt idx="4">
                  <c:v>7.0000000000000007E-2</c:v>
                </c:pt>
                <c:pt idx="5">
                  <c:v>0.12</c:v>
                </c:pt>
              </c:numCache>
            </c:numRef>
          </c:val>
          <c:smooth val="0"/>
          <c:extLst xmlns:c16r2="http://schemas.microsoft.com/office/drawing/2015/06/chart">
            <c:ext xmlns:c16="http://schemas.microsoft.com/office/drawing/2014/chart" uri="{C3380CC4-5D6E-409C-BE32-E72D297353CC}">
              <c16:uniqueId val="{00000000-53E7-43D6-9378-1BE460360DA0}"/>
            </c:ext>
          </c:extLst>
        </c:ser>
        <c:dLbls>
          <c:dLblPos val="ctr"/>
          <c:showLegendKey val="0"/>
          <c:showVal val="1"/>
          <c:showCatName val="0"/>
          <c:showSerName val="0"/>
          <c:showPercent val="0"/>
          <c:showBubbleSize val="0"/>
        </c:dLbls>
        <c:smooth val="0"/>
        <c:axId val="152484496"/>
        <c:axId val="152484880"/>
      </c:lineChart>
      <c:catAx>
        <c:axId val="152484496"/>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152484880"/>
        <c:crosses val="autoZero"/>
        <c:auto val="1"/>
        <c:lblAlgn val="ctr"/>
        <c:lblOffset val="100"/>
        <c:noMultiLvlLbl val="0"/>
      </c:catAx>
      <c:valAx>
        <c:axId val="15248488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15248449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38099</xdr:colOff>
      <xdr:row>3</xdr:row>
      <xdr:rowOff>47624</xdr:rowOff>
    </xdr:from>
    <xdr:to>
      <xdr:col>6</xdr:col>
      <xdr:colOff>2286000</xdr:colOff>
      <xdr:row>3</xdr:row>
      <xdr:rowOff>1052099</xdr:rowOff>
    </xdr:to>
    <xdr:pic>
      <xdr:nvPicPr>
        <xdr:cNvPr id="3" name="图片 2"/>
        <xdr:cNvPicPr>
          <a:picLocks noChangeAspect="1"/>
        </xdr:cNvPicPr>
      </xdr:nvPicPr>
      <xdr:blipFill>
        <a:blip xmlns:r="http://schemas.openxmlformats.org/officeDocument/2006/relationships" r:embed="rId1"/>
        <a:stretch>
          <a:fillRect/>
        </a:stretch>
      </xdr:blipFill>
      <xdr:spPr>
        <a:xfrm>
          <a:off x="5562599" y="390524"/>
          <a:ext cx="2247901" cy="1004475"/>
        </a:xfrm>
        <a:prstGeom prst="rect">
          <a:avLst/>
        </a:prstGeom>
      </xdr:spPr>
    </xdr:pic>
    <xdr:clientData/>
  </xdr:twoCellAnchor>
  <xdr:twoCellAnchor editAs="oneCell">
    <xdr:from>
      <xdr:col>10</xdr:col>
      <xdr:colOff>0</xdr:colOff>
      <xdr:row>2</xdr:row>
      <xdr:rowOff>171449</xdr:rowOff>
    </xdr:from>
    <xdr:to>
      <xdr:col>11</xdr:col>
      <xdr:colOff>2419350</xdr:colOff>
      <xdr:row>3</xdr:row>
      <xdr:rowOff>1326768</xdr:rowOff>
    </xdr:to>
    <xdr:pic>
      <xdr:nvPicPr>
        <xdr:cNvPr id="4" name="图片 3"/>
        <xdr:cNvPicPr>
          <a:picLocks noChangeAspect="1"/>
        </xdr:cNvPicPr>
      </xdr:nvPicPr>
      <xdr:blipFill>
        <a:blip xmlns:r="http://schemas.openxmlformats.org/officeDocument/2006/relationships" r:embed="rId2"/>
        <a:stretch>
          <a:fillRect/>
        </a:stretch>
      </xdr:blipFill>
      <xdr:spPr>
        <a:xfrm>
          <a:off x="13716000" y="514349"/>
          <a:ext cx="5410200" cy="1326769"/>
        </a:xfrm>
        <a:prstGeom prst="rect">
          <a:avLst/>
        </a:prstGeom>
      </xdr:spPr>
    </xdr:pic>
    <xdr:clientData/>
  </xdr:twoCellAnchor>
  <xdr:twoCellAnchor editAs="oneCell">
    <xdr:from>
      <xdr:col>6</xdr:col>
      <xdr:colOff>1</xdr:colOff>
      <xdr:row>5</xdr:row>
      <xdr:rowOff>1</xdr:rowOff>
    </xdr:from>
    <xdr:to>
      <xdr:col>6</xdr:col>
      <xdr:colOff>2305051</xdr:colOff>
      <xdr:row>5</xdr:row>
      <xdr:rowOff>1115938</xdr:rowOff>
    </xdr:to>
    <xdr:pic>
      <xdr:nvPicPr>
        <xdr:cNvPr id="2" name="图片 1"/>
        <xdr:cNvPicPr>
          <a:picLocks noChangeAspect="1"/>
        </xdr:cNvPicPr>
      </xdr:nvPicPr>
      <xdr:blipFill>
        <a:blip xmlns:r="http://schemas.openxmlformats.org/officeDocument/2006/relationships" r:embed="rId3"/>
        <a:stretch>
          <a:fillRect/>
        </a:stretch>
      </xdr:blipFill>
      <xdr:spPr>
        <a:xfrm>
          <a:off x="5524501" y="2047876"/>
          <a:ext cx="2305050" cy="1115937"/>
        </a:xfrm>
        <a:prstGeom prst="rect">
          <a:avLst/>
        </a:prstGeom>
      </xdr:spPr>
    </xdr:pic>
    <xdr:clientData/>
  </xdr:twoCellAnchor>
  <xdr:twoCellAnchor editAs="oneCell">
    <xdr:from>
      <xdr:col>10</xdr:col>
      <xdr:colOff>1</xdr:colOff>
      <xdr:row>5</xdr:row>
      <xdr:rowOff>0</xdr:rowOff>
    </xdr:from>
    <xdr:to>
      <xdr:col>12</xdr:col>
      <xdr:colOff>55043</xdr:colOff>
      <xdr:row>5</xdr:row>
      <xdr:rowOff>904875</xdr:rowOff>
    </xdr:to>
    <xdr:pic>
      <xdr:nvPicPr>
        <xdr:cNvPr id="6" name="图片 5"/>
        <xdr:cNvPicPr>
          <a:picLocks noChangeAspect="1"/>
        </xdr:cNvPicPr>
      </xdr:nvPicPr>
      <xdr:blipFill>
        <a:blip xmlns:r="http://schemas.openxmlformats.org/officeDocument/2006/relationships" r:embed="rId4"/>
        <a:stretch>
          <a:fillRect/>
        </a:stretch>
      </xdr:blipFill>
      <xdr:spPr>
        <a:xfrm>
          <a:off x="13716001" y="2047875"/>
          <a:ext cx="5560492" cy="904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0</xdr:colOff>
      <xdr:row>3</xdr:row>
      <xdr:rowOff>0</xdr:rowOff>
    </xdr:from>
    <xdr:to>
      <xdr:col>13</xdr:col>
      <xdr:colOff>2457450</xdr:colOff>
      <xdr:row>3</xdr:row>
      <xdr:rowOff>1590675</xdr:rowOff>
    </xdr:to>
    <xdr:graphicFrame macro="">
      <xdr:nvGraphicFramePr>
        <xdr:cNvPr id="8" name="图表 7">
          <a:extLst>
            <a:ext uri="{FF2B5EF4-FFF2-40B4-BE49-F238E27FC236}">
              <a16:creationId xmlns:a16="http://schemas.microsoft.com/office/drawing/2014/main" xmlns="" id="{5B525A9C-0E02-42D1-9915-B3BC300676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4</xdr:row>
      <xdr:rowOff>0</xdr:rowOff>
    </xdr:from>
    <xdr:to>
      <xdr:col>13</xdr:col>
      <xdr:colOff>2490787</xdr:colOff>
      <xdr:row>4</xdr:row>
      <xdr:rowOff>1504949</xdr:rowOff>
    </xdr:to>
    <xdr:graphicFrame macro="">
      <xdr:nvGraphicFramePr>
        <xdr:cNvPr id="3" name="图表 2">
          <a:extLst>
            <a:ext uri="{FF2B5EF4-FFF2-40B4-BE49-F238E27FC236}">
              <a16:creationId xmlns:a16="http://schemas.microsoft.com/office/drawing/2014/main" xmlns="" id="{66AD9D28-9845-4524-A75E-E8D3232699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20843;&#26007;&#20307;&#32946;/Downloads/&#26222;&#36890;&#32929;&#20998;&#26512;/&#27704;&#23433;&#33647;&#1999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20843;&#26007;&#20307;&#32946;/Downloads/&#20013;&#31185;&#21019;&#36798;(300496)_&#21033;&#28070;&#34920;%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比率分析"/>
    </sheetNames>
    <sheetDataSet>
      <sheetData sheetId="0">
        <row r="2">
          <cell r="J2" t="str">
            <v>净资产收益率ROE</v>
          </cell>
        </row>
        <row r="5">
          <cell r="B5" t="str">
            <v>利润率</v>
          </cell>
        </row>
        <row r="6">
          <cell r="A6">
            <v>2014</v>
          </cell>
          <cell r="B6">
            <v>0.05</v>
          </cell>
        </row>
        <row r="7">
          <cell r="A7">
            <v>2015</v>
          </cell>
          <cell r="B7">
            <v>0.03</v>
          </cell>
        </row>
        <row r="8">
          <cell r="A8">
            <v>2016</v>
          </cell>
          <cell r="B8">
            <v>0.11</v>
          </cell>
        </row>
        <row r="9">
          <cell r="A9">
            <v>2017</v>
          </cell>
          <cell r="B9">
            <v>0.14000000000000001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中科创达(300496)_利润表 (1)"/>
    </sheetNames>
    <sheetDataSet>
      <sheetData sheetId="0">
        <row r="1">
          <cell r="B1" t="str">
            <v>利润率</v>
          </cell>
        </row>
        <row r="2">
          <cell r="A2">
            <v>2013</v>
          </cell>
          <cell r="B2">
            <v>0.28999999999999998</v>
          </cell>
        </row>
        <row r="3">
          <cell r="A3">
            <v>2014</v>
          </cell>
          <cell r="B3">
            <v>0.25</v>
          </cell>
        </row>
        <row r="4">
          <cell r="A4">
            <v>2015</v>
          </cell>
          <cell r="B4">
            <v>0.19</v>
          </cell>
        </row>
        <row r="5">
          <cell r="A5">
            <v>2016</v>
          </cell>
          <cell r="B5">
            <v>0.14000000000000001</v>
          </cell>
        </row>
        <row r="6">
          <cell r="A6">
            <v>2017</v>
          </cell>
          <cell r="B6">
            <v>7.0000000000000007E-2</v>
          </cell>
        </row>
        <row r="7">
          <cell r="A7">
            <v>2018</v>
          </cell>
          <cell r="B7">
            <v>0.12</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26222;&#36890;&#32929;&#20998;&#26512;\&#20013;&#31185;&#26032;&#26448;.xlsx" TargetMode="External"/><Relationship Id="rId2" Type="http://schemas.openxmlformats.org/officeDocument/2006/relationships/hyperlink" Target="&#26222;&#36890;&#32929;&#20998;&#26512;\&#20013;&#31185;&#26032;&#26448;.xlsx" TargetMode="External"/><Relationship Id="rId1" Type="http://schemas.openxmlformats.org/officeDocument/2006/relationships/hyperlink" Target="&#26222;&#36890;&#32929;&#20998;&#26512;\&#20013;&#31185;&#26032;&#26448;.xlsx"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hyperlink" Target="&#36130;&#21153;&#25351;&#26631;.xlsx"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2"/>
  <sheetViews>
    <sheetView workbookViewId="0">
      <selection activeCell="A16" sqref="A16:XFD16"/>
    </sheetView>
  </sheetViews>
  <sheetFormatPr defaultRowHeight="13.5" x14ac:dyDescent="0.15"/>
  <cols>
    <col min="1" max="1" width="15.875" customWidth="1"/>
    <col min="2" max="2" width="0" hidden="1" customWidth="1"/>
    <col min="3" max="3" width="0.125" customWidth="1"/>
    <col min="5" max="5" width="9.5" bestFit="1" customWidth="1"/>
    <col min="7" max="7" width="8.375" style="10" customWidth="1"/>
    <col min="8" max="8" width="10.875" style="5" customWidth="1"/>
    <col min="9" max="9" width="9" style="5"/>
    <col min="10" max="10" width="13.375" style="33" customWidth="1"/>
    <col min="11" max="11" width="15.5" style="33" customWidth="1"/>
    <col min="12" max="12" width="15.875" style="5" customWidth="1"/>
    <col min="14" max="14" width="10.5" bestFit="1" customWidth="1"/>
    <col min="16" max="16" width="9.5" bestFit="1" customWidth="1"/>
    <col min="17" max="17" width="9.5" style="5" customWidth="1"/>
    <col min="19" max="19" width="14" customWidth="1"/>
  </cols>
  <sheetData>
    <row r="1" spans="1:19" ht="18" customHeight="1" x14ac:dyDescent="0.15">
      <c r="A1" s="1" t="s">
        <v>21</v>
      </c>
      <c r="B1" s="1" t="s">
        <v>22</v>
      </c>
      <c r="C1" s="2" t="s">
        <v>23</v>
      </c>
      <c r="D1" s="1" t="s">
        <v>24</v>
      </c>
      <c r="E1" s="1" t="s">
        <v>25</v>
      </c>
      <c r="F1" s="1" t="s">
        <v>26</v>
      </c>
      <c r="G1" s="37" t="s">
        <v>27</v>
      </c>
      <c r="H1" s="2" t="s">
        <v>28</v>
      </c>
      <c r="I1" s="2" t="s">
        <v>29</v>
      </c>
      <c r="J1" s="36" t="s">
        <v>30</v>
      </c>
      <c r="K1" s="30" t="s">
        <v>31</v>
      </c>
      <c r="L1" s="2" t="s">
        <v>32</v>
      </c>
      <c r="M1" s="3" t="s">
        <v>33</v>
      </c>
      <c r="N1" s="2" t="s">
        <v>34</v>
      </c>
      <c r="O1" s="3" t="s">
        <v>35</v>
      </c>
      <c r="P1" s="2" t="s">
        <v>36</v>
      </c>
      <c r="Q1" s="2" t="s">
        <v>49</v>
      </c>
      <c r="R1" s="2" t="s">
        <v>37</v>
      </c>
      <c r="S1" s="2" t="s">
        <v>195</v>
      </c>
    </row>
    <row r="2" spans="1:19" x14ac:dyDescent="0.15">
      <c r="A2" s="22" t="s">
        <v>6</v>
      </c>
      <c r="B2" s="23"/>
      <c r="C2" s="24"/>
      <c r="D2" s="23">
        <v>0.218</v>
      </c>
      <c r="E2" s="23">
        <v>7.37</v>
      </c>
      <c r="F2" s="23">
        <v>4.74</v>
      </c>
      <c r="G2" s="38">
        <f t="shared" ref="G2:G18" si="0">D2*4/F2</f>
        <v>0.18396624472573839</v>
      </c>
      <c r="H2" s="24">
        <f>4.3*4%</f>
        <v>0.17199999999999999</v>
      </c>
      <c r="I2" s="24">
        <f>0.15/F2</f>
        <v>3.164556962025316E-2</v>
      </c>
      <c r="J2" s="31">
        <v>3.94</v>
      </c>
      <c r="K2" s="31">
        <f>D2*4/0.07*0.9</f>
        <v>11.21142857142857</v>
      </c>
      <c r="L2" s="24">
        <f t="shared" ref="L2:L7" si="1">(K2-F2)/F2</f>
        <v>1.3652802893309219</v>
      </c>
      <c r="M2" s="25">
        <v>24.57</v>
      </c>
      <c r="N2" s="26">
        <v>9.1499999999999998E-2</v>
      </c>
      <c r="O2" s="27">
        <v>1.236</v>
      </c>
      <c r="P2" s="28">
        <v>0.23630000000000001</v>
      </c>
      <c r="Q2" s="28">
        <f>O2/M2</f>
        <v>5.0305250305250307E-2</v>
      </c>
      <c r="R2" s="29" t="s">
        <v>7</v>
      </c>
      <c r="S2" t="s">
        <v>197</v>
      </c>
    </row>
    <row r="3" spans="1:19" x14ac:dyDescent="0.15">
      <c r="A3" t="s">
        <v>45</v>
      </c>
      <c r="D3">
        <v>0.47</v>
      </c>
      <c r="E3">
        <v>7.23</v>
      </c>
      <c r="F3">
        <v>10.42</v>
      </c>
      <c r="G3" s="10">
        <f t="shared" si="0"/>
        <v>0.18042226487523991</v>
      </c>
      <c r="H3" s="5">
        <f>3.72*4%</f>
        <v>0.14880000000000002</v>
      </c>
      <c r="I3" s="5">
        <f>0.22/F3</f>
        <v>2.1113243761996161E-2</v>
      </c>
      <c r="J3" s="33">
        <v>12.93</v>
      </c>
      <c r="K3" s="33">
        <f>D3*4/0.07*0.9</f>
        <v>24.171428571428571</v>
      </c>
      <c r="L3" s="5">
        <f t="shared" si="1"/>
        <v>1.3197148341102276</v>
      </c>
      <c r="M3">
        <v>17.510000000000002</v>
      </c>
      <c r="N3" s="5">
        <v>0.24460000000000001</v>
      </c>
      <c r="O3">
        <v>3.38</v>
      </c>
      <c r="P3" s="21">
        <v>1.04</v>
      </c>
      <c r="Q3" s="28">
        <f t="shared" ref="Q3:Q32" si="2">O3/M3</f>
        <v>0.193032552826956</v>
      </c>
      <c r="R3" t="s">
        <v>46</v>
      </c>
      <c r="S3" t="s">
        <v>196</v>
      </c>
    </row>
    <row r="4" spans="1:19" x14ac:dyDescent="0.15">
      <c r="A4" t="s">
        <v>48</v>
      </c>
      <c r="D4">
        <v>1.0590999999999999</v>
      </c>
      <c r="E4">
        <v>17.899999999999999</v>
      </c>
      <c r="F4">
        <v>24.53</v>
      </c>
      <c r="G4" s="10">
        <f t="shared" si="0"/>
        <v>0.17270281288218506</v>
      </c>
      <c r="H4" s="5">
        <f>17.79*4%</f>
        <v>0.71160000000000001</v>
      </c>
      <c r="I4" s="5">
        <f>1.9/F4</f>
        <v>7.7456176110884623E-2</v>
      </c>
      <c r="J4" s="33">
        <v>6.54</v>
      </c>
      <c r="K4" s="33">
        <f>D4*4/0.07*0.9</f>
        <v>54.467999999999989</v>
      </c>
      <c r="L4" s="5">
        <f t="shared" si="1"/>
        <v>1.2204647370566648</v>
      </c>
      <c r="M4">
        <v>35.21</v>
      </c>
      <c r="N4" s="21">
        <v>4.08</v>
      </c>
      <c r="O4">
        <v>18.940000000000001</v>
      </c>
      <c r="P4" s="21">
        <v>26</v>
      </c>
      <c r="Q4" s="28">
        <f t="shared" si="2"/>
        <v>0.5379153649531383</v>
      </c>
      <c r="R4" t="s">
        <v>47</v>
      </c>
      <c r="S4" t="s">
        <v>196</v>
      </c>
    </row>
    <row r="5" spans="1:19" x14ac:dyDescent="0.15">
      <c r="A5" s="4" t="s">
        <v>0</v>
      </c>
      <c r="C5" s="5"/>
      <c r="D5" s="6">
        <v>1.2</v>
      </c>
      <c r="E5" s="6">
        <v>2.94</v>
      </c>
      <c r="F5" s="6">
        <v>31.95</v>
      </c>
      <c r="G5" s="10">
        <f t="shared" si="0"/>
        <v>0.15023474178403756</v>
      </c>
      <c r="H5" s="5">
        <f>4.67*4%</f>
        <v>0.18679999999999999</v>
      </c>
      <c r="I5" s="5">
        <f>0.9/32.6</f>
        <v>2.7607361963190184E-2</v>
      </c>
      <c r="J5" s="33">
        <v>26.24</v>
      </c>
      <c r="K5" s="33">
        <f>1.2*4/0.07*0.9</f>
        <v>61.714285714285715</v>
      </c>
      <c r="L5" s="5">
        <f t="shared" si="1"/>
        <v>0.93158953722334015</v>
      </c>
      <c r="M5" s="7">
        <v>71.430000000000007</v>
      </c>
      <c r="N5" s="5">
        <v>-7.51E-2</v>
      </c>
      <c r="O5" s="7">
        <v>3.5192999999999999</v>
      </c>
      <c r="P5" s="5">
        <v>6.88E-2</v>
      </c>
      <c r="Q5" s="28">
        <f t="shared" si="2"/>
        <v>4.9269214615707678E-2</v>
      </c>
      <c r="R5" t="s">
        <v>1</v>
      </c>
      <c r="S5" t="s">
        <v>196</v>
      </c>
    </row>
    <row r="6" spans="1:19" s="29" customFormat="1" ht="16.5" customHeight="1" x14ac:dyDescent="0.15">
      <c r="A6" s="8" t="s">
        <v>2</v>
      </c>
      <c r="B6" s="9"/>
      <c r="C6" s="10"/>
      <c r="D6" s="11">
        <v>0.28000000000000003</v>
      </c>
      <c r="E6" s="11">
        <v>149</v>
      </c>
      <c r="F6" s="11">
        <v>8.5299999999999994</v>
      </c>
      <c r="G6" s="10">
        <f t="shared" si="0"/>
        <v>0.13130128956623682</v>
      </c>
      <c r="H6" s="10">
        <f>4.04*4%</f>
        <v>0.16159999999999999</v>
      </c>
      <c r="I6" s="10">
        <f>0.47/F6</f>
        <v>5.5099648300117238E-2</v>
      </c>
      <c r="J6" s="34">
        <v>6.96</v>
      </c>
      <c r="K6" s="34">
        <f>0.28*4/0.07*0.9</f>
        <v>14.4</v>
      </c>
      <c r="L6" s="10">
        <f t="shared" si="1"/>
        <v>0.68815943728018769</v>
      </c>
      <c r="M6" s="12">
        <v>179.73</v>
      </c>
      <c r="N6" s="10">
        <v>0.44350000000000001</v>
      </c>
      <c r="O6" s="12">
        <v>4.09</v>
      </c>
      <c r="P6" s="10">
        <v>0.2959</v>
      </c>
      <c r="Q6" s="28">
        <f t="shared" si="2"/>
        <v>2.2756356757358261E-2</v>
      </c>
      <c r="R6" s="9" t="s">
        <v>3</v>
      </c>
      <c r="S6" t="s">
        <v>196</v>
      </c>
    </row>
    <row r="7" spans="1:19" x14ac:dyDescent="0.15">
      <c r="A7" s="17" t="s">
        <v>13</v>
      </c>
      <c r="B7" s="17"/>
      <c r="C7" s="18"/>
      <c r="D7" s="19">
        <v>0.21</v>
      </c>
      <c r="E7" s="19">
        <v>24.05</v>
      </c>
      <c r="F7" s="19">
        <v>6.55</v>
      </c>
      <c r="G7" s="39">
        <f t="shared" si="0"/>
        <v>0.12824427480916031</v>
      </c>
      <c r="H7" s="18">
        <f>2.89*4%</f>
        <v>0.11560000000000001</v>
      </c>
      <c r="I7" s="18">
        <f>0.205/F7</f>
        <v>3.1297709923664124E-2</v>
      </c>
      <c r="J7" s="32">
        <v>6.52</v>
      </c>
      <c r="K7" s="32">
        <f>D7*4/0.07*0.9</f>
        <v>10.799999999999999</v>
      </c>
      <c r="L7" s="18">
        <f t="shared" si="1"/>
        <v>0.64885496183206093</v>
      </c>
      <c r="M7" s="20">
        <v>80.39</v>
      </c>
      <c r="N7" s="18">
        <v>5.91E-2</v>
      </c>
      <c r="O7" s="20">
        <v>4.9219999999999997</v>
      </c>
      <c r="P7" s="18">
        <v>0.14480000000000001</v>
      </c>
      <c r="Q7" s="28">
        <f t="shared" si="2"/>
        <v>6.1226520711531278E-2</v>
      </c>
      <c r="R7" s="17" t="s">
        <v>12</v>
      </c>
      <c r="S7" t="s">
        <v>196</v>
      </c>
    </row>
    <row r="8" spans="1:19" x14ac:dyDescent="0.15">
      <c r="A8" t="s">
        <v>14</v>
      </c>
      <c r="D8">
        <v>0.12989999999999999</v>
      </c>
      <c r="E8">
        <v>30.6</v>
      </c>
      <c r="F8">
        <v>3.42</v>
      </c>
      <c r="G8" s="10">
        <f t="shared" si="0"/>
        <v>0.1519298245614035</v>
      </c>
      <c r="H8" s="5">
        <f>2.82*4%</f>
        <v>0.1128</v>
      </c>
      <c r="I8" s="5">
        <f>0.1/F8</f>
        <v>2.9239766081871347E-2</v>
      </c>
      <c r="J8" s="33">
        <v>4.67</v>
      </c>
      <c r="K8" s="33">
        <f>(D8*4/0.07-J8)*0.9+J8</f>
        <v>7.1475714285714282</v>
      </c>
      <c r="L8" s="5">
        <f>(K8-F8)/K8</f>
        <v>0.52151579957228233</v>
      </c>
      <c r="M8">
        <v>14.81</v>
      </c>
      <c r="N8" s="5">
        <v>-3.8300000000000001E-2</v>
      </c>
      <c r="O8">
        <v>3.92</v>
      </c>
      <c r="P8" s="5">
        <v>0.42330000000000001</v>
      </c>
      <c r="Q8" s="28">
        <f t="shared" si="2"/>
        <v>0.26468602295746119</v>
      </c>
      <c r="R8" t="s">
        <v>15</v>
      </c>
      <c r="S8" t="s">
        <v>196</v>
      </c>
    </row>
    <row r="9" spans="1:19" x14ac:dyDescent="0.15">
      <c r="A9" s="4" t="s">
        <v>4</v>
      </c>
      <c r="C9" s="5"/>
      <c r="D9" s="6">
        <v>0.14000000000000001</v>
      </c>
      <c r="E9" s="6">
        <v>21.6</v>
      </c>
      <c r="F9" s="6">
        <v>4.87</v>
      </c>
      <c r="G9" s="10">
        <f t="shared" si="0"/>
        <v>0.11498973305954827</v>
      </c>
      <c r="H9" s="5">
        <f>2.23*4%</f>
        <v>8.9200000000000002E-2</v>
      </c>
      <c r="I9" s="5">
        <f>0.1/F9</f>
        <v>2.0533880903490759E-2</v>
      </c>
      <c r="J9" s="33">
        <v>5.16</v>
      </c>
      <c r="K9" s="33">
        <f>D8*4/0.07*0.9</f>
        <v>6.6805714285714277</v>
      </c>
      <c r="L9" s="5">
        <f>(K9-F9)/F9</f>
        <v>0.3717805808154882</v>
      </c>
      <c r="M9" s="7">
        <v>466.88</v>
      </c>
      <c r="N9" s="5">
        <v>0.15720000000000001</v>
      </c>
      <c r="O9" s="7">
        <v>23.056000000000001</v>
      </c>
      <c r="P9" s="5">
        <v>0.67049999999999998</v>
      </c>
      <c r="Q9" s="28">
        <f t="shared" si="2"/>
        <v>4.9383139136394791E-2</v>
      </c>
      <c r="R9" t="s">
        <v>5</v>
      </c>
      <c r="S9" t="s">
        <v>196</v>
      </c>
    </row>
    <row r="10" spans="1:19" x14ac:dyDescent="0.15">
      <c r="A10" t="s">
        <v>43</v>
      </c>
      <c r="D10">
        <v>0.23250000000000001</v>
      </c>
      <c r="E10">
        <v>5.0599999999999996</v>
      </c>
      <c r="F10">
        <v>8.4499999999999993</v>
      </c>
      <c r="G10" s="10">
        <f t="shared" si="0"/>
        <v>0.11005917159763315</v>
      </c>
      <c r="H10" s="5">
        <f>2.42*4%</f>
        <v>9.6799999999999997E-2</v>
      </c>
      <c r="I10" s="5">
        <f>0.179/F10</f>
        <v>2.1183431952662722E-2</v>
      </c>
      <c r="J10" s="33">
        <v>9.51</v>
      </c>
      <c r="K10" s="33">
        <f>D10*4/0.07*0.9</f>
        <v>11.957142857142857</v>
      </c>
      <c r="L10" s="5">
        <f>(K10-F10)/F10</f>
        <v>0.41504649196956905</v>
      </c>
      <c r="M10">
        <v>14.77</v>
      </c>
      <c r="N10" s="5">
        <v>-0.19070000000000001</v>
      </c>
      <c r="O10">
        <v>1.135</v>
      </c>
      <c r="P10" s="5">
        <v>2.8500000000000001E-2</v>
      </c>
      <c r="Q10" s="28">
        <f t="shared" si="2"/>
        <v>7.6844955991875422E-2</v>
      </c>
      <c r="R10" t="s">
        <v>44</v>
      </c>
      <c r="S10" t="s">
        <v>196</v>
      </c>
    </row>
    <row r="11" spans="1:19" x14ac:dyDescent="0.15">
      <c r="A11" s="4" t="s">
        <v>8</v>
      </c>
      <c r="B11" s="6"/>
      <c r="C11" s="13"/>
      <c r="D11" s="6">
        <v>0.16839999999999999</v>
      </c>
      <c r="E11" s="6">
        <v>17.3</v>
      </c>
      <c r="F11" s="6">
        <v>5.1100000000000003</v>
      </c>
      <c r="G11" s="40">
        <f t="shared" si="0"/>
        <v>0.13181996086105674</v>
      </c>
      <c r="H11" s="13">
        <f>5.35*4%</f>
        <v>0.214</v>
      </c>
      <c r="I11" s="13">
        <f>0.15/F11</f>
        <v>2.9354207436399216E-2</v>
      </c>
      <c r="J11" s="35">
        <v>3.02</v>
      </c>
      <c r="K11" s="35">
        <f>D11*4/0.07*0.9</f>
        <v>8.6605714285714264</v>
      </c>
      <c r="L11" s="13">
        <f>(K11-F11)/K11</f>
        <v>0.40996964898390059</v>
      </c>
      <c r="M11" s="14">
        <v>33.39</v>
      </c>
      <c r="N11" s="15">
        <v>2.41E-2</v>
      </c>
      <c r="O11" s="16">
        <v>2.9169</v>
      </c>
      <c r="P11" s="5">
        <v>0.41089999999999999</v>
      </c>
      <c r="Q11" s="28">
        <f t="shared" si="2"/>
        <v>8.7358490566037741E-2</v>
      </c>
      <c r="R11" t="s">
        <v>9</v>
      </c>
      <c r="S11" t="s">
        <v>196</v>
      </c>
    </row>
    <row r="12" spans="1:19" ht="12" customHeight="1" x14ac:dyDescent="0.15">
      <c r="A12" t="s">
        <v>41</v>
      </c>
      <c r="D12">
        <v>0.27</v>
      </c>
      <c r="E12">
        <v>5.59</v>
      </c>
      <c r="F12">
        <v>10.42</v>
      </c>
      <c r="G12" s="10">
        <f t="shared" si="0"/>
        <v>0.1036468330134357</v>
      </c>
      <c r="H12" s="5">
        <f>3.48*4%</f>
        <v>0.13919999999999999</v>
      </c>
      <c r="I12" s="5">
        <f>1.2/F12</f>
        <v>0.11516314779270632</v>
      </c>
      <c r="J12" s="33">
        <v>8.25</v>
      </c>
      <c r="K12" s="33">
        <f>D12*4/0.07*0.9</f>
        <v>13.885714285714286</v>
      </c>
      <c r="L12" s="5">
        <f>(K12-F12)/F12</f>
        <v>0.33260213874417333</v>
      </c>
      <c r="M12">
        <v>11.57</v>
      </c>
      <c r="N12" s="5">
        <v>0.22450000000000001</v>
      </c>
      <c r="O12">
        <v>1.4550000000000001</v>
      </c>
      <c r="P12" s="5">
        <v>0.16539999999999999</v>
      </c>
      <c r="Q12" s="28">
        <f t="shared" si="2"/>
        <v>0.1257562662057044</v>
      </c>
      <c r="R12" t="s">
        <v>42</v>
      </c>
      <c r="S12" t="s">
        <v>196</v>
      </c>
    </row>
    <row r="13" spans="1:19" x14ac:dyDescent="0.15">
      <c r="A13" s="4" t="s">
        <v>10</v>
      </c>
      <c r="C13" s="5"/>
      <c r="D13" s="6">
        <v>0.51</v>
      </c>
      <c r="E13" s="6">
        <v>2.2400000000000002</v>
      </c>
      <c r="F13" s="6">
        <v>19.829999999999998</v>
      </c>
      <c r="G13" s="10">
        <f t="shared" si="0"/>
        <v>0.10287443267776097</v>
      </c>
      <c r="H13" s="5">
        <f>3.17*4%</f>
        <v>0.1268</v>
      </c>
      <c r="I13" s="5">
        <f>0.68/19.6</f>
        <v>3.4693877551020408E-2</v>
      </c>
      <c r="J13" s="33">
        <v>11.67</v>
      </c>
      <c r="K13" s="33">
        <f>D13*4/0.07*0.9</f>
        <v>26.228571428571428</v>
      </c>
      <c r="L13" s="5">
        <f>(K13-F13)/F13</f>
        <v>0.32267127728549821</v>
      </c>
      <c r="M13" s="7">
        <v>7.73</v>
      </c>
      <c r="N13" s="5">
        <v>0.3327</v>
      </c>
      <c r="O13" s="7">
        <v>0.81599999999999995</v>
      </c>
      <c r="P13" s="5">
        <v>5.21E-2</v>
      </c>
      <c r="Q13" s="28">
        <f t="shared" si="2"/>
        <v>0.10556274256144889</v>
      </c>
      <c r="R13" t="s">
        <v>11</v>
      </c>
      <c r="S13" t="s">
        <v>196</v>
      </c>
    </row>
    <row r="14" spans="1:19" x14ac:dyDescent="0.15">
      <c r="A14" t="s">
        <v>18</v>
      </c>
      <c r="D14">
        <f>(4.72-0.89*0.75)/48.1</f>
        <v>8.4251559251559249E-2</v>
      </c>
      <c r="E14">
        <v>48.1</v>
      </c>
      <c r="F14">
        <v>4</v>
      </c>
      <c r="G14" s="10">
        <f t="shared" si="0"/>
        <v>8.4251559251559249E-2</v>
      </c>
      <c r="H14" s="5">
        <f>1.88*4%</f>
        <v>7.5200000000000003E-2</v>
      </c>
      <c r="I14" s="5">
        <f>0.178/F14</f>
        <v>4.4499999999999998E-2</v>
      </c>
      <c r="J14" s="33">
        <v>5.64</v>
      </c>
      <c r="K14" s="33">
        <f>(D14*4/0.07-J14)*0.09+J14</f>
        <v>5.5656937332937328</v>
      </c>
      <c r="L14" s="5">
        <f>(K14-F14)/K14</f>
        <v>0.28131151448880892</v>
      </c>
      <c r="M14">
        <v>11.48</v>
      </c>
      <c r="N14" s="5">
        <v>-0.27939999999999998</v>
      </c>
      <c r="O14">
        <f>(4.72-0.89*0.75)</f>
        <v>4.0525000000000002</v>
      </c>
      <c r="P14" s="5">
        <v>-0.13300000000000001</v>
      </c>
      <c r="Q14" s="28">
        <f t="shared" si="2"/>
        <v>0.35300522648083626</v>
      </c>
      <c r="R14" t="s">
        <v>19</v>
      </c>
      <c r="S14" t="s">
        <v>196</v>
      </c>
    </row>
    <row r="15" spans="1:19" x14ac:dyDescent="0.15">
      <c r="A15" t="s">
        <v>16</v>
      </c>
      <c r="D15">
        <v>0.23</v>
      </c>
      <c r="E15">
        <v>5.9</v>
      </c>
      <c r="F15">
        <v>9.85</v>
      </c>
      <c r="G15" s="10">
        <f t="shared" si="0"/>
        <v>9.3401015228426407E-2</v>
      </c>
      <c r="H15" s="5">
        <f>2.41*4%</f>
        <v>9.6400000000000013E-2</v>
      </c>
      <c r="I15" s="5">
        <f>0.1/F15</f>
        <v>1.0152284263959392E-2</v>
      </c>
      <c r="J15" s="33">
        <v>9.51</v>
      </c>
      <c r="K15" s="33">
        <f t="shared" ref="K15:K25" si="3">D15*4/0.07*0.9</f>
        <v>11.828571428571429</v>
      </c>
      <c r="L15" s="5">
        <f>(K15-J15)/J15</f>
        <v>0.24380351509689058</v>
      </c>
      <c r="M15">
        <v>27.63</v>
      </c>
      <c r="N15" s="5">
        <v>0.3029</v>
      </c>
      <c r="O15">
        <v>1.0189999999999999</v>
      </c>
      <c r="P15" s="5">
        <v>0.33169999999999999</v>
      </c>
      <c r="Q15" s="28">
        <f t="shared" si="2"/>
        <v>3.6880202678248278E-2</v>
      </c>
      <c r="R15" t="s">
        <v>17</v>
      </c>
      <c r="S15" t="s">
        <v>196</v>
      </c>
    </row>
    <row r="16" spans="1:19" x14ac:dyDescent="0.15">
      <c r="A16" t="s">
        <v>20</v>
      </c>
      <c r="D16">
        <v>0.2</v>
      </c>
      <c r="E16">
        <v>50.38</v>
      </c>
      <c r="F16">
        <v>9.2899999999999991</v>
      </c>
      <c r="G16" s="10">
        <f t="shared" si="0"/>
        <v>8.6114101184068897E-2</v>
      </c>
      <c r="H16" s="5">
        <f>4.16*4%</f>
        <v>0.16640000000000002</v>
      </c>
      <c r="I16" s="5">
        <f>0.44/F16</f>
        <v>4.7362755651237896E-2</v>
      </c>
      <c r="J16" s="33">
        <v>5.13</v>
      </c>
      <c r="K16" s="33">
        <f t="shared" si="3"/>
        <v>10.285714285714286</v>
      </c>
      <c r="L16" s="5">
        <f t="shared" ref="L16:L32" si="4">(K16-F16)/F16</f>
        <v>0.10718130093802879</v>
      </c>
      <c r="M16">
        <v>28.2</v>
      </c>
      <c r="N16" s="5">
        <v>0.22950000000000001</v>
      </c>
      <c r="O16">
        <v>10.17</v>
      </c>
      <c r="P16" s="5">
        <v>0.16420000000000001</v>
      </c>
      <c r="Q16" s="28">
        <f t="shared" si="2"/>
        <v>0.36063829787234042</v>
      </c>
      <c r="R16" t="s">
        <v>38</v>
      </c>
      <c r="S16" t="s">
        <v>196</v>
      </c>
    </row>
    <row r="17" spans="1:19" x14ac:dyDescent="0.15">
      <c r="A17" t="s">
        <v>39</v>
      </c>
      <c r="D17">
        <v>0.25</v>
      </c>
      <c r="E17">
        <v>44.93</v>
      </c>
      <c r="F17">
        <v>12.07</v>
      </c>
      <c r="G17" s="10">
        <f t="shared" si="0"/>
        <v>8.2850041425020712E-2</v>
      </c>
      <c r="H17" s="5">
        <f>9.63*4%</f>
        <v>0.38520000000000004</v>
      </c>
      <c r="I17" s="5">
        <f>0.48/F17</f>
        <v>3.9768019884009936E-2</v>
      </c>
      <c r="J17" s="33">
        <v>2.74</v>
      </c>
      <c r="K17" s="33">
        <f t="shared" si="3"/>
        <v>12.857142857142856</v>
      </c>
      <c r="L17" s="5">
        <f t="shared" si="4"/>
        <v>6.5214818321694748E-2</v>
      </c>
      <c r="M17">
        <v>57.86</v>
      </c>
      <c r="N17" s="5">
        <v>0.1216</v>
      </c>
      <c r="O17">
        <v>11.17</v>
      </c>
      <c r="P17" s="5">
        <v>0.11609999999999999</v>
      </c>
      <c r="Q17" s="28">
        <f t="shared" si="2"/>
        <v>0.19305219495333564</v>
      </c>
      <c r="R17" t="s">
        <v>40</v>
      </c>
      <c r="S17" t="s">
        <v>196</v>
      </c>
    </row>
    <row r="18" spans="1:19" x14ac:dyDescent="0.15">
      <c r="A18" t="s">
        <v>50</v>
      </c>
      <c r="D18">
        <v>0.37</v>
      </c>
      <c r="E18">
        <v>7.69</v>
      </c>
      <c r="F18">
        <v>11.52</v>
      </c>
      <c r="G18" s="10">
        <f t="shared" si="0"/>
        <v>0.12847222222222224</v>
      </c>
      <c r="H18" s="5">
        <f>3.88*4%</f>
        <v>0.1552</v>
      </c>
      <c r="I18" s="5">
        <f>0.08/11.52</f>
        <v>6.9444444444444449E-3</v>
      </c>
      <c r="J18" s="33">
        <v>9.73</v>
      </c>
      <c r="K18" s="33">
        <f t="shared" si="3"/>
        <v>19.028571428571428</v>
      </c>
      <c r="L18" s="5">
        <f t="shared" si="4"/>
        <v>0.6517857142857143</v>
      </c>
      <c r="M18">
        <v>48.3</v>
      </c>
      <c r="N18" s="5">
        <v>3.5099999999999999E-2</v>
      </c>
      <c r="O18">
        <v>2.81</v>
      </c>
      <c r="P18" s="5">
        <v>-6.8999999999999999E-3</v>
      </c>
      <c r="Q18" s="5">
        <f t="shared" si="2"/>
        <v>5.8178053830227748E-2</v>
      </c>
      <c r="R18" t="s">
        <v>51</v>
      </c>
      <c r="S18" t="s">
        <v>196</v>
      </c>
    </row>
    <row r="19" spans="1:19" x14ac:dyDescent="0.15">
      <c r="A19" t="s">
        <v>52</v>
      </c>
      <c r="D19">
        <v>0.19</v>
      </c>
      <c r="E19">
        <v>9.3699999999999992</v>
      </c>
      <c r="F19">
        <v>8.5</v>
      </c>
      <c r="G19" s="10">
        <f t="shared" ref="G19:G32" si="5">D19*4/F19</f>
        <v>8.9411764705882357E-2</v>
      </c>
      <c r="H19" s="5">
        <f>1.85*4%</f>
        <v>7.400000000000001E-2</v>
      </c>
      <c r="I19" s="5">
        <f>0.02/F18</f>
        <v>1.7361111111111112E-3</v>
      </c>
      <c r="J19" s="33">
        <f>30/E19</f>
        <v>3.2017075773746</v>
      </c>
      <c r="K19" s="33">
        <f t="shared" si="3"/>
        <v>9.7714285714285705</v>
      </c>
      <c r="L19" s="5">
        <f t="shared" si="4"/>
        <v>0.14957983193277299</v>
      </c>
      <c r="M19">
        <v>7.41</v>
      </c>
      <c r="N19" s="5">
        <v>0.1598</v>
      </c>
      <c r="O19">
        <v>1.34</v>
      </c>
      <c r="P19" s="5">
        <v>-0.31540000000000001</v>
      </c>
      <c r="Q19" s="5">
        <f t="shared" si="2"/>
        <v>0.18083670715249664</v>
      </c>
      <c r="R19" t="s">
        <v>53</v>
      </c>
      <c r="S19" t="s">
        <v>196</v>
      </c>
    </row>
    <row r="20" spans="1:19" x14ac:dyDescent="0.15">
      <c r="A20" t="s">
        <v>54</v>
      </c>
      <c r="D20">
        <v>0.13</v>
      </c>
      <c r="E20">
        <v>10.34</v>
      </c>
      <c r="F20">
        <v>4.71</v>
      </c>
      <c r="G20" s="10">
        <f t="shared" si="5"/>
        <v>0.11040339702760085</v>
      </c>
      <c r="H20" s="5">
        <f>4*4%</f>
        <v>0.16</v>
      </c>
      <c r="I20" s="5">
        <f>0.11/F20</f>
        <v>2.3354564755838643E-2</v>
      </c>
      <c r="J20" s="33">
        <v>3.41</v>
      </c>
      <c r="K20" s="33">
        <f t="shared" si="3"/>
        <v>6.6857142857142851</v>
      </c>
      <c r="L20" s="5">
        <f t="shared" si="4"/>
        <v>0.41947224749772505</v>
      </c>
      <c r="M20">
        <v>6.13</v>
      </c>
      <c r="N20" s="5">
        <v>0.94950000000000001</v>
      </c>
      <c r="O20">
        <v>1.37</v>
      </c>
      <c r="P20" s="5">
        <v>0.24210000000000001</v>
      </c>
      <c r="Q20" s="5">
        <f t="shared" si="2"/>
        <v>0.22349102773246332</v>
      </c>
      <c r="R20" t="s">
        <v>55</v>
      </c>
      <c r="S20" t="s">
        <v>196</v>
      </c>
    </row>
    <row r="21" spans="1:19" x14ac:dyDescent="0.15">
      <c r="A21" t="s">
        <v>56</v>
      </c>
      <c r="D21">
        <v>0.28999999999999998</v>
      </c>
      <c r="E21">
        <v>6.02</v>
      </c>
      <c r="F21">
        <v>13.41</v>
      </c>
      <c r="G21" s="10">
        <f t="shared" si="5"/>
        <v>8.6502609992542875E-2</v>
      </c>
      <c r="H21" s="5">
        <f>3.34*4%</f>
        <v>0.1336</v>
      </c>
      <c r="I21" s="5">
        <f>0.326/F21</f>
        <v>2.4310216256524981E-2</v>
      </c>
      <c r="J21" s="33">
        <v>8.84</v>
      </c>
      <c r="K21" s="33">
        <f t="shared" si="3"/>
        <v>14.914285714285713</v>
      </c>
      <c r="L21" s="5">
        <f t="shared" si="4"/>
        <v>0.11217641418983688</v>
      </c>
      <c r="M21">
        <v>9.39</v>
      </c>
      <c r="N21" s="5">
        <v>0.20219999999999999</v>
      </c>
      <c r="O21">
        <v>1.24</v>
      </c>
      <c r="P21" s="21">
        <v>0.68</v>
      </c>
      <c r="Q21" s="5">
        <f t="shared" si="2"/>
        <v>0.13205537806176784</v>
      </c>
      <c r="R21" t="s">
        <v>57</v>
      </c>
      <c r="S21" t="s">
        <v>196</v>
      </c>
    </row>
    <row r="22" spans="1:19" x14ac:dyDescent="0.15">
      <c r="A22" t="s">
        <v>58</v>
      </c>
      <c r="D22">
        <v>0.3</v>
      </c>
      <c r="E22">
        <v>3.44</v>
      </c>
      <c r="F22">
        <v>11.64</v>
      </c>
      <c r="G22" s="10">
        <f t="shared" si="5"/>
        <v>0.10309278350515463</v>
      </c>
      <c r="H22" s="5">
        <f>3.89*4%</f>
        <v>0.15560000000000002</v>
      </c>
      <c r="I22" s="5">
        <f>0.1/F22</f>
        <v>8.5910652920962206E-3</v>
      </c>
      <c r="J22" s="33">
        <v>8.01</v>
      </c>
      <c r="K22" s="33">
        <f t="shared" si="3"/>
        <v>15.428571428571429</v>
      </c>
      <c r="L22" s="5">
        <f t="shared" si="4"/>
        <v>0.32547864506627389</v>
      </c>
      <c r="M22">
        <v>6.7</v>
      </c>
      <c r="N22" s="5">
        <v>0.18110000000000001</v>
      </c>
      <c r="O22">
        <v>0.99</v>
      </c>
      <c r="P22" s="5">
        <v>-9.0899999999999995E-2</v>
      </c>
      <c r="Q22" s="5">
        <f t="shared" si="2"/>
        <v>0.14776119402985075</v>
      </c>
      <c r="R22" t="s">
        <v>59</v>
      </c>
      <c r="S22" t="s">
        <v>196</v>
      </c>
    </row>
    <row r="23" spans="1:19" x14ac:dyDescent="0.15">
      <c r="A23" t="s">
        <v>60</v>
      </c>
      <c r="D23">
        <v>0.1</v>
      </c>
      <c r="E23">
        <v>25.85</v>
      </c>
      <c r="F23">
        <v>4.2300000000000004</v>
      </c>
      <c r="G23" s="10">
        <f t="shared" si="5"/>
        <v>9.4562647754137114E-2</v>
      </c>
      <c r="H23" s="5">
        <f>4.26*4%</f>
        <v>0.1704</v>
      </c>
      <c r="I23" s="5">
        <f>0.11/F23</f>
        <v>2.6004728132387703E-2</v>
      </c>
      <c r="J23" s="33">
        <v>2.34</v>
      </c>
      <c r="K23" s="33">
        <f t="shared" si="3"/>
        <v>5.1428571428571432</v>
      </c>
      <c r="L23" s="5">
        <f t="shared" si="4"/>
        <v>0.21580547112462004</v>
      </c>
      <c r="M23">
        <v>14.13</v>
      </c>
      <c r="N23" s="5">
        <v>-5.5300000000000002E-2</v>
      </c>
      <c r="O23">
        <v>2.5099999999999998</v>
      </c>
      <c r="P23" s="5">
        <v>-0.1694</v>
      </c>
      <c r="Q23" s="5">
        <f t="shared" si="2"/>
        <v>0.1776362349610757</v>
      </c>
      <c r="R23" t="s">
        <v>61</v>
      </c>
      <c r="S23" t="s">
        <v>196</v>
      </c>
    </row>
    <row r="24" spans="1:19" x14ac:dyDescent="0.15">
      <c r="A24" t="s">
        <v>76</v>
      </c>
      <c r="D24">
        <v>0.17</v>
      </c>
      <c r="E24">
        <v>11.5</v>
      </c>
      <c r="F24">
        <v>7.4</v>
      </c>
      <c r="G24" s="10">
        <f t="shared" si="5"/>
        <v>9.1891891891891897E-2</v>
      </c>
      <c r="H24" s="5">
        <f>2.76*4%</f>
        <v>0.1104</v>
      </c>
      <c r="I24" s="5">
        <f>0.21/F24</f>
        <v>2.8378378378378376E-2</v>
      </c>
      <c r="J24" s="33">
        <v>4.84</v>
      </c>
      <c r="K24" s="33">
        <f t="shared" si="3"/>
        <v>8.742857142857142</v>
      </c>
      <c r="L24" s="5">
        <f t="shared" si="4"/>
        <v>0.1814671814671813</v>
      </c>
      <c r="M24">
        <v>12.1</v>
      </c>
      <c r="N24" s="5">
        <v>0.9466</v>
      </c>
      <c r="O24">
        <v>1.53</v>
      </c>
      <c r="P24" s="5">
        <v>0.11320000000000001</v>
      </c>
      <c r="Q24" s="5">
        <f t="shared" si="2"/>
        <v>0.12644628099173555</v>
      </c>
      <c r="R24" t="s">
        <v>68</v>
      </c>
      <c r="S24" t="s">
        <v>196</v>
      </c>
    </row>
    <row r="25" spans="1:19" x14ac:dyDescent="0.15">
      <c r="A25" t="s">
        <v>74</v>
      </c>
      <c r="D25">
        <v>0.52</v>
      </c>
      <c r="E25">
        <v>1.2395</v>
      </c>
      <c r="F25">
        <v>24.09</v>
      </c>
      <c r="G25" s="10">
        <f t="shared" si="5"/>
        <v>8.6342880863428811E-2</v>
      </c>
      <c r="H25" s="5">
        <f>3.26*4%</f>
        <v>0.13039999999999999</v>
      </c>
      <c r="I25" s="5">
        <f>0.8/F25</f>
        <v>3.3208800332088007E-2</v>
      </c>
      <c r="J25" s="33">
        <v>16.05</v>
      </c>
      <c r="K25" s="33">
        <f t="shared" si="3"/>
        <v>26.74285714285714</v>
      </c>
      <c r="L25" s="5">
        <f t="shared" si="4"/>
        <v>0.11012275395837029</v>
      </c>
      <c r="M25">
        <v>2.2599999999999998</v>
      </c>
      <c r="N25" s="5">
        <v>7.7699999999999991E-2</v>
      </c>
      <c r="O25">
        <v>0.30299999999999999</v>
      </c>
      <c r="P25" s="5">
        <v>-0.108</v>
      </c>
      <c r="Q25" s="5">
        <f t="shared" si="2"/>
        <v>0.134070796460177</v>
      </c>
      <c r="R25" t="s">
        <v>75</v>
      </c>
      <c r="S25" t="s">
        <v>196</v>
      </c>
    </row>
    <row r="26" spans="1:19" x14ac:dyDescent="0.15">
      <c r="A26" t="s">
        <v>62</v>
      </c>
      <c r="D26">
        <v>0.26</v>
      </c>
      <c r="E26">
        <v>2.27</v>
      </c>
      <c r="F26">
        <v>17.98</v>
      </c>
      <c r="G26" s="5">
        <f t="shared" si="5"/>
        <v>5.78420467185762E-2</v>
      </c>
      <c r="I26" s="5">
        <f>0.118/F26</f>
        <v>6.5628476084538369E-3</v>
      </c>
      <c r="J26">
        <v>10</v>
      </c>
      <c r="K26">
        <f t="shared" ref="K26:K32" si="6">D26*4/0.07</f>
        <v>14.857142857142856</v>
      </c>
      <c r="L26" s="5">
        <f t="shared" si="4"/>
        <v>-0.17368504687748301</v>
      </c>
      <c r="M26">
        <v>2.21</v>
      </c>
      <c r="N26" s="5">
        <v>0.31940000000000002</v>
      </c>
      <c r="O26">
        <v>0.45</v>
      </c>
      <c r="P26" s="5">
        <v>0.31940000000000002</v>
      </c>
      <c r="Q26" s="5">
        <f t="shared" si="2"/>
        <v>0.20361990950226244</v>
      </c>
      <c r="R26" t="s">
        <v>63</v>
      </c>
      <c r="S26" t="s">
        <v>198</v>
      </c>
    </row>
    <row r="27" spans="1:19" x14ac:dyDescent="0.15">
      <c r="A27" t="s">
        <v>64</v>
      </c>
      <c r="D27">
        <v>0.34</v>
      </c>
      <c r="E27">
        <v>4.8499999999999996</v>
      </c>
      <c r="F27">
        <v>31.71</v>
      </c>
      <c r="G27" s="5">
        <f t="shared" si="5"/>
        <v>4.2888678650268054E-2</v>
      </c>
      <c r="H27" s="5">
        <f>4.64*4%</f>
        <v>0.18559999999999999</v>
      </c>
      <c r="I27" s="5">
        <f>0.6/F27</f>
        <v>1.8921475875118259E-2</v>
      </c>
      <c r="J27">
        <v>7.3</v>
      </c>
      <c r="K27">
        <f t="shared" si="6"/>
        <v>19.428571428571427</v>
      </c>
      <c r="L27" s="5">
        <f t="shared" si="4"/>
        <v>-0.38730459071045642</v>
      </c>
      <c r="M27">
        <v>9.3800000000000008</v>
      </c>
      <c r="N27" s="5">
        <v>0.1691</v>
      </c>
      <c r="O27">
        <v>1.61</v>
      </c>
      <c r="P27" s="5">
        <v>0.28739999999999999</v>
      </c>
      <c r="Q27" s="5">
        <f t="shared" si="2"/>
        <v>0.17164179104477612</v>
      </c>
      <c r="R27" t="s">
        <v>65</v>
      </c>
      <c r="S27" t="s">
        <v>198</v>
      </c>
    </row>
    <row r="28" spans="1:19" x14ac:dyDescent="0.15">
      <c r="A28" t="s">
        <v>66</v>
      </c>
      <c r="D28">
        <v>0.33</v>
      </c>
      <c r="E28">
        <v>13.16</v>
      </c>
      <c r="F28">
        <v>53.57</v>
      </c>
      <c r="G28" s="5">
        <f t="shared" si="5"/>
        <v>2.4640657084188913E-2</v>
      </c>
      <c r="H28" s="5">
        <f>7.45*4%</f>
        <v>0.29799999999999999</v>
      </c>
      <c r="I28" s="5">
        <f>0.238/F28</f>
        <v>4.4427851409370913E-3</v>
      </c>
      <c r="J28">
        <v>6.89</v>
      </c>
      <c r="K28">
        <f t="shared" si="6"/>
        <v>18.857142857142858</v>
      </c>
      <c r="L28" s="5">
        <f t="shared" si="4"/>
        <v>-0.64799061308301564</v>
      </c>
      <c r="M28">
        <v>26.57</v>
      </c>
      <c r="N28" s="5">
        <v>0.40439999999999998</v>
      </c>
      <c r="O28">
        <v>4.04</v>
      </c>
      <c r="P28" s="5">
        <v>0.44740000000000002</v>
      </c>
      <c r="Q28" s="5">
        <f t="shared" si="2"/>
        <v>0.15205118554761007</v>
      </c>
      <c r="R28" t="s">
        <v>67</v>
      </c>
      <c r="S28" t="s">
        <v>198</v>
      </c>
    </row>
    <row r="29" spans="1:19" x14ac:dyDescent="0.15">
      <c r="A29" t="s">
        <v>69</v>
      </c>
      <c r="D29">
        <v>0.43</v>
      </c>
      <c r="E29">
        <v>9.7899999999999991</v>
      </c>
      <c r="F29">
        <v>27.08</v>
      </c>
      <c r="G29" s="5">
        <f t="shared" si="5"/>
        <v>6.3515509601181686E-2</v>
      </c>
      <c r="H29" s="5">
        <f>4.21*4%</f>
        <v>0.16839999999999999</v>
      </c>
      <c r="I29" s="5">
        <f>0.46/F29</f>
        <v>1.6986706056129987E-2</v>
      </c>
      <c r="J29">
        <v>10.48</v>
      </c>
      <c r="K29">
        <f t="shared" si="6"/>
        <v>24.571428571428569</v>
      </c>
      <c r="L29" s="5">
        <f t="shared" si="4"/>
        <v>-9.2635577125975962E-2</v>
      </c>
      <c r="M29">
        <v>33.799999999999997</v>
      </c>
      <c r="N29" s="5">
        <v>0.37590000000000001</v>
      </c>
      <c r="O29">
        <v>3.91</v>
      </c>
      <c r="P29" s="5">
        <v>0.107</v>
      </c>
      <c r="Q29" s="5">
        <f t="shared" si="2"/>
        <v>0.11568047337278108</v>
      </c>
      <c r="R29" t="s">
        <v>70</v>
      </c>
      <c r="S29" t="s">
        <v>198</v>
      </c>
    </row>
    <row r="30" spans="1:19" x14ac:dyDescent="0.15">
      <c r="A30" t="s">
        <v>71</v>
      </c>
      <c r="D30">
        <v>0.79</v>
      </c>
      <c r="E30">
        <v>66.239999999999995</v>
      </c>
      <c r="F30">
        <v>48.3</v>
      </c>
      <c r="G30" s="5">
        <f t="shared" si="5"/>
        <v>6.5424430641821948E-2</v>
      </c>
      <c r="H30" s="5">
        <f>6.86*4%</f>
        <v>0.27440000000000003</v>
      </c>
      <c r="I30" s="5">
        <f>1.2/F30</f>
        <v>2.4844720496894412E-2</v>
      </c>
      <c r="J30">
        <v>12.03</v>
      </c>
      <c r="K30">
        <f t="shared" si="6"/>
        <v>45.142857142857139</v>
      </c>
      <c r="L30" s="5">
        <f t="shared" si="4"/>
        <v>-6.5365276545400794E-2</v>
      </c>
      <c r="M30">
        <v>697.38</v>
      </c>
      <c r="N30" s="5">
        <v>0.16700000000000001</v>
      </c>
      <c r="O30">
        <v>50.77</v>
      </c>
      <c r="P30" s="5">
        <v>0.19109999999999999</v>
      </c>
      <c r="Q30" s="5">
        <f t="shared" si="2"/>
        <v>7.2801055378703156E-2</v>
      </c>
      <c r="R30" t="s">
        <v>72</v>
      </c>
      <c r="S30" t="s">
        <v>198</v>
      </c>
    </row>
    <row r="31" spans="1:19" x14ac:dyDescent="0.15">
      <c r="A31" t="s">
        <v>73</v>
      </c>
      <c r="D31">
        <v>0.93</v>
      </c>
      <c r="E31">
        <v>6.54</v>
      </c>
      <c r="F31">
        <v>53.5</v>
      </c>
      <c r="G31" s="5">
        <f t="shared" si="5"/>
        <v>6.9532710280373833E-2</v>
      </c>
      <c r="H31" s="5">
        <f>6*4%</f>
        <v>0.24</v>
      </c>
      <c r="I31" s="5">
        <f>0.9/F31</f>
        <v>1.6822429906542057E-2</v>
      </c>
      <c r="J31">
        <v>16.010000000000002</v>
      </c>
      <c r="K31">
        <f t="shared" si="6"/>
        <v>53.142857142857139</v>
      </c>
      <c r="L31" s="5">
        <f t="shared" si="4"/>
        <v>-6.6755674232310503E-3</v>
      </c>
      <c r="M31">
        <v>16.96</v>
      </c>
      <c r="N31" s="5">
        <v>1.17E-2</v>
      </c>
      <c r="O31">
        <v>5.97</v>
      </c>
      <c r="P31" s="5">
        <v>2.0199999999999999E-2</v>
      </c>
      <c r="Q31" s="5">
        <f t="shared" si="2"/>
        <v>0.35200471698113206</v>
      </c>
      <c r="R31" t="s">
        <v>70</v>
      </c>
      <c r="S31" t="s">
        <v>198</v>
      </c>
    </row>
    <row r="32" spans="1:19" x14ac:dyDescent="0.15">
      <c r="A32" t="s">
        <v>77</v>
      </c>
      <c r="D32">
        <v>0.26</v>
      </c>
      <c r="E32">
        <v>3.07</v>
      </c>
      <c r="F32">
        <v>17.100000000000001</v>
      </c>
      <c r="G32" s="5">
        <f t="shared" si="5"/>
        <v>6.0818713450292397E-2</v>
      </c>
      <c r="H32" s="5">
        <f>3.61*4%</f>
        <v>0.1444</v>
      </c>
      <c r="I32" s="5">
        <f>0.5/F32</f>
        <v>2.9239766081871343E-2</v>
      </c>
      <c r="J32">
        <v>7.24</v>
      </c>
      <c r="K32">
        <f t="shared" si="6"/>
        <v>14.857142857142856</v>
      </c>
      <c r="L32" s="5">
        <f t="shared" si="4"/>
        <v>-0.13116123642439448</v>
      </c>
      <c r="M32">
        <v>2.63</v>
      </c>
      <c r="N32" s="5"/>
      <c r="O32">
        <v>0.79</v>
      </c>
      <c r="P32" s="5"/>
      <c r="Q32" s="5">
        <f t="shared" si="2"/>
        <v>0.30038022813688214</v>
      </c>
      <c r="R32" t="s">
        <v>78</v>
      </c>
      <c r="S32" t="s">
        <v>198</v>
      </c>
    </row>
  </sheetData>
  <sortState ref="A2:S27">
    <sortCondition descending="1" ref="L1"/>
  </sortState>
  <phoneticPr fontId="2" type="noConversion"/>
  <dataValidations count="1">
    <dataValidation type="list" allowBlank="1" showInputMessage="1" showErrorMessage="1" sqref="S2:S32">
      <formula1>"每股收益率&gt;7%,低价优质股,市场价格低于净资产价格,基于研发投入"</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2"/>
  <sheetViews>
    <sheetView zoomScaleNormal="100" workbookViewId="0">
      <selection activeCell="G3" sqref="G3"/>
    </sheetView>
  </sheetViews>
  <sheetFormatPr defaultRowHeight="13.5" x14ac:dyDescent="0.15"/>
  <cols>
    <col min="1" max="1" width="10.75" customWidth="1"/>
    <col min="2" max="2" width="24.75" style="33" customWidth="1"/>
    <col min="3" max="4" width="24.75" customWidth="1"/>
    <col min="5" max="6" width="27.125" customWidth="1"/>
    <col min="7" max="8" width="26.375" customWidth="1"/>
    <col min="9" max="10" width="14" customWidth="1"/>
    <col min="11" max="11" width="12.5" customWidth="1"/>
    <col min="16" max="16" width="15.25" customWidth="1"/>
    <col min="17" max="17" width="15.5" customWidth="1"/>
    <col min="18" max="18" width="24.125" customWidth="1"/>
    <col min="19" max="19" width="22.625" customWidth="1"/>
    <col min="20" max="20" width="24.5" customWidth="1"/>
    <col min="21" max="21" width="26.625" customWidth="1"/>
    <col min="22" max="23" width="21" customWidth="1"/>
  </cols>
  <sheetData>
    <row r="1" spans="1:25" ht="13.5" customHeight="1" x14ac:dyDescent="0.15">
      <c r="B1" s="72" t="s">
        <v>199</v>
      </c>
      <c r="C1" s="72"/>
      <c r="D1" s="72"/>
      <c r="E1" s="73" t="s">
        <v>83</v>
      </c>
      <c r="F1" s="73"/>
      <c r="G1" s="73"/>
      <c r="H1" s="73"/>
      <c r="I1" s="73"/>
      <c r="J1" s="73" t="s">
        <v>82</v>
      </c>
      <c r="K1" s="73"/>
      <c r="L1" s="73"/>
      <c r="M1" s="73"/>
      <c r="N1" s="73"/>
      <c r="O1" s="73"/>
      <c r="P1" s="73" t="s">
        <v>209</v>
      </c>
      <c r="Q1" s="73"/>
      <c r="R1" s="73"/>
      <c r="S1" s="73" t="s">
        <v>210</v>
      </c>
      <c r="T1" s="73"/>
      <c r="U1" s="73"/>
      <c r="V1" s="73" t="s">
        <v>193</v>
      </c>
      <c r="W1" s="73"/>
    </row>
    <row r="2" spans="1:25" ht="120" customHeight="1" x14ac:dyDescent="0.15">
      <c r="A2" s="1" t="s">
        <v>79</v>
      </c>
      <c r="B2" s="30" t="s">
        <v>201</v>
      </c>
      <c r="C2" s="42" t="s">
        <v>200</v>
      </c>
      <c r="D2" s="42" t="s">
        <v>194</v>
      </c>
      <c r="E2" s="1" t="s">
        <v>80</v>
      </c>
      <c r="F2" s="73" t="s">
        <v>345</v>
      </c>
      <c r="G2" s="73"/>
      <c r="H2" s="73"/>
      <c r="I2" s="1" t="s">
        <v>81</v>
      </c>
      <c r="J2" s="42" t="s">
        <v>223</v>
      </c>
      <c r="K2" s="42" t="s">
        <v>222</v>
      </c>
      <c r="L2" s="1" t="s">
        <v>84</v>
      </c>
      <c r="M2" s="41" t="s">
        <v>85</v>
      </c>
      <c r="N2" s="1" t="s">
        <v>86</v>
      </c>
      <c r="O2" s="1" t="s">
        <v>87</v>
      </c>
      <c r="P2" s="1" t="s">
        <v>98</v>
      </c>
      <c r="Q2" s="1" t="s">
        <v>97</v>
      </c>
      <c r="R2" s="42" t="s">
        <v>211</v>
      </c>
      <c r="S2" s="1" t="s">
        <v>99</v>
      </c>
      <c r="T2" s="1" t="s">
        <v>100</v>
      </c>
      <c r="U2" s="42" t="s">
        <v>214</v>
      </c>
      <c r="V2" s="42" t="s">
        <v>203</v>
      </c>
      <c r="W2" s="1"/>
      <c r="X2" s="1"/>
      <c r="Y2" s="1"/>
    </row>
    <row r="3" spans="1:25" ht="81" customHeight="1" x14ac:dyDescent="0.15">
      <c r="B3" s="30" t="s">
        <v>205</v>
      </c>
      <c r="C3" s="72" t="s">
        <v>202</v>
      </c>
      <c r="D3" s="72"/>
      <c r="F3" s="42" t="s">
        <v>401</v>
      </c>
      <c r="G3" s="42" t="s">
        <v>413</v>
      </c>
      <c r="H3" s="42"/>
      <c r="K3" s="72" t="s">
        <v>204</v>
      </c>
      <c r="L3" s="72"/>
      <c r="M3" s="72"/>
      <c r="N3" s="72"/>
      <c r="O3" s="72"/>
      <c r="P3" s="72" t="s">
        <v>212</v>
      </c>
      <c r="Q3" s="73"/>
      <c r="R3" s="73"/>
      <c r="V3" s="5"/>
      <c r="W3" s="5"/>
      <c r="X3" s="5"/>
      <c r="Y3" s="5"/>
    </row>
    <row r="4" spans="1:25" x14ac:dyDescent="0.15">
      <c r="A4" t="s">
        <v>96</v>
      </c>
      <c r="B4" s="33">
        <v>9.31</v>
      </c>
      <c r="C4" s="7">
        <f>(36-14)/3.7</f>
        <v>5.9459459459459456</v>
      </c>
      <c r="D4">
        <v>6.25</v>
      </c>
    </row>
    <row r="5" spans="1:25" s="17" customFormat="1" ht="12.75" customHeight="1" x14ac:dyDescent="0.15">
      <c r="A5" s="17" t="s">
        <v>206</v>
      </c>
      <c r="B5" s="32">
        <f>(12.3-0.76)/2.43</f>
        <v>4.7489711934156382</v>
      </c>
      <c r="C5" s="20">
        <f>(33.29-24.4)/2.43</f>
        <v>3.6584362139917697</v>
      </c>
      <c r="J5" s="18">
        <v>1.17E-2</v>
      </c>
      <c r="K5" s="18"/>
      <c r="O5" s="32">
        <f>208/17</f>
        <v>12.235294117647058</v>
      </c>
      <c r="P5" s="20">
        <f>33.29/23.89</f>
        <v>1.393470071159481</v>
      </c>
      <c r="Q5" s="20">
        <f>(33.28-4.05)/23.89</f>
        <v>1.2235244872331519</v>
      </c>
      <c r="R5" s="17" t="s">
        <v>215</v>
      </c>
      <c r="S5" s="45" t="s">
        <v>216</v>
      </c>
      <c r="T5" s="45" t="s">
        <v>216</v>
      </c>
      <c r="U5" s="45" t="s">
        <v>216</v>
      </c>
    </row>
    <row r="6" spans="1:25" x14ac:dyDescent="0.15">
      <c r="A6" t="s">
        <v>207</v>
      </c>
      <c r="B6" s="33">
        <f>(64.19-8.12-1.98)/10.75</f>
        <v>5.0316279069767447</v>
      </c>
      <c r="C6" s="7">
        <f>(38.43-16.02)/10.75</f>
        <v>2.0846511627906978</v>
      </c>
      <c r="J6" s="5">
        <v>6.3E-3</v>
      </c>
      <c r="K6" s="5"/>
      <c r="O6" s="33">
        <f>736/17</f>
        <v>43.294117647058826</v>
      </c>
    </row>
    <row r="7" spans="1:25" s="17" customFormat="1" x14ac:dyDescent="0.15">
      <c r="A7" s="17" t="s">
        <v>208</v>
      </c>
      <c r="B7" s="32">
        <f>(39.49-7.59)/11.61</f>
        <v>2.7476313522825153</v>
      </c>
      <c r="C7" s="20">
        <f>(28.47-3.13)/11.61</f>
        <v>2.1826012058570199</v>
      </c>
      <c r="J7" s="18">
        <v>1.6999999999999999E-3</v>
      </c>
      <c r="K7" s="18"/>
      <c r="O7" s="32">
        <f>557/15</f>
        <v>37.133333333333333</v>
      </c>
      <c r="P7" s="20">
        <f>248655/31297</f>
        <v>7.9450107039013327</v>
      </c>
      <c r="Q7" s="20">
        <f>(248655-10356)/31297</f>
        <v>7.6141163689810529</v>
      </c>
    </row>
    <row r="8" spans="1:25" x14ac:dyDescent="0.15">
      <c r="A8" t="s">
        <v>213</v>
      </c>
      <c r="B8" s="33">
        <f>(30.56-2.27)/22.78</f>
        <v>1.2418788410886741</v>
      </c>
      <c r="C8" s="7">
        <f>(41.16-16.75)/22.78</f>
        <v>1.071553994732221</v>
      </c>
      <c r="O8" s="33"/>
    </row>
    <row r="9" spans="1:25" s="17" customFormat="1" x14ac:dyDescent="0.15">
      <c r="A9" s="17" t="s">
        <v>217</v>
      </c>
      <c r="B9" s="32">
        <f>(51122-7348)/11200</f>
        <v>3.9083928571428572</v>
      </c>
      <c r="E9" s="17">
        <v>0.34</v>
      </c>
      <c r="F9" s="20">
        <f>NPV(5%,0.39,0.39,0.39,0.39,0.39)/1.1</f>
        <v>1.5349962741327448</v>
      </c>
      <c r="G9" s="20">
        <f>5.57/1.1</f>
        <v>5.0636363636363635</v>
      </c>
      <c r="H9" s="20"/>
      <c r="J9" s="18">
        <v>7.3000000000000001E-3</v>
      </c>
      <c r="K9" s="18"/>
      <c r="O9" s="32">
        <f>304/18</f>
        <v>16.888888888888889</v>
      </c>
      <c r="P9" s="20">
        <f>52367/28725</f>
        <v>1.8230461270670149</v>
      </c>
      <c r="Q9" s="20">
        <f>(52367-26519)/28725</f>
        <v>0.89984334203655347</v>
      </c>
    </row>
    <row r="10" spans="1:25" ht="12.75" customHeight="1" x14ac:dyDescent="0.15">
      <c r="A10" t="s">
        <v>221</v>
      </c>
      <c r="B10" s="33">
        <f>(140755-37289-28391)/40362</f>
        <v>1.8600416233090531</v>
      </c>
      <c r="E10">
        <v>0.97</v>
      </c>
      <c r="J10" s="5">
        <v>2.7000000000000001E-3</v>
      </c>
      <c r="K10" s="5">
        <v>0.41399999999999998</v>
      </c>
      <c r="O10" s="33">
        <v>37.799999999999997</v>
      </c>
      <c r="P10" s="7">
        <f>181671/111350</f>
        <v>1.6315312079030084</v>
      </c>
      <c r="Q10" s="7">
        <f>(181671-846)/111350</f>
        <v>1.6239335428828019</v>
      </c>
      <c r="R10" t="s">
        <v>224</v>
      </c>
    </row>
    <row r="11" spans="1:25" s="17" customFormat="1" x14ac:dyDescent="0.15">
      <c r="A11" s="17" t="s">
        <v>273</v>
      </c>
      <c r="B11" s="32">
        <f>(33.63-4.18)/9.08</f>
        <v>3.2433920704845818</v>
      </c>
      <c r="E11" s="17">
        <v>0.2</v>
      </c>
      <c r="J11" s="18">
        <v>5.4199999999999998E-2</v>
      </c>
      <c r="K11" s="18">
        <v>0.66410000000000002</v>
      </c>
      <c r="O11" s="32">
        <f>407/12</f>
        <v>33.916666666666664</v>
      </c>
      <c r="P11" s="20">
        <f>35.64/34.01</f>
        <v>1.0479270802705087</v>
      </c>
      <c r="Q11" s="20">
        <f>(35.64-19.6)/34.01</f>
        <v>0.47162599235518965</v>
      </c>
    </row>
    <row r="12" spans="1:25" x14ac:dyDescent="0.15">
      <c r="A12" t="s">
        <v>274</v>
      </c>
      <c r="B12" s="33">
        <f>(113.17-4.6)/11.687</f>
        <v>9.2898091896979569</v>
      </c>
      <c r="E12">
        <v>0.64</v>
      </c>
      <c r="J12" s="18">
        <v>1.26E-2</v>
      </c>
      <c r="K12" s="5">
        <v>0.49509999999999998</v>
      </c>
      <c r="O12" s="33">
        <f>936/32</f>
        <v>29.25</v>
      </c>
      <c r="P12" s="7">
        <f>246.35/174.58</f>
        <v>1.4111009279413449</v>
      </c>
      <c r="Q12" s="7">
        <f>(246.35-104.48)/174.58</f>
        <v>0.81263604078359486</v>
      </c>
    </row>
    <row r="13" spans="1:25" s="17" customFormat="1" x14ac:dyDescent="0.15">
      <c r="A13" s="17" t="s">
        <v>286</v>
      </c>
      <c r="B13" s="32">
        <f>(15.54-0.89)/2.95</f>
        <v>4.9661016949152534</v>
      </c>
      <c r="E13" s="17">
        <v>0.23</v>
      </c>
      <c r="F13" s="20">
        <f>NPV(5%,1.8,1.8,1.8,1.8,1.8)/2.95</f>
        <v>2.6417145786899914</v>
      </c>
      <c r="G13" s="20">
        <f>NPV(7%,2.13*1.1,2.13*1.1^2,2.13*1.1^3,2.13*1.1^4,2.13*1.1^5)/2.95</f>
        <v>3.925421744735921</v>
      </c>
      <c r="H13" s="20"/>
      <c r="J13" s="18">
        <v>3.7000000000000002E-3</v>
      </c>
      <c r="K13" s="18">
        <v>0.14749999999999999</v>
      </c>
      <c r="O13" s="32">
        <f>1389/17</f>
        <v>81.705882352941174</v>
      </c>
      <c r="P13" s="20">
        <f>7.37/2.66</f>
        <v>2.7706766917293231</v>
      </c>
      <c r="Q13" s="20">
        <f>(7.37-0.85)/2.66</f>
        <v>2.4511278195488724</v>
      </c>
    </row>
    <row r="14" spans="1:25" x14ac:dyDescent="0.15">
      <c r="A14" t="s">
        <v>292</v>
      </c>
      <c r="B14" s="7">
        <f>(22.44-0.39)/3.13</f>
        <v>7.0447284345047931</v>
      </c>
      <c r="J14" s="5">
        <v>2.0899999999999998E-2</v>
      </c>
      <c r="K14" s="5">
        <v>0.42470000000000002</v>
      </c>
      <c r="O14">
        <f>711/12</f>
        <v>59.25</v>
      </c>
      <c r="P14" s="7">
        <f>18.06/2.39</f>
        <v>7.556485355648535</v>
      </c>
      <c r="Q14" s="7">
        <f>(18.06-1.07)/2.39</f>
        <v>7.1087866108786599</v>
      </c>
    </row>
    <row r="15" spans="1:25" x14ac:dyDescent="0.15">
      <c r="A15" s="17" t="s">
        <v>344</v>
      </c>
      <c r="B15" s="33">
        <f>(197.69-21.02)/40.78</f>
        <v>4.3322707209416373</v>
      </c>
      <c r="E15" s="7"/>
      <c r="F15" s="7"/>
      <c r="J15" s="5">
        <v>1.1599999999999999E-2</v>
      </c>
      <c r="K15" s="5">
        <v>0.32219999999999999</v>
      </c>
      <c r="L15" s="5">
        <v>6.0000000000000001E-3</v>
      </c>
      <c r="O15">
        <f>975/20</f>
        <v>48.75</v>
      </c>
      <c r="P15" s="7">
        <f>115/16</f>
        <v>7.1875</v>
      </c>
      <c r="Q15" s="7">
        <f>(115-18)/16</f>
        <v>6.0625</v>
      </c>
    </row>
    <row r="16" spans="1:25" x14ac:dyDescent="0.15">
      <c r="E16" s="61"/>
      <c r="F16" s="61"/>
    </row>
    <row r="17" spans="5:7" x14ac:dyDescent="0.15">
      <c r="E17" s="7"/>
      <c r="F17" s="7"/>
    </row>
    <row r="18" spans="5:7" x14ac:dyDescent="0.15">
      <c r="E18" s="7"/>
      <c r="F18" s="7"/>
    </row>
    <row r="19" spans="5:7" x14ac:dyDescent="0.15">
      <c r="E19" s="7"/>
      <c r="F19" s="7"/>
    </row>
    <row r="20" spans="5:7" x14ac:dyDescent="0.15">
      <c r="E20" s="7"/>
      <c r="F20" s="7"/>
    </row>
    <row r="22" spans="5:7" x14ac:dyDescent="0.15">
      <c r="G22" t="s">
        <v>91</v>
      </c>
    </row>
  </sheetData>
  <mergeCells count="10">
    <mergeCell ref="B1:D1"/>
    <mergeCell ref="C3:D3"/>
    <mergeCell ref="V1:W1"/>
    <mergeCell ref="P1:R1"/>
    <mergeCell ref="S1:U1"/>
    <mergeCell ref="E1:I1"/>
    <mergeCell ref="K3:O3"/>
    <mergeCell ref="P3:R3"/>
    <mergeCell ref="J1:O1"/>
    <mergeCell ref="F2:H2"/>
  </mergeCells>
  <phoneticPr fontId="2" type="noConversion"/>
  <hyperlinks>
    <hyperlink ref="S5" r:id="rId1"/>
    <hyperlink ref="T5" r:id="rId2"/>
    <hyperlink ref="U5" r:id="rId3"/>
  </hyperlinks>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5"/>
  <sheetViews>
    <sheetView tabSelected="1" topLeftCell="Q1" workbookViewId="0">
      <selection activeCell="R6" sqref="R6"/>
    </sheetView>
  </sheetViews>
  <sheetFormatPr defaultRowHeight="13.5" x14ac:dyDescent="0.15"/>
  <cols>
    <col min="2" max="2" width="19.125" customWidth="1"/>
    <col min="8" max="8" width="24.25" customWidth="1"/>
    <col min="9" max="9" width="26.125" customWidth="1"/>
    <col min="12" max="12" width="11" customWidth="1"/>
    <col min="15" max="15" width="16" customWidth="1"/>
    <col min="16" max="16" width="22.5" customWidth="1"/>
    <col min="18" max="18" width="37.625" customWidth="1"/>
    <col min="19" max="19" width="7.75" customWidth="1"/>
    <col min="21" max="21" width="18.875" customWidth="1"/>
    <col min="22" max="22" width="7.625" customWidth="1"/>
    <col min="24" max="24" width="20.125" customWidth="1"/>
    <col min="25" max="25" width="17.375" customWidth="1"/>
    <col min="26" max="26" width="15.5" customWidth="1"/>
    <col min="27" max="27" width="21.5" customWidth="1"/>
    <col min="30" max="30" width="11.125" customWidth="1"/>
    <col min="31" max="31" width="15.625" customWidth="1"/>
  </cols>
  <sheetData>
    <row r="1" spans="1:31" ht="97.5" customHeight="1" x14ac:dyDescent="0.25">
      <c r="B1" s="75" t="s">
        <v>375</v>
      </c>
      <c r="C1" s="75"/>
      <c r="D1" s="75"/>
      <c r="E1" s="75"/>
      <c r="F1" s="75"/>
      <c r="G1" s="75"/>
      <c r="H1" s="75"/>
      <c r="I1" s="75"/>
      <c r="J1" s="75"/>
      <c r="K1" s="75"/>
      <c r="L1" s="75"/>
      <c r="M1" s="75"/>
      <c r="N1" s="75"/>
      <c r="O1" s="75"/>
      <c r="P1" s="75" t="s">
        <v>396</v>
      </c>
      <c r="Q1" s="75"/>
      <c r="R1" s="75"/>
      <c r="S1" s="75"/>
      <c r="T1" s="75"/>
      <c r="U1" s="75"/>
      <c r="V1" s="75"/>
      <c r="W1" s="75"/>
      <c r="X1" s="70" t="s">
        <v>400</v>
      </c>
      <c r="Y1" s="74" t="s">
        <v>401</v>
      </c>
      <c r="Z1" s="74"/>
      <c r="AA1" s="74"/>
      <c r="AB1" s="74"/>
      <c r="AC1" s="74"/>
      <c r="AD1" s="74"/>
      <c r="AE1" s="74"/>
    </row>
    <row r="2" spans="1:31" ht="12.75" customHeight="1" x14ac:dyDescent="0.15">
      <c r="B2" s="75" t="s">
        <v>380</v>
      </c>
      <c r="C2" s="75"/>
      <c r="D2" s="75"/>
      <c r="E2" s="75"/>
      <c r="F2" t="s">
        <v>384</v>
      </c>
      <c r="G2" t="s">
        <v>383</v>
      </c>
      <c r="H2" s="76" t="s">
        <v>385</v>
      </c>
      <c r="I2" s="76"/>
      <c r="J2" s="76"/>
      <c r="K2" s="76"/>
      <c r="L2" s="76"/>
      <c r="M2" s="76"/>
      <c r="N2" s="76"/>
      <c r="O2" t="s">
        <v>389</v>
      </c>
      <c r="Q2" t="s">
        <v>416</v>
      </c>
      <c r="R2" s="47" t="s">
        <v>417</v>
      </c>
      <c r="S2" s="47"/>
      <c r="T2" t="s">
        <v>416</v>
      </c>
      <c r="U2" t="s">
        <v>418</v>
      </c>
      <c r="Y2" s="76" t="s">
        <v>402</v>
      </c>
      <c r="Z2" s="76"/>
      <c r="AA2" s="68"/>
      <c r="AB2" s="76" t="s">
        <v>407</v>
      </c>
      <c r="AC2" s="76"/>
      <c r="AD2" s="76"/>
      <c r="AE2" s="69" t="s">
        <v>419</v>
      </c>
    </row>
    <row r="3" spans="1:31" ht="12.75" customHeight="1" x14ac:dyDescent="0.15">
      <c r="B3" s="71"/>
      <c r="C3" s="71"/>
      <c r="D3" s="71"/>
      <c r="E3" s="71"/>
      <c r="H3" s="64" t="s">
        <v>394</v>
      </c>
      <c r="I3" s="64" t="s">
        <v>395</v>
      </c>
      <c r="J3" s="68"/>
      <c r="K3" s="68"/>
      <c r="L3" s="68"/>
      <c r="M3" s="68"/>
      <c r="N3" s="68"/>
      <c r="Q3" s="76" t="s">
        <v>414</v>
      </c>
      <c r="R3" s="76"/>
      <c r="S3" s="69"/>
      <c r="T3" s="76" t="s">
        <v>415</v>
      </c>
      <c r="U3" s="76"/>
      <c r="V3" s="69"/>
      <c r="Y3" t="s">
        <v>405</v>
      </c>
      <c r="Z3" t="s">
        <v>406</v>
      </c>
      <c r="AA3" s="47" t="s">
        <v>412</v>
      </c>
      <c r="AE3" t="s">
        <v>420</v>
      </c>
    </row>
    <row r="4" spans="1:31" x14ac:dyDescent="0.15">
      <c r="B4" t="s">
        <v>376</v>
      </c>
      <c r="C4" t="s">
        <v>377</v>
      </c>
      <c r="D4" t="s">
        <v>378</v>
      </c>
      <c r="E4" t="s">
        <v>379</v>
      </c>
      <c r="F4" t="s">
        <v>381</v>
      </c>
      <c r="G4" t="s">
        <v>382</v>
      </c>
      <c r="H4" t="s">
        <v>386</v>
      </c>
      <c r="I4" t="s">
        <v>387</v>
      </c>
      <c r="J4" t="s">
        <v>296</v>
      </c>
      <c r="K4" t="s">
        <v>390</v>
      </c>
      <c r="L4" t="s">
        <v>391</v>
      </c>
      <c r="M4" t="s">
        <v>393</v>
      </c>
      <c r="N4" t="s">
        <v>392</v>
      </c>
      <c r="O4" t="s">
        <v>388</v>
      </c>
      <c r="P4" t="s">
        <v>397</v>
      </c>
      <c r="Q4" t="s">
        <v>398</v>
      </c>
      <c r="R4" t="s">
        <v>399</v>
      </c>
      <c r="S4" s="47" t="s">
        <v>421</v>
      </c>
      <c r="T4" t="s">
        <v>398</v>
      </c>
      <c r="U4" t="s">
        <v>399</v>
      </c>
      <c r="V4" t="s">
        <v>421</v>
      </c>
      <c r="W4" t="s">
        <v>423</v>
      </c>
      <c r="Y4" t="s">
        <v>403</v>
      </c>
      <c r="Z4" t="s">
        <v>404</v>
      </c>
      <c r="AA4" t="s">
        <v>411</v>
      </c>
      <c r="AB4" t="s">
        <v>408</v>
      </c>
      <c r="AC4" t="s">
        <v>409</v>
      </c>
      <c r="AD4" t="s">
        <v>410</v>
      </c>
    </row>
    <row r="5" spans="1:31" x14ac:dyDescent="0.15">
      <c r="A5" t="s">
        <v>422</v>
      </c>
      <c r="P5">
        <v>0.39</v>
      </c>
      <c r="Q5" s="5">
        <v>3.7249999999999998E-2</v>
      </c>
      <c r="R5" s="21">
        <f>0.1+0.02</f>
        <v>0.12000000000000001</v>
      </c>
      <c r="S5" s="5">
        <f>Q5*0.37+R5*0.63</f>
        <v>8.9382500000000004E-2</v>
      </c>
      <c r="W5" s="7">
        <f>P5/S5</f>
        <v>4.3632702150868461</v>
      </c>
    </row>
  </sheetData>
  <mergeCells count="9">
    <mergeCell ref="Y1:AE1"/>
    <mergeCell ref="P1:W1"/>
    <mergeCell ref="Q3:R3"/>
    <mergeCell ref="T3:U3"/>
    <mergeCell ref="B2:E2"/>
    <mergeCell ref="H2:N2"/>
    <mergeCell ref="B1:O1"/>
    <mergeCell ref="AB2:AD2"/>
    <mergeCell ref="Y2:Z2"/>
  </mergeCells>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workbookViewId="0">
      <selection activeCell="F2" sqref="F2"/>
    </sheetView>
  </sheetViews>
  <sheetFormatPr defaultRowHeight="13.5" x14ac:dyDescent="0.15"/>
  <cols>
    <col min="2" max="2" width="15.375" customWidth="1"/>
    <col min="3" max="3" width="21.125" customWidth="1"/>
    <col min="7" max="7" width="37.375" customWidth="1"/>
    <col min="8" max="8" width="23.625" customWidth="1"/>
    <col min="9" max="9" width="13.75" customWidth="1"/>
    <col min="10" max="10" width="32.75" customWidth="1"/>
    <col min="11" max="11" width="39.25" customWidth="1"/>
    <col min="12" max="12" width="33" customWidth="1"/>
  </cols>
  <sheetData>
    <row r="1" spans="1:12" x14ac:dyDescent="0.15">
      <c r="B1" s="73" t="s">
        <v>89</v>
      </c>
      <c r="C1" s="73"/>
      <c r="D1" s="73"/>
      <c r="E1" s="73"/>
      <c r="F1" s="73" t="s">
        <v>92</v>
      </c>
      <c r="G1" s="73"/>
      <c r="H1" s="73"/>
      <c r="I1" s="73" t="s">
        <v>95</v>
      </c>
      <c r="J1" s="73"/>
      <c r="K1" s="73"/>
    </row>
    <row r="2" spans="1:12" ht="13.5" customHeight="1" x14ac:dyDescent="0.15">
      <c r="A2" s="1" t="s">
        <v>79</v>
      </c>
      <c r="B2" s="42" t="s">
        <v>90</v>
      </c>
      <c r="C2" s="42" t="s">
        <v>192</v>
      </c>
      <c r="D2" s="42" t="s">
        <v>293</v>
      </c>
      <c r="E2" s="42" t="s">
        <v>281</v>
      </c>
      <c r="F2" s="42" t="s">
        <v>335</v>
      </c>
      <c r="G2" s="42" t="s">
        <v>93</v>
      </c>
      <c r="H2" s="42" t="s">
        <v>94</v>
      </c>
      <c r="I2" s="42" t="s">
        <v>114</v>
      </c>
      <c r="J2" s="72" t="s">
        <v>115</v>
      </c>
      <c r="K2" s="72"/>
      <c r="L2" s="42" t="s">
        <v>116</v>
      </c>
    </row>
    <row r="3" spans="1:12" ht="13.5" customHeight="1" x14ac:dyDescent="0.15">
      <c r="A3" s="1"/>
      <c r="B3" s="42"/>
      <c r="C3" s="42"/>
      <c r="D3" s="42"/>
      <c r="E3" s="42"/>
      <c r="F3" s="42"/>
      <c r="G3" s="42"/>
      <c r="H3" s="42"/>
      <c r="I3" s="42"/>
      <c r="J3" s="55" t="s">
        <v>284</v>
      </c>
      <c r="K3" s="60" t="s">
        <v>285</v>
      </c>
    </row>
    <row r="4" spans="1:12" ht="107.25" customHeight="1" x14ac:dyDescent="0.15">
      <c r="A4" t="s">
        <v>280</v>
      </c>
      <c r="B4">
        <v>237</v>
      </c>
      <c r="C4">
        <v>0</v>
      </c>
      <c r="D4">
        <v>132</v>
      </c>
      <c r="E4">
        <v>0</v>
      </c>
      <c r="F4">
        <v>2912</v>
      </c>
      <c r="H4" s="47" t="s">
        <v>282</v>
      </c>
      <c r="I4" s="47" t="s">
        <v>283</v>
      </c>
      <c r="J4" s="5">
        <v>0.36759999999999998</v>
      </c>
    </row>
    <row r="5" spans="1:12" x14ac:dyDescent="0.15">
      <c r="A5" t="s">
        <v>77</v>
      </c>
      <c r="B5">
        <f>27805-27085</f>
        <v>720</v>
      </c>
      <c r="C5">
        <v>0</v>
      </c>
    </row>
    <row r="6" spans="1:12" ht="96.75" customHeight="1" x14ac:dyDescent="0.15">
      <c r="A6" t="s">
        <v>334</v>
      </c>
      <c r="B6">
        <v>746</v>
      </c>
      <c r="C6">
        <v>0</v>
      </c>
      <c r="D6">
        <v>7579</v>
      </c>
      <c r="E6">
        <v>0</v>
      </c>
      <c r="F6">
        <v>5719</v>
      </c>
      <c r="H6" s="47" t="s">
        <v>336</v>
      </c>
      <c r="I6">
        <v>24</v>
      </c>
      <c r="J6" s="5">
        <f>(15.8-13.45)/15.8</f>
        <v>0.14873417721518994</v>
      </c>
    </row>
    <row r="39" spans="10:10" x14ac:dyDescent="0.15">
      <c r="J39" t="s">
        <v>88</v>
      </c>
    </row>
  </sheetData>
  <mergeCells count="4">
    <mergeCell ref="B1:E1"/>
    <mergeCell ref="F1:H1"/>
    <mergeCell ref="I1:K1"/>
    <mergeCell ref="J2:K2"/>
  </mergeCells>
  <phoneticPr fontId="2"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
  <sheetViews>
    <sheetView workbookViewId="0">
      <selection activeCell="C1" sqref="C1"/>
    </sheetView>
  </sheetViews>
  <sheetFormatPr defaultRowHeight="13.5" x14ac:dyDescent="0.15"/>
  <cols>
    <col min="1" max="1" width="9" style="56"/>
    <col min="2" max="2" width="35.75" customWidth="1"/>
    <col min="3" max="3" width="34.625" customWidth="1"/>
    <col min="4" max="4" width="32.125" customWidth="1"/>
    <col min="5" max="5" width="13.125" customWidth="1"/>
    <col min="9" max="9" width="14" customWidth="1"/>
    <col min="10" max="10" width="23.875" customWidth="1"/>
    <col min="11" max="11" width="23.875" style="5" customWidth="1"/>
    <col min="12" max="12" width="23.875" style="33" customWidth="1"/>
    <col min="13" max="13" width="22.625" style="7" customWidth="1"/>
    <col min="14" max="14" width="35" customWidth="1"/>
    <col min="15" max="15" width="19.125" customWidth="1"/>
    <col min="16" max="16" width="15.125" customWidth="1"/>
    <col min="17" max="18" width="20.125" customWidth="1"/>
    <col min="19" max="19" width="18.875" customWidth="1"/>
    <col min="20" max="20" width="19" customWidth="1"/>
    <col min="21" max="21" width="31.625" customWidth="1"/>
    <col min="22" max="22" width="19.625" customWidth="1"/>
    <col min="23" max="23" width="28.75" customWidth="1"/>
    <col min="24" max="24" width="22.625" customWidth="1"/>
    <col min="25" max="25" width="17" customWidth="1"/>
  </cols>
  <sheetData>
    <row r="1" spans="1:25" ht="94.5" x14ac:dyDescent="0.15">
      <c r="A1" s="55" t="s">
        <v>219</v>
      </c>
      <c r="B1" s="46" t="s">
        <v>218</v>
      </c>
      <c r="C1" s="48" t="s">
        <v>253</v>
      </c>
      <c r="D1" s="72" t="s">
        <v>227</v>
      </c>
      <c r="E1" s="72"/>
      <c r="F1" s="72"/>
      <c r="G1" s="72"/>
      <c r="H1" s="72"/>
      <c r="I1" s="72"/>
      <c r="J1" s="72" t="s">
        <v>234</v>
      </c>
      <c r="K1" s="72"/>
      <c r="L1" s="72"/>
      <c r="M1" s="72" t="s">
        <v>236</v>
      </c>
      <c r="N1" s="72"/>
      <c r="O1" s="49" t="s">
        <v>239</v>
      </c>
      <c r="P1" s="72" t="s">
        <v>241</v>
      </c>
      <c r="Q1" s="72"/>
      <c r="R1" s="49" t="s">
        <v>244</v>
      </c>
      <c r="S1" s="49" t="s">
        <v>246</v>
      </c>
      <c r="T1" s="51" t="s">
        <v>261</v>
      </c>
      <c r="U1" s="51" t="s">
        <v>272</v>
      </c>
      <c r="V1" s="51" t="s">
        <v>264</v>
      </c>
      <c r="W1" s="51" t="s">
        <v>266</v>
      </c>
      <c r="X1" s="51" t="s">
        <v>268</v>
      </c>
      <c r="Y1" s="54" t="s">
        <v>270</v>
      </c>
    </row>
    <row r="2" spans="1:25" ht="13.5" customHeight="1" x14ac:dyDescent="0.15">
      <c r="B2" t="s">
        <v>220</v>
      </c>
      <c r="J2" t="s">
        <v>237</v>
      </c>
    </row>
    <row r="3" spans="1:25" ht="150" customHeight="1" x14ac:dyDescent="0.15">
      <c r="A3" s="57" t="s">
        <v>277</v>
      </c>
      <c r="B3" s="47" t="s">
        <v>225</v>
      </c>
      <c r="C3" s="47" t="s">
        <v>226</v>
      </c>
      <c r="D3" s="47" t="s">
        <v>228</v>
      </c>
      <c r="E3" s="47" t="s">
        <v>229</v>
      </c>
      <c r="F3" s="47" t="s">
        <v>230</v>
      </c>
      <c r="G3" s="47" t="s">
        <v>231</v>
      </c>
      <c r="H3" s="47" t="s">
        <v>232</v>
      </c>
      <c r="I3" s="47" t="s">
        <v>233</v>
      </c>
      <c r="J3" s="47" t="s">
        <v>235</v>
      </c>
      <c r="K3" s="58" t="s">
        <v>259</v>
      </c>
      <c r="L3" s="52" t="s">
        <v>260</v>
      </c>
      <c r="M3" s="59" t="s">
        <v>279</v>
      </c>
      <c r="N3" s="47" t="s">
        <v>238</v>
      </c>
      <c r="O3" s="47" t="s">
        <v>240</v>
      </c>
      <c r="P3" s="47" t="s">
        <v>243</v>
      </c>
      <c r="Q3" s="47" t="s">
        <v>242</v>
      </c>
      <c r="R3" s="47" t="s">
        <v>245</v>
      </c>
      <c r="S3" s="47" t="s">
        <v>247</v>
      </c>
      <c r="T3" s="47" t="s">
        <v>262</v>
      </c>
      <c r="U3" s="47" t="s">
        <v>263</v>
      </c>
      <c r="V3" s="47" t="s">
        <v>265</v>
      </c>
      <c r="W3" s="47" t="s">
        <v>267</v>
      </c>
      <c r="X3" s="47" t="s">
        <v>269</v>
      </c>
      <c r="Y3" s="47" t="s">
        <v>271</v>
      </c>
    </row>
    <row r="4" spans="1:25" ht="126.75" customHeight="1" x14ac:dyDescent="0.15">
      <c r="A4" s="56" t="s">
        <v>275</v>
      </c>
      <c r="B4" s="47" t="s">
        <v>276</v>
      </c>
      <c r="C4" t="s">
        <v>287</v>
      </c>
      <c r="E4">
        <v>3.14</v>
      </c>
      <c r="G4">
        <v>2928</v>
      </c>
      <c r="H4">
        <v>127</v>
      </c>
      <c r="I4" s="47" t="s">
        <v>278</v>
      </c>
      <c r="J4" t="s">
        <v>288</v>
      </c>
      <c r="K4" s="5">
        <f>5484/93277</f>
        <v>5.879262840786046E-2</v>
      </c>
      <c r="L4" s="33">
        <f>59347/(5471+3458)/2</f>
        <v>3.32327248292082</v>
      </c>
      <c r="M4" s="7">
        <f>1.33/9.33</f>
        <v>0.14255091103965703</v>
      </c>
      <c r="O4" s="47" t="s">
        <v>289</v>
      </c>
      <c r="Q4">
        <v>0</v>
      </c>
      <c r="U4" t="s">
        <v>290</v>
      </c>
      <c r="Y4" t="s">
        <v>291</v>
      </c>
    </row>
    <row r="5" spans="1:25" ht="120.75" customHeight="1" x14ac:dyDescent="0.15">
      <c r="A5" s="56" t="s">
        <v>248</v>
      </c>
      <c r="B5" t="s">
        <v>249</v>
      </c>
      <c r="C5" t="s">
        <v>250</v>
      </c>
      <c r="D5" s="47"/>
      <c r="E5" s="7">
        <f>(12.42+17.3+18.81)/3</f>
        <v>16.176666666666666</v>
      </c>
      <c r="G5">
        <f>(14439+14665+11576)/3</f>
        <v>13560</v>
      </c>
      <c r="H5">
        <f>2442-208</f>
        <v>2234</v>
      </c>
      <c r="J5" t="s">
        <v>251</v>
      </c>
      <c r="K5" s="50">
        <f>4645/116233</f>
        <v>3.9962833274543377E-2</v>
      </c>
      <c r="L5" s="53">
        <f>19425/(22255+18429)/2</f>
        <v>0.23873021335168618</v>
      </c>
      <c r="M5" s="7">
        <f>(6814/116232+10687/84790+10923/61546)/3</f>
        <v>0.12071398227118028</v>
      </c>
      <c r="N5">
        <v>3</v>
      </c>
      <c r="O5">
        <v>2</v>
      </c>
      <c r="Q5" t="s">
        <v>252</v>
      </c>
    </row>
    <row r="6" spans="1:25" ht="81" x14ac:dyDescent="0.15">
      <c r="A6" s="56" t="s">
        <v>254</v>
      </c>
      <c r="B6" s="47" t="s">
        <v>255</v>
      </c>
      <c r="C6" s="47" t="s">
        <v>256</v>
      </c>
      <c r="E6">
        <v>4.32</v>
      </c>
      <c r="G6">
        <v>1330</v>
      </c>
      <c r="H6">
        <v>208</v>
      </c>
      <c r="J6" s="47" t="s">
        <v>257</v>
      </c>
      <c r="K6" s="50">
        <f>2618/30796</f>
        <v>8.5011040394856477E-2</v>
      </c>
      <c r="L6" s="53">
        <f>112664/(846+1671)/2</f>
        <v>22.380611839491458</v>
      </c>
      <c r="M6" s="7">
        <f>2618/30796</f>
        <v>8.5011040394856477E-2</v>
      </c>
      <c r="O6" s="47"/>
      <c r="Q6" t="s">
        <v>258</v>
      </c>
      <c r="R6" t="s">
        <v>258</v>
      </c>
    </row>
  </sheetData>
  <mergeCells count="4">
    <mergeCell ref="D1:I1"/>
    <mergeCell ref="M1:N1"/>
    <mergeCell ref="P1:Q1"/>
    <mergeCell ref="J1:L1"/>
  </mergeCells>
  <phoneticPr fontId="2" type="noConversion"/>
  <hyperlinks>
    <hyperlink ref="L3" r:id="rId1"/>
  </hyperlinks>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
  <sheetViews>
    <sheetView workbookViewId="0">
      <selection activeCell="V4" sqref="V4"/>
    </sheetView>
  </sheetViews>
  <sheetFormatPr defaultRowHeight="13.5" x14ac:dyDescent="0.15"/>
  <cols>
    <col min="1" max="1" width="10.375" customWidth="1"/>
    <col min="2" max="2" width="14.5" customWidth="1"/>
    <col min="3" max="3" width="16.25" customWidth="1"/>
    <col min="4" max="4" width="23.875" customWidth="1"/>
    <col min="5" max="5" width="27.375" customWidth="1"/>
    <col min="6" max="6" width="19.75" customWidth="1"/>
    <col min="8" max="9" width="13.25" customWidth="1"/>
    <col min="11" max="11" width="11.75" customWidth="1"/>
    <col min="12" max="12" width="16.75" customWidth="1"/>
    <col min="16" max="16" width="12.5" customWidth="1"/>
    <col min="21" max="21" width="12.875" customWidth="1"/>
    <col min="22" max="22" width="14.75" customWidth="1"/>
  </cols>
  <sheetData>
    <row r="1" spans="1:22" ht="14.25" x14ac:dyDescent="0.15">
      <c r="A1" s="66" t="s">
        <v>346</v>
      </c>
      <c r="B1" s="66"/>
      <c r="C1" s="66"/>
    </row>
    <row r="2" spans="1:22" ht="14.25" x14ac:dyDescent="0.15">
      <c r="A2" s="77" t="s">
        <v>347</v>
      </c>
      <c r="B2" s="77"/>
      <c r="C2" s="77"/>
    </row>
    <row r="3" spans="1:22" s="1" customFormat="1" x14ac:dyDescent="0.15">
      <c r="A3" s="73" t="s">
        <v>348</v>
      </c>
      <c r="B3" s="73"/>
      <c r="C3" s="73"/>
      <c r="D3" s="73"/>
      <c r="E3" s="73"/>
      <c r="F3" s="73"/>
      <c r="G3" s="73" t="s">
        <v>349</v>
      </c>
      <c r="H3" s="73"/>
      <c r="I3" s="73"/>
      <c r="J3" s="73" t="s">
        <v>350</v>
      </c>
      <c r="K3" s="73"/>
      <c r="L3" s="73"/>
      <c r="M3" s="73"/>
      <c r="N3" s="73"/>
      <c r="O3" s="73"/>
      <c r="P3" s="73"/>
      <c r="Q3" s="73" t="s">
        <v>367</v>
      </c>
      <c r="R3" s="73"/>
      <c r="S3" s="73"/>
      <c r="T3" s="73"/>
      <c r="U3" s="73"/>
      <c r="V3" s="73"/>
    </row>
    <row r="4" spans="1:22" s="65" customFormat="1" ht="36" x14ac:dyDescent="0.15">
      <c r="A4" s="65" t="s">
        <v>351</v>
      </c>
      <c r="B4" s="65" t="s">
        <v>352</v>
      </c>
      <c r="C4" s="65" t="s">
        <v>353</v>
      </c>
      <c r="D4" s="65" t="s">
        <v>354</v>
      </c>
      <c r="E4" s="67" t="s">
        <v>356</v>
      </c>
      <c r="F4" s="67" t="s">
        <v>355</v>
      </c>
      <c r="G4" s="65" t="s">
        <v>357</v>
      </c>
      <c r="H4" s="65" t="s">
        <v>358</v>
      </c>
      <c r="I4" s="65" t="s">
        <v>359</v>
      </c>
      <c r="J4" s="65" t="s">
        <v>361</v>
      </c>
      <c r="K4" s="65" t="s">
        <v>362</v>
      </c>
      <c r="L4" s="67" t="s">
        <v>374</v>
      </c>
      <c r="M4" s="65" t="s">
        <v>363</v>
      </c>
      <c r="N4" s="65" t="s">
        <v>364</v>
      </c>
      <c r="O4" s="65" t="s">
        <v>365</v>
      </c>
      <c r="P4" s="65" t="s">
        <v>366</v>
      </c>
      <c r="Q4" s="65" t="s">
        <v>368</v>
      </c>
      <c r="R4" s="65" t="s">
        <v>369</v>
      </c>
      <c r="S4" s="65" t="s">
        <v>370</v>
      </c>
      <c r="T4" s="65" t="s">
        <v>371</v>
      </c>
      <c r="U4" s="65" t="s">
        <v>372</v>
      </c>
      <c r="V4" s="65" t="s">
        <v>373</v>
      </c>
    </row>
  </sheetData>
  <mergeCells count="5">
    <mergeCell ref="A2:C2"/>
    <mergeCell ref="A3:F3"/>
    <mergeCell ref="G3:I3"/>
    <mergeCell ref="J3:P3"/>
    <mergeCell ref="Q3:V3"/>
  </mergeCells>
  <phoneticPr fontId="2"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workbookViewId="0">
      <selection activeCell="G19" sqref="G19"/>
    </sheetView>
  </sheetViews>
  <sheetFormatPr defaultRowHeight="13.5" x14ac:dyDescent="0.15"/>
  <cols>
    <col min="1" max="1" width="83.125" customWidth="1"/>
    <col min="5" max="5" width="12.125" bestFit="1" customWidth="1"/>
  </cols>
  <sheetData>
    <row r="1" spans="1:4" x14ac:dyDescent="0.15">
      <c r="A1" s="1" t="s">
        <v>101</v>
      </c>
    </row>
    <row r="2" spans="1:4" x14ac:dyDescent="0.15">
      <c r="A2" s="1"/>
      <c r="B2" s="1" t="s">
        <v>106</v>
      </c>
    </row>
    <row r="3" spans="1:4" x14ac:dyDescent="0.15">
      <c r="A3" s="1"/>
      <c r="B3" s="1" t="s">
        <v>107</v>
      </c>
    </row>
    <row r="4" spans="1:4" x14ac:dyDescent="0.15">
      <c r="B4" s="1" t="s">
        <v>109</v>
      </c>
    </row>
    <row r="5" spans="1:4" x14ac:dyDescent="0.15">
      <c r="A5" s="1" t="s">
        <v>102</v>
      </c>
    </row>
    <row r="6" spans="1:4" x14ac:dyDescent="0.15">
      <c r="A6" s="1"/>
      <c r="B6" s="1" t="s">
        <v>110</v>
      </c>
    </row>
    <row r="7" spans="1:4" x14ac:dyDescent="0.15">
      <c r="A7" s="1"/>
      <c r="B7" s="1" t="s">
        <v>111</v>
      </c>
    </row>
    <row r="8" spans="1:4" x14ac:dyDescent="0.15">
      <c r="A8" s="1"/>
      <c r="B8" s="1" t="s">
        <v>112</v>
      </c>
    </row>
    <row r="9" spans="1:4" x14ac:dyDescent="0.15">
      <c r="A9" s="1" t="s">
        <v>104</v>
      </c>
    </row>
    <row r="10" spans="1:4" x14ac:dyDescent="0.15">
      <c r="A10" s="1"/>
      <c r="B10" s="1" t="s">
        <v>113</v>
      </c>
    </row>
    <row r="11" spans="1:4" x14ac:dyDescent="0.15">
      <c r="A11" s="1" t="s">
        <v>103</v>
      </c>
    </row>
    <row r="12" spans="1:4" x14ac:dyDescent="0.15">
      <c r="B12" s="1" t="s">
        <v>120</v>
      </c>
      <c r="C12" t="s">
        <v>105</v>
      </c>
    </row>
    <row r="13" spans="1:4" x14ac:dyDescent="0.15">
      <c r="B13" s="1" t="s">
        <v>121</v>
      </c>
    </row>
    <row r="14" spans="1:4" x14ac:dyDescent="0.15">
      <c r="A14" t="s">
        <v>108</v>
      </c>
      <c r="B14" s="1" t="s">
        <v>122</v>
      </c>
    </row>
    <row r="15" spans="1:4" x14ac:dyDescent="0.15">
      <c r="B15" s="1" t="s">
        <v>123</v>
      </c>
    </row>
    <row r="16" spans="1:4" x14ac:dyDescent="0.15">
      <c r="C16" t="s">
        <v>117</v>
      </c>
      <c r="D16">
        <v>1.75</v>
      </c>
    </row>
    <row r="17" spans="2:6" x14ac:dyDescent="0.15">
      <c r="C17" t="s">
        <v>118</v>
      </c>
      <c r="D17">
        <v>2</v>
      </c>
    </row>
    <row r="18" spans="2:6" x14ac:dyDescent="0.15">
      <c r="C18" t="s">
        <v>119</v>
      </c>
      <c r="D18">
        <v>3</v>
      </c>
    </row>
    <row r="19" spans="2:6" x14ac:dyDescent="0.15">
      <c r="C19" t="s">
        <v>124</v>
      </c>
    </row>
    <row r="20" spans="2:6" x14ac:dyDescent="0.15">
      <c r="C20" t="s">
        <v>125</v>
      </c>
    </row>
    <row r="21" spans="2:6" x14ac:dyDescent="0.15">
      <c r="C21" t="s">
        <v>126</v>
      </c>
    </row>
    <row r="22" spans="2:6" x14ac:dyDescent="0.15">
      <c r="B22" s="1" t="s">
        <v>127</v>
      </c>
    </row>
    <row r="23" spans="2:6" x14ac:dyDescent="0.15">
      <c r="B23" s="1" t="s">
        <v>131</v>
      </c>
    </row>
    <row r="24" spans="2:6" x14ac:dyDescent="0.15">
      <c r="C24" t="s">
        <v>128</v>
      </c>
    </row>
    <row r="25" spans="2:6" x14ac:dyDescent="0.15">
      <c r="C25" t="s">
        <v>129</v>
      </c>
    </row>
    <row r="26" spans="2:6" x14ac:dyDescent="0.15">
      <c r="C26" t="s">
        <v>130</v>
      </c>
    </row>
    <row r="27" spans="2:6" x14ac:dyDescent="0.15">
      <c r="B27" s="1" t="s">
        <v>136</v>
      </c>
    </row>
    <row r="28" spans="2:6" x14ac:dyDescent="0.15">
      <c r="C28" t="s">
        <v>132</v>
      </c>
    </row>
    <row r="29" spans="2:6" x14ac:dyDescent="0.15">
      <c r="C29" t="s">
        <v>133</v>
      </c>
    </row>
    <row r="30" spans="2:6" x14ac:dyDescent="0.15">
      <c r="C30" t="s">
        <v>134</v>
      </c>
    </row>
    <row r="31" spans="2:6" x14ac:dyDescent="0.15">
      <c r="C31" t="s">
        <v>135</v>
      </c>
    </row>
    <row r="32" spans="2:6" x14ac:dyDescent="0.15">
      <c r="D32" t="s">
        <v>137</v>
      </c>
      <c r="E32" t="s">
        <v>138</v>
      </c>
      <c r="F32" t="s">
        <v>139</v>
      </c>
    </row>
    <row r="33" spans="3:8" x14ac:dyDescent="0.15">
      <c r="D33" t="s">
        <v>140</v>
      </c>
      <c r="E33">
        <v>1.75</v>
      </c>
      <c r="F33" t="s">
        <v>144</v>
      </c>
    </row>
    <row r="34" spans="3:8" x14ac:dyDescent="0.15">
      <c r="D34" t="s">
        <v>141</v>
      </c>
      <c r="E34">
        <v>2</v>
      </c>
      <c r="F34" t="s">
        <v>145</v>
      </c>
    </row>
    <row r="35" spans="3:8" x14ac:dyDescent="0.15">
      <c r="D35" t="s">
        <v>142</v>
      </c>
      <c r="E35">
        <v>3</v>
      </c>
      <c r="F35" t="s">
        <v>143</v>
      </c>
    </row>
    <row r="36" spans="3:8" x14ac:dyDescent="0.15">
      <c r="C36" s="43" t="s">
        <v>146</v>
      </c>
      <c r="D36" s="43"/>
      <c r="E36" s="43"/>
      <c r="F36" s="43"/>
      <c r="G36" s="43"/>
      <c r="H36" s="43"/>
    </row>
    <row r="37" spans="3:8" x14ac:dyDescent="0.15">
      <c r="C37" s="43"/>
      <c r="D37" s="43" t="s">
        <v>147</v>
      </c>
      <c r="E37" s="43" t="s">
        <v>148</v>
      </c>
      <c r="F37" s="43"/>
      <c r="G37" s="43"/>
      <c r="H37" s="43"/>
    </row>
    <row r="38" spans="3:8" x14ac:dyDescent="0.15">
      <c r="C38" s="43"/>
      <c r="D38" s="43" t="s">
        <v>149</v>
      </c>
      <c r="E38" s="44">
        <v>14245</v>
      </c>
      <c r="F38" s="43"/>
      <c r="G38" s="43"/>
      <c r="H38" s="43"/>
    </row>
    <row r="39" spans="3:8" x14ac:dyDescent="0.15">
      <c r="C39" s="43"/>
      <c r="D39" s="43" t="s">
        <v>150</v>
      </c>
      <c r="E39" s="43">
        <v>37663000</v>
      </c>
      <c r="F39" s="43"/>
      <c r="G39" s="43"/>
      <c r="H39" s="43"/>
    </row>
    <row r="40" spans="3:8" x14ac:dyDescent="0.15">
      <c r="C40" s="43"/>
      <c r="D40" s="43" t="s">
        <v>151</v>
      </c>
      <c r="E40" s="43">
        <v>22554000</v>
      </c>
      <c r="F40" s="43"/>
      <c r="G40" s="43"/>
      <c r="H40" s="43"/>
    </row>
    <row r="41" spans="3:8" x14ac:dyDescent="0.15">
      <c r="C41" s="43"/>
      <c r="D41" s="43" t="s">
        <v>152</v>
      </c>
      <c r="E41" s="43" t="s">
        <v>163</v>
      </c>
      <c r="F41" s="43"/>
      <c r="G41" s="43"/>
      <c r="H41" s="43"/>
    </row>
    <row r="42" spans="3:8" x14ac:dyDescent="0.15">
      <c r="C42" s="43"/>
      <c r="D42" s="43" t="s">
        <v>153</v>
      </c>
      <c r="E42" s="43">
        <v>15109000</v>
      </c>
      <c r="F42" s="43"/>
      <c r="G42" s="43"/>
      <c r="H42" s="43"/>
    </row>
    <row r="43" spans="3:8" x14ac:dyDescent="0.15">
      <c r="C43" s="43"/>
      <c r="D43" s="43" t="s">
        <v>154</v>
      </c>
      <c r="E43" s="43">
        <v>1819000</v>
      </c>
      <c r="F43" s="43"/>
      <c r="G43" s="43"/>
      <c r="H43" s="43"/>
    </row>
    <row r="44" spans="3:8" x14ac:dyDescent="0.15">
      <c r="C44" s="43"/>
      <c r="D44" s="43" t="s">
        <v>155</v>
      </c>
      <c r="E44" s="43">
        <v>13290000</v>
      </c>
      <c r="F44" s="43"/>
      <c r="G44" s="43"/>
      <c r="H44" s="43"/>
    </row>
    <row r="45" spans="3:8" x14ac:dyDescent="0.15">
      <c r="C45" s="43"/>
      <c r="D45" s="43" t="s">
        <v>156</v>
      </c>
      <c r="E45" s="43">
        <v>1.55</v>
      </c>
      <c r="F45" s="43"/>
      <c r="G45" s="43"/>
      <c r="H45" s="43"/>
    </row>
    <row r="46" spans="3:8" x14ac:dyDescent="0.15">
      <c r="C46" s="43"/>
      <c r="D46" s="43" t="s">
        <v>157</v>
      </c>
      <c r="E46" s="43">
        <v>1.53</v>
      </c>
      <c r="F46" s="43"/>
      <c r="G46" s="43"/>
      <c r="H46" s="43"/>
    </row>
    <row r="47" spans="3:8" x14ac:dyDescent="0.15">
      <c r="C47" s="43"/>
      <c r="D47" s="43" t="s">
        <v>158</v>
      </c>
      <c r="E47" s="43">
        <v>438000000</v>
      </c>
      <c r="F47" s="43"/>
      <c r="G47" s="43"/>
      <c r="H47" s="43"/>
    </row>
    <row r="48" spans="3:8" x14ac:dyDescent="0.15">
      <c r="C48" s="43"/>
      <c r="D48" s="43" t="s">
        <v>159</v>
      </c>
      <c r="E48" s="43" t="s">
        <v>164</v>
      </c>
      <c r="F48" s="43"/>
      <c r="G48" s="43"/>
      <c r="H48" s="43"/>
    </row>
    <row r="49" spans="3:8" x14ac:dyDescent="0.15">
      <c r="C49" s="43"/>
      <c r="D49" s="43" t="s">
        <v>160</v>
      </c>
      <c r="E49" s="43" t="s">
        <v>165</v>
      </c>
      <c r="F49" s="43"/>
      <c r="G49" s="43"/>
      <c r="H49" s="43"/>
    </row>
    <row r="50" spans="3:8" x14ac:dyDescent="0.15">
      <c r="C50" s="43"/>
      <c r="D50" s="43" t="s">
        <v>161</v>
      </c>
      <c r="E50" s="43">
        <v>221000000</v>
      </c>
      <c r="F50" s="43"/>
      <c r="G50" s="43"/>
      <c r="H50" s="43"/>
    </row>
    <row r="51" spans="3:8" x14ac:dyDescent="0.15">
      <c r="C51" s="43"/>
      <c r="D51" s="43" t="s">
        <v>162</v>
      </c>
      <c r="E51" s="43" t="s">
        <v>166</v>
      </c>
      <c r="F51" s="43"/>
      <c r="G51" s="43"/>
      <c r="H51" s="43"/>
    </row>
    <row r="52" spans="3:8" x14ac:dyDescent="0.15">
      <c r="C52" t="s">
        <v>167</v>
      </c>
    </row>
    <row r="53" spans="3:8" x14ac:dyDescent="0.15">
      <c r="C53" t="s">
        <v>168</v>
      </c>
    </row>
    <row r="54" spans="3:8" x14ac:dyDescent="0.15">
      <c r="C54" t="s">
        <v>169</v>
      </c>
    </row>
    <row r="55" spans="3:8" x14ac:dyDescent="0.15">
      <c r="C55" t="s">
        <v>170</v>
      </c>
    </row>
    <row r="56" spans="3:8" x14ac:dyDescent="0.15">
      <c r="D56" t="s">
        <v>171</v>
      </c>
    </row>
    <row r="57" spans="3:8" x14ac:dyDescent="0.15">
      <c r="D57" t="s">
        <v>172</v>
      </c>
      <c r="E57">
        <v>10000</v>
      </c>
    </row>
    <row r="58" spans="3:8" x14ac:dyDescent="0.15">
      <c r="D58" t="s">
        <v>173</v>
      </c>
      <c r="E58">
        <v>2000000</v>
      </c>
    </row>
    <row r="59" spans="3:8" x14ac:dyDescent="0.15">
      <c r="D59" t="s">
        <v>174</v>
      </c>
      <c r="E59">
        <v>3000000</v>
      </c>
    </row>
    <row r="60" spans="3:8" x14ac:dyDescent="0.15">
      <c r="D60" t="s">
        <v>175</v>
      </c>
      <c r="E60">
        <v>5000000</v>
      </c>
    </row>
    <row r="61" spans="3:8" x14ac:dyDescent="0.15">
      <c r="D61" t="s">
        <v>176</v>
      </c>
    </row>
    <row r="62" spans="3:8" x14ac:dyDescent="0.15">
      <c r="D62" t="s">
        <v>178</v>
      </c>
      <c r="E62">
        <v>1.75</v>
      </c>
    </row>
    <row r="63" spans="3:8" x14ac:dyDescent="0.15">
      <c r="D63" t="s">
        <v>177</v>
      </c>
      <c r="E63">
        <v>2</v>
      </c>
    </row>
    <row r="64" spans="3:8" x14ac:dyDescent="0.15">
      <c r="D64" t="s">
        <v>179</v>
      </c>
      <c r="E64">
        <v>3</v>
      </c>
    </row>
    <row r="65" spans="4:5" x14ac:dyDescent="0.15">
      <c r="D65" t="s">
        <v>180</v>
      </c>
      <c r="E65">
        <v>2</v>
      </c>
    </row>
    <row r="66" spans="4:5" x14ac:dyDescent="0.15">
      <c r="D66" t="s">
        <v>181</v>
      </c>
    </row>
    <row r="67" spans="4:5" x14ac:dyDescent="0.15">
      <c r="D67" t="s">
        <v>190</v>
      </c>
      <c r="E67" t="s">
        <v>191</v>
      </c>
    </row>
    <row r="68" spans="4:5" x14ac:dyDescent="0.15">
      <c r="D68" t="s">
        <v>182</v>
      </c>
      <c r="E68" t="s">
        <v>183</v>
      </c>
    </row>
    <row r="69" spans="4:5" x14ac:dyDescent="0.15">
      <c r="D69" t="s">
        <v>184</v>
      </c>
    </row>
    <row r="70" spans="4:5" x14ac:dyDescent="0.15">
      <c r="D70" t="s">
        <v>140</v>
      </c>
      <c r="E70" t="s">
        <v>185</v>
      </c>
    </row>
    <row r="71" spans="4:5" x14ac:dyDescent="0.15">
      <c r="D71" t="s">
        <v>186</v>
      </c>
      <c r="E71" t="s">
        <v>187</v>
      </c>
    </row>
    <row r="72" spans="4:5" x14ac:dyDescent="0.15">
      <c r="D72" t="s">
        <v>188</v>
      </c>
      <c r="E72" t="s">
        <v>189</v>
      </c>
    </row>
  </sheetData>
  <phoneticPr fontId="2"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
  <sheetViews>
    <sheetView zoomScaleNormal="100" workbookViewId="0">
      <selection activeCell="D3" sqref="D3"/>
    </sheetView>
  </sheetViews>
  <sheetFormatPr defaultRowHeight="13.5" x14ac:dyDescent="0.15"/>
  <cols>
    <col min="2" max="2" width="8.25" customWidth="1"/>
    <col min="3" max="3" width="10.625" customWidth="1"/>
    <col min="4" max="4" width="12.125" customWidth="1"/>
    <col min="5" max="5" width="9.25" customWidth="1"/>
    <col min="6" max="6" width="9" customWidth="1"/>
    <col min="7" max="7" width="12.25" customWidth="1"/>
    <col min="8" max="12" width="19.125" customWidth="1"/>
    <col min="13" max="13" width="27.625" customWidth="1"/>
    <col min="14" max="14" width="27.875" customWidth="1"/>
    <col min="15" max="15" width="19.125" customWidth="1"/>
    <col min="18" max="18" width="33.75" customWidth="1"/>
    <col min="19" max="19" width="29.25" customWidth="1"/>
    <col min="20" max="20" width="17.25" customWidth="1"/>
    <col min="21" max="21" width="21.5" customWidth="1"/>
    <col min="22" max="22" width="20.375" customWidth="1"/>
    <col min="23" max="23" width="28.875" customWidth="1"/>
    <col min="26" max="26" width="15.875" customWidth="1"/>
    <col min="27" max="27" width="16.25" customWidth="1"/>
  </cols>
  <sheetData>
    <row r="1" spans="1:27" ht="13.5" customHeight="1" x14ac:dyDescent="0.15">
      <c r="A1" t="s">
        <v>338</v>
      </c>
      <c r="B1" s="73" t="s">
        <v>315</v>
      </c>
      <c r="C1" s="73"/>
      <c r="D1" s="73"/>
      <c r="E1" s="73"/>
      <c r="F1" s="73"/>
      <c r="G1" s="73"/>
      <c r="H1" s="73"/>
      <c r="I1" s="73"/>
      <c r="J1" s="73"/>
      <c r="K1" s="73"/>
      <c r="L1" s="73"/>
      <c r="M1" s="73" t="s">
        <v>330</v>
      </c>
      <c r="N1" s="73"/>
      <c r="O1" s="73"/>
      <c r="P1" s="72" t="s">
        <v>303</v>
      </c>
      <c r="Q1" s="72"/>
      <c r="R1" s="72"/>
      <c r="S1" s="72"/>
      <c r="T1" s="72"/>
      <c r="U1" s="72" t="s">
        <v>305</v>
      </c>
      <c r="V1" s="72"/>
      <c r="W1" s="72"/>
      <c r="X1" s="72"/>
      <c r="Y1" s="72"/>
      <c r="Z1" s="72"/>
    </row>
    <row r="2" spans="1:27" x14ac:dyDescent="0.15">
      <c r="B2" s="76" t="s">
        <v>314</v>
      </c>
      <c r="C2" s="76"/>
      <c r="D2" s="76"/>
      <c r="E2" s="76" t="s">
        <v>317</v>
      </c>
      <c r="F2" s="76"/>
      <c r="G2" s="76"/>
      <c r="H2" s="76" t="s">
        <v>323</v>
      </c>
      <c r="I2" s="76"/>
      <c r="J2" s="76" t="s">
        <v>326</v>
      </c>
      <c r="K2" s="76"/>
      <c r="L2" s="76"/>
      <c r="M2" s="63"/>
      <c r="N2" s="64"/>
      <c r="O2" s="63"/>
      <c r="P2" s="76" t="s">
        <v>294</v>
      </c>
      <c r="Q2" s="76"/>
      <c r="R2" s="62" t="s">
        <v>298</v>
      </c>
      <c r="S2" s="76" t="s">
        <v>299</v>
      </c>
      <c r="T2" s="76"/>
      <c r="U2" s="76" t="s">
        <v>312</v>
      </c>
      <c r="V2" s="76"/>
      <c r="W2" s="76" t="s">
        <v>306</v>
      </c>
      <c r="X2" s="76"/>
      <c r="Y2" s="76"/>
      <c r="Z2" s="76" t="s">
        <v>307</v>
      </c>
      <c r="AA2" s="76"/>
    </row>
    <row r="3" spans="1:27" ht="189" x14ac:dyDescent="0.15">
      <c r="B3" s="47" t="s">
        <v>318</v>
      </c>
      <c r="C3" s="47" t="s">
        <v>319</v>
      </c>
      <c r="D3" s="47" t="s">
        <v>316</v>
      </c>
      <c r="E3" s="47" t="s">
        <v>320</v>
      </c>
      <c r="F3" s="47" t="s">
        <v>321</v>
      </c>
      <c r="G3" s="47" t="s">
        <v>322</v>
      </c>
      <c r="H3" s="47" t="s">
        <v>324</v>
      </c>
      <c r="I3" s="47" t="s">
        <v>325</v>
      </c>
      <c r="J3" s="47" t="s">
        <v>327</v>
      </c>
      <c r="K3" s="47" t="s">
        <v>329</v>
      </c>
      <c r="L3" s="47" t="s">
        <v>328</v>
      </c>
      <c r="M3" s="47" t="s">
        <v>333</v>
      </c>
      <c r="N3" s="47" t="s">
        <v>331</v>
      </c>
      <c r="O3" s="47" t="s">
        <v>332</v>
      </c>
      <c r="P3" t="s">
        <v>295</v>
      </c>
      <c r="Q3" t="s">
        <v>296</v>
      </c>
      <c r="R3" s="47" t="s">
        <v>297</v>
      </c>
      <c r="S3" s="47" t="s">
        <v>300</v>
      </c>
      <c r="T3" s="47" t="s">
        <v>301</v>
      </c>
      <c r="U3" s="47" t="s">
        <v>304</v>
      </c>
      <c r="V3" s="47" t="s">
        <v>313</v>
      </c>
      <c r="W3" s="47" t="s">
        <v>360</v>
      </c>
      <c r="X3" s="47" t="s">
        <v>310</v>
      </c>
      <c r="Y3" s="47" t="s">
        <v>311</v>
      </c>
      <c r="Z3" s="47" t="s">
        <v>308</v>
      </c>
      <c r="AA3" s="47" t="s">
        <v>309</v>
      </c>
    </row>
    <row r="4" spans="1:27" x14ac:dyDescent="0.15">
      <c r="A4" t="s">
        <v>337</v>
      </c>
      <c r="B4" t="s">
        <v>340</v>
      </c>
      <c r="C4" t="s">
        <v>341</v>
      </c>
      <c r="H4">
        <v>2</v>
      </c>
      <c r="J4" t="s">
        <v>340</v>
      </c>
      <c r="P4" s="78" t="s">
        <v>302</v>
      </c>
      <c r="Q4" s="78"/>
      <c r="R4" s="78"/>
      <c r="S4" s="78"/>
      <c r="T4" s="78"/>
    </row>
    <row r="5" spans="1:27" x14ac:dyDescent="0.15">
      <c r="P5" s="5">
        <f>3.4/(3.4+1.5+0.8+0.4)</f>
        <v>0.55737704918032782</v>
      </c>
      <c r="R5" t="s">
        <v>339</v>
      </c>
      <c r="S5">
        <v>234</v>
      </c>
      <c r="T5" s="21" t="s">
        <v>342</v>
      </c>
      <c r="V5" t="s">
        <v>343</v>
      </c>
    </row>
  </sheetData>
  <mergeCells count="14">
    <mergeCell ref="W2:Y2"/>
    <mergeCell ref="U1:Z1"/>
    <mergeCell ref="Z2:AA2"/>
    <mergeCell ref="P2:Q2"/>
    <mergeCell ref="P1:T1"/>
    <mergeCell ref="S2:T2"/>
    <mergeCell ref="B1:L1"/>
    <mergeCell ref="P4:T4"/>
    <mergeCell ref="U2:V2"/>
    <mergeCell ref="B2:D2"/>
    <mergeCell ref="E2:G2"/>
    <mergeCell ref="H2:I2"/>
    <mergeCell ref="J2:L2"/>
    <mergeCell ref="M1:O1"/>
  </mergeCells>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选股逻辑</vt:lpstr>
      <vt:lpstr>资产负债表-低价股F</vt:lpstr>
      <vt:lpstr>估值方法</vt:lpstr>
      <vt:lpstr>损益表分析-收益股G</vt:lpstr>
      <vt:lpstr>成长股十五原则</vt:lpstr>
      <vt:lpstr>公司分析</vt:lpstr>
      <vt:lpstr>债券选择原则-H</vt:lpstr>
      <vt:lpstr>保守型投资要素</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2019-01-21T03:51:00Z</dcterms:modified>
</cp:coreProperties>
</file>